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mpbesc/Documents/Maximo/MAS GTM/"/>
    </mc:Choice>
  </mc:AlternateContent>
  <xr:revisionPtr revIDLastSave="0" documentId="13_ncr:1_{9EE64D07-2107-9B43-A4C7-AFD5D1681279}" xr6:coauthVersionLast="45" xr6:coauthVersionMax="45" xr10:uidLastSave="{00000000-0000-0000-0000-000000000000}"/>
  <workbookProtection workbookAlgorithmName="SHA-512" workbookHashValue="0zIsB6sN6eyA7d3maebf/Xo3GcLFl+oGf3l8zHsyZhg3ZKiOUvcRlZ2Dyh6ex9MUty3CCEwaEv0c24AdmzQPwA==" workbookSaltValue="qNRGchrEWZHfeNjqv+z3zA==" workbookSpinCount="100000" lockStructure="1"/>
  <bookViews>
    <workbookView xWindow="0" yWindow="460" windowWidth="25600" windowHeight="14700" xr2:uid="{BE43DAD7-7525-4C43-8434-649D77803DED}"/>
  </bookViews>
  <sheets>
    <sheet name="V7 Calculator" sheetId="1" r:id="rId1"/>
    <sheet name="Detailed Report" sheetId="3" r:id="rId2"/>
    <sheet name="Predict Data Points" sheetId="2" r:id="rId3"/>
    <sheet name="Versions" sheetId="4" r:id="rId4"/>
  </sheets>
  <definedNames>
    <definedName name="EnvironmentSizes">'V7 Calculator'!$K$22:$K$28</definedName>
    <definedName name="_xlnm.Print_Area" localSheetId="1">'Detailed Report'!$A$1:$I$44</definedName>
    <definedName name="_xlnm.Print_Area" localSheetId="2">'Predict Data Points'!$C$1:$E$27</definedName>
    <definedName name="_xlnm.Print_Area" localSheetId="0">'V7 Calculator'!$I$50:$Q$96</definedName>
    <definedName name="_xlnm.Print_Area" localSheetId="3">Versions!$A$2:$B$21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9" i="1" l="1"/>
  <c r="W78" i="1"/>
  <c r="W77" i="1"/>
  <c r="W76" i="1"/>
  <c r="W75" i="1"/>
  <c r="W74" i="1"/>
  <c r="X84" i="1" l="1"/>
  <c r="X83" i="1"/>
  <c r="X82" i="1"/>
  <c r="X81" i="1"/>
  <c r="W81" i="1"/>
  <c r="W80" i="1"/>
  <c r="X80" i="1"/>
  <c r="L52" i="1"/>
  <c r="K75" i="1"/>
  <c r="K27" i="1" l="1"/>
  <c r="B122" i="1"/>
  <c r="B118" i="1"/>
  <c r="L69" i="1"/>
  <c r="L67" i="1"/>
  <c r="K68" i="1"/>
  <c r="K66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AS79" i="1"/>
  <c r="AR79" i="1"/>
  <c r="BG84" i="1"/>
  <c r="BG83" i="1"/>
  <c r="BG82" i="1"/>
  <c r="BG81" i="1"/>
  <c r="BG80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AL79" i="1"/>
  <c r="AK79" i="1"/>
  <c r="AJ79" i="1"/>
  <c r="AO78" i="1" l="1"/>
  <c r="AO85" i="1"/>
  <c r="AO81" i="1"/>
  <c r="AN83" i="1"/>
  <c r="AA82" i="1"/>
  <c r="AN80" i="1"/>
  <c r="AA83" i="1"/>
  <c r="AO84" i="1"/>
  <c r="AO80" i="1"/>
  <c r="AN82" i="1"/>
  <c r="AA85" i="1"/>
  <c r="AA81" i="1"/>
  <c r="AN85" i="1"/>
  <c r="AN81" i="1"/>
  <c r="AA84" i="1"/>
  <c r="AA80" i="1"/>
  <c r="AN84" i="1"/>
  <c r="AO83" i="1"/>
  <c r="AO82" i="1"/>
  <c r="N67" i="1"/>
  <c r="O69" i="1"/>
  <c r="N69" i="1"/>
  <c r="M69" i="1"/>
  <c r="O67" i="1"/>
  <c r="AN76" i="1"/>
  <c r="AO79" i="1"/>
  <c r="AA77" i="1"/>
  <c r="AO75" i="1"/>
  <c r="AA78" i="1"/>
  <c r="AO76" i="1"/>
  <c r="AA74" i="1"/>
  <c r="AN77" i="1"/>
  <c r="AA75" i="1"/>
  <c r="AA79" i="1"/>
  <c r="AN78" i="1"/>
  <c r="AO77" i="1"/>
  <c r="AA76" i="1"/>
  <c r="AN75" i="1"/>
  <c r="AN79" i="1"/>
  <c r="M67" i="1"/>
  <c r="I30" i="3" l="1"/>
  <c r="I26" i="3"/>
  <c r="I25" i="3"/>
  <c r="I24" i="3"/>
  <c r="H5" i="3"/>
  <c r="H20" i="3" s="1"/>
  <c r="G5" i="3"/>
  <c r="G20" i="3" s="1"/>
  <c r="G35" i="3" l="1"/>
  <c r="H35" i="3"/>
  <c r="BE79" i="1"/>
  <c r="AM84" i="1" l="1"/>
  <c r="AM83" i="1"/>
  <c r="AM82" i="1"/>
  <c r="AM81" i="1"/>
  <c r="AM80" i="1"/>
  <c r="AM78" i="1"/>
  <c r="AM77" i="1"/>
  <c r="AM76" i="1"/>
  <c r="AM75" i="1"/>
  <c r="AM72" i="1"/>
  <c r="AM71" i="1"/>
  <c r="AM70" i="1"/>
  <c r="AM69" i="1"/>
  <c r="AM68" i="1"/>
  <c r="AM66" i="1"/>
  <c r="AM65" i="1"/>
  <c r="AM64" i="1"/>
  <c r="AM63" i="1"/>
  <c r="AM62" i="1"/>
  <c r="AM60" i="1"/>
  <c r="AM59" i="1"/>
  <c r="AM58" i="1"/>
  <c r="AM57" i="1"/>
  <c r="AM56" i="1"/>
  <c r="AM54" i="1"/>
  <c r="AM53" i="1"/>
  <c r="AM52" i="1"/>
  <c r="AM51" i="1"/>
  <c r="AM50" i="1"/>
  <c r="AM48" i="1"/>
  <c r="AM47" i="1"/>
  <c r="AM46" i="1"/>
  <c r="AM45" i="1"/>
  <c r="AM44" i="1"/>
  <c r="AM74" i="1"/>
  <c r="X78" i="1"/>
  <c r="X77" i="1"/>
  <c r="X76" i="1"/>
  <c r="X75" i="1"/>
  <c r="X74" i="1"/>
  <c r="K28" i="1"/>
  <c r="M28" i="1" l="1"/>
  <c r="N28" i="1"/>
  <c r="O28" i="1"/>
  <c r="K40" i="1"/>
  <c r="H4" i="3"/>
  <c r="L68" i="1"/>
  <c r="Y36" i="1"/>
  <c r="Y35" i="1"/>
  <c r="Y34" i="1"/>
  <c r="Y33" i="1"/>
  <c r="O68" i="1" l="1"/>
  <c r="H21" i="3"/>
  <c r="H36" i="3"/>
  <c r="N68" i="1"/>
  <c r="M68" i="1"/>
  <c r="H6" i="3"/>
  <c r="H29" i="3"/>
  <c r="H31" i="3"/>
  <c r="H32" i="3"/>
  <c r="H27" i="3"/>
  <c r="H28" i="3"/>
  <c r="G4" i="3"/>
  <c r="G28" i="3" s="1"/>
  <c r="L66" i="1"/>
  <c r="N39" i="1"/>
  <c r="G37" i="3" s="1"/>
  <c r="K39" i="1"/>
  <c r="N27" i="1"/>
  <c r="M27" i="1"/>
  <c r="O27" i="1"/>
  <c r="BH85" i="1"/>
  <c r="BG85" i="1" s="1"/>
  <c r="BD85" i="1"/>
  <c r="BC85" i="1"/>
  <c r="BB85" i="1"/>
  <c r="BI85" i="1" s="1"/>
  <c r="BA85" i="1"/>
  <c r="AZ85" i="1"/>
  <c r="AS85" i="1"/>
  <c r="AQ85" i="1"/>
  <c r="AI85" i="1"/>
  <c r="AH85" i="1"/>
  <c r="AG85" i="1"/>
  <c r="AE85" i="1"/>
  <c r="W85" i="1"/>
  <c r="V85" i="1"/>
  <c r="X85" i="1" s="1"/>
  <c r="AP84" i="1"/>
  <c r="W84" i="1"/>
  <c r="AP83" i="1"/>
  <c r="W83" i="1"/>
  <c r="AP82" i="1"/>
  <c r="W82" i="1"/>
  <c r="AP81" i="1"/>
  <c r="AP80" i="1"/>
  <c r="BH79" i="1"/>
  <c r="BD79" i="1"/>
  <c r="BC79" i="1"/>
  <c r="BB79" i="1"/>
  <c r="BG79" i="1" s="1"/>
  <c r="BA79" i="1"/>
  <c r="AZ79" i="1"/>
  <c r="AQ79" i="1"/>
  <c r="AI79" i="1"/>
  <c r="AH79" i="1"/>
  <c r="AG79" i="1"/>
  <c r="AE79" i="1"/>
  <c r="V79" i="1"/>
  <c r="X79" i="1" s="1"/>
  <c r="AP78" i="1"/>
  <c r="AP77" i="1"/>
  <c r="AP76" i="1"/>
  <c r="AP75" i="1"/>
  <c r="AP74" i="1"/>
  <c r="H13" i="3" l="1"/>
  <c r="H15" i="3"/>
  <c r="H17" i="3"/>
  <c r="H12" i="3"/>
  <c r="H14" i="3"/>
  <c r="H16" i="3"/>
  <c r="G32" i="3"/>
  <c r="G31" i="3"/>
  <c r="G27" i="3"/>
  <c r="G29" i="3"/>
  <c r="N66" i="1"/>
  <c r="G36" i="3"/>
  <c r="G38" i="3" s="1"/>
  <c r="G6" i="3"/>
  <c r="M66" i="1"/>
  <c r="G21" i="3"/>
  <c r="O66" i="1"/>
  <c r="AM85" i="1"/>
  <c r="AM79" i="1"/>
  <c r="AP85" i="1"/>
  <c r="AP79" i="1"/>
  <c r="P75" i="1"/>
  <c r="G16" i="3" l="1"/>
  <c r="G14" i="3"/>
  <c r="G17" i="3"/>
  <c r="G13" i="3"/>
  <c r="G15" i="3"/>
  <c r="G12" i="3"/>
  <c r="L20" i="1"/>
  <c r="W60" i="1"/>
  <c r="W59" i="1"/>
  <c r="W58" i="1"/>
  <c r="W57" i="1"/>
  <c r="W56" i="1"/>
  <c r="L79" i="1"/>
  <c r="Z48" i="1"/>
  <c r="Z47" i="1"/>
  <c r="Z46" i="1"/>
  <c r="Z45" i="1"/>
  <c r="Z44" i="1"/>
  <c r="W72" i="1" l="1"/>
  <c r="W71" i="1"/>
  <c r="W70" i="1"/>
  <c r="W69" i="1"/>
  <c r="W68" i="1"/>
  <c r="W66" i="1"/>
  <c r="W65" i="1"/>
  <c r="W64" i="1"/>
  <c r="W63" i="1"/>
  <c r="W62" i="1"/>
  <c r="W54" i="1"/>
  <c r="W53" i="1"/>
  <c r="W52" i="1"/>
  <c r="W51" i="1"/>
  <c r="W50" i="1"/>
  <c r="W48" i="1"/>
  <c r="W47" i="1"/>
  <c r="W46" i="1"/>
  <c r="W45" i="1"/>
  <c r="W44" i="1"/>
  <c r="AA45" i="1"/>
  <c r="AA46" i="1"/>
  <c r="AA47" i="1"/>
  <c r="AA48" i="1"/>
  <c r="AA44" i="1"/>
  <c r="BH73" i="1"/>
  <c r="BD73" i="1"/>
  <c r="BC73" i="1"/>
  <c r="BA73" i="1"/>
  <c r="AZ73" i="1"/>
  <c r="BH67" i="1"/>
  <c r="BD67" i="1"/>
  <c r="BC67" i="1"/>
  <c r="BB67" i="1"/>
  <c r="BA67" i="1"/>
  <c r="AZ67" i="1"/>
  <c r="BD61" i="1"/>
  <c r="BC61" i="1"/>
  <c r="W61" i="1" s="1"/>
  <c r="BB61" i="1"/>
  <c r="BA61" i="1"/>
  <c r="AZ61" i="1"/>
  <c r="BD55" i="1"/>
  <c r="BC55" i="1"/>
  <c r="W55" i="1" s="1"/>
  <c r="BB55" i="1"/>
  <c r="BA55" i="1"/>
  <c r="AZ55" i="1"/>
  <c r="BD49" i="1"/>
  <c r="BC49" i="1"/>
  <c r="W49" i="1" s="1"/>
  <c r="BB49" i="1"/>
  <c r="BA49" i="1"/>
  <c r="AZ49" i="1"/>
  <c r="AP72" i="1"/>
  <c r="AP71" i="1"/>
  <c r="AP70" i="1"/>
  <c r="AP69" i="1"/>
  <c r="AP68" i="1"/>
  <c r="AP66" i="1"/>
  <c r="AP64" i="1"/>
  <c r="AP65" i="1"/>
  <c r="AP63" i="1"/>
  <c r="AP62" i="1"/>
  <c r="W67" i="1" l="1"/>
  <c r="W73" i="1"/>
  <c r="AA49" i="1"/>
  <c r="AP73" i="1"/>
  <c r="AP67" i="1"/>
  <c r="AP60" i="1"/>
  <c r="AP59" i="1"/>
  <c r="AP58" i="1"/>
  <c r="AP57" i="1"/>
  <c r="AP56" i="1"/>
  <c r="AP54" i="1"/>
  <c r="AP53" i="1"/>
  <c r="AP52" i="1"/>
  <c r="AP51" i="1"/>
  <c r="AP50" i="1"/>
  <c r="AP48" i="1"/>
  <c r="AB48" i="1" s="1"/>
  <c r="AP47" i="1"/>
  <c r="AB47" i="1" s="1"/>
  <c r="AP46" i="1"/>
  <c r="AB46" i="1" s="1"/>
  <c r="AP45" i="1"/>
  <c r="AB45" i="1" s="1"/>
  <c r="AP44" i="1"/>
  <c r="AB44" i="1" s="1"/>
  <c r="AP55" i="1" l="1"/>
  <c r="K26" i="1"/>
  <c r="X49" i="1" l="1"/>
  <c r="A42" i="3" l="1"/>
  <c r="N97" i="1" l="1"/>
  <c r="L87" i="1" l="1"/>
  <c r="L81" i="1"/>
  <c r="L92" i="1"/>
  <c r="L94" i="1"/>
  <c r="L98" i="1"/>
  <c r="L95" i="1"/>
  <c r="L99" i="1"/>
  <c r="L96" i="1"/>
  <c r="L97" i="1"/>
  <c r="I35" i="3" l="1"/>
  <c r="I20" i="3"/>
  <c r="A33" i="3"/>
  <c r="A36" i="3"/>
  <c r="A21" i="3"/>
  <c r="A22" i="3"/>
  <c r="N20" i="2"/>
  <c r="N15" i="2"/>
  <c r="N21" i="2" s="1"/>
  <c r="N14" i="2"/>
  <c r="D20" i="2"/>
  <c r="D15" i="2"/>
  <c r="F4" i="3"/>
  <c r="K23" i="1"/>
  <c r="K24" i="1"/>
  <c r="F27" i="3" l="1"/>
  <c r="F31" i="3"/>
  <c r="F32" i="3"/>
  <c r="C4" i="3"/>
  <c r="D4" i="3"/>
  <c r="M24" i="1"/>
  <c r="F29" i="3"/>
  <c r="F28" i="3"/>
  <c r="Y30" i="1"/>
  <c r="V30" i="1"/>
  <c r="U30" i="1" s="1"/>
  <c r="Y31" i="1"/>
  <c r="C31" i="3" l="1"/>
  <c r="C32" i="3"/>
  <c r="C27" i="3"/>
  <c r="D28" i="3"/>
  <c r="D27" i="3"/>
  <c r="D32" i="3"/>
  <c r="D31" i="3"/>
  <c r="C29" i="3"/>
  <c r="C28" i="3"/>
  <c r="D29" i="3"/>
  <c r="A11" i="3"/>
  <c r="A26" i="3" s="1"/>
  <c r="A10" i="3"/>
  <c r="A25" i="3" s="1"/>
  <c r="A13" i="3"/>
  <c r="A28" i="3" s="1"/>
  <c r="A9" i="3"/>
  <c r="A24" i="3" s="1"/>
  <c r="A8" i="3"/>
  <c r="A23" i="3" s="1"/>
  <c r="A17" i="3"/>
  <c r="A32" i="3" s="1"/>
  <c r="A15" i="3"/>
  <c r="A30" i="3" s="1"/>
  <c r="A14" i="3"/>
  <c r="A29" i="3" s="1"/>
  <c r="F18" i="2"/>
  <c r="F8" i="2"/>
  <c r="F10" i="2" s="1"/>
  <c r="G20" i="2"/>
  <c r="G8" i="2"/>
  <c r="G7" i="2"/>
  <c r="I7" i="2" s="1"/>
  <c r="F5" i="3" l="1"/>
  <c r="E5" i="3"/>
  <c r="D5" i="3"/>
  <c r="C5" i="3"/>
  <c r="B5" i="3"/>
  <c r="D20" i="3" l="1"/>
  <c r="D35" i="3"/>
  <c r="E35" i="3"/>
  <c r="E20" i="3"/>
  <c r="B35" i="3"/>
  <c r="B20" i="3"/>
  <c r="F20" i="3"/>
  <c r="F35" i="3"/>
  <c r="C35" i="3"/>
  <c r="C20" i="3"/>
  <c r="D14" i="2" l="1"/>
  <c r="D21" i="2" s="1"/>
  <c r="D23" i="2" s="1"/>
  <c r="K22" i="1"/>
  <c r="B120" i="1"/>
  <c r="L57" i="1" s="1"/>
  <c r="K84" i="1"/>
  <c r="B4" i="3" l="1"/>
  <c r="G25" i="1"/>
  <c r="K25" i="1" s="1"/>
  <c r="M45" i="1" s="1"/>
  <c r="L51" i="1" s="1"/>
  <c r="AI67" i="1"/>
  <c r="AH67" i="1"/>
  <c r="AJ55" i="1"/>
  <c r="AE73" i="1"/>
  <c r="AM73" i="1" s="1"/>
  <c r="AE67" i="1"/>
  <c r="AE61" i="1"/>
  <c r="AM61" i="1" s="1"/>
  <c r="AE55" i="1"/>
  <c r="AM55" i="1" s="1"/>
  <c r="AG67" i="1"/>
  <c r="AS67" i="1"/>
  <c r="X55" i="1"/>
  <c r="AR55" i="1"/>
  <c r="AQ73" i="1"/>
  <c r="AQ67" i="1"/>
  <c r="AQ61" i="1"/>
  <c r="AP61" i="1"/>
  <c r="AQ55" i="1"/>
  <c r="Y24" i="1"/>
  <c r="Y25" i="1"/>
  <c r="Y26" i="1"/>
  <c r="Y27" i="1"/>
  <c r="Y28" i="1"/>
  <c r="Y29" i="1"/>
  <c r="Y32" i="1"/>
  <c r="V73" i="1"/>
  <c r="V55" i="1"/>
  <c r="V49" i="1"/>
  <c r="X68" i="1"/>
  <c r="AQ49" i="1"/>
  <c r="AP49" i="1"/>
  <c r="AB49" i="1" s="1"/>
  <c r="AE49" i="1"/>
  <c r="AG49" i="1"/>
  <c r="P26" i="1"/>
  <c r="N23" i="1"/>
  <c r="C36" i="3" s="1"/>
  <c r="B31" i="3" l="1"/>
  <c r="B32" i="3"/>
  <c r="B28" i="3"/>
  <c r="B27" i="3"/>
  <c r="AM49" i="1"/>
  <c r="AM67" i="1"/>
  <c r="Z49" i="1"/>
  <c r="F40" i="3"/>
  <c r="P29" i="1"/>
  <c r="B29" i="3"/>
  <c r="E4" i="3"/>
  <c r="O25" i="1"/>
  <c r="E21" i="3" s="1"/>
  <c r="N34" i="1"/>
  <c r="M25" i="1"/>
  <c r="E6" i="3" s="1"/>
  <c r="N25" i="1"/>
  <c r="E36" i="3" s="1"/>
  <c r="D6" i="3"/>
  <c r="O24" i="1"/>
  <c r="N24" i="1"/>
  <c r="M23" i="1"/>
  <c r="O23" i="1"/>
  <c r="C21" i="3" s="1"/>
  <c r="L50" i="1"/>
  <c r="M22" i="1"/>
  <c r="B6" i="3" s="1"/>
  <c r="M26" i="1"/>
  <c r="F6" i="3" s="1"/>
  <c r="N26" i="1"/>
  <c r="F36" i="3" s="1"/>
  <c r="F16" i="3" l="1"/>
  <c r="F12" i="3"/>
  <c r="E29" i="3"/>
  <c r="I29" i="3" s="1"/>
  <c r="E27" i="3"/>
  <c r="I27" i="3" s="1"/>
  <c r="E31" i="3"/>
  <c r="E32" i="3"/>
  <c r="I32" i="3" s="1"/>
  <c r="E12" i="3"/>
  <c r="E16" i="3"/>
  <c r="I31" i="3"/>
  <c r="D13" i="3"/>
  <c r="D12" i="3"/>
  <c r="D16" i="3"/>
  <c r="B12" i="3"/>
  <c r="B16" i="3"/>
  <c r="B23" i="3"/>
  <c r="B37" i="3"/>
  <c r="C6" i="3"/>
  <c r="M29" i="1"/>
  <c r="D36" i="3"/>
  <c r="D21" i="3"/>
  <c r="B11" i="3"/>
  <c r="B9" i="3"/>
  <c r="B13" i="3"/>
  <c r="E28" i="3"/>
  <c r="I28" i="3" s="1"/>
  <c r="B15" i="3"/>
  <c r="B10" i="3"/>
  <c r="B14" i="3"/>
  <c r="B8" i="3"/>
  <c r="B17" i="3"/>
  <c r="D17" i="3"/>
  <c r="D15" i="3"/>
  <c r="D14" i="3"/>
  <c r="E17" i="3"/>
  <c r="E15" i="3"/>
  <c r="E14" i="3"/>
  <c r="E13" i="3"/>
  <c r="F15" i="3"/>
  <c r="F13" i="3"/>
  <c r="F17" i="3"/>
  <c r="F14" i="3"/>
  <c r="O34" i="1"/>
  <c r="C13" i="3" l="1"/>
  <c r="I13" i="3" s="1"/>
  <c r="C12" i="3"/>
  <c r="I12" i="3" s="1"/>
  <c r="C16" i="3"/>
  <c r="I16" i="3" s="1"/>
  <c r="C23" i="3"/>
  <c r="D23" i="3" s="1"/>
  <c r="E23" i="3" s="1"/>
  <c r="F23" i="3" s="1"/>
  <c r="I6" i="3"/>
  <c r="C17" i="3"/>
  <c r="I17" i="3" s="1"/>
  <c r="C9" i="3"/>
  <c r="D9" i="3" s="1"/>
  <c r="C15" i="3"/>
  <c r="I15" i="3" s="1"/>
  <c r="C11" i="3"/>
  <c r="C8" i="3"/>
  <c r="D8" i="3" s="1"/>
  <c r="C14" i="3"/>
  <c r="I14" i="3" s="1"/>
  <c r="C10" i="3"/>
  <c r="D11" i="3" s="1"/>
  <c r="B7" i="3"/>
  <c r="G23" i="3" l="1"/>
  <c r="H23" i="3" s="1"/>
  <c r="H22" i="3" s="1"/>
  <c r="H33" i="3" s="1"/>
  <c r="AN74" i="1"/>
  <c r="AO44" i="1"/>
  <c r="AO74" i="1"/>
  <c r="N40" i="1"/>
  <c r="H37" i="3" s="1"/>
  <c r="H38" i="3" s="1"/>
  <c r="E11" i="3"/>
  <c r="F11" i="3" s="1"/>
  <c r="D10" i="3"/>
  <c r="E10" i="3" s="1"/>
  <c r="AA66" i="1"/>
  <c r="AA65" i="1"/>
  <c r="AA64" i="1"/>
  <c r="AA63" i="1"/>
  <c r="AA67" i="1"/>
  <c r="AA62" i="1"/>
  <c r="AA50" i="1"/>
  <c r="AA72" i="1"/>
  <c r="AA71" i="1"/>
  <c r="AA69" i="1"/>
  <c r="AA68" i="1"/>
  <c r="AA73" i="1"/>
  <c r="AA70" i="1"/>
  <c r="AO73" i="1"/>
  <c r="AO72" i="1"/>
  <c r="AO64" i="1"/>
  <c r="AO56" i="1"/>
  <c r="AO63" i="1"/>
  <c r="AO55" i="1"/>
  <c r="AO62" i="1"/>
  <c r="AO54" i="1"/>
  <c r="AO61" i="1"/>
  <c r="AO53" i="1"/>
  <c r="AO60" i="1"/>
  <c r="AO52" i="1"/>
  <c r="AO59" i="1"/>
  <c r="AO51" i="1"/>
  <c r="AO58" i="1"/>
  <c r="AO50" i="1"/>
  <c r="AO65" i="1"/>
  <c r="AO57" i="1"/>
  <c r="AO71" i="1"/>
  <c r="AO70" i="1"/>
  <c r="AO69" i="1"/>
  <c r="AO68" i="1"/>
  <c r="AO67" i="1"/>
  <c r="AO66" i="1"/>
  <c r="AA56" i="1"/>
  <c r="AA52" i="1"/>
  <c r="AA51" i="1"/>
  <c r="AA57" i="1"/>
  <c r="AA55" i="1"/>
  <c r="AA54" i="1"/>
  <c r="AA60" i="1"/>
  <c r="AA59" i="1"/>
  <c r="AA61" i="1"/>
  <c r="AA53" i="1"/>
  <c r="AA58" i="1"/>
  <c r="AO48" i="1"/>
  <c r="AO46" i="1"/>
  <c r="AO49" i="1"/>
  <c r="AO47" i="1"/>
  <c r="AO45" i="1"/>
  <c r="E9" i="3"/>
  <c r="F9" i="3" s="1"/>
  <c r="E8" i="3"/>
  <c r="C7" i="3"/>
  <c r="C18" i="3" s="1"/>
  <c r="B18" i="3"/>
  <c r="AN68" i="1"/>
  <c r="AN50" i="1"/>
  <c r="AN62" i="1"/>
  <c r="AN56" i="1"/>
  <c r="AN44" i="1"/>
  <c r="AN71" i="1"/>
  <c r="AN70" i="1"/>
  <c r="AN73" i="1"/>
  <c r="AN69" i="1"/>
  <c r="AN63" i="1"/>
  <c r="AN59" i="1"/>
  <c r="AN67" i="1"/>
  <c r="AN66" i="1"/>
  <c r="AN58" i="1"/>
  <c r="AN65" i="1"/>
  <c r="AN61" i="1"/>
  <c r="AN57" i="1"/>
  <c r="AN64" i="1"/>
  <c r="AN60" i="1"/>
  <c r="AN72" i="1"/>
  <c r="AN55" i="1"/>
  <c r="AN47" i="1"/>
  <c r="AN52" i="1"/>
  <c r="AN51" i="1"/>
  <c r="AN48" i="1"/>
  <c r="AN53" i="1"/>
  <c r="AN49" i="1"/>
  <c r="AN45" i="1"/>
  <c r="AN54" i="1"/>
  <c r="AN46" i="1"/>
  <c r="Z82" i="1" l="1"/>
  <c r="AB85" i="1"/>
  <c r="AB82" i="1"/>
  <c r="Z83" i="1"/>
  <c r="Z84" i="1"/>
  <c r="Z81" i="1"/>
  <c r="AB81" i="1"/>
  <c r="Z85" i="1"/>
  <c r="AB83" i="1"/>
  <c r="AB80" i="1"/>
  <c r="Z80" i="1"/>
  <c r="AB84" i="1"/>
  <c r="AB77" i="1"/>
  <c r="AB79" i="1"/>
  <c r="AB75" i="1"/>
  <c r="AB78" i="1"/>
  <c r="AB76" i="1"/>
  <c r="G9" i="3"/>
  <c r="H9" i="3" s="1"/>
  <c r="Z75" i="1"/>
  <c r="G11" i="3"/>
  <c r="H11" i="3" s="1"/>
  <c r="AB74" i="1"/>
  <c r="Z76" i="1"/>
  <c r="Z77" i="1"/>
  <c r="Z79" i="1"/>
  <c r="Z78" i="1"/>
  <c r="F8" i="3"/>
  <c r="Z74" i="1"/>
  <c r="F10" i="3"/>
  <c r="G10" i="3" s="1"/>
  <c r="H10" i="3" s="1"/>
  <c r="Z60" i="1"/>
  <c r="Z61" i="1"/>
  <c r="Z51" i="1"/>
  <c r="Z63" i="1"/>
  <c r="Z67" i="1"/>
  <c r="Z66" i="1"/>
  <c r="Z50" i="1"/>
  <c r="M75" i="1" s="1"/>
  <c r="Z62" i="1"/>
  <c r="Z52" i="1"/>
  <c r="Z64" i="1"/>
  <c r="Z53" i="1"/>
  <c r="Z65" i="1"/>
  <c r="Z55" i="1"/>
  <c r="Z59" i="1"/>
  <c r="Z54" i="1"/>
  <c r="Z58" i="1"/>
  <c r="Z56" i="1"/>
  <c r="Z57" i="1"/>
  <c r="AB52" i="1"/>
  <c r="AB54" i="1"/>
  <c r="N36" i="1"/>
  <c r="D37" i="3" s="1"/>
  <c r="D38" i="3" s="1"/>
  <c r="AB53" i="1"/>
  <c r="AB51" i="1"/>
  <c r="AB55" i="1"/>
  <c r="AB50" i="1"/>
  <c r="N35" i="1"/>
  <c r="N38" i="1"/>
  <c r="N37" i="1"/>
  <c r="E37" i="3" s="1"/>
  <c r="E38" i="3" s="1"/>
  <c r="Z68" i="1"/>
  <c r="D7" i="3"/>
  <c r="AB68" i="1"/>
  <c r="AB62" i="1"/>
  <c r="AB56" i="1"/>
  <c r="AB58" i="1"/>
  <c r="AB57" i="1"/>
  <c r="AB61" i="1"/>
  <c r="AB60" i="1"/>
  <c r="AB59" i="1"/>
  <c r="AB70" i="1"/>
  <c r="AB64" i="1"/>
  <c r="AB73" i="1"/>
  <c r="AB67" i="1"/>
  <c r="AB71" i="1"/>
  <c r="AB65" i="1"/>
  <c r="AB72" i="1"/>
  <c r="AB66" i="1"/>
  <c r="AB69" i="1"/>
  <c r="AB63" i="1"/>
  <c r="Z71" i="1"/>
  <c r="Z69" i="1"/>
  <c r="Z73" i="1"/>
  <c r="Z70" i="1"/>
  <c r="Z72" i="1"/>
  <c r="O40" i="1" l="1"/>
  <c r="O39" i="1"/>
  <c r="M39" i="1"/>
  <c r="M40" i="1"/>
  <c r="O75" i="1"/>
  <c r="I9" i="3"/>
  <c r="I10" i="3"/>
  <c r="I11" i="3"/>
  <c r="F37" i="3"/>
  <c r="F38" i="3" s="1"/>
  <c r="G8" i="3"/>
  <c r="H8" i="3" s="1"/>
  <c r="C37" i="3"/>
  <c r="C38" i="3" s="1"/>
  <c r="N41" i="1"/>
  <c r="D18" i="3"/>
  <c r="F7" i="3"/>
  <c r="F18" i="3" s="1"/>
  <c r="E7" i="3"/>
  <c r="E18" i="3" s="1"/>
  <c r="M38" i="1"/>
  <c r="O36" i="1"/>
  <c r="M36" i="1"/>
  <c r="M35" i="1"/>
  <c r="O35" i="1"/>
  <c r="M37" i="1"/>
  <c r="O37" i="1"/>
  <c r="O38" i="1"/>
  <c r="G6" i="1"/>
  <c r="I6" i="1"/>
  <c r="C44" i="3" s="1"/>
  <c r="G7" i="1"/>
  <c r="I7" i="1"/>
  <c r="G8" i="1"/>
  <c r="I8" i="1"/>
  <c r="G9" i="1"/>
  <c r="I9" i="1"/>
  <c r="H10" i="1"/>
  <c r="J10" i="1"/>
  <c r="N90" i="1"/>
  <c r="L80" i="1" s="1"/>
  <c r="N79" i="1"/>
  <c r="K37" i="1"/>
  <c r="I35" i="1"/>
  <c r="I36" i="1"/>
  <c r="I37" i="1"/>
  <c r="I38" i="1"/>
  <c r="I34" i="1"/>
  <c r="M34" i="1"/>
  <c r="H7" i="3" l="1"/>
  <c r="H18" i="3" s="1"/>
  <c r="G7" i="3"/>
  <c r="G18" i="3" s="1"/>
  <c r="M41" i="1"/>
  <c r="O41" i="1"/>
  <c r="I37" i="3"/>
  <c r="B44" i="3"/>
  <c r="I10" i="1"/>
  <c r="G10" i="1"/>
  <c r="I7" i="3" l="1"/>
  <c r="I8" i="3"/>
  <c r="X73" i="1"/>
  <c r="X71" i="1"/>
  <c r="X70" i="1"/>
  <c r="X69" i="1"/>
  <c r="O26" i="1" s="1"/>
  <c r="I18" i="3" l="1"/>
  <c r="F21" i="3"/>
  <c r="O22" i="1"/>
  <c r="B21" i="3" s="1"/>
  <c r="L62" i="1"/>
  <c r="L65" i="1"/>
  <c r="E10" i="1"/>
  <c r="L10" i="1"/>
  <c r="F10" i="1"/>
  <c r="K8" i="1"/>
  <c r="K7" i="1"/>
  <c r="K9" i="1"/>
  <c r="K6" i="1"/>
  <c r="L63" i="1"/>
  <c r="K62" i="1"/>
  <c r="L61" i="1"/>
  <c r="K60" i="1"/>
  <c r="L59" i="1"/>
  <c r="K58" i="1"/>
  <c r="V61" i="1"/>
  <c r="K56" i="1"/>
  <c r="N22" i="1"/>
  <c r="O72" i="1" l="1"/>
  <c r="N72" i="1"/>
  <c r="M72" i="1"/>
  <c r="I21" i="3"/>
  <c r="O29" i="1"/>
  <c r="B36" i="3"/>
  <c r="N29" i="1"/>
  <c r="D44" i="3"/>
  <c r="K79" i="1"/>
  <c r="P65" i="1"/>
  <c r="O65" i="1"/>
  <c r="N65" i="1"/>
  <c r="M65" i="1"/>
  <c r="O63" i="1"/>
  <c r="M63" i="1"/>
  <c r="O61" i="1"/>
  <c r="M61" i="1"/>
  <c r="M59" i="1"/>
  <c r="O59" i="1"/>
  <c r="M57" i="1"/>
  <c r="O57" i="1"/>
  <c r="V67" i="1"/>
  <c r="O62" i="1" s="1"/>
  <c r="M62" i="1"/>
  <c r="K10" i="1"/>
  <c r="N64" i="1"/>
  <c r="M64" i="1"/>
  <c r="O64" i="1"/>
  <c r="K35" i="1"/>
  <c r="M58" i="1"/>
  <c r="K36" i="1"/>
  <c r="O60" i="1"/>
  <c r="M60" i="1"/>
  <c r="N60" i="1"/>
  <c r="N61" i="1" s="1"/>
  <c r="K34" i="1"/>
  <c r="O56" i="1"/>
  <c r="N56" i="1"/>
  <c r="N75" i="1" s="1"/>
  <c r="M56" i="1"/>
  <c r="L64" i="1"/>
  <c r="K38" i="1"/>
  <c r="N62" i="1"/>
  <c r="N63" i="1" s="1"/>
  <c r="L60" i="1"/>
  <c r="O58" i="1"/>
  <c r="N58" i="1"/>
  <c r="L58" i="1"/>
  <c r="L56" i="1"/>
  <c r="M70" i="1" l="1"/>
  <c r="O70" i="1"/>
  <c r="B38" i="3"/>
  <c r="I36" i="3"/>
  <c r="I38" i="3" s="1"/>
  <c r="P81" i="1"/>
  <c r="N59" i="1"/>
  <c r="O81" i="1"/>
  <c r="N57" i="1"/>
  <c r="O71" i="1"/>
  <c r="M71" i="1"/>
  <c r="N71" i="1"/>
  <c r="N73" i="1" s="1"/>
  <c r="I40" i="3"/>
  <c r="P64" i="1"/>
  <c r="P70" i="1" s="1"/>
  <c r="K81" i="1" l="1"/>
  <c r="N70" i="1"/>
  <c r="N76" i="1" s="1"/>
  <c r="N82" i="1" s="1"/>
  <c r="N81" i="1"/>
  <c r="B22" i="3"/>
  <c r="P76" i="1"/>
  <c r="Q81" i="1" s="1"/>
  <c r="M73" i="1"/>
  <c r="O73" i="1"/>
  <c r="O76" i="1" s="1"/>
  <c r="B128" i="1" s="1"/>
  <c r="O44" i="1"/>
  <c r="P44" i="1"/>
  <c r="M44" i="1"/>
  <c r="N44" i="1"/>
  <c r="B33" i="3" l="1"/>
  <c r="C22" i="3"/>
  <c r="C33" i="3" s="1"/>
  <c r="P80" i="1"/>
  <c r="Q80" i="1"/>
  <c r="O99" i="1"/>
  <c r="O92" i="1"/>
  <c r="M76" i="1"/>
  <c r="G22" i="3" l="1"/>
  <c r="G33" i="3" s="1"/>
  <c r="N80" i="1"/>
  <c r="O80" i="1"/>
  <c r="B126" i="1"/>
  <c r="K80" i="1" s="1"/>
  <c r="F22" i="3"/>
  <c r="F33" i="3" s="1"/>
  <c r="E22" i="3"/>
  <c r="E33" i="3" s="1"/>
  <c r="D22" i="3"/>
  <c r="D33" i="3" s="1"/>
  <c r="I23" i="3" l="1"/>
  <c r="I22" i="3"/>
  <c r="K83" i="1"/>
  <c r="I33" i="3" l="1"/>
</calcChain>
</file>

<file path=xl/sharedStrings.xml><?xml version="1.0" encoding="utf-8"?>
<sst xmlns="http://schemas.openxmlformats.org/spreadsheetml/2006/main" count="449" uniqueCount="243">
  <si>
    <t>Enter Inputs in Yellow Cells Only</t>
  </si>
  <si>
    <t xml:space="preserve">Medium </t>
  </si>
  <si>
    <t>Large</t>
  </si>
  <si>
    <t xml:space="preserve">Calculations </t>
  </si>
  <si>
    <t xml:space="preserve">Size Application Environment </t>
  </si>
  <si>
    <t>Manage</t>
  </si>
  <si>
    <t>Users</t>
  </si>
  <si>
    <t>Use (Y/N)</t>
  </si>
  <si>
    <t>Quantity</t>
  </si>
  <si>
    <t>Size Metric</t>
  </si>
  <si>
    <t>Monitor</t>
  </si>
  <si>
    <t>i/o points</t>
  </si>
  <si>
    <t>Applications</t>
  </si>
  <si>
    <t>Health</t>
  </si>
  <si>
    <t>Predict</t>
  </si>
  <si>
    <t>Base, Prereq, Misc</t>
  </si>
  <si>
    <t>Function</t>
  </si>
  <si>
    <t>Size</t>
  </si>
  <si>
    <t>VPC</t>
  </si>
  <si>
    <t xml:space="preserve"> VPC</t>
  </si>
  <si>
    <t>Small</t>
  </si>
  <si>
    <t>App Environment Description:</t>
  </si>
  <si>
    <t>Medium</t>
  </si>
  <si>
    <t>Output</t>
  </si>
  <si>
    <t>Envrironment Description</t>
  </si>
  <si>
    <t xml:space="preserve">Base Environment Size </t>
  </si>
  <si>
    <t xml:space="preserve">App Environment Description </t>
  </si>
  <si>
    <t>Dev Environments</t>
  </si>
  <si>
    <t>Environment Footprint</t>
  </si>
  <si>
    <t>Description</t>
  </si>
  <si>
    <t>Application Requirements</t>
  </si>
  <si>
    <t>Data (GB)</t>
  </si>
  <si>
    <t>Manage (Dev Environments)</t>
  </si>
  <si>
    <t>Monitor (Dev Environments)</t>
  </si>
  <si>
    <t>Health (Dev Environments)</t>
  </si>
  <si>
    <t>Predict (Dev Environments)</t>
  </si>
  <si>
    <t>Application Storage Data</t>
  </si>
  <si>
    <t>Y</t>
  </si>
  <si>
    <t>N</t>
  </si>
  <si>
    <t>Worker Nodes</t>
  </si>
  <si>
    <t>Temporary Bootstrap Machine</t>
  </si>
  <si>
    <t>Memory</t>
  </si>
  <si>
    <t>Totals</t>
  </si>
  <si>
    <t>GPUs</t>
  </si>
  <si>
    <t>Control Plane Nodes (Master + Infra)</t>
  </si>
  <si>
    <t>Worker / Compute Nodes</t>
  </si>
  <si>
    <r>
      <rPr>
        <sz val="16"/>
        <color theme="1"/>
        <rFont val="Calibri (Body)"/>
      </rPr>
      <t>OpenShift 4.3 + CP4D</t>
    </r>
    <r>
      <rPr>
        <sz val="16"/>
        <color theme="1"/>
        <rFont val="Calibri"/>
        <family val="2"/>
        <scheme val="minor"/>
      </rPr>
      <t xml:space="preserve"> Bare Metal Minimum Installation Requirements</t>
    </r>
  </si>
  <si>
    <t>Visaul Inspection</t>
  </si>
  <si>
    <t>Memory (GB)</t>
  </si>
  <si>
    <t>Storage (GB)</t>
  </si>
  <si>
    <t>Minimum Storage (GBs) per Server</t>
  </si>
  <si>
    <t>Min Memory (GBs) per Server</t>
  </si>
  <si>
    <t>Total Memory</t>
  </si>
  <si>
    <t>Total Storage</t>
  </si>
  <si>
    <t>MVI - Minumum Requirements</t>
  </si>
  <si>
    <t>Servers*</t>
  </si>
  <si>
    <t>Sizing and Quantity Definitions</t>
  </si>
  <si>
    <t>Metric</t>
  </si>
  <si>
    <t>Total VPCs</t>
  </si>
  <si>
    <t>Beyond Large</t>
  </si>
  <si>
    <t>Minimum VPCs per Server</t>
  </si>
  <si>
    <t>Physical Servers</t>
  </si>
  <si>
    <t>Control Plane / Master Nodes</t>
  </si>
  <si>
    <t>VPC Capacity</t>
  </si>
  <si>
    <t>Memory Capacity (GB)</t>
  </si>
  <si>
    <t>Storage Capacity (GB)</t>
  </si>
  <si>
    <t>MVI Nodes</t>
  </si>
  <si>
    <t>Minimum / Development Environments</t>
  </si>
  <si>
    <t>Storage</t>
  </si>
  <si>
    <t>Total Quantities:</t>
  </si>
  <si>
    <t>Visual Inspection</t>
  </si>
  <si>
    <t>Visual Inspection (Dev Environments)</t>
  </si>
  <si>
    <t>(GB)</t>
  </si>
  <si>
    <t>Compute</t>
  </si>
  <si>
    <t xml:space="preserve">Total Application Quantities:  </t>
  </si>
  <si>
    <t>Server Quantity</t>
  </si>
  <si>
    <t>*High Availabiity - Requires Physical Systems for Control Plane (Master) OpenShift Nodes.</t>
  </si>
  <si>
    <t>Assets</t>
  </si>
  <si>
    <t>Primary</t>
  </si>
  <si>
    <t>CPU Count</t>
  </si>
  <si>
    <t>Cores per CPU</t>
  </si>
  <si>
    <t>Seconday (Optional)</t>
  </si>
  <si>
    <t>Memory per VPC</t>
  </si>
  <si>
    <t>Base</t>
  </si>
  <si>
    <t>BASE + PRE-REQ</t>
  </si>
  <si>
    <t>TOTAL VPC</t>
  </si>
  <si>
    <t>OpenShift</t>
  </si>
  <si>
    <t>Worker</t>
  </si>
  <si>
    <t>ICP4D</t>
  </si>
  <si>
    <t>DB2</t>
  </si>
  <si>
    <t>Warehouse</t>
  </si>
  <si>
    <t>MAS</t>
  </si>
  <si>
    <t>Core</t>
  </si>
  <si>
    <t>Watson</t>
  </si>
  <si>
    <t>Studio</t>
  </si>
  <si>
    <t>ML</t>
  </si>
  <si>
    <t>Kafka</t>
  </si>
  <si>
    <t>Streaming</t>
  </si>
  <si>
    <t>VPCs</t>
  </si>
  <si>
    <t>Total Memory (GB)</t>
  </si>
  <si>
    <t>Size Application Environment</t>
  </si>
  <si>
    <t xml:space="preserve"> Dev Env.</t>
  </si>
  <si>
    <t xml:space="preserve"> Subtotal - Required Infrastructue. w/o Dev</t>
  </si>
  <si>
    <t>Each System Configuration</t>
  </si>
  <si>
    <t>Resulting Complete Environment Requirements</t>
  </si>
  <si>
    <t>VPC Bal</t>
  </si>
  <si>
    <t>GPU Bal</t>
  </si>
  <si>
    <t>Infrastructure Requirements</t>
  </si>
  <si>
    <t>Base Requirements VPCs</t>
  </si>
  <si>
    <t>Pre-Reqs VPCs</t>
  </si>
  <si>
    <t>One for All</t>
  </si>
  <si>
    <t>Individual</t>
  </si>
  <si>
    <t xml:space="preserve">Shared </t>
  </si>
  <si>
    <t>W/Manage</t>
  </si>
  <si>
    <t>W/Monitor</t>
  </si>
  <si>
    <t>Output Alerts:</t>
  </si>
  <si>
    <t xml:space="preserve">Maximo Application Suite Base </t>
  </si>
  <si>
    <t>Maximo Application Suite Base (Dev)</t>
  </si>
  <si>
    <t>Maximo Application Suite Base SubTotal</t>
  </si>
  <si>
    <r>
      <t>Users</t>
    </r>
    <r>
      <rPr>
        <vertAlign val="superscript"/>
        <sz val="12"/>
        <color theme="1"/>
        <rFont val="Calibri (Body)"/>
      </rPr>
      <t>1</t>
    </r>
  </si>
  <si>
    <r>
      <t>i/o points</t>
    </r>
    <r>
      <rPr>
        <vertAlign val="superscript"/>
        <sz val="12"/>
        <color theme="1"/>
        <rFont val="Calibri (Body)"/>
      </rPr>
      <t>2</t>
    </r>
  </si>
  <si>
    <t>REQUIREMENTS Description</t>
  </si>
  <si>
    <t>Xsmall/Min</t>
  </si>
  <si>
    <t>Dev</t>
  </si>
  <si>
    <t>Entered</t>
  </si>
  <si>
    <t>Size Ranges -  Up To:</t>
  </si>
  <si>
    <t>WS/WML</t>
  </si>
  <si>
    <t>Total</t>
  </si>
  <si>
    <t>Application SubTotal</t>
  </si>
  <si>
    <t>Training</t>
  </si>
  <si>
    <t>Number of Groups</t>
  </si>
  <si>
    <t># of Assets per Group</t>
  </si>
  <si>
    <t>Frequency of data collection</t>
  </si>
  <si>
    <t>Frequency of Scoring</t>
  </si>
  <si>
    <t>Records per Day</t>
  </si>
  <si>
    <t># of sensors per asset average</t>
  </si>
  <si>
    <t># of assets</t>
  </si>
  <si>
    <t>Results</t>
  </si>
  <si>
    <t># of Models per Group</t>
  </si>
  <si>
    <t>Times per day</t>
  </si>
  <si>
    <t>Average # of Sensors per Asset</t>
  </si>
  <si>
    <t>Number of lines of data</t>
  </si>
  <si>
    <t>Daily Pre-Aggregation?</t>
  </si>
  <si>
    <t>Years of Retention</t>
  </si>
  <si>
    <t>Mem Bal</t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</si>
  <si>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When calculating with </t>
    </r>
    <r>
      <rPr>
        <b/>
        <sz val="12"/>
        <color theme="1"/>
        <rFont val="Calibri (Body)"/>
      </rPr>
      <t>i/o p</t>
    </r>
    <r>
      <rPr>
        <b/>
        <sz val="12"/>
        <color theme="1"/>
        <rFont val="Calibri"/>
        <family val="2"/>
        <scheme val="minor"/>
      </rPr>
      <t>oints</t>
    </r>
    <r>
      <rPr>
        <sz val="12"/>
        <color theme="1"/>
        <rFont val="Calibri"/>
        <family val="2"/>
        <scheme val="minor"/>
      </rPr>
      <t>, the total is equal to the product of the following three dimensions:
1) Number of devices
2) Number of data points sent in each message
3) Number of messages sent per minute per device</t>
    </r>
  </si>
  <si>
    <r>
      <rPr>
        <vertAlign val="super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Users</t>
    </r>
    <r>
      <rPr>
        <sz val="12"/>
        <color theme="1"/>
        <rFont val="Calibri"/>
        <family val="2"/>
        <scheme val="minor"/>
      </rPr>
      <t xml:space="preserve">:   Users are defined as </t>
    </r>
    <r>
      <rPr>
        <b/>
        <sz val="12"/>
        <color theme="1"/>
        <rFont val="Calibri"/>
        <family val="2"/>
        <scheme val="minor"/>
      </rPr>
      <t>*concurrent*</t>
    </r>
    <r>
      <rPr>
        <sz val="12"/>
        <color theme="1"/>
        <rFont val="Calibri"/>
        <family val="2"/>
        <scheme val="minor"/>
      </rPr>
      <t xml:space="preserve"> users when sizing the infrastructure requirements</t>
    </r>
  </si>
  <si>
    <t>Data points over a 3 year period</t>
  </si>
  <si>
    <r>
      <t>Data Points</t>
    </r>
    <r>
      <rPr>
        <vertAlign val="superscript"/>
        <sz val="12"/>
        <color theme="1"/>
        <rFont val="Calibri (Body)"/>
      </rPr>
      <t>3</t>
    </r>
  </si>
  <si>
    <t>Data Point Calculation</t>
  </si>
  <si>
    <t>Training Data Points</t>
  </si>
  <si>
    <t>MAS Base</t>
  </si>
  <si>
    <t>Predict Data Point Calculator</t>
  </si>
  <si>
    <t>at most from Monitor</t>
  </si>
  <si>
    <t>Scoring Load</t>
  </si>
  <si>
    <t>Rows per minute</t>
  </si>
  <si>
    <t>matters for trainingin only</t>
  </si>
  <si>
    <t>This is found in Monitor</t>
  </si>
  <si>
    <t>24 lines</t>
  </si>
  <si>
    <t>60,000 sensors</t>
  </si>
  <si>
    <t>Training + Scoring Load</t>
  </si>
  <si>
    <t>60,000  sensors driving data</t>
  </si>
  <si>
    <t>each sensor is a line</t>
  </si>
  <si>
    <t>50 models</t>
  </si>
  <si>
    <t>2000 assets</t>
  </si>
  <si>
    <t>each row is an asset</t>
  </si>
  <si>
    <t>Scoring Total per day across all sensors</t>
  </si>
  <si>
    <t>MongoDB</t>
  </si>
  <si>
    <t>Data Points - Training</t>
  </si>
  <si>
    <t>Scoring Load- Scoring</t>
  </si>
  <si>
    <t>Models</t>
  </si>
  <si>
    <t>Asset Groups</t>
  </si>
  <si>
    <t>Assets Per Group</t>
  </si>
  <si>
    <t>Sensors Per Asset</t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</si>
  <si>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To calculate Predict Data Points, Use the </t>
    </r>
    <r>
      <rPr>
        <b/>
        <sz val="12"/>
        <color theme="1"/>
        <rFont val="Calibri"/>
        <family val="2"/>
        <scheme val="minor"/>
      </rPr>
      <t>"Predict Data Points"</t>
    </r>
    <r>
      <rPr>
        <sz val="12"/>
        <color theme="1"/>
        <rFont val="Calibri"/>
        <family val="2"/>
        <scheme val="minor"/>
      </rPr>
      <t xml:space="preserve"> tab</t>
    </r>
  </si>
  <si>
    <t>Application</t>
  </si>
  <si>
    <t>TOTALS</t>
  </si>
  <si>
    <t>TOTALS:</t>
  </si>
  <si>
    <t xml:space="preserve">GPUs:  </t>
  </si>
  <si>
    <t>Master Node(s)</t>
  </si>
  <si>
    <t>Total Qty</t>
  </si>
  <si>
    <t>Total GBs</t>
  </si>
  <si>
    <r>
      <rPr>
        <b/>
        <sz val="18"/>
        <color theme="1"/>
        <rFont val="Calibri"/>
        <family val="2"/>
        <scheme val="minor"/>
      </rPr>
      <t>Production</t>
    </r>
    <r>
      <rPr>
        <sz val="18"/>
        <color theme="1"/>
        <rFont val="Calibri"/>
        <family val="2"/>
        <scheme val="minor"/>
      </rPr>
      <t xml:space="preserve"> Environment Calculation Details</t>
    </r>
  </si>
  <si>
    <t>MVI Isolated</t>
  </si>
  <si>
    <t>Mem</t>
  </si>
  <si>
    <t>MAS Core</t>
  </si>
  <si>
    <t>OS Worker</t>
  </si>
  <si>
    <t>Calculated -&gt; Large+Medium=Beyond Large</t>
  </si>
  <si>
    <t>CP4D</t>
  </si>
  <si>
    <t>OS Workers</t>
  </si>
  <si>
    <t>Shared</t>
  </si>
  <si>
    <t>v7_4</t>
  </si>
  <si>
    <t>Version</t>
  </si>
  <si>
    <t>Updates</t>
  </si>
  <si>
    <t>Added MVI Server isolation option</t>
  </si>
  <si>
    <t>Updated data based on latest engineering testing</t>
  </si>
  <si>
    <t>Added Shared Development Environment Options</t>
  </si>
  <si>
    <t>Added separate sheet for Predict Data Points calculation for sizing</t>
  </si>
  <si>
    <t>Added separate sheet for showing detailed report of the allocations</t>
  </si>
  <si>
    <t>v7_5</t>
  </si>
  <si>
    <t>Added Versions sheet to document updates</t>
  </si>
  <si>
    <t>Added option for installing into an existing database environment</t>
  </si>
  <si>
    <t>Updated the storage calculations tied to sharing the database between Health and Manage/Monitor</t>
  </si>
  <si>
    <t>Modified the detailed report to include additional storage information</t>
  </si>
  <si>
    <t>Changed the 'dev env' input description - removed 'additional' to make it clear dev environments are not calculated within the offering configurations</t>
  </si>
  <si>
    <t>Changed the description from 'Enable HA' to "Enforce OpenShift 3 Master + 2 Worker Nodes", to clarify what the flag actually impacts with the calculations</t>
  </si>
  <si>
    <t>Removed the separate MVI Server Calculation by default.  Isolation of separate GPU nodes is now an option.</t>
  </si>
  <si>
    <t xml:space="preserve">Clarified the I/O Point calculation desciption for Monitor </t>
  </si>
  <si>
    <t>Updated calculations to ensure the minimum 2 node OpenShift VPCs, memory and storage is accounted for, but not duplicated when more than 1 offering/application is set to 'Y'.</t>
  </si>
  <si>
    <t>Updated calculations when "install into an existing OpenShift envronment" is set to 'Y', to ensure the minimum requirements for VPCs, Memory, and Storage tied to the 2 required worker nodes is not duplicated</t>
  </si>
  <si>
    <t>Fixed a few calculation bugs tied to Health</t>
  </si>
  <si>
    <t>DB2 + App</t>
  </si>
  <si>
    <t>Updated the storage requirements tied to each offering</t>
  </si>
  <si>
    <t>Updated the storage calculations to include the minumum OpenShift requirement for the 2 worker nodes</t>
  </si>
  <si>
    <t>APPLICATION</t>
  </si>
  <si>
    <t>CORE</t>
  </si>
  <si>
    <t>GB Storage Required for Worker Nodes</t>
  </si>
  <si>
    <t>Configuration Notes:</t>
  </si>
  <si>
    <t xml:space="preserve">Installing into Existing OpenShift? </t>
  </si>
  <si>
    <t xml:space="preserve">Installing with an Existing Database? </t>
  </si>
  <si>
    <t xml:space="preserve">Share Health DB2 Instance? </t>
  </si>
  <si>
    <t xml:space="preserve">Development Env Configuration? </t>
  </si>
  <si>
    <t xml:space="preserve">Isolate Visual Inspection GPU Nodes? </t>
  </si>
  <si>
    <t xml:space="preserve">Enforce 3 Master + 2 Worker Nodes? </t>
  </si>
  <si>
    <t>Fixed a few calculations tied to development environement when selecting One for All</t>
  </si>
  <si>
    <t>v7_6</t>
  </si>
  <si>
    <t>Added MAS v8.3 Applications:  Safety</t>
  </si>
  <si>
    <t>Assist</t>
  </si>
  <si>
    <t>Safety</t>
  </si>
  <si>
    <t>Documents</t>
  </si>
  <si>
    <t>Workers</t>
  </si>
  <si>
    <t>Discovery</t>
  </si>
  <si>
    <t>CouchDB</t>
  </si>
  <si>
    <t>Base + PreR</t>
  </si>
  <si>
    <t>Watson Discovery</t>
  </si>
  <si>
    <t xml:space="preserve">Total MAS Core &amp; Pre-Req Quantities:  </t>
  </si>
  <si>
    <t>Assist (Dev Environments)</t>
  </si>
  <si>
    <t>Workers Monitored</t>
  </si>
  <si>
    <t>Added MAS v8.3 Applications:  Assist - Including Watson Discovery &amp; CouchDB requirements</t>
  </si>
  <si>
    <t>Updated formatting to include Assist and Safety</t>
  </si>
  <si>
    <t>v7_7</t>
  </si>
  <si>
    <t>Updated Storage Calculation for Maximo Assist</t>
  </si>
  <si>
    <t>IBM® Maximo® Application Suite Infrastructure Calculator - v7_7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</si>
</sst>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.0000_);_(&quot;$&quot;* \(#,##0.0000\);_(&quot;$&quot;* &quot;-&quot;??_);_(@_)"/>
    <numFmt numFmtId="167" formatCode="_(* #,##0.0_);_(* \(#,##0.0\);_(* &quot;-&quot;??_);_(@_)"/>
    <numFmt numFmtId="168" formatCode="_-&quot;£&quot;* #,##0_-;\-&quot;£&quot;* #,##0_-;_-&quot;£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 (Body)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FF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3">
    <xf numFmtId="0" fontId="0" fillId="0" borderId="0" xfId="0"/>
    <xf numFmtId="164" fontId="0" fillId="2" borderId="20" xfId="1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8" fillId="8" borderId="1" xfId="0" applyFont="1" applyFill="1" applyBorder="1" applyAlignment="1" applyProtection="1"/>
    <xf numFmtId="0" fontId="8" fillId="8" borderId="2" xfId="0" applyFont="1" applyFill="1" applyBorder="1" applyAlignment="1" applyProtection="1"/>
    <xf numFmtId="0" fontId="8" fillId="8" borderId="3" xfId="0" applyFont="1" applyFill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4" xfId="0" applyBorder="1" applyProtection="1"/>
    <xf numFmtId="0" fontId="0" fillId="0" borderId="5" xfId="0" applyBorder="1" applyAlignment="1" applyProtection="1">
      <alignment wrapText="1"/>
    </xf>
    <xf numFmtId="0" fontId="0" fillId="0" borderId="5" xfId="0" applyBorder="1" applyProtection="1"/>
    <xf numFmtId="0" fontId="0" fillId="0" borderId="5" xfId="0" applyFill="1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10" borderId="4" xfId="0" applyFill="1" applyBorder="1" applyProtection="1"/>
    <xf numFmtId="0" fontId="0" fillId="10" borderId="5" xfId="0" applyFill="1" applyBorder="1" applyProtection="1"/>
    <xf numFmtId="0" fontId="0" fillId="0" borderId="4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Protection="1"/>
    <xf numFmtId="0" fontId="0" fillId="0" borderId="0" xfId="0" applyBorder="1" applyProtection="1"/>
    <xf numFmtId="0" fontId="0" fillId="0" borderId="10" xfId="0" applyBorder="1" applyProtection="1"/>
    <xf numFmtId="0" fontId="0" fillId="0" borderId="5" xfId="0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21" xfId="0" applyBorder="1" applyProtection="1"/>
    <xf numFmtId="0" fontId="0" fillId="0" borderId="33" xfId="0" applyFill="1" applyBorder="1" applyProtection="1"/>
    <xf numFmtId="0" fontId="0" fillId="0" borderId="19" xfId="0" applyBorder="1" applyProtection="1"/>
    <xf numFmtId="0" fontId="0" fillId="0" borderId="33" xfId="0" applyBorder="1" applyProtection="1"/>
    <xf numFmtId="0" fontId="0" fillId="0" borderId="26" xfId="0" applyFill="1" applyBorder="1" applyProtection="1"/>
    <xf numFmtId="0" fontId="0" fillId="0" borderId="29" xfId="0" applyBorder="1" applyProtection="1"/>
    <xf numFmtId="0" fontId="0" fillId="0" borderId="30" xfId="0" applyFill="1" applyBorder="1" applyProtection="1"/>
    <xf numFmtId="0" fontId="0" fillId="0" borderId="14" xfId="0" applyBorder="1" applyProtection="1"/>
    <xf numFmtId="0" fontId="0" fillId="0" borderId="29" xfId="0" applyBorder="1" applyAlignment="1" applyProtection="1">
      <alignment horizontal="center"/>
    </xf>
    <xf numFmtId="0" fontId="0" fillId="0" borderId="30" xfId="0" applyBorder="1" applyProtection="1"/>
    <xf numFmtId="0" fontId="0" fillId="9" borderId="21" xfId="0" applyFill="1" applyBorder="1" applyProtection="1"/>
    <xf numFmtId="0" fontId="0" fillId="9" borderId="0" xfId="0" applyFill="1" applyBorder="1" applyProtection="1"/>
    <xf numFmtId="0" fontId="0" fillId="9" borderId="33" xfId="0" applyFill="1" applyBorder="1" applyProtection="1"/>
    <xf numFmtId="0" fontId="0" fillId="0" borderId="0" xfId="0" applyFill="1" applyBorder="1" applyAlignment="1" applyProtection="1">
      <alignment horizontal="center" vertical="top"/>
    </xf>
    <xf numFmtId="0" fontId="0" fillId="0" borderId="43" xfId="0" applyBorder="1" applyProtection="1"/>
    <xf numFmtId="0" fontId="0" fillId="0" borderId="0" xfId="0" applyFill="1" applyBorder="1" applyProtection="1"/>
    <xf numFmtId="0" fontId="4" fillId="0" borderId="0" xfId="0" applyFont="1" applyProtection="1"/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4" fillId="0" borderId="1" xfId="0" applyFont="1" applyBorder="1" applyAlignment="1" applyProtection="1"/>
    <xf numFmtId="0" fontId="4" fillId="0" borderId="2" xfId="0" applyFont="1" applyBorder="1" applyAlignment="1" applyProtection="1"/>
    <xf numFmtId="0" fontId="4" fillId="0" borderId="3" xfId="0" applyFont="1" applyBorder="1" applyAlignment="1" applyProtection="1"/>
    <xf numFmtId="0" fontId="4" fillId="0" borderId="0" xfId="0" applyFont="1" applyBorder="1" applyAlignment="1" applyProtection="1"/>
    <xf numFmtId="0" fontId="0" fillId="10" borderId="6" xfId="0" applyFont="1" applyFill="1" applyBorder="1" applyProtection="1"/>
    <xf numFmtId="0" fontId="0" fillId="10" borderId="0" xfId="0" applyFill="1" applyBorder="1" applyAlignment="1" applyProtection="1">
      <alignment horizontal="center"/>
    </xf>
    <xf numFmtId="0" fontId="5" fillId="0" borderId="1" xfId="0" applyFont="1" applyBorder="1" applyAlignment="1" applyProtection="1"/>
    <xf numFmtId="0" fontId="5" fillId="0" borderId="2" xfId="0" applyFont="1" applyBorder="1" applyAlignment="1" applyProtection="1"/>
    <xf numFmtId="0" fontId="5" fillId="0" borderId="3" xfId="0" applyFont="1" applyBorder="1" applyAlignment="1" applyProtection="1"/>
    <xf numFmtId="0" fontId="5" fillId="0" borderId="0" xfId="0" applyFont="1" applyBorder="1" applyAlignment="1" applyProtection="1"/>
    <xf numFmtId="0" fontId="0" fillId="10" borderId="33" xfId="0" applyFont="1" applyFill="1" applyBorder="1" applyProtection="1"/>
    <xf numFmtId="0" fontId="0" fillId="10" borderId="14" xfId="0" applyFill="1" applyBorder="1" applyProtection="1"/>
    <xf numFmtId="0" fontId="5" fillId="0" borderId="43" xfId="0" applyFont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/>
    </xf>
    <xf numFmtId="0" fontId="5" fillId="0" borderId="57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0" xfId="0" applyFont="1" applyBorder="1" applyProtection="1"/>
    <xf numFmtId="0" fontId="0" fillId="0" borderId="48" xfId="0" applyBorder="1" applyAlignment="1" applyProtection="1">
      <alignment horizontal="center" vertical="top"/>
    </xf>
    <xf numFmtId="0" fontId="0" fillId="0" borderId="47" xfId="0" applyBorder="1" applyAlignment="1" applyProtection="1">
      <alignment horizontal="center" vertical="top"/>
    </xf>
    <xf numFmtId="0" fontId="0" fillId="0" borderId="45" xfId="0" applyBorder="1" applyAlignment="1" applyProtection="1">
      <alignment horizontal="center" vertical="top"/>
    </xf>
    <xf numFmtId="0" fontId="0" fillId="0" borderId="17" xfId="0" applyFill="1" applyBorder="1" applyAlignment="1" applyProtection="1">
      <alignment horizontal="center" vertical="top"/>
    </xf>
    <xf numFmtId="0" fontId="0" fillId="0" borderId="31" xfId="0" applyBorder="1" applyAlignment="1" applyProtection="1">
      <alignment horizontal="center" vertical="top"/>
    </xf>
    <xf numFmtId="0" fontId="0" fillId="0" borderId="27" xfId="0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right"/>
    </xf>
    <xf numFmtId="0" fontId="0" fillId="0" borderId="32" xfId="0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/>
    </xf>
    <xf numFmtId="0" fontId="5" fillId="0" borderId="26" xfId="0" applyFont="1" applyBorder="1" applyProtection="1"/>
    <xf numFmtId="0" fontId="0" fillId="0" borderId="11" xfId="0" applyBorder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0" fontId="0" fillId="10" borderId="30" xfId="0" applyFont="1" applyFill="1" applyBorder="1" applyProtection="1"/>
    <xf numFmtId="165" fontId="0" fillId="0" borderId="0" xfId="0" applyNumberFormat="1" applyFont="1" applyProtection="1"/>
    <xf numFmtId="0" fontId="5" fillId="0" borderId="48" xfId="0" applyFont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0" fontId="2" fillId="5" borderId="46" xfId="0" applyFont="1" applyFill="1" applyBorder="1" applyAlignment="1" applyProtection="1">
      <alignment horizontal="center" wrapText="1"/>
    </xf>
    <xf numFmtId="0" fontId="2" fillId="5" borderId="47" xfId="0" applyFont="1" applyFill="1" applyBorder="1" applyAlignment="1" applyProtection="1">
      <alignment horizontal="center" wrapText="1"/>
    </xf>
    <xf numFmtId="0" fontId="2" fillId="5" borderId="49" xfId="0" applyFont="1" applyFill="1" applyBorder="1" applyAlignment="1" applyProtection="1">
      <alignment horizontal="center" wrapText="1"/>
    </xf>
    <xf numFmtId="165" fontId="0" fillId="0" borderId="0" xfId="0" applyNumberFormat="1" applyProtection="1"/>
    <xf numFmtId="0" fontId="5" fillId="0" borderId="0" xfId="0" applyFont="1" applyAlignment="1" applyProtection="1">
      <alignment wrapText="1"/>
    </xf>
    <xf numFmtId="165" fontId="1" fillId="0" borderId="0" xfId="0" applyNumberFormat="1" applyFont="1" applyBorder="1" applyProtection="1"/>
    <xf numFmtId="0" fontId="0" fillId="0" borderId="8" xfId="0" applyBorder="1" applyProtection="1"/>
    <xf numFmtId="0" fontId="0" fillId="0" borderId="8" xfId="0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8" xfId="1" applyNumberFormat="1" applyFont="1" applyFill="1" applyBorder="1" applyAlignment="1" applyProtection="1">
      <alignment horizontal="center"/>
    </xf>
    <xf numFmtId="0" fontId="0" fillId="0" borderId="8" xfId="1" applyNumberFormat="1" applyFont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center" wrapText="1"/>
    </xf>
    <xf numFmtId="0" fontId="1" fillId="6" borderId="41" xfId="0" applyFont="1" applyFill="1" applyBorder="1" applyAlignment="1" applyProtection="1"/>
    <xf numFmtId="0" fontId="1" fillId="6" borderId="42" xfId="0" applyFont="1" applyFill="1" applyBorder="1" applyAlignment="1" applyProtection="1"/>
    <xf numFmtId="0" fontId="0" fillId="0" borderId="8" xfId="0" applyFill="1" applyBorder="1" applyAlignment="1" applyProtection="1">
      <alignment horizontal="center"/>
    </xf>
    <xf numFmtId="0" fontId="0" fillId="6" borderId="31" xfId="0" applyFill="1" applyBorder="1" applyAlignment="1" applyProtection="1"/>
    <xf numFmtId="0" fontId="0" fillId="6" borderId="56" xfId="0" applyFill="1" applyBorder="1" applyAlignment="1" applyProtection="1"/>
    <xf numFmtId="167" fontId="5" fillId="0" borderId="0" xfId="1" applyNumberFormat="1" applyFont="1" applyFill="1" applyBorder="1" applyProtection="1"/>
    <xf numFmtId="44" fontId="5" fillId="0" borderId="0" xfId="0" applyNumberFormat="1" applyFont="1" applyProtection="1"/>
    <xf numFmtId="44" fontId="5" fillId="0" borderId="33" xfId="0" applyNumberFormat="1" applyFont="1" applyBorder="1" applyProtection="1"/>
    <xf numFmtId="0" fontId="0" fillId="0" borderId="0" xfId="0" applyAlignment="1" applyProtection="1"/>
    <xf numFmtId="166" fontId="4" fillId="7" borderId="17" xfId="0" applyNumberFormat="1" applyFont="1" applyFill="1" applyBorder="1" applyAlignment="1" applyProtection="1"/>
    <xf numFmtId="166" fontId="4" fillId="7" borderId="17" xfId="0" applyNumberFormat="1" applyFont="1" applyFill="1" applyBorder="1" applyAlignment="1" applyProtection="1">
      <alignment horizontal="center"/>
    </xf>
    <xf numFmtId="166" fontId="4" fillId="7" borderId="20" xfId="0" applyNumberFormat="1" applyFont="1" applyFill="1" applyBorder="1" applyAlignment="1" applyProtection="1">
      <alignment horizontal="center"/>
    </xf>
    <xf numFmtId="166" fontId="4" fillId="7" borderId="20" xfId="0" applyNumberFormat="1" applyFont="1" applyFill="1" applyBorder="1" applyAlignment="1" applyProtection="1"/>
    <xf numFmtId="166" fontId="4" fillId="7" borderId="49" xfId="0" applyNumberFormat="1" applyFont="1" applyFill="1" applyBorder="1" applyAlignment="1" applyProtection="1"/>
    <xf numFmtId="164" fontId="2" fillId="0" borderId="37" xfId="1" applyNumberFormat="1" applyFont="1" applyFill="1" applyBorder="1" applyAlignment="1" applyProtection="1"/>
    <xf numFmtId="0" fontId="0" fillId="10" borderId="72" xfId="0" applyFont="1" applyFill="1" applyBorder="1" applyAlignment="1" applyProtection="1"/>
    <xf numFmtId="44" fontId="2" fillId="0" borderId="16" xfId="0" applyNumberFormat="1" applyFont="1" applyBorder="1" applyAlignment="1" applyProtection="1">
      <alignment horizontal="right"/>
    </xf>
    <xf numFmtId="0" fontId="0" fillId="10" borderId="73" xfId="0" applyFont="1" applyFill="1" applyBorder="1" applyAlignment="1" applyProtection="1"/>
    <xf numFmtId="44" fontId="0" fillId="0" borderId="23" xfId="0" applyNumberFormat="1" applyFont="1" applyBorder="1" applyAlignment="1" applyProtection="1">
      <alignment horizontal="right"/>
    </xf>
    <xf numFmtId="0" fontId="0" fillId="10" borderId="74" xfId="0" applyFont="1" applyFill="1" applyBorder="1" applyAlignment="1" applyProtection="1"/>
    <xf numFmtId="44" fontId="2" fillId="6" borderId="11" xfId="0" applyNumberFormat="1" applyFont="1" applyFill="1" applyBorder="1" applyAlignment="1" applyProtection="1">
      <alignment horizontal="right"/>
    </xf>
    <xf numFmtId="164" fontId="0" fillId="6" borderId="13" xfId="1" applyNumberFormat="1" applyFont="1" applyFill="1" applyBorder="1" applyAlignment="1" applyProtection="1"/>
    <xf numFmtId="0" fontId="0" fillId="0" borderId="7" xfId="0" applyBorder="1" applyProtection="1"/>
    <xf numFmtId="44" fontId="2" fillId="0" borderId="46" xfId="0" applyNumberFormat="1" applyFont="1" applyFill="1" applyBorder="1" applyAlignment="1" applyProtection="1">
      <alignment horizontal="right"/>
    </xf>
    <xf numFmtId="44" fontId="0" fillId="0" borderId="34" xfId="0" applyNumberFormat="1" applyFont="1" applyFill="1" applyBorder="1" applyAlignment="1" applyProtection="1">
      <alignment horizontal="right"/>
    </xf>
    <xf numFmtId="44" fontId="0" fillId="0" borderId="55" xfId="0" applyNumberFormat="1" applyFont="1" applyBorder="1" applyAlignment="1" applyProtection="1">
      <alignment horizontal="right"/>
    </xf>
    <xf numFmtId="44" fontId="2" fillId="12" borderId="11" xfId="0" applyNumberFormat="1" applyFont="1" applyFill="1" applyBorder="1" applyAlignment="1" applyProtection="1">
      <alignment horizontal="right"/>
    </xf>
    <xf numFmtId="164" fontId="2" fillId="12" borderId="13" xfId="1" applyNumberFormat="1" applyFont="1" applyFill="1" applyBorder="1" applyAlignment="1" applyProtection="1">
      <alignment horizontal="center"/>
    </xf>
    <xf numFmtId="0" fontId="0" fillId="0" borderId="23" xfId="0" applyBorder="1" applyAlignment="1" applyProtection="1">
      <alignment horizontal="left"/>
    </xf>
    <xf numFmtId="44" fontId="4" fillId="6" borderId="0" xfId="0" applyNumberFormat="1" applyFont="1" applyFill="1" applyBorder="1" applyAlignment="1" applyProtection="1"/>
    <xf numFmtId="44" fontId="4" fillId="6" borderId="33" xfId="0" applyNumberFormat="1" applyFont="1" applyFill="1" applyBorder="1" applyAlignment="1" applyProtection="1"/>
    <xf numFmtId="166" fontId="2" fillId="12" borderId="1" xfId="0" applyNumberFormat="1" applyFont="1" applyFill="1" applyBorder="1" applyAlignment="1" applyProtection="1">
      <alignment horizontal="center"/>
    </xf>
    <xf numFmtId="166" fontId="2" fillId="12" borderId="2" xfId="0" applyNumberFormat="1" applyFont="1" applyFill="1" applyBorder="1" applyAlignment="1" applyProtection="1"/>
    <xf numFmtId="166" fontId="2" fillId="12" borderId="5" xfId="0" applyNumberFormat="1" applyFont="1" applyFill="1" applyBorder="1" applyAlignment="1" applyProtection="1">
      <alignment horizontal="center"/>
    </xf>
    <xf numFmtId="0" fontId="0" fillId="10" borderId="4" xfId="0" applyFill="1" applyBorder="1" applyAlignment="1" applyProtection="1">
      <alignment horizontal="center"/>
    </xf>
    <xf numFmtId="0" fontId="0" fillId="10" borderId="75" xfId="0" applyFill="1" applyBorder="1" applyAlignment="1" applyProtection="1">
      <alignment horizontal="center"/>
    </xf>
    <xf numFmtId="0" fontId="0" fillId="10" borderId="6" xfId="0" applyFill="1" applyBorder="1" applyAlignment="1" applyProtection="1">
      <alignment horizontal="center"/>
    </xf>
    <xf numFmtId="0" fontId="0" fillId="10" borderId="76" xfId="0" applyFill="1" applyBorder="1" applyAlignment="1" applyProtection="1"/>
    <xf numFmtId="0" fontId="0" fillId="10" borderId="80" xfId="0" applyFill="1" applyBorder="1" applyProtection="1"/>
    <xf numFmtId="0" fontId="0" fillId="10" borderId="77" xfId="0" applyFill="1" applyBorder="1" applyProtection="1"/>
    <xf numFmtId="164" fontId="0" fillId="2" borderId="66" xfId="0" applyNumberFormat="1" applyFill="1" applyBorder="1" applyAlignment="1" applyProtection="1">
      <alignment horizontal="center"/>
      <protection locked="0"/>
    </xf>
    <xf numFmtId="164" fontId="0" fillId="2" borderId="64" xfId="0" applyNumberFormat="1" applyFill="1" applyBorder="1" applyAlignment="1" applyProtection="1">
      <alignment horizontal="center"/>
      <protection locked="0"/>
    </xf>
    <xf numFmtId="164" fontId="0" fillId="2" borderId="67" xfId="0" applyNumberForma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</xf>
    <xf numFmtId="0" fontId="5" fillId="0" borderId="19" xfId="0" applyFont="1" applyFill="1" applyBorder="1" applyAlignment="1" applyProtection="1">
      <alignment horizontal="center"/>
    </xf>
    <xf numFmtId="0" fontId="5" fillId="0" borderId="33" xfId="0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0" fillId="10" borderId="83" xfId="0" applyFill="1" applyBorder="1" applyAlignment="1" applyProtection="1"/>
    <xf numFmtId="0" fontId="0" fillId="10" borderId="84" xfId="0" applyFill="1" applyBorder="1" applyProtection="1"/>
    <xf numFmtId="0" fontId="0" fillId="10" borderId="85" xfId="0" applyFill="1" applyBorder="1" applyProtection="1"/>
    <xf numFmtId="0" fontId="2" fillId="6" borderId="40" xfId="0" applyFont="1" applyFill="1" applyBorder="1" applyProtection="1"/>
    <xf numFmtId="0" fontId="2" fillId="6" borderId="58" xfId="0" applyFont="1" applyFill="1" applyBorder="1" applyProtection="1"/>
    <xf numFmtId="0" fontId="2" fillId="0" borderId="5" xfId="0" applyFont="1" applyBorder="1" applyAlignment="1" applyProtection="1">
      <alignment vertical="center"/>
    </xf>
    <xf numFmtId="0" fontId="2" fillId="6" borderId="54" xfId="0" applyFont="1" applyFill="1" applyBorder="1" applyAlignment="1" applyProtection="1">
      <alignment vertical="center"/>
    </xf>
    <xf numFmtId="0" fontId="5" fillId="0" borderId="0" xfId="0" applyFont="1"/>
    <xf numFmtId="168" fontId="0" fillId="0" borderId="0" xfId="0" applyNumberFormat="1"/>
    <xf numFmtId="164" fontId="0" fillId="0" borderId="0" xfId="0" applyNumberFormat="1" applyProtection="1"/>
    <xf numFmtId="164" fontId="0" fillId="0" borderId="59" xfId="1" applyNumberFormat="1" applyFont="1" applyFill="1" applyBorder="1" applyAlignment="1" applyProtection="1">
      <alignment horizontal="center"/>
    </xf>
    <xf numFmtId="0" fontId="0" fillId="14" borderId="20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top"/>
    </xf>
    <xf numFmtId="0" fontId="0" fillId="0" borderId="28" xfId="0" applyBorder="1" applyAlignment="1" applyProtection="1">
      <alignment horizontal="center" vertical="top"/>
    </xf>
    <xf numFmtId="0" fontId="0" fillId="0" borderId="12" xfId="0" applyBorder="1" applyAlignment="1" applyProtection="1">
      <alignment horizontal="center" vertical="top"/>
    </xf>
    <xf numFmtId="0" fontId="0" fillId="0" borderId="12" xfId="0" applyFill="1" applyBorder="1" applyAlignment="1" applyProtection="1">
      <alignment horizontal="center" vertical="top"/>
    </xf>
    <xf numFmtId="0" fontId="0" fillId="0" borderId="45" xfId="0" applyFill="1" applyBorder="1" applyAlignment="1" applyProtection="1">
      <alignment horizontal="center" vertical="top"/>
    </xf>
    <xf numFmtId="0" fontId="0" fillId="0" borderId="28" xfId="0" applyFill="1" applyBorder="1" applyAlignment="1" applyProtection="1">
      <alignment horizontal="center" vertical="top"/>
    </xf>
    <xf numFmtId="0" fontId="5" fillId="0" borderId="93" xfId="0" applyFont="1" applyFill="1" applyBorder="1" applyAlignment="1" applyProtection="1">
      <alignment horizontal="center"/>
    </xf>
    <xf numFmtId="0" fontId="5" fillId="0" borderId="10" xfId="0" applyFont="1" applyBorder="1" applyAlignment="1" applyProtection="1">
      <alignment vertical="center"/>
    </xf>
    <xf numFmtId="0" fontId="0" fillId="0" borderId="0" xfId="0" applyBorder="1"/>
    <xf numFmtId="0" fontId="5" fillId="0" borderId="43" xfId="0" applyFont="1" applyBorder="1" applyAlignment="1" applyProtection="1">
      <alignment horizontal="center" vertical="center"/>
    </xf>
    <xf numFmtId="0" fontId="0" fillId="10" borderId="0" xfId="0" applyFill="1" applyBorder="1" applyProtection="1"/>
    <xf numFmtId="0" fontId="10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0" fontId="0" fillId="14" borderId="65" xfId="0" applyFill="1" applyBorder="1" applyProtection="1"/>
    <xf numFmtId="0" fontId="0" fillId="14" borderId="16" xfId="0" applyFill="1" applyBorder="1" applyAlignment="1" applyProtection="1">
      <alignment horizontal="center"/>
    </xf>
    <xf numFmtId="0" fontId="0" fillId="14" borderId="17" xfId="0" applyFill="1" applyBorder="1" applyProtection="1"/>
    <xf numFmtId="0" fontId="0" fillId="14" borderId="20" xfId="0" applyFill="1" applyBorder="1" applyAlignment="1" applyProtection="1">
      <alignment horizontal="center"/>
    </xf>
    <xf numFmtId="0" fontId="0" fillId="14" borderId="16" xfId="0" applyFill="1" applyBorder="1" applyProtection="1"/>
    <xf numFmtId="0" fontId="0" fillId="0" borderId="23" xfId="0" applyBorder="1" applyProtection="1"/>
    <xf numFmtId="0" fontId="0" fillId="0" borderId="24" xfId="0" applyBorder="1" applyProtection="1"/>
    <xf numFmtId="0" fontId="0" fillId="14" borderId="18" xfId="0" applyFill="1" applyBorder="1" applyProtection="1"/>
    <xf numFmtId="0" fontId="0" fillId="0" borderId="22" xfId="0" applyBorder="1" applyProtection="1"/>
    <xf numFmtId="0" fontId="0" fillId="0" borderId="27" xfId="0" applyBorder="1" applyProtection="1"/>
    <xf numFmtId="0" fontId="5" fillId="0" borderId="1" xfId="0" applyFont="1" applyBorder="1" applyAlignment="1" applyProtection="1">
      <alignment horizontal="center" vertical="center"/>
    </xf>
    <xf numFmtId="0" fontId="0" fillId="14" borderId="17" xfId="0" applyFill="1" applyBorder="1" applyAlignment="1" applyProtection="1">
      <alignment horizontal="center"/>
    </xf>
    <xf numFmtId="0" fontId="0" fillId="0" borderId="7" xfId="0" applyBorder="1" applyAlignment="1" applyProtection="1">
      <alignment horizontal="left"/>
    </xf>
    <xf numFmtId="0" fontId="0" fillId="0" borderId="36" xfId="0" applyBorder="1" applyAlignment="1" applyProtection="1">
      <alignment horizontal="left"/>
    </xf>
    <xf numFmtId="0" fontId="0" fillId="0" borderId="9" xfId="0" applyFill="1" applyBorder="1" applyAlignment="1" applyProtection="1">
      <alignment horizontal="center"/>
    </xf>
    <xf numFmtId="0" fontId="0" fillId="0" borderId="25" xfId="0" applyFill="1" applyBorder="1" applyAlignment="1" applyProtection="1">
      <alignment horizontal="center"/>
    </xf>
    <xf numFmtId="0" fontId="10" fillId="0" borderId="2" xfId="0" applyFont="1" applyBorder="1" applyAlignment="1" applyProtection="1"/>
    <xf numFmtId="0" fontId="10" fillId="0" borderId="3" xfId="0" applyFont="1" applyBorder="1" applyAlignment="1" applyProtection="1"/>
    <xf numFmtId="0" fontId="0" fillId="13" borderId="87" xfId="0" applyFill="1" applyBorder="1" applyAlignment="1" applyProtection="1"/>
    <xf numFmtId="0" fontId="0" fillId="13" borderId="88" xfId="0" applyFill="1" applyBorder="1" applyAlignment="1" applyProtection="1"/>
    <xf numFmtId="0" fontId="0" fillId="10" borderId="10" xfId="0" applyFont="1" applyFill="1" applyBorder="1" applyAlignment="1" applyProtection="1"/>
    <xf numFmtId="0" fontId="0" fillId="10" borderId="21" xfId="0" applyFont="1" applyFill="1" applyBorder="1" applyAlignment="1" applyProtection="1"/>
    <xf numFmtId="44" fontId="0" fillId="12" borderId="92" xfId="0" applyNumberFormat="1" applyFont="1" applyFill="1" applyBorder="1" applyAlignment="1" applyProtection="1">
      <alignment horizontal="center" vertical="center"/>
    </xf>
    <xf numFmtId="164" fontId="0" fillId="0" borderId="44" xfId="1" applyNumberFormat="1" applyFont="1" applyFill="1" applyBorder="1" applyAlignment="1" applyProtection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40" xfId="0" applyBorder="1"/>
    <xf numFmtId="0" fontId="0" fillId="0" borderId="54" xfId="0" applyBorder="1"/>
    <xf numFmtId="0" fontId="0" fillId="0" borderId="58" xfId="0" applyBorder="1"/>
    <xf numFmtId="0" fontId="0" fillId="0" borderId="42" xfId="0" applyBorder="1"/>
    <xf numFmtId="0" fontId="0" fillId="0" borderId="70" xfId="0" applyBorder="1"/>
    <xf numFmtId="0" fontId="0" fillId="0" borderId="56" xfId="0" applyBorder="1"/>
    <xf numFmtId="0" fontId="0" fillId="2" borderId="65" xfId="0" applyFill="1" applyBorder="1" applyProtection="1">
      <protection locked="0"/>
    </xf>
    <xf numFmtId="0" fontId="0" fillId="2" borderId="66" xfId="0" applyFill="1" applyBorder="1" applyProtection="1">
      <protection locked="0"/>
    </xf>
    <xf numFmtId="0" fontId="0" fillId="2" borderId="67" xfId="0" applyFill="1" applyBorder="1" applyProtection="1">
      <protection locked="0"/>
    </xf>
    <xf numFmtId="0" fontId="0" fillId="2" borderId="66" xfId="0" applyFill="1" applyBorder="1" applyAlignment="1" applyProtection="1">
      <alignment horizontal="right"/>
      <protection locked="0"/>
    </xf>
    <xf numFmtId="0" fontId="0" fillId="2" borderId="96" xfId="0" applyFill="1" applyBorder="1" applyAlignment="1" applyProtection="1">
      <alignment horizontal="center"/>
      <protection locked="0"/>
    </xf>
    <xf numFmtId="0" fontId="0" fillId="6" borderId="0" xfId="0" applyFill="1"/>
    <xf numFmtId="164" fontId="0" fillId="0" borderId="8" xfId="1" applyNumberFormat="1" applyFont="1" applyBorder="1" applyAlignment="1" applyProtection="1">
      <alignment horizontal="center"/>
    </xf>
    <xf numFmtId="164" fontId="0" fillId="0" borderId="8" xfId="1" applyNumberFormat="1" applyFont="1" applyBorder="1" applyProtection="1"/>
    <xf numFmtId="0" fontId="5" fillId="0" borderId="47" xfId="0" applyFont="1" applyFill="1" applyBorder="1" applyAlignment="1" applyProtection="1">
      <alignment horizontal="center"/>
    </xf>
    <xf numFmtId="0" fontId="0" fillId="0" borderId="66" xfId="0" applyFill="1" applyBorder="1"/>
    <xf numFmtId="0" fontId="0" fillId="0" borderId="11" xfId="0" applyBorder="1"/>
    <xf numFmtId="0" fontId="0" fillId="0" borderId="15" xfId="0" applyBorder="1"/>
    <xf numFmtId="0" fontId="0" fillId="0" borderId="46" xfId="0" applyBorder="1"/>
    <xf numFmtId="0" fontId="0" fillId="0" borderId="49" xfId="0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43" xfId="0" applyFont="1" applyBorder="1" applyAlignment="1">
      <alignment horizontal="center"/>
    </xf>
    <xf numFmtId="0" fontId="0" fillId="15" borderId="66" xfId="0" applyFill="1" applyBorder="1" applyAlignment="1" applyProtection="1">
      <alignment horizontal="right"/>
    </xf>
    <xf numFmtId="0" fontId="15" fillId="19" borderId="1" xfId="0" applyFont="1" applyFill="1" applyBorder="1" applyAlignment="1">
      <alignment horizontal="center"/>
    </xf>
    <xf numFmtId="0" fontId="15" fillId="19" borderId="43" xfId="0" applyFont="1" applyFill="1" applyBorder="1" applyAlignment="1">
      <alignment horizontal="center"/>
    </xf>
    <xf numFmtId="0" fontId="15" fillId="20" borderId="2" xfId="0" applyFont="1" applyFill="1" applyBorder="1" applyAlignment="1"/>
    <xf numFmtId="164" fontId="0" fillId="2" borderId="25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/>
    <xf numFmtId="0" fontId="14" fillId="0" borderId="0" xfId="0" applyFont="1"/>
    <xf numFmtId="0" fontId="14" fillId="0" borderId="0" xfId="0" applyFont="1" applyProtection="1">
      <protection locked="0"/>
    </xf>
    <xf numFmtId="0" fontId="0" fillId="4" borderId="6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15" fillId="19" borderId="26" xfId="0" applyFont="1" applyFill="1" applyBorder="1" applyAlignment="1">
      <alignment horizontal="center"/>
    </xf>
    <xf numFmtId="0" fontId="15" fillId="19" borderId="21" xfId="0" applyFont="1" applyFill="1" applyBorder="1" applyAlignment="1">
      <alignment horizontal="center"/>
    </xf>
    <xf numFmtId="0" fontId="0" fillId="0" borderId="16" xfId="0" applyBorder="1" applyAlignment="1" applyProtection="1">
      <alignment horizontal="center" vertical="top"/>
    </xf>
    <xf numFmtId="0" fontId="0" fillId="0" borderId="100" xfId="0" applyFill="1" applyBorder="1" applyAlignment="1" applyProtection="1">
      <alignment horizontal="center" vertical="top"/>
    </xf>
    <xf numFmtId="0" fontId="0" fillId="0" borderId="58" xfId="0" applyBorder="1" applyAlignment="1" applyProtection="1">
      <alignment horizontal="center" vertical="top"/>
    </xf>
    <xf numFmtId="0" fontId="0" fillId="2" borderId="97" xfId="0" applyFill="1" applyBorder="1" applyAlignment="1" applyProtection="1">
      <alignment horizontal="center"/>
      <protection locked="0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9" xfId="0" applyBorder="1" applyProtection="1">
      <protection hidden="1"/>
    </xf>
    <xf numFmtId="0" fontId="0" fillId="9" borderId="0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7" borderId="66" xfId="0" applyFont="1" applyFill="1" applyBorder="1" applyAlignment="1" applyProtection="1">
      <alignment horizontal="center"/>
      <protection hidden="1"/>
    </xf>
    <xf numFmtId="0" fontId="2" fillId="4" borderId="43" xfId="0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8" xfId="1" applyNumberFormat="1" applyFont="1" applyBorder="1" applyAlignment="1" applyProtection="1">
      <alignment horizontal="center"/>
      <protection hidden="1"/>
    </xf>
    <xf numFmtId="0" fontId="0" fillId="3" borderId="20" xfId="0" applyFont="1" applyFill="1" applyBorder="1" applyAlignment="1" applyProtection="1">
      <alignment horizontal="center"/>
      <protection hidden="1"/>
    </xf>
    <xf numFmtId="0" fontId="0" fillId="3" borderId="9" xfId="0" applyFont="1" applyFill="1" applyBorder="1" applyAlignment="1" applyProtection="1">
      <alignment horizontal="center"/>
      <protection hidden="1"/>
    </xf>
    <xf numFmtId="0" fontId="0" fillId="3" borderId="51" xfId="0" applyFont="1" applyFill="1" applyBorder="1" applyAlignment="1" applyProtection="1">
      <alignment horizontal="center"/>
      <protection hidden="1"/>
    </xf>
    <xf numFmtId="0" fontId="0" fillId="0" borderId="66" xfId="0" applyFont="1" applyBorder="1" applyAlignment="1" applyProtection="1">
      <alignment horizontal="center"/>
      <protection hidden="1"/>
    </xf>
    <xf numFmtId="0" fontId="0" fillId="0" borderId="69" xfId="0" applyFont="1" applyBorder="1" applyAlignment="1" applyProtection="1">
      <alignment horizontal="center"/>
      <protection hidden="1"/>
    </xf>
    <xf numFmtId="0" fontId="0" fillId="0" borderId="42" xfId="0" applyFill="1" applyBorder="1" applyAlignment="1" applyProtection="1">
      <alignment horizontal="center" vertical="top"/>
      <protection hidden="1"/>
    </xf>
    <xf numFmtId="0" fontId="0" fillId="0" borderId="20" xfId="0" applyFill="1" applyBorder="1" applyAlignment="1" applyProtection="1">
      <alignment horizontal="center" vertical="top"/>
      <protection hidden="1"/>
    </xf>
    <xf numFmtId="0" fontId="0" fillId="0" borderId="89" xfId="0" applyFill="1" applyBorder="1" applyAlignment="1" applyProtection="1">
      <alignment horizontal="center" vertical="top"/>
      <protection hidden="1"/>
    </xf>
    <xf numFmtId="164" fontId="0" fillId="0" borderId="9" xfId="1" applyNumberFormat="1" applyFont="1" applyBorder="1" applyProtection="1">
      <protection hidden="1"/>
    </xf>
    <xf numFmtId="0" fontId="0" fillId="0" borderId="56" xfId="0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 vertical="top"/>
      <protection hidden="1"/>
    </xf>
    <xf numFmtId="0" fontId="0" fillId="0" borderId="7" xfId="0" applyBorder="1" applyProtection="1">
      <protection hidden="1"/>
    </xf>
    <xf numFmtId="0" fontId="0" fillId="0" borderId="9" xfId="0" applyFont="1" applyFill="1" applyBorder="1" applyAlignment="1" applyProtection="1">
      <alignment horizontal="center" wrapText="1"/>
      <protection hidden="1"/>
    </xf>
    <xf numFmtId="0" fontId="1" fillId="6" borderId="40" xfId="0" applyFont="1" applyFill="1" applyBorder="1" applyAlignment="1" applyProtection="1">
      <protection hidden="1"/>
    </xf>
    <xf numFmtId="0" fontId="0" fillId="6" borderId="58" xfId="0" applyFill="1" applyBorder="1" applyAlignment="1" applyProtection="1"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Fill="1" applyBorder="1" applyAlignment="1" applyProtection="1">
      <alignment horizontal="center" wrapText="1"/>
      <protection hidden="1"/>
    </xf>
    <xf numFmtId="0" fontId="0" fillId="0" borderId="24" xfId="0" applyBorder="1" applyProtection="1">
      <protection hidden="1"/>
    </xf>
    <xf numFmtId="0" fontId="0" fillId="0" borderId="23" xfId="0" applyBorder="1" applyProtection="1">
      <protection hidden="1"/>
    </xf>
    <xf numFmtId="44" fontId="2" fillId="0" borderId="16" xfId="0" applyNumberFormat="1" applyFont="1" applyBorder="1" applyAlignment="1" applyProtection="1">
      <alignment horizontal="right"/>
      <protection hidden="1"/>
    </xf>
    <xf numFmtId="164" fontId="0" fillId="0" borderId="17" xfId="1" applyNumberFormat="1" applyFont="1" applyFill="1" applyBorder="1" applyAlignment="1" applyProtection="1">
      <protection hidden="1"/>
    </xf>
    <xf numFmtId="164" fontId="0" fillId="0" borderId="17" xfId="1" applyNumberFormat="1" applyFont="1" applyFill="1" applyBorder="1" applyProtection="1">
      <protection hidden="1"/>
    </xf>
    <xf numFmtId="164" fontId="0" fillId="0" borderId="59" xfId="1" applyNumberFormat="1" applyFont="1" applyFill="1" applyBorder="1" applyAlignment="1" applyProtection="1">
      <protection hidden="1"/>
    </xf>
    <xf numFmtId="164" fontId="0" fillId="0" borderId="24" xfId="1" applyNumberFormat="1" applyFont="1" applyFill="1" applyBorder="1" applyAlignment="1" applyProtection="1">
      <alignment horizontal="center"/>
      <protection hidden="1"/>
    </xf>
    <xf numFmtId="164" fontId="0" fillId="0" borderId="27" xfId="1" applyNumberFormat="1" applyFont="1" applyFill="1" applyBorder="1" applyAlignment="1" applyProtection="1">
      <protection hidden="1"/>
    </xf>
    <xf numFmtId="164" fontId="0" fillId="0" borderId="18" xfId="1" applyNumberFormat="1" applyFont="1" applyFill="1" applyBorder="1" applyAlignment="1" applyProtection="1">
      <protection hidden="1"/>
    </xf>
    <xf numFmtId="0" fontId="0" fillId="0" borderId="8" xfId="1" applyNumberFormat="1" applyFont="1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164" fontId="0" fillId="0" borderId="71" xfId="1" applyNumberFormat="1" applyFont="1" applyFill="1" applyBorder="1" applyAlignment="1" applyProtection="1">
      <protection hidden="1"/>
    </xf>
    <xf numFmtId="164" fontId="0" fillId="0" borderId="24" xfId="1" applyNumberFormat="1" applyFont="1" applyFill="1" applyBorder="1" applyAlignment="1" applyProtection="1">
      <protection hidden="1"/>
    </xf>
    <xf numFmtId="164" fontId="0" fillId="0" borderId="25" xfId="1" applyNumberFormat="1" applyFont="1" applyFill="1" applyBorder="1" applyAlignment="1" applyProtection="1">
      <protection hidden="1"/>
    </xf>
    <xf numFmtId="164" fontId="0" fillId="6" borderId="78" xfId="1" applyNumberFormat="1" applyFont="1" applyFill="1" applyBorder="1" applyAlignment="1" applyProtection="1">
      <protection hidden="1"/>
    </xf>
    <xf numFmtId="164" fontId="0" fillId="6" borderId="28" xfId="1" applyNumberFormat="1" applyFont="1" applyFill="1" applyBorder="1" applyAlignment="1" applyProtection="1">
      <protection hidden="1"/>
    </xf>
    <xf numFmtId="164" fontId="0" fillId="6" borderId="6" xfId="1" applyNumberFormat="1" applyFont="1" applyFill="1" applyBorder="1" applyAlignment="1" applyProtection="1">
      <protection hidden="1"/>
    </xf>
    <xf numFmtId="164" fontId="0" fillId="0" borderId="18" xfId="1" applyNumberFormat="1" applyFont="1" applyFill="1" applyBorder="1" applyAlignment="1" applyProtection="1">
      <alignment horizontal="center"/>
      <protection hidden="1"/>
    </xf>
    <xf numFmtId="164" fontId="0" fillId="0" borderId="27" xfId="1" applyNumberFormat="1" applyFont="1" applyFill="1" applyBorder="1" applyAlignment="1" applyProtection="1">
      <alignment horizontal="left" vertical="center"/>
      <protection hidden="1"/>
    </xf>
    <xf numFmtId="164" fontId="0" fillId="0" borderId="81" xfId="1" applyNumberFormat="1" applyFont="1" applyFill="1" applyBorder="1" applyAlignment="1" applyProtection="1">
      <alignment horizontal="center"/>
      <protection hidden="1"/>
    </xf>
    <xf numFmtId="164" fontId="0" fillId="0" borderId="47" xfId="1" applyNumberFormat="1" applyFont="1" applyFill="1" applyBorder="1" applyProtection="1">
      <protection hidden="1"/>
    </xf>
    <xf numFmtId="164" fontId="0" fillId="0" borderId="5" xfId="1" applyNumberFormat="1" applyFont="1" applyFill="1" applyBorder="1" applyAlignment="1" applyProtection="1">
      <protection hidden="1"/>
    </xf>
    <xf numFmtId="164" fontId="0" fillId="0" borderId="44" xfId="1" applyNumberFormat="1" applyFont="1" applyFill="1" applyBorder="1" applyAlignment="1" applyProtection="1">
      <alignment horizontal="center"/>
      <protection hidden="1"/>
    </xf>
    <xf numFmtId="164" fontId="0" fillId="0" borderId="37" xfId="1" applyNumberFormat="1" applyFont="1" applyFill="1" applyBorder="1" applyAlignment="1" applyProtection="1">
      <alignment horizontal="center"/>
      <protection hidden="1"/>
    </xf>
    <xf numFmtId="164" fontId="2" fillId="12" borderId="78" xfId="1" applyNumberFormat="1" applyFont="1" applyFill="1" applyBorder="1" applyAlignment="1" applyProtection="1">
      <alignment horizontal="center"/>
      <protection hidden="1"/>
    </xf>
    <xf numFmtId="164" fontId="2" fillId="12" borderId="95" xfId="1" applyNumberFormat="1" applyFont="1" applyFill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11" borderId="83" xfId="0" applyFill="1" applyBorder="1" applyAlignment="1" applyProtection="1">
      <protection hidden="1"/>
    </xf>
    <xf numFmtId="0" fontId="0" fillId="11" borderId="84" xfId="0" applyFill="1" applyBorder="1" applyProtection="1">
      <protection hidden="1"/>
    </xf>
    <xf numFmtId="0" fontId="0" fillId="11" borderId="85" xfId="0" applyFill="1" applyBorder="1" applyProtection="1">
      <protection hidden="1"/>
    </xf>
    <xf numFmtId="0" fontId="0" fillId="10" borderId="101" xfId="0" applyFill="1" applyBorder="1" applyAlignment="1" applyProtection="1">
      <protection hidden="1"/>
    </xf>
    <xf numFmtId="0" fontId="0" fillId="10" borderId="102" xfId="0" applyFill="1" applyBorder="1" applyProtection="1">
      <protection hidden="1"/>
    </xf>
    <xf numFmtId="0" fontId="0" fillId="10" borderId="103" xfId="0" applyFill="1" applyBorder="1" applyProtection="1">
      <protection hidden="1"/>
    </xf>
    <xf numFmtId="0" fontId="0" fillId="14" borderId="20" xfId="0" applyFont="1" applyFill="1" applyBorder="1" applyAlignment="1" applyProtection="1">
      <alignment horizontal="center" wrapText="1"/>
      <protection hidden="1"/>
    </xf>
    <xf numFmtId="0" fontId="0" fillId="14" borderId="17" xfId="0" applyFont="1" applyFill="1" applyBorder="1" applyAlignment="1" applyProtection="1">
      <alignment horizontal="center" wrapText="1"/>
      <protection hidden="1"/>
    </xf>
    <xf numFmtId="0" fontId="0" fillId="0" borderId="8" xfId="0" applyFont="1" applyFill="1" applyBorder="1" applyAlignment="1" applyProtection="1">
      <alignment horizontal="center" wrapText="1"/>
      <protection hidden="1"/>
    </xf>
    <xf numFmtId="0" fontId="0" fillId="0" borderId="24" xfId="0" applyFont="1" applyFill="1" applyBorder="1" applyAlignment="1" applyProtection="1">
      <alignment horizontal="center" wrapText="1"/>
      <protection hidden="1"/>
    </xf>
    <xf numFmtId="164" fontId="8" fillId="7" borderId="79" xfId="1" applyNumberFormat="1" applyFont="1" applyFill="1" applyBorder="1" applyAlignment="1" applyProtection="1">
      <alignment vertical="center"/>
      <protection hidden="1"/>
    </xf>
    <xf numFmtId="164" fontId="8" fillId="7" borderId="5" xfId="1" applyNumberFormat="1" applyFont="1" applyFill="1" applyBorder="1" applyAlignment="1" applyProtection="1">
      <alignment horizontal="center"/>
      <protection hidden="1"/>
    </xf>
    <xf numFmtId="164" fontId="8" fillId="7" borderId="4" xfId="1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protection hidden="1"/>
    </xf>
    <xf numFmtId="0" fontId="0" fillId="13" borderId="86" xfId="0" applyFill="1" applyBorder="1" applyAlignment="1" applyProtection="1">
      <protection hidden="1"/>
    </xf>
    <xf numFmtId="164" fontId="0" fillId="9" borderId="66" xfId="0" applyNumberFormat="1" applyFill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ill="1" applyBorder="1" applyAlignme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6" borderId="11" xfId="0" applyFill="1" applyBorder="1" applyAlignment="1" applyProtection="1">
      <alignment horizontal="center"/>
      <protection hidden="1"/>
    </xf>
    <xf numFmtId="0" fontId="0" fillId="6" borderId="12" xfId="0" applyFill="1" applyBorder="1" applyAlignment="1" applyProtection="1">
      <alignment horizontal="center"/>
      <protection hidden="1"/>
    </xf>
    <xf numFmtId="0" fontId="0" fillId="4" borderId="99" xfId="0" applyFill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17" borderId="100" xfId="0" applyFill="1" applyBorder="1" applyAlignment="1" applyProtection="1">
      <alignment horizontal="center"/>
      <protection hidden="1"/>
    </xf>
    <xf numFmtId="0" fontId="0" fillId="17" borderId="0" xfId="0" applyFill="1" applyBorder="1" applyAlignment="1" applyProtection="1">
      <alignment horizontal="center"/>
      <protection hidden="1"/>
    </xf>
    <xf numFmtId="0" fontId="0" fillId="17" borderId="35" xfId="0" applyFill="1" applyBorder="1" applyAlignment="1" applyProtection="1">
      <alignment horizontal="center"/>
      <protection hidden="1"/>
    </xf>
    <xf numFmtId="0" fontId="0" fillId="17" borderId="98" xfId="0" applyFill="1" applyBorder="1" applyAlignment="1" applyProtection="1">
      <alignment horizontal="center"/>
      <protection hidden="1"/>
    </xf>
    <xf numFmtId="0" fontId="0" fillId="17" borderId="10" xfId="0" applyFill="1" applyBorder="1" applyAlignment="1" applyProtection="1">
      <alignment horizontal="center"/>
      <protection hidden="1"/>
    </xf>
    <xf numFmtId="0" fontId="0" fillId="17" borderId="21" xfId="0" applyFill="1" applyBorder="1" applyAlignment="1" applyProtection="1">
      <alignment horizontal="center"/>
      <protection hidden="1"/>
    </xf>
    <xf numFmtId="0" fontId="0" fillId="17" borderId="34" xfId="0" applyFill="1" applyBorder="1" applyAlignment="1" applyProtection="1">
      <alignment horizontal="center"/>
      <protection hidden="1"/>
    </xf>
    <xf numFmtId="0" fontId="0" fillId="17" borderId="29" xfId="0" applyFill="1" applyBorder="1" applyAlignment="1" applyProtection="1">
      <alignment horizontal="center"/>
      <protection hidden="1"/>
    </xf>
    <xf numFmtId="0" fontId="0" fillId="17" borderId="50" xfId="0" applyFill="1" applyBorder="1" applyAlignment="1" applyProtection="1">
      <alignment horizontal="center"/>
      <protection hidden="1"/>
    </xf>
    <xf numFmtId="0" fontId="0" fillId="17" borderId="99" xfId="0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100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98" xfId="0" applyBorder="1" applyAlignment="1" applyProtection="1">
      <alignment horizontal="center"/>
      <protection hidden="1"/>
    </xf>
    <xf numFmtId="0" fontId="0" fillId="0" borderId="33" xfId="0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50" xfId="0" applyBorder="1" applyAlignment="1" applyProtection="1">
      <alignment horizontal="center"/>
      <protection hidden="1"/>
    </xf>
    <xf numFmtId="0" fontId="0" fillId="0" borderId="99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4" xfId="0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4" borderId="13" xfId="0" applyFill="1" applyBorder="1" applyAlignment="1" applyProtection="1">
      <alignment horizontal="center"/>
      <protection hidden="1"/>
    </xf>
    <xf numFmtId="0" fontId="2" fillId="0" borderId="43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4" borderId="3" xfId="0" applyFill="1" applyBorder="1" applyAlignment="1" applyProtection="1">
      <alignment horizontal="center"/>
      <protection hidden="1"/>
    </xf>
    <xf numFmtId="0" fontId="15" fillId="19" borderId="10" xfId="0" applyFont="1" applyFill="1" applyBorder="1" applyAlignment="1" applyProtection="1">
      <alignment horizontal="center"/>
      <protection hidden="1"/>
    </xf>
    <xf numFmtId="0" fontId="0" fillId="0" borderId="66" xfId="0" applyBorder="1" applyProtection="1">
      <protection hidden="1"/>
    </xf>
    <xf numFmtId="3" fontId="0" fillId="0" borderId="47" xfId="0" applyNumberFormat="1" applyBorder="1" applyProtection="1">
      <protection hidden="1"/>
    </xf>
    <xf numFmtId="3" fontId="0" fillId="6" borderId="12" xfId="0" applyNumberFormat="1" applyFill="1" applyBorder="1" applyProtection="1">
      <protection hidden="1"/>
    </xf>
    <xf numFmtId="3" fontId="0" fillId="0" borderId="12" xfId="0" applyNumberFormat="1" applyBorder="1" applyProtection="1">
      <protection hidden="1"/>
    </xf>
    <xf numFmtId="3" fontId="0" fillId="0" borderId="12" xfId="0" applyNumberFormat="1" applyFill="1" applyBorder="1" applyProtection="1">
      <protection hidden="1"/>
    </xf>
    <xf numFmtId="0" fontId="2" fillId="0" borderId="49" xfId="0" applyFont="1" applyBorder="1" applyAlignment="1" applyProtection="1">
      <alignment horizontal="center"/>
    </xf>
    <xf numFmtId="0" fontId="2" fillId="0" borderId="40" xfId="0" applyFont="1" applyBorder="1" applyAlignment="1" applyProtection="1">
      <alignment horizontal="right"/>
    </xf>
    <xf numFmtId="0" fontId="0" fillId="2" borderId="49" xfId="0" applyFont="1" applyFill="1" applyBorder="1" applyAlignment="1" applyProtection="1">
      <alignment horizontal="center"/>
      <protection locked="0"/>
    </xf>
    <xf numFmtId="0" fontId="2" fillId="0" borderId="54" xfId="0" applyFont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center"/>
      <protection locked="0"/>
    </xf>
    <xf numFmtId="0" fontId="2" fillId="0" borderId="55" xfId="0" applyFont="1" applyBorder="1" applyAlignment="1" applyProtection="1">
      <alignment horizontal="right"/>
    </xf>
    <xf numFmtId="0" fontId="0" fillId="2" borderId="71" xfId="0" applyFont="1" applyFill="1" applyBorder="1" applyAlignment="1" applyProtection="1">
      <alignment horizontal="center"/>
      <protection locked="0"/>
    </xf>
    <xf numFmtId="0" fontId="0" fillId="3" borderId="16" xfId="0" applyFont="1" applyFill="1" applyBorder="1" applyAlignment="1" applyProtection="1">
      <alignment horizontal="center"/>
    </xf>
    <xf numFmtId="0" fontId="0" fillId="3" borderId="7" xfId="0" applyFont="1" applyFill="1" applyBorder="1" applyAlignment="1" applyProtection="1">
      <alignment horizontal="center"/>
    </xf>
    <xf numFmtId="164" fontId="0" fillId="2" borderId="9" xfId="1" applyNumberFormat="1" applyFont="1" applyFill="1" applyBorder="1" applyAlignment="1" applyProtection="1">
      <alignment horizontal="center"/>
      <protection locked="0"/>
    </xf>
    <xf numFmtId="164" fontId="12" fillId="3" borderId="9" xfId="1" applyNumberFormat="1" applyFont="1" applyFill="1" applyBorder="1" applyAlignment="1" applyProtection="1">
      <alignment horizontal="center"/>
      <protection hidden="1"/>
    </xf>
    <xf numFmtId="0" fontId="0" fillId="3" borderId="23" xfId="0" applyFont="1" applyFill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16" borderId="7" xfId="0" applyFont="1" applyFill="1" applyBorder="1" applyAlignment="1" applyProtection="1">
      <alignment horizontal="center"/>
    </xf>
    <xf numFmtId="0" fontId="0" fillId="16" borderId="9" xfId="0" applyFont="1" applyFill="1" applyBorder="1" applyAlignment="1" applyProtection="1">
      <alignment horizontal="center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8" xfId="0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0" fillId="10" borderId="24" xfId="0" applyFill="1" applyBorder="1" applyProtection="1"/>
    <xf numFmtId="0" fontId="5" fillId="0" borderId="98" xfId="0" applyFont="1" applyFill="1" applyBorder="1" applyAlignment="1" applyProtection="1">
      <alignment horizontal="center"/>
    </xf>
    <xf numFmtId="0" fontId="2" fillId="0" borderId="98" xfId="0" applyFont="1" applyFill="1" applyBorder="1" applyAlignment="1" applyProtection="1">
      <alignment horizontal="center"/>
    </xf>
    <xf numFmtId="0" fontId="0" fillId="0" borderId="65" xfId="0" applyBorder="1" applyProtection="1"/>
    <xf numFmtId="0" fontId="0" fillId="0" borderId="66" xfId="0" applyBorder="1" applyProtection="1"/>
    <xf numFmtId="0" fontId="0" fillId="0" borderId="67" xfId="0" applyBorder="1" applyProtection="1"/>
    <xf numFmtId="0" fontId="2" fillId="0" borderId="43" xfId="0" applyFont="1" applyBorder="1" applyProtection="1"/>
    <xf numFmtId="0" fontId="0" fillId="4" borderId="43" xfId="0" applyFont="1" applyFill="1" applyBorder="1" applyAlignment="1" applyProtection="1">
      <alignment horizontal="center"/>
      <protection hidden="1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0" fillId="14" borderId="41" xfId="0" applyFill="1" applyBorder="1" applyProtection="1"/>
    <xf numFmtId="0" fontId="0" fillId="0" borderId="52" xfId="0" applyBorder="1" applyProtection="1"/>
    <xf numFmtId="0" fontId="0" fillId="0" borderId="31" xfId="0" applyBorder="1" applyProtection="1"/>
    <xf numFmtId="0" fontId="0" fillId="14" borderId="20" xfId="0" applyFill="1" applyBorder="1" applyProtection="1"/>
    <xf numFmtId="0" fontId="0" fillId="0" borderId="9" xfId="0" applyBorder="1" applyProtection="1"/>
    <xf numFmtId="0" fontId="0" fillId="0" borderId="25" xfId="0" applyBorder="1" applyProtection="1"/>
    <xf numFmtId="0" fontId="0" fillId="0" borderId="25" xfId="0" applyBorder="1" applyProtection="1">
      <protection hidden="1"/>
    </xf>
    <xf numFmtId="0" fontId="2" fillId="0" borderId="60" xfId="0" applyFont="1" applyFill="1" applyBorder="1" applyAlignment="1" applyProtection="1">
      <alignment horizontal="center"/>
    </xf>
    <xf numFmtId="0" fontId="5" fillId="0" borderId="60" xfId="0" applyFont="1" applyFill="1" applyBorder="1" applyAlignment="1" applyProtection="1">
      <alignment horizontal="center"/>
    </xf>
    <xf numFmtId="0" fontId="0" fillId="14" borderId="45" xfId="0" applyFill="1" applyBorder="1" applyProtection="1"/>
    <xf numFmtId="0" fontId="0" fillId="0" borderId="94" xfId="0" applyBorder="1" applyProtection="1"/>
    <xf numFmtId="0" fontId="0" fillId="0" borderId="32" xfId="0" applyBorder="1" applyProtection="1"/>
    <xf numFmtId="0" fontId="0" fillId="0" borderId="8" xfId="0" applyFill="1" applyBorder="1" applyProtection="1">
      <protection hidden="1"/>
    </xf>
    <xf numFmtId="0" fontId="0" fillId="10" borderId="8" xfId="0" applyFill="1" applyBorder="1" applyProtection="1">
      <protection hidden="1"/>
    </xf>
    <xf numFmtId="0" fontId="0" fillId="0" borderId="9" xfId="0" applyFill="1" applyBorder="1" applyProtection="1"/>
    <xf numFmtId="0" fontId="0" fillId="10" borderId="9" xfId="0" applyFill="1" applyBorder="1" applyProtection="1">
      <protection hidden="1"/>
    </xf>
    <xf numFmtId="0" fontId="0" fillId="0" borderId="24" xfId="0" applyFill="1" applyBorder="1" applyProtection="1"/>
    <xf numFmtId="0" fontId="0" fillId="10" borderId="25" xfId="0" applyFill="1" applyBorder="1" applyProtection="1"/>
    <xf numFmtId="0" fontId="0" fillId="0" borderId="104" xfId="0" applyBorder="1" applyProtection="1"/>
    <xf numFmtId="0" fontId="0" fillId="0" borderId="105" xfId="0" applyBorder="1" applyProtection="1"/>
    <xf numFmtId="0" fontId="0" fillId="0" borderId="105" xfId="0" applyFill="1" applyBorder="1" applyProtection="1"/>
    <xf numFmtId="0" fontId="0" fillId="0" borderId="71" xfId="0" applyFill="1" applyBorder="1" applyProtection="1"/>
    <xf numFmtId="0" fontId="0" fillId="14" borderId="23" xfId="0" applyFill="1" applyBorder="1" applyProtection="1"/>
    <xf numFmtId="0" fontId="0" fillId="14" borderId="24" xfId="0" applyFill="1" applyBorder="1" applyProtection="1"/>
    <xf numFmtId="0" fontId="0" fillId="14" borderId="25" xfId="0" applyFill="1" applyBorder="1" applyProtection="1"/>
    <xf numFmtId="0" fontId="0" fillId="0" borderId="10" xfId="0" applyFont="1" applyBorder="1" applyProtection="1"/>
    <xf numFmtId="0" fontId="0" fillId="0" borderId="21" xfId="0" applyFont="1" applyBorder="1" applyProtection="1"/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19" fillId="0" borderId="0" xfId="0" applyFont="1" applyProtection="1"/>
    <xf numFmtId="0" fontId="0" fillId="2" borderId="106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07" xfId="0" applyFill="1" applyBorder="1" applyAlignment="1" applyProtection="1">
      <alignment horizontal="center"/>
      <protection locked="0"/>
    </xf>
    <xf numFmtId="0" fontId="2" fillId="0" borderId="43" xfId="0" applyFont="1" applyBorder="1" applyProtection="1">
      <protection hidden="1"/>
    </xf>
    <xf numFmtId="0" fontId="2" fillId="0" borderId="43" xfId="0" applyFont="1" applyBorder="1" applyAlignment="1" applyProtection="1">
      <alignment horizontal="center" wrapText="1"/>
      <protection hidden="1"/>
    </xf>
    <xf numFmtId="0" fontId="2" fillId="9" borderId="16" xfId="0" applyFont="1" applyFill="1" applyBorder="1" applyProtection="1">
      <protection hidden="1"/>
    </xf>
    <xf numFmtId="0" fontId="0" fillId="0" borderId="20" xfId="0" applyBorder="1" applyAlignment="1" applyProtection="1">
      <alignment wrapText="1"/>
      <protection hidden="1"/>
    </xf>
    <xf numFmtId="0" fontId="0" fillId="0" borderId="9" xfId="0" applyBorder="1" applyAlignment="1" applyProtection="1">
      <alignment wrapText="1"/>
      <protection hidden="1"/>
    </xf>
    <xf numFmtId="0" fontId="0" fillId="0" borderId="25" xfId="0" applyBorder="1" applyAlignment="1" applyProtection="1">
      <alignment wrapText="1"/>
      <protection hidden="1"/>
    </xf>
    <xf numFmtId="0" fontId="0" fillId="0" borderId="35" xfId="0" applyBorder="1" applyProtection="1">
      <protection hidden="1"/>
    </xf>
    <xf numFmtId="0" fontId="0" fillId="0" borderId="2" xfId="0" applyBorder="1" applyAlignment="1" applyProtection="1">
      <alignment wrapText="1"/>
      <protection hidden="1"/>
    </xf>
    <xf numFmtId="0" fontId="2" fillId="0" borderId="3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3" xfId="0" applyFont="1" applyBorder="1" applyAlignment="1" applyProtection="1"/>
    <xf numFmtId="0" fontId="2" fillId="0" borderId="0" xfId="0" applyFont="1" applyAlignment="1" applyProtection="1"/>
    <xf numFmtId="0" fontId="2" fillId="0" borderId="33" xfId="0" applyFont="1" applyBorder="1" applyAlignment="1" applyProtection="1"/>
    <xf numFmtId="0" fontId="0" fillId="0" borderId="70" xfId="0" applyBorder="1" applyProtection="1"/>
    <xf numFmtId="0" fontId="0" fillId="2" borderId="70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right"/>
    </xf>
    <xf numFmtId="0" fontId="2" fillId="0" borderId="34" xfId="0" applyFont="1" applyFill="1" applyBorder="1" applyAlignment="1" applyProtection="1">
      <alignment horizontal="right"/>
    </xf>
    <xf numFmtId="0" fontId="0" fillId="2" borderId="56" xfId="0" applyFont="1" applyFill="1" applyBorder="1" applyAlignment="1" applyProtection="1">
      <alignment horizontal="center"/>
      <protection locked="0"/>
    </xf>
    <xf numFmtId="164" fontId="0" fillId="2" borderId="71" xfId="1" applyNumberFormat="1" applyFont="1" applyFill="1" applyBorder="1" applyAlignment="1" applyProtection="1">
      <alignment horizontal="center"/>
      <protection locked="0"/>
    </xf>
    <xf numFmtId="0" fontId="0" fillId="3" borderId="34" xfId="0" applyFont="1" applyFill="1" applyBorder="1" applyAlignment="1" applyProtection="1">
      <alignment horizontal="center"/>
    </xf>
    <xf numFmtId="164" fontId="0" fillId="16" borderId="9" xfId="1" applyNumberFormat="1" applyFont="1" applyFill="1" applyBorder="1" applyAlignment="1" applyProtection="1">
      <alignment horizontal="center"/>
    </xf>
    <xf numFmtId="0" fontId="0" fillId="16" borderId="16" xfId="0" applyFont="1" applyFill="1" applyBorder="1" applyAlignment="1" applyProtection="1">
      <alignment horizontal="center"/>
    </xf>
    <xf numFmtId="0" fontId="0" fillId="16" borderId="20" xfId="0" applyFont="1" applyFill="1" applyBorder="1" applyAlignment="1" applyProtection="1">
      <alignment horizontal="center"/>
    </xf>
    <xf numFmtId="164" fontId="0" fillId="22" borderId="65" xfId="0" applyNumberFormat="1" applyFont="1" applyFill="1" applyBorder="1" applyAlignment="1" applyProtection="1">
      <alignment horizontal="center"/>
      <protection locked="0"/>
    </xf>
    <xf numFmtId="164" fontId="0" fillId="22" borderId="66" xfId="0" applyNumberFormat="1" applyFont="1" applyFill="1" applyBorder="1" applyAlignment="1" applyProtection="1">
      <alignment horizontal="center"/>
      <protection locked="0"/>
    </xf>
    <xf numFmtId="164" fontId="0" fillId="22" borderId="64" xfId="0" applyNumberFormat="1" applyFont="1" applyFill="1" applyBorder="1" applyAlignment="1" applyProtection="1">
      <alignment horizontal="center"/>
      <protection locked="0"/>
    </xf>
    <xf numFmtId="164" fontId="0" fillId="22" borderId="67" xfId="0" applyNumberFormat="1" applyFont="1" applyFill="1" applyBorder="1" applyAlignment="1" applyProtection="1">
      <alignment horizontal="center"/>
      <protection locked="0"/>
    </xf>
    <xf numFmtId="0" fontId="0" fillId="3" borderId="61" xfId="0" applyFont="1" applyFill="1" applyBorder="1" applyAlignment="1" applyProtection="1">
      <alignment horizontal="center"/>
      <protection hidden="1"/>
    </xf>
    <xf numFmtId="0" fontId="0" fillId="3" borderId="52" xfId="0" applyFont="1" applyFill="1" applyBorder="1" applyAlignment="1" applyProtection="1">
      <alignment horizontal="center"/>
      <protection hidden="1"/>
    </xf>
    <xf numFmtId="0" fontId="0" fillId="7" borderId="70" xfId="0" applyFont="1" applyFill="1" applyBorder="1" applyAlignment="1" applyProtection="1">
      <alignment horizontal="center"/>
      <protection hidden="1"/>
    </xf>
    <xf numFmtId="0" fontId="0" fillId="0" borderId="26" xfId="0" applyBorder="1" applyProtection="1"/>
    <xf numFmtId="0" fontId="0" fillId="7" borderId="65" xfId="0" applyFont="1" applyFill="1" applyBorder="1" applyAlignment="1" applyProtection="1">
      <alignment horizontal="center"/>
      <protection hidden="1"/>
    </xf>
    <xf numFmtId="0" fontId="0" fillId="10" borderId="10" xfId="0" applyFont="1" applyFill="1" applyBorder="1" applyProtection="1"/>
    <xf numFmtId="0" fontId="0" fillId="10" borderId="21" xfId="0" applyFont="1" applyFill="1" applyBorder="1" applyProtection="1"/>
    <xf numFmtId="0" fontId="0" fillId="10" borderId="26" xfId="0" applyFont="1" applyFill="1" applyBorder="1" applyProtection="1"/>
    <xf numFmtId="0" fontId="0" fillId="7" borderId="7" xfId="0" applyFont="1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 vertical="top"/>
      <protection hidden="1"/>
    </xf>
    <xf numFmtId="0" fontId="2" fillId="0" borderId="48" xfId="0" applyFont="1" applyFill="1" applyBorder="1" applyAlignment="1" applyProtection="1">
      <alignment horizontal="center"/>
    </xf>
    <xf numFmtId="0" fontId="0" fillId="14" borderId="42" xfId="0" applyFill="1" applyBorder="1" applyProtection="1"/>
    <xf numFmtId="0" fontId="0" fillId="0" borderId="56" xfId="0" applyBorder="1" applyProtection="1"/>
    <xf numFmtId="0" fontId="0" fillId="0" borderId="61" xfId="0" applyBorder="1" applyProtection="1"/>
    <xf numFmtId="0" fontId="0" fillId="0" borderId="28" xfId="0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0" fontId="0" fillId="4" borderId="28" xfId="0" applyFill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70" xfId="0" applyFont="1" applyBorder="1" applyAlignment="1" applyProtection="1">
      <alignment horizontal="center"/>
      <protection hidden="1"/>
    </xf>
    <xf numFmtId="0" fontId="0" fillId="0" borderId="82" xfId="0" applyFont="1" applyBorder="1" applyAlignment="1" applyProtection="1">
      <alignment horizontal="center"/>
      <protection hidden="1"/>
    </xf>
    <xf numFmtId="0" fontId="0" fillId="0" borderId="65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2" fillId="0" borderId="26" xfId="0" applyFont="1" applyBorder="1" applyAlignment="1">
      <alignment horizontal="center"/>
    </xf>
    <xf numFmtId="0" fontId="0" fillId="0" borderId="44" xfId="0" applyBorder="1" applyProtection="1"/>
    <xf numFmtId="0" fontId="0" fillId="0" borderId="33" xfId="0" applyFont="1" applyBorder="1" applyProtection="1"/>
    <xf numFmtId="0" fontId="0" fillId="0" borderId="66" xfId="0" applyFill="1" applyBorder="1" applyAlignment="1" applyProtection="1">
      <alignment horizontal="center"/>
    </xf>
    <xf numFmtId="0" fontId="0" fillId="0" borderId="69" xfId="0" applyBorder="1" applyAlignment="1" applyProtection="1">
      <alignment horizontal="center"/>
    </xf>
    <xf numFmtId="0" fontId="0" fillId="17" borderId="46" xfId="0" applyFill="1" applyBorder="1" applyAlignment="1" applyProtection="1">
      <alignment horizontal="center"/>
      <protection hidden="1"/>
    </xf>
    <xf numFmtId="0" fontId="0" fillId="17" borderId="5" xfId="0" applyFill="1" applyBorder="1" applyAlignment="1" applyProtection="1">
      <alignment horizontal="center"/>
      <protection hidden="1"/>
    </xf>
    <xf numFmtId="0" fontId="0" fillId="17" borderId="59" xfId="0" applyFill="1" applyBorder="1" applyAlignment="1" applyProtection="1">
      <alignment horizontal="center"/>
      <protection hidden="1"/>
    </xf>
    <xf numFmtId="0" fontId="0" fillId="17" borderId="47" xfId="0" applyFill="1" applyBorder="1" applyAlignment="1" applyProtection="1">
      <alignment horizontal="center"/>
      <protection hidden="1"/>
    </xf>
    <xf numFmtId="0" fontId="0" fillId="17" borderId="49" xfId="0" applyFill="1" applyBorder="1" applyAlignment="1" applyProtection="1">
      <alignment horizontal="center"/>
      <protection hidden="1"/>
    </xf>
    <xf numFmtId="0" fontId="0" fillId="17" borderId="57" xfId="0" applyFill="1" applyBorder="1" applyAlignment="1" applyProtection="1">
      <alignment horizontal="center"/>
      <protection hidden="1"/>
    </xf>
    <xf numFmtId="0" fontId="0" fillId="17" borderId="51" xfId="0" applyFill="1" applyBorder="1" applyAlignment="1" applyProtection="1">
      <alignment horizontal="center"/>
      <protection hidden="1"/>
    </xf>
    <xf numFmtId="44" fontId="0" fillId="0" borderId="36" xfId="0" applyNumberFormat="1" applyFont="1" applyBorder="1" applyAlignment="1" applyProtection="1">
      <alignment horizontal="right"/>
    </xf>
    <xf numFmtId="164" fontId="0" fillId="0" borderId="37" xfId="1" applyNumberFormat="1" applyFont="1" applyFill="1" applyBorder="1" applyAlignment="1" applyProtection="1">
      <alignment horizontal="left" vertical="center"/>
      <protection hidden="1"/>
    </xf>
    <xf numFmtId="164" fontId="0" fillId="0" borderId="37" xfId="1" applyNumberFormat="1" applyFont="1" applyFill="1" applyBorder="1" applyAlignment="1" applyProtection="1">
      <protection hidden="1"/>
    </xf>
    <xf numFmtId="0" fontId="0" fillId="0" borderId="14" xfId="0" applyBorder="1" applyAlignment="1" applyProtection="1">
      <alignment horizontal="right"/>
    </xf>
    <xf numFmtId="0" fontId="0" fillId="0" borderId="45" xfId="0" applyBorder="1" applyProtection="1"/>
    <xf numFmtId="164" fontId="0" fillId="0" borderId="62" xfId="0" applyNumberFormat="1" applyBorder="1" applyProtection="1"/>
    <xf numFmtId="0" fontId="0" fillId="0" borderId="17" xfId="0" applyBorder="1" applyProtection="1"/>
    <xf numFmtId="44" fontId="4" fillId="6" borderId="0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vertical="center" wrapText="1"/>
      <protection hidden="1"/>
    </xf>
    <xf numFmtId="164" fontId="8" fillId="10" borderId="108" xfId="1" applyNumberFormat="1" applyFont="1" applyFill="1" applyBorder="1" applyAlignment="1" applyProtection="1">
      <alignment horizontal="center"/>
      <protection hidden="1"/>
    </xf>
    <xf numFmtId="44" fontId="0" fillId="12" borderId="109" xfId="0" applyNumberFormat="1" applyFont="1" applyFill="1" applyBorder="1" applyAlignment="1" applyProtection="1">
      <alignment horizontal="center" vertical="center" wrapText="1"/>
      <protection hidden="1"/>
    </xf>
    <xf numFmtId="44" fontId="0" fillId="13" borderId="46" xfId="0" applyNumberFormat="1" applyFont="1" applyFill="1" applyBorder="1" applyAlignment="1" applyProtection="1">
      <alignment horizontal="center" vertical="center" wrapText="1"/>
      <protection hidden="1"/>
    </xf>
    <xf numFmtId="44" fontId="0" fillId="10" borderId="34" xfId="0" applyNumberFormat="1" applyFont="1" applyFill="1" applyBorder="1" applyAlignment="1" applyProtection="1">
      <alignment vertical="center" wrapText="1"/>
      <protection hidden="1"/>
    </xf>
    <xf numFmtId="44" fontId="2" fillId="6" borderId="46" xfId="0" applyNumberFormat="1" applyFont="1" applyFill="1" applyBorder="1" applyAlignment="1" applyProtection="1">
      <alignment horizontal="right"/>
    </xf>
    <xf numFmtId="164" fontId="0" fillId="6" borderId="59" xfId="1" applyNumberFormat="1" applyFont="1" applyFill="1" applyBorder="1" applyAlignment="1" applyProtection="1">
      <alignment horizontal="center"/>
    </xf>
    <xf numFmtId="164" fontId="0" fillId="6" borderId="81" xfId="1" applyNumberFormat="1" applyFont="1" applyFill="1" applyBorder="1" applyAlignment="1" applyProtection="1">
      <alignment horizontal="center"/>
      <protection hidden="1"/>
    </xf>
    <xf numFmtId="164" fontId="0" fillId="6" borderId="48" xfId="1" applyNumberFormat="1" applyFont="1" applyFill="1" applyBorder="1" applyAlignment="1" applyProtection="1">
      <alignment horizontal="center"/>
      <protection hidden="1"/>
    </xf>
    <xf numFmtId="44" fontId="2" fillId="0" borderId="34" xfId="0" applyNumberFormat="1" applyFont="1" applyFill="1" applyBorder="1" applyAlignment="1" applyProtection="1">
      <alignment horizontal="right"/>
      <protection hidden="1"/>
    </xf>
    <xf numFmtId="44" fontId="0" fillId="7" borderId="99" xfId="0" applyNumberFormat="1" applyFont="1" applyFill="1" applyBorder="1" applyAlignment="1" applyProtection="1">
      <alignment horizontal="right"/>
    </xf>
    <xf numFmtId="44" fontId="2" fillId="0" borderId="1" xfId="0" applyNumberFormat="1" applyFont="1" applyFill="1" applyBorder="1" applyAlignment="1" applyProtection="1">
      <alignment horizontal="right"/>
      <protection hidden="1"/>
    </xf>
    <xf numFmtId="164" fontId="0" fillId="0" borderId="2" xfId="0" applyNumberFormat="1" applyBorder="1" applyAlignment="1" applyProtection="1"/>
    <xf numFmtId="164" fontId="0" fillId="0" borderId="3" xfId="0" applyNumberFormat="1" applyBorder="1" applyAlignment="1" applyProtection="1"/>
    <xf numFmtId="164" fontId="0" fillId="0" borderId="99" xfId="0" applyNumberFormat="1" applyFont="1" applyFill="1" applyBorder="1" applyAlignment="1" applyProtection="1">
      <alignment horizontal="right"/>
      <protection hidden="1"/>
    </xf>
    <xf numFmtId="164" fontId="0" fillId="0" borderId="51" xfId="0" applyNumberFormat="1" applyFont="1" applyFill="1" applyBorder="1" applyAlignment="1" applyProtection="1">
      <alignment horizontal="right"/>
      <protection hidden="1"/>
    </xf>
    <xf numFmtId="166" fontId="4" fillId="7" borderId="16" xfId="0" applyNumberFormat="1" applyFont="1" applyFill="1" applyBorder="1" applyAlignment="1" applyProtection="1">
      <alignment horizontal="center"/>
    </xf>
    <xf numFmtId="44" fontId="2" fillId="0" borderId="23" xfId="0" applyNumberFormat="1" applyFont="1" applyBorder="1" applyAlignment="1" applyProtection="1">
      <alignment horizontal="right"/>
    </xf>
    <xf numFmtId="44" fontId="2" fillId="0" borderId="27" xfId="0" applyNumberFormat="1" applyFont="1" applyBorder="1" applyProtection="1"/>
    <xf numFmtId="44" fontId="2" fillId="0" borderId="24" xfId="0" applyNumberFormat="1" applyFont="1" applyBorder="1" applyAlignment="1" applyProtection="1">
      <alignment horizontal="center"/>
    </xf>
    <xf numFmtId="164" fontId="2" fillId="0" borderId="25" xfId="1" applyNumberFormat="1" applyFont="1" applyFill="1" applyBorder="1" applyAlignment="1" applyProtection="1">
      <alignment horizontal="center"/>
    </xf>
    <xf numFmtId="0" fontId="5" fillId="24" borderId="0" xfId="0" applyFont="1" applyFill="1" applyBorder="1" applyAlignment="1" applyProtection="1">
      <alignment horizontal="center"/>
    </xf>
    <xf numFmtId="0" fontId="0" fillId="24" borderId="8" xfId="0" applyFill="1" applyBorder="1" applyAlignment="1" applyProtection="1">
      <alignment horizontal="center"/>
    </xf>
    <xf numFmtId="0" fontId="0" fillId="24" borderId="24" xfId="0" applyFill="1" applyBorder="1" applyAlignment="1" applyProtection="1">
      <alignment horizontal="center"/>
    </xf>
    <xf numFmtId="0" fontId="0" fillId="24" borderId="17" xfId="0" applyFill="1" applyBorder="1" applyAlignment="1" applyProtection="1">
      <alignment horizontal="center"/>
    </xf>
    <xf numFmtId="0" fontId="5" fillId="24" borderId="49" xfId="0" applyFont="1" applyFill="1" applyBorder="1" applyAlignment="1" applyProtection="1">
      <alignment horizontal="center"/>
    </xf>
    <xf numFmtId="0" fontId="0" fillId="24" borderId="8" xfId="1" applyNumberFormat="1" applyFont="1" applyFill="1" applyBorder="1" applyAlignment="1" applyProtection="1">
      <alignment horizontal="center"/>
      <protection hidden="1"/>
    </xf>
    <xf numFmtId="0" fontId="0" fillId="24" borderId="8" xfId="0" applyFill="1" applyBorder="1" applyAlignment="1" applyProtection="1">
      <alignment horizontal="center"/>
      <protection hidden="1"/>
    </xf>
    <xf numFmtId="0" fontId="0" fillId="24" borderId="24" xfId="0" applyFill="1" applyBorder="1" applyAlignment="1" applyProtection="1">
      <alignment horizontal="center"/>
      <protection hidden="1"/>
    </xf>
    <xf numFmtId="0" fontId="0" fillId="24" borderId="8" xfId="1" applyNumberFormat="1" applyFont="1" applyFill="1" applyBorder="1" applyAlignment="1" applyProtection="1">
      <alignment horizontal="center"/>
    </xf>
    <xf numFmtId="0" fontId="0" fillId="24" borderId="44" xfId="0" applyFill="1" applyBorder="1" applyAlignment="1" applyProtection="1">
      <alignment horizontal="center"/>
      <protection hidden="1"/>
    </xf>
    <xf numFmtId="0" fontId="5" fillId="24" borderId="19" xfId="0" applyFont="1" applyFill="1" applyBorder="1" applyAlignment="1" applyProtection="1">
      <alignment horizontal="center"/>
    </xf>
    <xf numFmtId="0" fontId="5" fillId="24" borderId="33" xfId="0" applyFont="1" applyFill="1" applyBorder="1" applyAlignment="1" applyProtection="1">
      <alignment horizontal="center"/>
    </xf>
    <xf numFmtId="0" fontId="0" fillId="24" borderId="16" xfId="0" applyFill="1" applyBorder="1" applyAlignment="1" applyProtection="1">
      <alignment horizontal="center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0" fillId="24" borderId="7" xfId="0" applyFill="1" applyBorder="1" applyAlignment="1" applyProtection="1">
      <alignment horizontal="center"/>
      <protection hidden="1"/>
    </xf>
    <xf numFmtId="0" fontId="0" fillId="24" borderId="22" xfId="0" applyFill="1" applyBorder="1" applyAlignment="1" applyProtection="1">
      <alignment horizontal="center"/>
      <protection hidden="1"/>
    </xf>
    <xf numFmtId="0" fontId="0" fillId="24" borderId="23" xfId="0" applyFill="1" applyBorder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94" xfId="0" applyFill="1" applyBorder="1" applyAlignment="1" applyProtection="1">
      <alignment horizontal="center"/>
      <protection hidden="1"/>
    </xf>
    <xf numFmtId="0" fontId="0" fillId="24" borderId="32" xfId="0" applyFill="1" applyBorder="1" applyAlignment="1" applyProtection="1">
      <alignment horizontal="center"/>
      <protection hidden="1"/>
    </xf>
    <xf numFmtId="0" fontId="2" fillId="24" borderId="0" xfId="0" applyFont="1" applyFill="1" applyBorder="1" applyAlignment="1" applyProtection="1">
      <alignment horizontal="center"/>
    </xf>
    <xf numFmtId="0" fontId="0" fillId="24" borderId="42" xfId="0" applyFill="1" applyBorder="1" applyProtection="1"/>
    <xf numFmtId="0" fontId="0" fillId="24" borderId="70" xfId="0" applyFill="1" applyBorder="1" applyProtection="1"/>
    <xf numFmtId="0" fontId="0" fillId="24" borderId="56" xfId="0" applyFill="1" applyBorder="1" applyProtection="1"/>
    <xf numFmtId="0" fontId="0" fillId="24" borderId="56" xfId="0" applyFill="1" applyBorder="1" applyProtection="1">
      <protection hidden="1"/>
    </xf>
    <xf numFmtId="0" fontId="2" fillId="24" borderId="4" xfId="0" applyFont="1" applyFill="1" applyBorder="1" applyAlignment="1" applyProtection="1">
      <alignment horizontal="center"/>
    </xf>
    <xf numFmtId="0" fontId="2" fillId="24" borderId="19" xfId="0" applyFont="1" applyFill="1" applyBorder="1" applyAlignment="1" applyProtection="1">
      <alignment horizontal="center"/>
    </xf>
    <xf numFmtId="0" fontId="2" fillId="24" borderId="33" xfId="0" applyFont="1" applyFill="1" applyBorder="1" applyAlignment="1" applyProtection="1">
      <alignment horizontal="center"/>
    </xf>
    <xf numFmtId="0" fontId="0" fillId="24" borderId="16" xfId="0" applyFill="1" applyBorder="1" applyProtection="1">
      <protection hidden="1"/>
    </xf>
    <xf numFmtId="0" fontId="0" fillId="24" borderId="18" xfId="0" applyFill="1" applyBorder="1" applyProtection="1">
      <protection hidden="1"/>
    </xf>
    <xf numFmtId="0" fontId="0" fillId="24" borderId="40" xfId="0" applyFill="1" applyBorder="1" applyProtection="1"/>
    <xf numFmtId="0" fontId="0" fillId="24" borderId="7" xfId="0" applyFill="1" applyBorder="1" applyProtection="1">
      <protection hidden="1"/>
    </xf>
    <xf numFmtId="0" fontId="0" fillId="24" borderId="22" xfId="0" applyFill="1" applyBorder="1" applyProtection="1">
      <protection hidden="1"/>
    </xf>
    <xf numFmtId="0" fontId="0" fillId="24" borderId="54" xfId="0" applyFill="1" applyBorder="1" applyProtection="1"/>
    <xf numFmtId="0" fontId="0" fillId="24" borderId="23" xfId="0" applyFill="1" applyBorder="1" applyProtection="1">
      <protection hidden="1"/>
    </xf>
    <xf numFmtId="0" fontId="0" fillId="24" borderId="27" xfId="0" applyFill="1" applyBorder="1" applyProtection="1">
      <protection hidden="1"/>
    </xf>
    <xf numFmtId="0" fontId="0" fillId="24" borderId="58" xfId="0" applyFill="1" applyBorder="1" applyProtection="1">
      <protection hidden="1"/>
    </xf>
    <xf numFmtId="0" fontId="2" fillId="24" borderId="10" xfId="0" applyFont="1" applyFill="1" applyBorder="1" applyAlignment="1" applyProtection="1">
      <alignment horizontal="center"/>
    </xf>
    <xf numFmtId="0" fontId="5" fillId="24" borderId="21" xfId="0" applyFont="1" applyFill="1" applyBorder="1" applyAlignment="1" applyProtection="1">
      <alignment horizontal="center"/>
    </xf>
    <xf numFmtId="0" fontId="0" fillId="24" borderId="55" xfId="0" applyFill="1" applyBorder="1" applyProtection="1"/>
    <xf numFmtId="0" fontId="0" fillId="24" borderId="58" xfId="0" applyFill="1" applyBorder="1" applyProtection="1"/>
    <xf numFmtId="0" fontId="0" fillId="24" borderId="65" xfId="0" applyFill="1" applyBorder="1" applyProtection="1"/>
    <xf numFmtId="0" fontId="0" fillId="24" borderId="66" xfId="0" applyFill="1" applyBorder="1" applyProtection="1"/>
    <xf numFmtId="0" fontId="0" fillId="24" borderId="67" xfId="0" applyFill="1" applyBorder="1" applyProtection="1"/>
    <xf numFmtId="0" fontId="0" fillId="0" borderId="39" xfId="0" applyFont="1" applyFill="1" applyBorder="1" applyAlignment="1" applyProtection="1">
      <alignment horizontal="center" wrapText="1"/>
      <protection hidden="1"/>
    </xf>
    <xf numFmtId="0" fontId="0" fillId="24" borderId="17" xfId="1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44" fontId="0" fillId="7" borderId="59" xfId="0" applyNumberFormat="1" applyFont="1" applyFill="1" applyBorder="1" applyAlignment="1" applyProtection="1">
      <alignment horizontal="center" vertical="center" wrapText="1"/>
      <protection hidden="1"/>
    </xf>
    <xf numFmtId="44" fontId="0" fillId="7" borderId="6" xfId="0" applyNumberFormat="1" applyFont="1" applyFill="1" applyBorder="1" applyAlignment="1" applyProtection="1">
      <alignment horizontal="center" vertical="center" wrapText="1"/>
      <protection hidden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9" xfId="0" applyFont="1" applyFill="1" applyBorder="1" applyAlignment="1" applyProtection="1">
      <alignment horizontal="center" vertical="center" wrapText="1"/>
    </xf>
    <xf numFmtId="0" fontId="2" fillId="7" borderId="14" xfId="0" applyFont="1" applyFill="1" applyBorder="1" applyAlignment="1" applyProtection="1">
      <alignment horizontal="center" vertical="center" wrapText="1"/>
    </xf>
    <xf numFmtId="0" fontId="2" fillId="0" borderId="58" xfId="0" applyFont="1" applyBorder="1" applyAlignment="1" applyProtection="1">
      <alignment horizontal="left"/>
      <protection hidden="1"/>
    </xf>
    <xf numFmtId="0" fontId="2" fillId="0" borderId="56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center" wrapText="1"/>
    </xf>
    <xf numFmtId="0" fontId="2" fillId="0" borderId="26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right"/>
      <protection hidden="1"/>
    </xf>
    <xf numFmtId="0" fontId="2" fillId="0" borderId="60" xfId="0" applyFont="1" applyBorder="1" applyAlignment="1" applyProtection="1">
      <alignment horizontal="right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62" xfId="0" applyFont="1" applyBorder="1" applyAlignment="1" applyProtection="1">
      <alignment horizontal="right"/>
      <protection hidden="1"/>
    </xf>
    <xf numFmtId="0" fontId="5" fillId="9" borderId="10" xfId="0" applyFont="1" applyFill="1" applyBorder="1" applyAlignment="1" applyProtection="1">
      <alignment horizontal="center" vertical="center" textRotation="45"/>
    </xf>
    <xf numFmtId="0" fontId="5" fillId="9" borderId="21" xfId="0" applyFont="1" applyFill="1" applyBorder="1" applyAlignment="1" applyProtection="1">
      <alignment horizontal="center" vertical="center" textRotation="45"/>
    </xf>
    <xf numFmtId="0" fontId="5" fillId="9" borderId="26" xfId="0" applyFont="1" applyFill="1" applyBorder="1" applyAlignment="1" applyProtection="1">
      <alignment horizontal="center" vertical="center" textRotation="45"/>
    </xf>
    <xf numFmtId="0" fontId="5" fillId="0" borderId="10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 textRotation="45"/>
    </xf>
    <xf numFmtId="0" fontId="2" fillId="0" borderId="21" xfId="0" applyFont="1" applyBorder="1" applyAlignment="1" applyProtection="1">
      <alignment horizontal="center" vertical="center" textRotation="45"/>
    </xf>
    <xf numFmtId="0" fontId="2" fillId="0" borderId="26" xfId="0" applyFont="1" applyBorder="1" applyAlignment="1" applyProtection="1">
      <alignment horizontal="center" vertical="center" textRotation="45"/>
    </xf>
    <xf numFmtId="0" fontId="5" fillId="0" borderId="10" xfId="0" applyFont="1" applyFill="1" applyBorder="1" applyAlignment="1" applyProtection="1">
      <alignment horizontal="left" vertical="center"/>
    </xf>
    <xf numFmtId="0" fontId="5" fillId="0" borderId="21" xfId="0" applyFont="1" applyFill="1" applyBorder="1" applyAlignment="1" applyProtection="1">
      <alignment horizontal="left" vertical="center"/>
    </xf>
    <xf numFmtId="0" fontId="5" fillId="0" borderId="26" xfId="0" applyFont="1" applyFill="1" applyBorder="1" applyAlignment="1" applyProtection="1">
      <alignment horizontal="left" vertical="center"/>
    </xf>
    <xf numFmtId="0" fontId="2" fillId="5" borderId="4" xfId="0" applyFont="1" applyFill="1" applyBorder="1" applyAlignment="1" applyProtection="1">
      <alignment horizontal="center" vertical="center" textRotation="45" wrapText="1"/>
    </xf>
    <xf numFmtId="0" fontId="2" fillId="5" borderId="6" xfId="0" applyFont="1" applyFill="1" applyBorder="1" applyAlignment="1" applyProtection="1">
      <alignment horizontal="center" vertical="center" textRotation="45" wrapText="1"/>
    </xf>
    <xf numFmtId="0" fontId="2" fillId="5" borderId="19" xfId="0" applyFont="1" applyFill="1" applyBorder="1" applyAlignment="1" applyProtection="1">
      <alignment horizontal="center" vertical="center" textRotation="45" wrapText="1"/>
    </xf>
    <xf numFmtId="0" fontId="2" fillId="5" borderId="33" xfId="0" applyFont="1" applyFill="1" applyBorder="1" applyAlignment="1" applyProtection="1">
      <alignment horizontal="center" vertical="center" textRotation="45" wrapText="1"/>
    </xf>
    <xf numFmtId="0" fontId="2" fillId="5" borderId="14" xfId="0" applyFont="1" applyFill="1" applyBorder="1" applyAlignment="1" applyProtection="1">
      <alignment horizontal="center" vertical="center" textRotation="45" wrapText="1"/>
    </xf>
    <xf numFmtId="0" fontId="2" fillId="5" borderId="30" xfId="0" applyFont="1" applyFill="1" applyBorder="1" applyAlignment="1" applyProtection="1">
      <alignment horizontal="center" vertical="center" textRotation="45" wrapText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5" xfId="0" applyFont="1" applyBorder="1" applyAlignment="1" applyProtection="1">
      <alignment horizontal="center" vertical="center" wrapText="1"/>
      <protection hidden="1"/>
    </xf>
    <xf numFmtId="0" fontId="0" fillId="0" borderId="6" xfId="0" applyFont="1" applyBorder="1" applyAlignment="1" applyProtection="1">
      <alignment horizontal="center" vertical="center" wrapText="1"/>
      <protection hidden="1"/>
    </xf>
    <xf numFmtId="0" fontId="0" fillId="0" borderId="19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0" fontId="0" fillId="0" borderId="33" xfId="0" applyFont="1" applyBorder="1" applyAlignment="1" applyProtection="1">
      <alignment horizontal="center" vertical="center" wrapText="1"/>
      <protection hidden="1"/>
    </xf>
    <xf numFmtId="0" fontId="0" fillId="0" borderId="14" xfId="0" applyFont="1" applyBorder="1" applyAlignment="1" applyProtection="1">
      <alignment horizontal="center" vertical="center" wrapText="1"/>
      <protection hidden="1"/>
    </xf>
    <xf numFmtId="0" fontId="0" fillId="0" borderId="29" xfId="0" applyFont="1" applyBorder="1" applyAlignment="1" applyProtection="1">
      <alignment horizontal="center" vertical="center" wrapText="1"/>
      <protection hidden="1"/>
    </xf>
    <xf numFmtId="0" fontId="0" fillId="0" borderId="30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right" vertical="center"/>
    </xf>
    <xf numFmtId="0" fontId="2" fillId="0" borderId="6" xfId="0" applyFont="1" applyBorder="1" applyAlignment="1" applyProtection="1">
      <alignment horizontal="right" vertical="center"/>
    </xf>
    <xf numFmtId="0" fontId="2" fillId="0" borderId="19" xfId="0" applyFont="1" applyBorder="1" applyAlignment="1" applyProtection="1">
      <alignment horizontal="right" vertical="center"/>
    </xf>
    <xf numFmtId="0" fontId="2" fillId="0" borderId="33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30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right"/>
    </xf>
    <xf numFmtId="0" fontId="5" fillId="6" borderId="10" xfId="0" applyFont="1" applyFill="1" applyBorder="1" applyAlignment="1" applyProtection="1">
      <alignment horizontal="center" vertical="center" wrapText="1"/>
      <protection hidden="1"/>
    </xf>
    <xf numFmtId="0" fontId="5" fillId="6" borderId="21" xfId="0" applyFont="1" applyFill="1" applyBorder="1" applyAlignment="1" applyProtection="1">
      <alignment horizontal="center" vertical="center" wrapText="1"/>
      <protection hidden="1"/>
    </xf>
    <xf numFmtId="0" fontId="5" fillId="6" borderId="26" xfId="0" applyFont="1" applyFill="1" applyBorder="1" applyAlignment="1" applyProtection="1">
      <alignment horizontal="center" vertical="center" wrapText="1"/>
      <protection hidden="1"/>
    </xf>
    <xf numFmtId="0" fontId="1" fillId="6" borderId="54" xfId="0" applyFont="1" applyFill="1" applyBorder="1" applyAlignment="1" applyProtection="1">
      <alignment horizontal="center" wrapText="1"/>
      <protection hidden="1"/>
    </xf>
    <xf numFmtId="0" fontId="1" fillId="6" borderId="52" xfId="0" applyFont="1" applyFill="1" applyBorder="1" applyAlignment="1" applyProtection="1">
      <alignment horizontal="center" wrapText="1"/>
      <protection hidden="1"/>
    </xf>
    <xf numFmtId="0" fontId="1" fillId="6" borderId="70" xfId="0" applyFont="1" applyFill="1" applyBorder="1" applyAlignment="1" applyProtection="1">
      <alignment horizontal="center" wrapText="1"/>
      <protection hidden="1"/>
    </xf>
    <xf numFmtId="0" fontId="0" fillId="9" borderId="54" xfId="0" applyFill="1" applyBorder="1" applyAlignment="1" applyProtection="1">
      <alignment horizontal="left"/>
    </xf>
    <xf numFmtId="0" fontId="0" fillId="9" borderId="70" xfId="0" applyFill="1" applyBorder="1" applyAlignment="1" applyProtection="1">
      <alignment horizontal="left"/>
    </xf>
    <xf numFmtId="0" fontId="2" fillId="0" borderId="54" xfId="0" applyFont="1" applyBorder="1" applyAlignment="1" applyProtection="1">
      <alignment horizontal="left"/>
    </xf>
    <xf numFmtId="0" fontId="2" fillId="0" borderId="70" xfId="0" applyFont="1" applyBorder="1" applyAlignment="1" applyProtection="1">
      <alignment horizontal="left"/>
    </xf>
    <xf numFmtId="44" fontId="0" fillId="10" borderId="50" xfId="0" applyNumberFormat="1" applyFont="1" applyFill="1" applyBorder="1" applyAlignment="1" applyProtection="1">
      <alignment horizontal="center" vertical="center" wrapText="1"/>
      <protection hidden="1"/>
    </xf>
    <xf numFmtId="44" fontId="0" fillId="10" borderId="30" xfId="0" applyNumberFormat="1" applyFont="1" applyFill="1" applyBorder="1" applyAlignment="1" applyProtection="1">
      <alignment horizontal="center" vertical="center" wrapText="1"/>
      <protection hidden="1"/>
    </xf>
    <xf numFmtId="44" fontId="0" fillId="12" borderId="50" xfId="0" applyNumberFormat="1" applyFont="1" applyFill="1" applyBorder="1" applyAlignment="1" applyProtection="1">
      <alignment horizontal="center" vertical="center" wrapText="1"/>
    </xf>
    <xf numFmtId="44" fontId="0" fillId="12" borderId="30" xfId="0" applyNumberFormat="1" applyFont="1" applyFill="1" applyBorder="1" applyAlignment="1" applyProtection="1">
      <alignment horizontal="center" vertical="center" wrapText="1"/>
    </xf>
    <xf numFmtId="0" fontId="2" fillId="0" borderId="90" xfId="0" applyFont="1" applyBorder="1" applyAlignment="1" applyProtection="1">
      <alignment horizontal="left"/>
    </xf>
    <xf numFmtId="0" fontId="2" fillId="0" borderId="91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48" xfId="0" applyFont="1" applyBorder="1" applyAlignment="1" applyProtection="1">
      <alignment horizontal="right"/>
      <protection hidden="1"/>
    </xf>
    <xf numFmtId="0" fontId="6" fillId="6" borderId="10" xfId="0" applyFont="1" applyFill="1" applyBorder="1" applyAlignment="1" applyProtection="1">
      <alignment horizontal="center" vertical="center" textRotation="45"/>
    </xf>
    <xf numFmtId="0" fontId="6" fillId="6" borderId="21" xfId="0" applyFont="1" applyFill="1" applyBorder="1" applyAlignment="1" applyProtection="1">
      <alignment horizontal="center" vertical="center" textRotation="45"/>
    </xf>
    <xf numFmtId="0" fontId="6" fillId="6" borderId="26" xfId="0" applyFont="1" applyFill="1" applyBorder="1" applyAlignment="1" applyProtection="1">
      <alignment horizontal="center" vertical="center" textRotation="45"/>
    </xf>
    <xf numFmtId="0" fontId="2" fillId="6" borderId="4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6" borderId="14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0" fillId="0" borderId="37" xfId="0" applyBorder="1" applyAlignment="1" applyProtection="1">
      <alignment horizontal="center" vertical="top" wrapText="1"/>
    </xf>
    <xf numFmtId="0" fontId="0" fillId="0" borderId="38" xfId="0" applyBorder="1" applyAlignment="1" applyProtection="1">
      <alignment horizontal="center" vertical="top" wrapText="1"/>
    </xf>
    <xf numFmtId="0" fontId="0" fillId="0" borderId="35" xfId="0" applyBorder="1" applyAlignment="1" applyProtection="1">
      <alignment horizontal="center" vertical="top" wrapText="1"/>
    </xf>
    <xf numFmtId="0" fontId="0" fillId="0" borderId="60" xfId="0" applyBorder="1" applyAlignment="1" applyProtection="1">
      <alignment horizontal="center" vertical="top" wrapText="1"/>
    </xf>
    <xf numFmtId="0" fontId="0" fillId="0" borderId="63" xfId="0" applyBorder="1" applyAlignment="1" applyProtection="1">
      <alignment horizontal="center" vertical="top" wrapText="1"/>
    </xf>
    <xf numFmtId="0" fontId="0" fillId="0" borderId="68" xfId="0" applyBorder="1" applyAlignment="1" applyProtection="1">
      <alignment horizontal="center" vertical="top" wrapText="1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2" fillId="0" borderId="14" xfId="0" applyFont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2" fillId="12" borderId="4" xfId="0" applyFont="1" applyFill="1" applyBorder="1" applyAlignment="1" applyProtection="1">
      <alignment horizontal="right"/>
    </xf>
    <xf numFmtId="0" fontId="2" fillId="12" borderId="5" xfId="0" applyFont="1" applyFill="1" applyBorder="1" applyAlignment="1" applyProtection="1">
      <alignment horizontal="right"/>
    </xf>
    <xf numFmtId="0" fontId="2" fillId="12" borderId="6" xfId="0" applyFont="1" applyFill="1" applyBorder="1" applyAlignment="1" applyProtection="1">
      <alignment horizontal="right"/>
    </xf>
    <xf numFmtId="0" fontId="2" fillId="12" borderId="14" xfId="0" applyFont="1" applyFill="1" applyBorder="1" applyAlignment="1" applyProtection="1">
      <alignment horizontal="right"/>
    </xf>
    <xf numFmtId="0" fontId="2" fillId="12" borderId="29" xfId="0" applyFont="1" applyFill="1" applyBorder="1" applyAlignment="1" applyProtection="1">
      <alignment horizontal="right"/>
    </xf>
    <xf numFmtId="0" fontId="2" fillId="12" borderId="30" xfId="0" applyFont="1" applyFill="1" applyBorder="1" applyAlignment="1" applyProtection="1">
      <alignment horizontal="right"/>
    </xf>
    <xf numFmtId="0" fontId="2" fillId="23" borderId="4" xfId="0" applyFont="1" applyFill="1" applyBorder="1" applyAlignment="1" applyProtection="1">
      <alignment horizontal="right"/>
    </xf>
    <xf numFmtId="0" fontId="2" fillId="23" borderId="5" xfId="0" applyFont="1" applyFill="1" applyBorder="1" applyAlignment="1" applyProtection="1">
      <alignment horizontal="right"/>
    </xf>
    <xf numFmtId="0" fontId="2" fillId="23" borderId="6" xfId="0" applyFont="1" applyFill="1" applyBorder="1" applyAlignment="1" applyProtection="1">
      <alignment horizontal="right"/>
    </xf>
    <xf numFmtId="0" fontId="0" fillId="0" borderId="37" xfId="0" applyBorder="1" applyAlignment="1" applyProtection="1">
      <alignment horizontal="left" vertical="center" wrapText="1"/>
    </xf>
    <xf numFmtId="0" fontId="0" fillId="0" borderId="61" xfId="0" applyBorder="1" applyAlignment="1" applyProtection="1">
      <alignment horizontal="left" vertical="center" wrapText="1"/>
    </xf>
    <xf numFmtId="0" fontId="0" fillId="0" borderId="38" xfId="0" applyBorder="1" applyAlignment="1" applyProtection="1">
      <alignment horizontal="left" vertical="center" wrapText="1"/>
    </xf>
    <xf numFmtId="0" fontId="0" fillId="0" borderId="35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60" xfId="0" applyBorder="1" applyAlignment="1" applyProtection="1">
      <alignment horizontal="left" vertical="center" wrapText="1"/>
    </xf>
    <xf numFmtId="0" fontId="0" fillId="0" borderId="63" xfId="0" applyBorder="1" applyAlignment="1" applyProtection="1">
      <alignment horizontal="left" vertical="center" wrapText="1"/>
    </xf>
    <xf numFmtId="0" fontId="0" fillId="0" borderId="53" xfId="0" applyBorder="1" applyAlignment="1" applyProtection="1">
      <alignment horizontal="left" vertical="center" wrapText="1"/>
    </xf>
    <xf numFmtId="0" fontId="0" fillId="0" borderId="68" xfId="0" applyBorder="1" applyAlignment="1" applyProtection="1">
      <alignment horizontal="left" vertical="center" wrapText="1"/>
    </xf>
    <xf numFmtId="0" fontId="2" fillId="23" borderId="14" xfId="0" applyFont="1" applyFill="1" applyBorder="1" applyAlignment="1" applyProtection="1">
      <alignment horizontal="right"/>
    </xf>
    <xf numFmtId="0" fontId="2" fillId="23" borderId="29" xfId="0" applyFont="1" applyFill="1" applyBorder="1" applyAlignment="1" applyProtection="1">
      <alignment horizontal="right"/>
    </xf>
    <xf numFmtId="0" fontId="2" fillId="23" borderId="30" xfId="0" applyFont="1" applyFill="1" applyBorder="1" applyAlignment="1" applyProtection="1">
      <alignment horizontal="right"/>
    </xf>
    <xf numFmtId="0" fontId="2" fillId="23" borderId="19" xfId="0" applyFont="1" applyFill="1" applyBorder="1" applyAlignment="1" applyProtection="1">
      <alignment horizontal="right"/>
    </xf>
    <xf numFmtId="0" fontId="2" fillId="23" borderId="0" xfId="0" applyFont="1" applyFill="1" applyBorder="1" applyAlignment="1" applyProtection="1">
      <alignment horizontal="right"/>
    </xf>
    <xf numFmtId="0" fontId="2" fillId="23" borderId="33" xfId="0" applyFont="1" applyFill="1" applyBorder="1" applyAlignment="1" applyProtection="1">
      <alignment horizontal="right"/>
    </xf>
    <xf numFmtId="0" fontId="5" fillId="0" borderId="10" xfId="0" applyFont="1" applyBorder="1" applyAlignment="1" applyProtection="1">
      <alignment horizontal="center" vertical="center" textRotation="45"/>
    </xf>
    <xf numFmtId="0" fontId="5" fillId="0" borderId="21" xfId="0" applyFont="1" applyBorder="1" applyAlignment="1" applyProtection="1">
      <alignment horizontal="center" vertical="center" textRotation="45"/>
    </xf>
    <xf numFmtId="0" fontId="5" fillId="0" borderId="26" xfId="0" applyFont="1" applyBorder="1" applyAlignment="1" applyProtection="1">
      <alignment horizontal="center" vertical="center" textRotation="45"/>
    </xf>
    <xf numFmtId="0" fontId="5" fillId="9" borderId="4" xfId="0" applyFont="1" applyFill="1" applyBorder="1" applyAlignment="1" applyProtection="1">
      <alignment horizontal="center" vertical="center" textRotation="45"/>
    </xf>
    <xf numFmtId="0" fontId="5" fillId="9" borderId="19" xfId="0" applyFont="1" applyFill="1" applyBorder="1" applyAlignment="1" applyProtection="1">
      <alignment horizontal="center" vertical="center" textRotation="45"/>
    </xf>
    <xf numFmtId="0" fontId="5" fillId="9" borderId="14" xfId="0" applyFont="1" applyFill="1" applyBorder="1" applyAlignment="1" applyProtection="1">
      <alignment horizontal="center" vertical="center" textRotation="45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2" fillId="24" borderId="4" xfId="0" applyFont="1" applyFill="1" applyBorder="1" applyAlignment="1" applyProtection="1">
      <alignment horizontal="center"/>
    </xf>
    <xf numFmtId="0" fontId="2" fillId="24" borderId="6" xfId="0" applyFont="1" applyFill="1" applyBorder="1" applyAlignment="1" applyProtection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0" borderId="19" xfId="0" applyFont="1" applyBorder="1" applyAlignment="1" applyProtection="1">
      <alignment horizontal="center" vertical="center"/>
    </xf>
    <xf numFmtId="0" fontId="0" fillId="0" borderId="82" xfId="0" applyBorder="1" applyAlignment="1" applyProtection="1">
      <alignment horizontal="center" vertical="center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16" fillId="18" borderId="4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0" fillId="17" borderId="46" xfId="0" applyFill="1" applyBorder="1" applyAlignment="1" applyProtection="1">
      <alignment horizontal="center" vertical="center"/>
      <protection hidden="1"/>
    </xf>
    <xf numFmtId="0" fontId="0" fillId="17" borderId="100" xfId="0" applyFill="1" applyBorder="1" applyAlignment="1" applyProtection="1">
      <alignment horizontal="center" vertical="center"/>
      <protection hidden="1"/>
    </xf>
    <xf numFmtId="0" fontId="0" fillId="17" borderId="34" xfId="0" applyFill="1" applyBorder="1" applyAlignment="1" applyProtection="1">
      <alignment horizontal="center" vertical="center"/>
      <protection hidden="1"/>
    </xf>
    <xf numFmtId="0" fontId="0" fillId="17" borderId="48" xfId="0" applyFill="1" applyBorder="1" applyAlignment="1" applyProtection="1">
      <alignment horizontal="center" vertical="center"/>
      <protection hidden="1"/>
    </xf>
    <xf numFmtId="0" fontId="0" fillId="17" borderId="60" xfId="0" applyFill="1" applyBorder="1" applyAlignment="1" applyProtection="1">
      <alignment horizontal="center" vertical="center"/>
      <protection hidden="1"/>
    </xf>
    <xf numFmtId="0" fontId="0" fillId="17" borderId="62" xfId="0" applyFill="1" applyBorder="1" applyAlignment="1" applyProtection="1">
      <alignment horizontal="center" vertical="center"/>
      <protection hidden="1"/>
    </xf>
    <xf numFmtId="0" fontId="0" fillId="17" borderId="47" xfId="0" applyFill="1" applyBorder="1" applyAlignment="1" applyProtection="1">
      <alignment horizontal="center" vertical="center"/>
      <protection hidden="1"/>
    </xf>
    <xf numFmtId="0" fontId="0" fillId="17" borderId="98" xfId="0" applyFill="1" applyBorder="1" applyAlignment="1" applyProtection="1">
      <alignment horizontal="center" vertical="center"/>
      <protection hidden="1"/>
    </xf>
    <xf numFmtId="0" fontId="0" fillId="17" borderId="99" xfId="0" applyFill="1" applyBorder="1" applyAlignment="1" applyProtection="1">
      <alignment horizontal="center" vertical="center"/>
      <protection hidden="1"/>
    </xf>
    <xf numFmtId="0" fontId="0" fillId="17" borderId="10" xfId="0" applyFill="1" applyBorder="1" applyAlignment="1" applyProtection="1">
      <alignment horizontal="center" vertical="center"/>
      <protection hidden="1"/>
    </xf>
    <xf numFmtId="0" fontId="0" fillId="17" borderId="21" xfId="0" applyFill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 vertical="center"/>
      <protection hidden="1"/>
    </xf>
    <xf numFmtId="0" fontId="0" fillId="0" borderId="104" xfId="0" applyBorder="1" applyAlignment="1" applyProtection="1">
      <alignment horizontal="center" vertic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105" xfId="0" applyBorder="1" applyAlignment="1" applyProtection="1">
      <alignment horizontal="center" vertical="center"/>
      <protection hidden="1"/>
    </xf>
    <xf numFmtId="0" fontId="0" fillId="17" borderId="6" xfId="0" applyFill="1" applyBorder="1" applyAlignment="1" applyProtection="1">
      <alignment horizontal="center" vertical="center"/>
      <protection hidden="1"/>
    </xf>
    <xf numFmtId="0" fontId="0" fillId="17" borderId="33" xfId="0" applyFill="1" applyBorder="1" applyAlignment="1" applyProtection="1">
      <alignment horizontal="center" vertical="center"/>
      <protection hidden="1"/>
    </xf>
    <xf numFmtId="0" fontId="0" fillId="17" borderId="30" xfId="0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8"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F93"/>
      <color rgb="FFFFFFE1"/>
      <color rgb="FFFFFB8D"/>
      <color rgb="FFFFC7B3"/>
      <color rgb="FFF070F1"/>
      <color rgb="FF0BF110"/>
      <color rgb="FFFFA41B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28</xdr:row>
      <xdr:rowOff>12700</xdr:rowOff>
    </xdr:from>
    <xdr:to>
      <xdr:col>7</xdr:col>
      <xdr:colOff>673100</xdr:colOff>
      <xdr:row>71</xdr:row>
      <xdr:rowOff>88900</xdr:rowOff>
    </xdr:to>
    <xdr:sp macro="" textlink="">
      <xdr:nvSpPr>
        <xdr:cNvPr id="15" name="Bent-Up Arrow 14">
          <a:extLst>
            <a:ext uri="{FF2B5EF4-FFF2-40B4-BE49-F238E27FC236}">
              <a16:creationId xmlns:a16="http://schemas.microsoft.com/office/drawing/2014/main" id="{9F828691-D405-2A4B-A1C7-90B35AF56241}"/>
            </a:ext>
          </a:extLst>
        </xdr:cNvPr>
        <xdr:cNvSpPr/>
      </xdr:nvSpPr>
      <xdr:spPr>
        <a:xfrm rot="5400000">
          <a:off x="-158750" y="10826750"/>
          <a:ext cx="10096500" cy="2921000"/>
        </a:xfrm>
        <a:prstGeom prst="bentUpArrow">
          <a:avLst>
            <a:gd name="adj1" fmla="val 12295"/>
            <a:gd name="adj2" fmla="val 12680"/>
            <a:gd name="adj3" fmla="val 13193"/>
          </a:avLst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Scroll  for Rusults  -------&gt;</a:t>
          </a:r>
        </a:p>
      </xdr:txBody>
    </xdr:sp>
    <xdr:clientData/>
  </xdr:twoCellAnchor>
  <xdr:twoCellAnchor>
    <xdr:from>
      <xdr:col>4</xdr:col>
      <xdr:colOff>190500</xdr:colOff>
      <xdr:row>70</xdr:row>
      <xdr:rowOff>190500</xdr:rowOff>
    </xdr:from>
    <xdr:to>
      <xdr:col>10</xdr:col>
      <xdr:colOff>2374900</xdr:colOff>
      <xdr:row>91</xdr:row>
      <xdr:rowOff>127000</xdr:rowOff>
    </xdr:to>
    <xdr:sp macro="" textlink="">
      <xdr:nvSpPr>
        <xdr:cNvPr id="4" name="Bent-Up Arrow 3">
          <a:extLst>
            <a:ext uri="{FF2B5EF4-FFF2-40B4-BE49-F238E27FC236}">
              <a16:creationId xmlns:a16="http://schemas.microsoft.com/office/drawing/2014/main" id="{6013CACA-067C-9144-A840-BECA1CEEE8C3}"/>
            </a:ext>
          </a:extLst>
        </xdr:cNvPr>
        <xdr:cNvSpPr/>
      </xdr:nvSpPr>
      <xdr:spPr>
        <a:xfrm rot="5400000">
          <a:off x="3873500" y="16713200"/>
          <a:ext cx="6375400" cy="7264400"/>
        </a:xfrm>
        <a:prstGeom prst="bentUpArrow">
          <a:avLst>
            <a:gd name="adj1" fmla="val 6965"/>
            <a:gd name="adj2" fmla="val 6471"/>
            <a:gd name="adj3" fmla="val 76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131680</xdr:colOff>
      <xdr:row>74</xdr:row>
      <xdr:rowOff>354264</xdr:rowOff>
    </xdr:from>
    <xdr:to>
      <xdr:col>7</xdr:col>
      <xdr:colOff>588880</xdr:colOff>
      <xdr:row>75</xdr:row>
      <xdr:rowOff>278064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C4600F-C676-5146-996F-D78CF3C3463B}"/>
            </a:ext>
          </a:extLst>
        </xdr:cNvPr>
        <xdr:cNvSpPr txBox="1"/>
      </xdr:nvSpPr>
      <xdr:spPr>
        <a:xfrm>
          <a:off x="4235785" y="14899106"/>
          <a:ext cx="1286042" cy="35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bg1"/>
              </a:solidFill>
            </a:rPr>
            <a:t>Results</a:t>
          </a:r>
        </a:p>
      </xdr:txBody>
    </xdr:sp>
    <xdr:clientData/>
  </xdr:twoCellAnchor>
  <xdr:twoCellAnchor>
    <xdr:from>
      <xdr:col>8</xdr:col>
      <xdr:colOff>322848</xdr:colOff>
      <xdr:row>88</xdr:row>
      <xdr:rowOff>108952</xdr:rowOff>
    </xdr:from>
    <xdr:to>
      <xdr:col>10</xdr:col>
      <xdr:colOff>1948448</xdr:colOff>
      <xdr:row>90</xdr:row>
      <xdr:rowOff>58153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78DD6B-40C0-214C-BBBF-3B38A491C508}"/>
            </a:ext>
          </a:extLst>
        </xdr:cNvPr>
        <xdr:cNvSpPr txBox="1"/>
      </xdr:nvSpPr>
      <xdr:spPr>
        <a:xfrm>
          <a:off x="6863348" y="22905452"/>
          <a:ext cx="3403600" cy="35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tx1"/>
              </a:solidFill>
            </a:rPr>
            <a:t>Server Configuration Caclulator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DF65-547C-E24A-ADE5-31550730AC02}">
  <sheetPr codeName="Sheet1">
    <pageSetUpPr fitToPage="1"/>
  </sheetPr>
  <dimension ref="A1:BI128"/>
  <sheetViews>
    <sheetView showGridLines="0" showRowColHeaders="0" tabSelected="1" zoomScaleNormal="100" workbookViewId="0">
      <selection activeCell="E13" sqref="E13"/>
    </sheetView>
  </sheetViews>
  <sheetFormatPr baseColWidth="10" defaultColWidth="8.83203125" defaultRowHeight="16" x14ac:dyDescent="0.2"/>
  <cols>
    <col min="1" max="1" width="6.6640625" style="2" customWidth="1"/>
    <col min="2" max="2" width="9.33203125" style="2" hidden="1" customWidth="1"/>
    <col min="3" max="3" width="9.33203125" style="2" customWidth="1"/>
    <col min="4" max="4" width="17.1640625" style="2" customWidth="1"/>
    <col min="5" max="5" width="10.5" style="2" customWidth="1"/>
    <col min="6" max="6" width="10.6640625" style="2" customWidth="1"/>
    <col min="7" max="7" width="10.83203125" style="2" customWidth="1"/>
    <col min="8" max="8" width="11.33203125" style="2" customWidth="1"/>
    <col min="9" max="9" width="10.5" style="3" customWidth="1"/>
    <col min="10" max="10" width="12.83203125" style="3" customWidth="1"/>
    <col min="11" max="11" width="35" style="2" customWidth="1"/>
    <col min="12" max="12" width="10.5" style="2" customWidth="1"/>
    <col min="13" max="13" width="17.33203125" style="2" customWidth="1"/>
    <col min="14" max="14" width="16.83203125" style="2" customWidth="1"/>
    <col min="15" max="15" width="12.1640625" style="2" customWidth="1"/>
    <col min="16" max="16" width="9.83203125" style="2" customWidth="1"/>
    <col min="17" max="17" width="8.33203125" style="2" customWidth="1"/>
    <col min="18" max="18" width="9.33203125" style="2" customWidth="1"/>
    <col min="19" max="19" width="13" style="2" hidden="1" customWidth="1"/>
    <col min="20" max="20" width="17.33203125" style="2" hidden="1" customWidth="1"/>
    <col min="21" max="21" width="13.1640625" style="3" hidden="1" customWidth="1"/>
    <col min="22" max="22" width="14" style="3" hidden="1" customWidth="1"/>
    <col min="23" max="23" width="12.1640625" style="3" hidden="1" customWidth="1"/>
    <col min="24" max="24" width="14" style="2" hidden="1" customWidth="1"/>
    <col min="25" max="25" width="13.83203125" style="2" hidden="1" customWidth="1"/>
    <col min="26" max="26" width="10.5" style="2" hidden="1" customWidth="1"/>
    <col min="27" max="28" width="8.1640625" style="2" hidden="1" customWidth="1"/>
    <col min="29" max="29" width="9.83203125" style="2" hidden="1" customWidth="1"/>
    <col min="30" max="30" width="6.83203125" style="2" hidden="1" customWidth="1"/>
    <col min="31" max="31" width="10.1640625" style="2" hidden="1" customWidth="1"/>
    <col min="32" max="32" width="7.6640625" style="2" hidden="1" customWidth="1"/>
    <col min="33" max="33" width="7.5" style="2" hidden="1" customWidth="1"/>
    <col min="34" max="35" width="8.1640625" style="2" hidden="1" customWidth="1"/>
    <col min="36" max="36" width="9.5" style="2" hidden="1" customWidth="1"/>
    <col min="37" max="38" width="8.5" style="2" hidden="1" customWidth="1"/>
    <col min="39" max="39" width="10.6640625" style="2" hidden="1" customWidth="1"/>
    <col min="40" max="41" width="8.83203125" style="2" hidden="1" customWidth="1"/>
    <col min="42" max="42" width="10.1640625" style="2" hidden="1" customWidth="1"/>
    <col min="43" max="53" width="8.83203125" style="2" hidden="1" customWidth="1"/>
    <col min="54" max="54" width="10.1640625" style="2" hidden="1" customWidth="1"/>
    <col min="55" max="59" width="8.83203125" style="2" hidden="1" customWidth="1"/>
    <col min="60" max="60" width="10.83203125" style="2" hidden="1" customWidth="1"/>
    <col min="61" max="61" width="8.83203125" style="2" hidden="1" customWidth="1"/>
    <col min="62" max="62" width="8.83203125" style="2" customWidth="1"/>
    <col min="63" max="16384" width="8.83203125" style="2"/>
  </cols>
  <sheetData>
    <row r="1" spans="1:29" ht="7" customHeight="1" thickBot="1" x14ac:dyDescent="0.25"/>
    <row r="2" spans="1:29" ht="22" thickBot="1" x14ac:dyDescent="0.3">
      <c r="D2" s="670" t="s">
        <v>242</v>
      </c>
      <c r="E2" s="671"/>
      <c r="F2" s="671"/>
      <c r="G2" s="671"/>
      <c r="H2" s="671"/>
      <c r="I2" s="671"/>
      <c r="J2" s="672"/>
    </row>
    <row r="3" spans="1:29" ht="20" thickBot="1" x14ac:dyDescent="0.3">
      <c r="D3" s="673" t="s">
        <v>0</v>
      </c>
      <c r="E3" s="674"/>
      <c r="F3" s="674"/>
      <c r="G3" s="674"/>
      <c r="H3" s="674"/>
      <c r="I3" s="674"/>
      <c r="J3" s="675"/>
    </row>
    <row r="4" spans="1:29" ht="22" hidden="1" thickBot="1" x14ac:dyDescent="0.3">
      <c r="D4" s="4" t="s">
        <v>46</v>
      </c>
      <c r="E4" s="5"/>
      <c r="F4" s="5"/>
      <c r="G4" s="5"/>
      <c r="H4" s="5"/>
      <c r="I4" s="5"/>
      <c r="J4" s="5"/>
      <c r="K4" s="5"/>
      <c r="L4" s="6"/>
      <c r="S4" s="666" t="s">
        <v>67</v>
      </c>
      <c r="T4" s="667"/>
      <c r="U4" s="667"/>
      <c r="V4" s="667"/>
      <c r="W4" s="667"/>
      <c r="X4" s="667"/>
      <c r="Y4" s="668"/>
      <c r="Z4" s="7"/>
      <c r="AA4" s="7"/>
      <c r="AB4" s="7"/>
    </row>
    <row r="5" spans="1:29" ht="69" hidden="1" thickBot="1" x14ac:dyDescent="0.25">
      <c r="D5" s="8"/>
      <c r="E5" s="9" t="s">
        <v>55</v>
      </c>
      <c r="F5" s="9" t="s">
        <v>60</v>
      </c>
      <c r="G5" s="10" t="s">
        <v>58</v>
      </c>
      <c r="H5" s="9" t="s">
        <v>51</v>
      </c>
      <c r="I5" s="11" t="s">
        <v>52</v>
      </c>
      <c r="J5" s="9" t="s">
        <v>50</v>
      </c>
      <c r="K5" s="11" t="s">
        <v>53</v>
      </c>
      <c r="L5" s="12" t="s">
        <v>43</v>
      </c>
      <c r="S5" s="13"/>
      <c r="T5" s="14"/>
      <c r="U5" s="15" t="s">
        <v>61</v>
      </c>
      <c r="V5" s="16" t="s">
        <v>63</v>
      </c>
      <c r="W5" s="9" t="s">
        <v>64</v>
      </c>
      <c r="X5" s="9" t="s">
        <v>65</v>
      </c>
      <c r="Y5" s="17" t="s">
        <v>43</v>
      </c>
      <c r="Z5" s="18"/>
      <c r="AA5" s="18"/>
      <c r="AB5" s="18"/>
    </row>
    <row r="6" spans="1:29" hidden="1" x14ac:dyDescent="0.2">
      <c r="D6" s="19" t="s">
        <v>44</v>
      </c>
      <c r="E6" s="10">
        <v>3</v>
      </c>
      <c r="F6" s="10">
        <v>4</v>
      </c>
      <c r="G6" s="242">
        <f>E6*F6</f>
        <v>12</v>
      </c>
      <c r="H6" s="10">
        <v>16</v>
      </c>
      <c r="I6" s="242">
        <f>H6*E6</f>
        <v>48</v>
      </c>
      <c r="J6" s="10">
        <v>120</v>
      </c>
      <c r="K6" s="242">
        <f>J6*E6</f>
        <v>360</v>
      </c>
      <c r="L6" s="17"/>
      <c r="S6" s="8" t="s">
        <v>62</v>
      </c>
      <c r="T6" s="10"/>
      <c r="U6" s="20">
        <v>1</v>
      </c>
      <c r="V6" s="20">
        <v>12</v>
      </c>
      <c r="W6" s="10">
        <v>48</v>
      </c>
      <c r="X6" s="10">
        <v>360</v>
      </c>
      <c r="Y6" s="21"/>
      <c r="Z6" s="22"/>
      <c r="AA6" s="22"/>
      <c r="AB6" s="22"/>
    </row>
    <row r="7" spans="1:29" hidden="1" x14ac:dyDescent="0.2">
      <c r="D7" s="23" t="s">
        <v>45</v>
      </c>
      <c r="E7" s="18">
        <v>2</v>
      </c>
      <c r="F7" s="18">
        <v>2</v>
      </c>
      <c r="G7" s="243">
        <f>E7*F7</f>
        <v>4</v>
      </c>
      <c r="H7" s="18">
        <v>8</v>
      </c>
      <c r="I7" s="243">
        <f>H7*E7</f>
        <v>16</v>
      </c>
      <c r="J7" s="18">
        <v>120</v>
      </c>
      <c r="K7" s="243">
        <f>J7*E7</f>
        <v>240</v>
      </c>
      <c r="L7" s="24"/>
      <c r="S7" s="25" t="s">
        <v>39</v>
      </c>
      <c r="T7" s="18"/>
      <c r="U7" s="7">
        <v>1</v>
      </c>
      <c r="V7" s="7">
        <v>4</v>
      </c>
      <c r="W7" s="18">
        <v>16</v>
      </c>
      <c r="X7" s="18">
        <v>240</v>
      </c>
      <c r="Y7" s="26"/>
      <c r="Z7" s="18"/>
      <c r="AA7" s="18"/>
      <c r="AB7" s="18"/>
    </row>
    <row r="8" spans="1:29" ht="17" hidden="1" thickBot="1" x14ac:dyDescent="0.25">
      <c r="D8" s="27" t="s">
        <v>54</v>
      </c>
      <c r="E8" s="28">
        <v>1</v>
      </c>
      <c r="F8" s="28">
        <v>4</v>
      </c>
      <c r="G8" s="244">
        <f>E8*F8</f>
        <v>4</v>
      </c>
      <c r="H8" s="28">
        <v>64</v>
      </c>
      <c r="I8" s="244">
        <f>H8*E8</f>
        <v>64</v>
      </c>
      <c r="J8" s="28">
        <v>115</v>
      </c>
      <c r="K8" s="244">
        <f>J8*E8</f>
        <v>115</v>
      </c>
      <c r="L8" s="29">
        <v>1</v>
      </c>
      <c r="S8" s="30" t="s">
        <v>66</v>
      </c>
      <c r="T8" s="28"/>
      <c r="U8" s="31">
        <v>1</v>
      </c>
      <c r="V8" s="31">
        <v>4</v>
      </c>
      <c r="W8" s="28">
        <v>64</v>
      </c>
      <c r="X8" s="28">
        <v>115</v>
      </c>
      <c r="Y8" s="32">
        <v>1</v>
      </c>
      <c r="Z8" s="18"/>
      <c r="AA8" s="18"/>
      <c r="AB8" s="18"/>
    </row>
    <row r="9" spans="1:29" ht="17" hidden="1" thickBot="1" x14ac:dyDescent="0.25">
      <c r="D9" s="33" t="s">
        <v>40</v>
      </c>
      <c r="E9" s="34">
        <v>1</v>
      </c>
      <c r="F9" s="34">
        <v>4</v>
      </c>
      <c r="G9" s="245">
        <f>E9*F9</f>
        <v>4</v>
      </c>
      <c r="H9" s="34">
        <v>16</v>
      </c>
      <c r="I9" s="245">
        <f>H9*E9</f>
        <v>16</v>
      </c>
      <c r="J9" s="34">
        <v>120</v>
      </c>
      <c r="K9" s="245">
        <f>J9*E9</f>
        <v>120</v>
      </c>
      <c r="L9" s="35"/>
      <c r="U9" s="2"/>
      <c r="AC9" s="36"/>
    </row>
    <row r="10" spans="1:29" ht="17" hidden="1" thickBot="1" x14ac:dyDescent="0.25">
      <c r="D10" s="37" t="s">
        <v>42</v>
      </c>
      <c r="E10" s="246">
        <f>IF(E13="Y",IF($E$26="Y",E6+E7+E8,E6+E7),IF($E$26="Y",E6+E7+E8,E6+E7)-3)</f>
        <v>5</v>
      </c>
      <c r="F10" s="246">
        <f t="shared" ref="F10:L10" si="0">IF($E$26="Y",F6+F7+F8,F6+F7)</f>
        <v>6</v>
      </c>
      <c r="G10" s="246">
        <f t="shared" si="0"/>
        <v>16</v>
      </c>
      <c r="H10" s="246">
        <f t="shared" si="0"/>
        <v>24</v>
      </c>
      <c r="I10" s="246">
        <f t="shared" si="0"/>
        <v>64</v>
      </c>
      <c r="J10" s="246">
        <f t="shared" si="0"/>
        <v>240</v>
      </c>
      <c r="K10" s="246">
        <f t="shared" si="0"/>
        <v>600</v>
      </c>
      <c r="L10" s="247">
        <f t="shared" si="0"/>
        <v>0</v>
      </c>
      <c r="U10" s="2"/>
    </row>
    <row r="11" spans="1:29" hidden="1" x14ac:dyDescent="0.2">
      <c r="E11" s="38" t="s">
        <v>76</v>
      </c>
    </row>
    <row r="12" spans="1:29" ht="17" thickBot="1" x14ac:dyDescent="0.25">
      <c r="E12" s="38"/>
    </row>
    <row r="13" spans="1:29" ht="20" customHeight="1" x14ac:dyDescent="0.2">
      <c r="A13" s="676" t="s">
        <v>223</v>
      </c>
      <c r="B13" s="677"/>
      <c r="C13" s="677"/>
      <c r="D13" s="678"/>
      <c r="E13" s="429" t="s">
        <v>37</v>
      </c>
      <c r="G13" s="685" t="s">
        <v>146</v>
      </c>
      <c r="H13" s="686"/>
      <c r="I13" s="685" t="s">
        <v>145</v>
      </c>
      <c r="J13" s="686"/>
      <c r="K13" s="687"/>
      <c r="L13" s="660" t="s">
        <v>174</v>
      </c>
      <c r="M13" s="661"/>
      <c r="N13"/>
      <c r="O13"/>
    </row>
    <row r="14" spans="1:29" ht="20" customHeight="1" thickBot="1" x14ac:dyDescent="0.25">
      <c r="A14" s="679" t="s">
        <v>218</v>
      </c>
      <c r="B14" s="680"/>
      <c r="C14" s="680"/>
      <c r="D14" s="681"/>
      <c r="E14" s="430" t="s">
        <v>38</v>
      </c>
      <c r="G14" s="688"/>
      <c r="H14" s="689"/>
      <c r="I14" s="688"/>
      <c r="J14" s="689"/>
      <c r="K14" s="690"/>
      <c r="L14" s="662"/>
      <c r="M14" s="663"/>
      <c r="N14"/>
      <c r="O14"/>
    </row>
    <row r="15" spans="1:29" ht="20" customHeight="1" x14ac:dyDescent="0.2">
      <c r="A15" s="682" t="s">
        <v>219</v>
      </c>
      <c r="B15" s="683"/>
      <c r="C15" s="683"/>
      <c r="D15" s="684"/>
      <c r="E15" s="211" t="s">
        <v>38</v>
      </c>
      <c r="G15" s="688"/>
      <c r="H15" s="689"/>
      <c r="I15" s="688"/>
      <c r="J15" s="689"/>
      <c r="K15" s="690"/>
      <c r="L15" s="662"/>
      <c r="M15" s="663"/>
      <c r="N15"/>
      <c r="O15"/>
    </row>
    <row r="16" spans="1:29" ht="20" customHeight="1" thickBot="1" x14ac:dyDescent="0.25">
      <c r="A16" s="694" t="s">
        <v>220</v>
      </c>
      <c r="B16" s="695"/>
      <c r="C16" s="695"/>
      <c r="D16" s="696"/>
      <c r="E16" s="241" t="s">
        <v>38</v>
      </c>
      <c r="G16" s="688"/>
      <c r="H16" s="689"/>
      <c r="I16" s="688"/>
      <c r="J16" s="689"/>
      <c r="K16" s="690"/>
      <c r="L16" s="662"/>
      <c r="M16" s="663"/>
      <c r="N16"/>
      <c r="O16"/>
    </row>
    <row r="17" spans="1:28" ht="18" customHeight="1" x14ac:dyDescent="0.2">
      <c r="A17" s="697" t="s">
        <v>221</v>
      </c>
      <c r="B17" s="698"/>
      <c r="C17" s="698"/>
      <c r="D17" s="699"/>
      <c r="E17" s="428" t="s">
        <v>111</v>
      </c>
      <c r="G17" s="691"/>
      <c r="H17" s="692"/>
      <c r="I17" s="691"/>
      <c r="J17" s="692"/>
      <c r="K17" s="693"/>
      <c r="L17" s="664"/>
      <c r="M17" s="665"/>
      <c r="N17"/>
      <c r="O17"/>
    </row>
    <row r="18" spans="1:28" ht="20" customHeight="1" thickBot="1" x14ac:dyDescent="0.25">
      <c r="A18" s="694" t="s">
        <v>222</v>
      </c>
      <c r="B18" s="695"/>
      <c r="C18" s="695"/>
      <c r="D18" s="696"/>
      <c r="E18" s="241" t="s">
        <v>38</v>
      </c>
      <c r="I18" s="2"/>
      <c r="J18" s="2"/>
    </row>
    <row r="19" spans="1:28" ht="20" customHeight="1" thickBot="1" x14ac:dyDescent="0.25">
      <c r="I19" s="2"/>
      <c r="J19" s="2"/>
    </row>
    <row r="20" spans="1:28" ht="20" thickBot="1" x14ac:dyDescent="0.3">
      <c r="D20" s="39" t="s">
        <v>3</v>
      </c>
      <c r="E20" s="40"/>
      <c r="F20" s="589" t="s">
        <v>78</v>
      </c>
      <c r="G20" s="591"/>
      <c r="H20" s="589" t="s">
        <v>81</v>
      </c>
      <c r="I20" s="591"/>
      <c r="J20" s="41"/>
      <c r="K20" s="594" t="s">
        <v>4</v>
      </c>
      <c r="L20" s="427" t="str">
        <f>IF(AND(J22&gt;0,E17="One for All"),"Error:  One for All +  Individual Dev Env Entered","")</f>
        <v/>
      </c>
      <c r="M20" s="40"/>
      <c r="N20" s="40"/>
      <c r="O20" s="40"/>
      <c r="P20" s="40"/>
    </row>
    <row r="21" spans="1:28" ht="20" thickBot="1" x14ac:dyDescent="0.3">
      <c r="D21" s="42"/>
      <c r="E21" s="43" t="s">
        <v>7</v>
      </c>
      <c r="F21" s="93" t="s">
        <v>9</v>
      </c>
      <c r="G21" s="369" t="s">
        <v>8</v>
      </c>
      <c r="H21" s="381" t="s">
        <v>9</v>
      </c>
      <c r="I21" s="369" t="s">
        <v>8</v>
      </c>
      <c r="J21" s="143" t="s">
        <v>101</v>
      </c>
      <c r="K21" s="669"/>
      <c r="L21" s="422"/>
      <c r="M21" s="439" t="s">
        <v>18</v>
      </c>
      <c r="N21" s="44" t="s">
        <v>31</v>
      </c>
      <c r="O21" s="44" t="s">
        <v>48</v>
      </c>
      <c r="P21" s="45" t="s">
        <v>43</v>
      </c>
      <c r="S21" s="46" t="s">
        <v>56</v>
      </c>
      <c r="T21" s="47"/>
      <c r="U21" s="47"/>
      <c r="V21" s="47"/>
      <c r="W21" s="47"/>
      <c r="X21" s="47"/>
      <c r="Y21" s="48"/>
      <c r="Z21" s="49"/>
      <c r="AA21" s="49"/>
      <c r="AB21" s="49"/>
    </row>
    <row r="22" spans="1:28" ht="19" customHeight="1" thickBot="1" x14ac:dyDescent="0.25">
      <c r="C22" s="605" t="s">
        <v>12</v>
      </c>
      <c r="D22" s="370" t="s">
        <v>5</v>
      </c>
      <c r="E22" s="371" t="s">
        <v>38</v>
      </c>
      <c r="F22" s="376" t="s">
        <v>119</v>
      </c>
      <c r="G22" s="1">
        <v>0</v>
      </c>
      <c r="H22" s="454"/>
      <c r="I22" s="455"/>
      <c r="J22" s="456">
        <v>0</v>
      </c>
      <c r="K22" s="460" t="str">
        <f>IF(AND(E22="N",J22&gt;0),"Manage Must be Y",IF(E22="Y",IF(G22&lt;=U24,"Xsmall/Min",IF(G22&lt;=V24,"Small",IF(G22&lt;=W24,"Medium",IF(G22&lt;=X24,"Large","Beyond Large")))),"None"))</f>
        <v>None</v>
      </c>
      <c r="L22" s="423"/>
      <c r="M22" s="464">
        <f>IF($E$22="Y",IF($K$22="xSmall/Min",V45,IF($K$22="Small",V46,IF($K$22="Medium",V47,IF($K$22="Large",V48,V49)))),0)</f>
        <v>0</v>
      </c>
      <c r="N22" s="464">
        <f>IF($E$22="Y",IF($K$22="Xsmall/Min",W45,IF($K$22="Small",W46,IF($K$22="Medium",W47,IF($K$22="Large",W48,W49)))),0)</f>
        <v>0</v>
      </c>
      <c r="O22" s="464">
        <f>IF($E$22="Y",IF($K$22="Xsmall/Min",X45,IF($K$22="Small",X46,IF($K$22="Medium",X47,IF($K$22="Large",X48,X49)))),0)</f>
        <v>0</v>
      </c>
      <c r="P22" s="465"/>
      <c r="S22" s="13"/>
      <c r="T22" s="51"/>
      <c r="U22" s="52" t="s">
        <v>125</v>
      </c>
      <c r="V22" s="53"/>
      <c r="W22" s="53"/>
      <c r="X22" s="53"/>
      <c r="Y22" s="54"/>
      <c r="Z22" s="55"/>
      <c r="AA22" s="55"/>
      <c r="AB22" s="55"/>
    </row>
    <row r="23" spans="1:28" ht="20" thickBot="1" x14ac:dyDescent="0.25">
      <c r="C23" s="606"/>
      <c r="D23" s="372" t="s">
        <v>10</v>
      </c>
      <c r="E23" s="373" t="s">
        <v>38</v>
      </c>
      <c r="F23" s="377" t="s">
        <v>120</v>
      </c>
      <c r="G23" s="378">
        <v>0</v>
      </c>
      <c r="H23" s="377" t="s">
        <v>119</v>
      </c>
      <c r="I23" s="378">
        <v>0</v>
      </c>
      <c r="J23" s="457">
        <v>0</v>
      </c>
      <c r="K23" s="460" t="str">
        <f>IF(AND(E23="N",J23&gt;0),"Monitor Must be Y",IF(E23="Y",IF(AND(G23&lt;=U25,I23&lt;=U26),"Xsmall/Min",IF(AND(G23&lt;=V25,I23&lt;=V26),"Small",IF(AND(G23&lt;=W25,I23&lt;=W26),"Medium",IF(AND(G23&lt;=X25,I23&lt;X26),"Large","Beyond Large")))),"None"))</f>
        <v>None</v>
      </c>
      <c r="L23" s="423"/>
      <c r="M23" s="248">
        <f>IF($E$23="Y",IF($K$23="Xsmall/Min",V51,IF($K$23="Small",V52,IF($K$23="Medium",V53,IF($K$23="Large",V54,V55)))),0)</f>
        <v>0</v>
      </c>
      <c r="N23" s="248">
        <f>IF($E$23="Y",IF($K$23="Xsmall/Min",W51,IF($K$23="Small",W52,IF($K$23="Medium",W53,IF($K$23="Large",W54,W55)))),0)</f>
        <v>0</v>
      </c>
      <c r="O23" s="248">
        <f>IF($E$23="Y",IF($K$23="Xsmall/Min",X51,IF($K$23="Small",X52,IF($K$23="Medium",X53,IF($K$23="Large",X54,X55)))),0)</f>
        <v>0</v>
      </c>
      <c r="P23" s="466"/>
      <c r="S23" s="57"/>
      <c r="T23" s="58" t="s">
        <v>57</v>
      </c>
      <c r="U23" s="59" t="s">
        <v>122</v>
      </c>
      <c r="V23" s="58" t="s">
        <v>20</v>
      </c>
      <c r="W23" s="58" t="s">
        <v>1</v>
      </c>
      <c r="X23" s="60" t="s">
        <v>2</v>
      </c>
      <c r="Y23" s="58" t="s">
        <v>59</v>
      </c>
      <c r="Z23" s="61"/>
      <c r="AA23" s="61"/>
      <c r="AB23" s="61"/>
    </row>
    <row r="24" spans="1:28" ht="19" customHeight="1" thickBot="1" x14ac:dyDescent="0.25">
      <c r="C24" s="606"/>
      <c r="D24" s="374" t="s">
        <v>13</v>
      </c>
      <c r="E24" s="373" t="s">
        <v>38</v>
      </c>
      <c r="F24" s="377" t="s">
        <v>119</v>
      </c>
      <c r="G24" s="378">
        <v>0</v>
      </c>
      <c r="H24" s="377" t="s">
        <v>77</v>
      </c>
      <c r="I24" s="378">
        <v>0</v>
      </c>
      <c r="J24" s="457">
        <v>0</v>
      </c>
      <c r="K24" s="460" t="str">
        <f>IF(AND(E24="N",J24&gt;0),"Health Must be Y",IF(E24="Y",IF(AND(E16="W/Manage",E22="N"),"Invalid: Manage Required to Share DB2 ",IF(AND(E16="W/Monitor",E23="N"),"Invalid: Monitor Required to Share DB2",IF(AND(G24&lt;=U27,I24&lt;=U28),"Xsmall/Min",IF(AND(G24&lt;=V27,I24&lt;=V28),"Small",IF(AND(G24&lt;=W27,I24&lt;=W28),"Medium",IF(AND(G24&lt;=X27,I24&lt;=X28),"Large","Beyond Large")))))),"None"))</f>
        <v>None</v>
      </c>
      <c r="L24" s="423"/>
      <c r="M24" s="248">
        <f>IF($E$24="Y",IF(AND($E$16="W/Manage",$E$22="N"),"Error",IF(AND($E$16="W/Monitor",$E$23="N"),"Error",IF($K$24="Xsmall/Min",V57,IF($K$24="Small",V58,IF($K$24="Medium",V59,IF($K$24="Large",V60,V61)))))),0)</f>
        <v>0</v>
      </c>
      <c r="N24" s="248">
        <f>IF($E$24="Y",IF(AND($E$16="W/Manage",E22="N"),"Error",IF(AND($E$16="W/Monitor",$E$23="N"),"Error",IF($K$24="Xsmall/Min",W57,IF($K$24="Small",W58,IF($K$24="Medium",W59,IF($K$24="Large",W60,W61)))))),0)</f>
        <v>0</v>
      </c>
      <c r="O24" s="248">
        <f>IF($E$24="Y",IF(AND($E$16="W/Manage",E22="N"),"Error",IF(AND($E$16="W/Monitor",$E$23="N"),"Error",IF($K$24="Xsmall/Min",X57,IF($K$24="Small",X58,IF($K$24="Medium",X59,IF($K$24="Large",X60,X61)))))),0)</f>
        <v>0</v>
      </c>
      <c r="P24" s="466"/>
      <c r="S24" s="62" t="s">
        <v>5</v>
      </c>
      <c r="T24" s="76" t="s">
        <v>6</v>
      </c>
      <c r="U24" s="166">
        <v>50</v>
      </c>
      <c r="V24" s="63">
        <v>100</v>
      </c>
      <c r="W24" s="64">
        <v>250</v>
      </c>
      <c r="X24" s="64">
        <v>500</v>
      </c>
      <c r="Y24" s="258">
        <f t="shared" ref="Y24:Y30" si="1">X24+W24</f>
        <v>750</v>
      </c>
      <c r="Z24" s="36"/>
      <c r="AA24" s="36"/>
      <c r="AB24" s="36"/>
    </row>
    <row r="25" spans="1:28" ht="18" customHeight="1" x14ac:dyDescent="0.2">
      <c r="C25" s="606"/>
      <c r="D25" s="372" t="s">
        <v>14</v>
      </c>
      <c r="E25" s="375" t="s">
        <v>38</v>
      </c>
      <c r="F25" s="377" t="s">
        <v>148</v>
      </c>
      <c r="G25" s="379">
        <f>'Predict Data Points'!D21</f>
        <v>3285000</v>
      </c>
      <c r="H25" s="382"/>
      <c r="I25" s="383"/>
      <c r="J25" s="457">
        <v>0</v>
      </c>
      <c r="K25" s="461" t="str">
        <f>IF(AND(E25="N",J25&gt;0),"Predict Must be Y",IF(E25="Y",IF(OR(E23="N",E24="N"),"Invalid-Predict Requires Monitor &amp; Health",IF(AND(G25&lt;=U30,I25&lt;=U31),"Xsmall/Min",IF(AND(G25&lt;=V30,I25&lt;=V31),"Small",IF(AND(G25&lt;=W30,I25&lt;=W31),"Medium",IF(AND(G25&lt;=X30,I25&lt;=X31),"Large","Beyond Large"))))),"None"))</f>
        <v>None</v>
      </c>
      <c r="L25" s="423"/>
      <c r="M25" s="248">
        <f>IF($E$25="Y",IF(OR(E23="N",E24="N"),"Error",IF($K$25="Xsmall/Min",V63,IF($K$25="Small",V64,IF($K$25="Medium",V65,IF($K$25="Large",V66,V67))))),0)</f>
        <v>0</v>
      </c>
      <c r="N25" s="248">
        <f>IF($E$25="Y",IF(OR(E23="N",E24="N"),"Error",IF($K$25="Xsmall/Min",W63,IF($K$25="Small",W64,IF($K$25="Medium",W65,IF($K$25="Large",W66,W67))))),0)</f>
        <v>0</v>
      </c>
      <c r="O25" s="248">
        <f>IF($E$25="Y",IF(OR(E23="N",E24="N"),"Error",IF($K$25="Xsmall/Min",X63,IF($K$25="Small",X64,IF($K$25="Medium",X65,IF($K$25="Large",X66,X67))))),0)</f>
        <v>0</v>
      </c>
      <c r="P25" s="466"/>
      <c r="S25" s="608" t="s">
        <v>10</v>
      </c>
      <c r="T25" s="65" t="s">
        <v>11</v>
      </c>
      <c r="U25" s="66">
        <v>1000</v>
      </c>
      <c r="V25" s="165">
        <v>5000</v>
      </c>
      <c r="W25" s="66">
        <v>50000</v>
      </c>
      <c r="X25" s="66">
        <v>300000</v>
      </c>
      <c r="Y25" s="259">
        <f t="shared" si="1"/>
        <v>350000</v>
      </c>
      <c r="Z25" s="36"/>
      <c r="AA25" s="36"/>
      <c r="AB25" s="36"/>
    </row>
    <row r="26" spans="1:28" ht="19" customHeight="1" thickBot="1" x14ac:dyDescent="0.25">
      <c r="C26" s="606"/>
      <c r="D26" s="448" t="s">
        <v>70</v>
      </c>
      <c r="E26" s="447" t="s">
        <v>38</v>
      </c>
      <c r="F26" s="377" t="s">
        <v>119</v>
      </c>
      <c r="G26" s="378">
        <v>0</v>
      </c>
      <c r="H26" s="382"/>
      <c r="I26" s="453"/>
      <c r="J26" s="457">
        <v>0</v>
      </c>
      <c r="K26" s="460" t="str">
        <f>IF(AND(E26="N",J26&gt;0),"Visual Inspection Must be Y",IF(E26="Y",IF(G26&lt;=U32,"Xsmall/Min",IF(G26&lt;=V32,"Small",IF(G26&lt;=W32,"Medium",IF(G26&lt;=X32,"Large","Beyond Large")))),"None"))</f>
        <v>None</v>
      </c>
      <c r="L26" s="423"/>
      <c r="M26" s="248">
        <f>IF($E$26="Y",IF($K$26="Xsmall/Min",V69,IF($K$26="Small",V70,IF($K$26="Medium",V71,IF($K$26="Large",V72,V73)))),0)</f>
        <v>0</v>
      </c>
      <c r="N26" s="248">
        <f>IF($E$26="Y",IF($K$26="Xsmall/Min",W69,IF($K$26="Small",W70,IF($K$26="Medium",W71,IF($K$26="Large",W72,W73)))),0)</f>
        <v>0</v>
      </c>
      <c r="O26" s="468">
        <f>IF($E$26="Y",IF($K$26="Xsmall/Min",X69,IF($K$26="Small",X70,IF($K$26="Medium",X71,IF($K$26="Large",X72,X73)))),0)</f>
        <v>0</v>
      </c>
      <c r="P26" s="462">
        <f>IF($E$26="Y",IF($K$26="Xsmall/Min",Y69,IF($K$26="Small",Y70,IF($K$26="Medium",Y71,IF($K$26="Large",Y72,Y73)))),0)</f>
        <v>0</v>
      </c>
      <c r="S26" s="610"/>
      <c r="T26" s="67" t="s">
        <v>6</v>
      </c>
      <c r="U26" s="68">
        <v>1</v>
      </c>
      <c r="V26" s="69">
        <v>10</v>
      </c>
      <c r="W26" s="69">
        <v>40</v>
      </c>
      <c r="X26" s="72">
        <v>60</v>
      </c>
      <c r="Y26" s="260">
        <f t="shared" si="1"/>
        <v>100</v>
      </c>
      <c r="Z26" s="70"/>
      <c r="AA26" s="70"/>
      <c r="AB26" s="70"/>
    </row>
    <row r="27" spans="1:28" ht="19" x14ac:dyDescent="0.2">
      <c r="C27" s="606"/>
      <c r="D27" s="448" t="s">
        <v>227</v>
      </c>
      <c r="E27" s="447" t="s">
        <v>38</v>
      </c>
      <c r="F27" s="377" t="s">
        <v>119</v>
      </c>
      <c r="G27" s="451"/>
      <c r="H27" s="382"/>
      <c r="I27" s="453"/>
      <c r="J27" s="458">
        <v>0</v>
      </c>
      <c r="K27" s="460" t="str">
        <f>IF(AND(E27="N",J27&gt;0),"Assist Must be Y",IF(E27="Y",IF(G27&lt;V33,"Xsmall/Min",IF(G27&lt;W33,"Small",IF(G27&lt;X33,"Medium",IF(G27&lt;Y33,"Large","Beyond Large")))),"None"))</f>
        <v>None</v>
      </c>
      <c r="L27" s="23"/>
      <c r="M27" s="248">
        <f>IF($E$27="Y",IF($K$27="Xsmall/Min",V75,IF($K$27="Small",V76,IF($K$27="Medium",V77,IF($K$27="Large",V78,V79)))),0)</f>
        <v>0</v>
      </c>
      <c r="N27" s="488">
        <f>IF($E$27="Y",IF($K$27="Xsmall/Min",W75,IF($K$27="Small",W76,IF($K$27="Medium",W77,IF($K$27="Large",W78,W79)))),0)</f>
        <v>0</v>
      </c>
      <c r="O27" s="488">
        <f>IF($E$27="Y",IF($K$27="Xsmall/Min",X75,IF($K$27="Small",X76,IF($K$27="Medium",X77,IF($K$27="Large",X78,X79)))),0)</f>
        <v>0</v>
      </c>
      <c r="P27" s="466"/>
      <c r="S27" s="608" t="s">
        <v>13</v>
      </c>
      <c r="T27" s="65" t="s">
        <v>6</v>
      </c>
      <c r="U27" s="66">
        <v>1</v>
      </c>
      <c r="V27" s="165">
        <v>5</v>
      </c>
      <c r="W27" s="66">
        <v>15</v>
      </c>
      <c r="X27" s="66">
        <v>35</v>
      </c>
      <c r="Y27" s="259">
        <f t="shared" si="1"/>
        <v>50</v>
      </c>
      <c r="Z27" s="36"/>
      <c r="AA27" s="36"/>
      <c r="AB27" s="36"/>
    </row>
    <row r="28" spans="1:28" ht="21" customHeight="1" thickBot="1" x14ac:dyDescent="0.25">
      <c r="C28" s="607"/>
      <c r="D28" s="449" t="s">
        <v>228</v>
      </c>
      <c r="E28" s="450" t="s">
        <v>38</v>
      </c>
      <c r="F28" s="452" t="s">
        <v>230</v>
      </c>
      <c r="G28" s="228">
        <v>0</v>
      </c>
      <c r="H28" s="380" t="s">
        <v>120</v>
      </c>
      <c r="I28" s="228">
        <v>0</v>
      </c>
      <c r="J28" s="459">
        <v>0</v>
      </c>
      <c r="K28" s="460" t="str">
        <f>IF(AND(E28="N",J28&gt;0),"Safety Must be Y",IF(E28="Y",IF(AND(G28&lt;=U35,I28&lt;=U36),"Xsmall/Min",IF(AND(G28&lt;=V35,I28&lt;=V36),"Small",IF(AND(G28&lt;=W35,I28&lt;=W36),"Medium",IF(AND(G28&lt;=X35,I28&lt;X36),"Large","Beyond Large")))),"None"))</f>
        <v>None</v>
      </c>
      <c r="L28" s="463"/>
      <c r="M28" s="248">
        <f>IF($E$28="Y",IF($K$28="Xsmall/Min",V81,IF($K$28="Small",V82,IF($K$28="Medium",V83,IF($K$28="Large",V84,V85)))),0)</f>
        <v>0</v>
      </c>
      <c r="N28" s="488">
        <f>IF($E$28="Y",IF($K$28="Xsmall/Min",W81,IF($K$28="Small",W82,IF($K$28="Medium",W83,IF($K$28="Large",W84,W85)))),0)</f>
        <v>0</v>
      </c>
      <c r="O28" s="488">
        <f>IF($E$28="Y",IF($K$28="Xsmall/Min",X81,IF($K$28="Small",X82,IF($K$28="Medium",X83,IF($K$28="Large",X84,X85)))),0)</f>
        <v>0</v>
      </c>
      <c r="P28" s="467"/>
      <c r="S28" s="609"/>
      <c r="T28" s="67" t="s">
        <v>77</v>
      </c>
      <c r="U28" s="69">
        <v>500</v>
      </c>
      <c r="V28" s="69">
        <v>3000</v>
      </c>
      <c r="W28" s="69">
        <v>20000</v>
      </c>
      <c r="X28" s="72">
        <v>50000</v>
      </c>
      <c r="Y28" s="260">
        <f t="shared" si="1"/>
        <v>70000</v>
      </c>
      <c r="Z28" s="70"/>
      <c r="AB28" s="70"/>
    </row>
    <row r="29" spans="1:28" ht="17" thickBot="1" x14ac:dyDescent="0.25">
      <c r="F29" s="71"/>
      <c r="H29" s="40"/>
      <c r="I29" s="41"/>
      <c r="J29" s="41"/>
      <c r="K29" s="592" t="s">
        <v>74</v>
      </c>
      <c r="L29" s="593"/>
      <c r="M29" s="249">
        <f>SUM(M22:M28)</f>
        <v>0</v>
      </c>
      <c r="N29" s="249">
        <f>SUM(N22:N28)</f>
        <v>0</v>
      </c>
      <c r="O29" s="249">
        <f>SUM(O22:O28)</f>
        <v>0</v>
      </c>
      <c r="P29" s="250">
        <f>SUM(P22:P28)</f>
        <v>0</v>
      </c>
      <c r="S29" s="608" t="s">
        <v>14</v>
      </c>
      <c r="T29" s="238" t="s">
        <v>169</v>
      </c>
      <c r="U29" s="66">
        <v>100</v>
      </c>
      <c r="V29" s="165">
        <v>12500</v>
      </c>
      <c r="W29" s="66">
        <v>85000</v>
      </c>
      <c r="X29" s="66">
        <v>210000</v>
      </c>
      <c r="Y29" s="259">
        <f t="shared" si="1"/>
        <v>295000</v>
      </c>
      <c r="Z29" s="36"/>
      <c r="AA29" s="70"/>
      <c r="AB29" s="36"/>
    </row>
    <row r="30" spans="1:28" ht="15" customHeight="1" x14ac:dyDescent="0.2">
      <c r="H30" s="40"/>
      <c r="I30" s="40"/>
      <c r="J30" s="40"/>
      <c r="K30" s="40"/>
      <c r="L30" s="40"/>
      <c r="M30" s="40"/>
      <c r="N30" s="40"/>
      <c r="O30" s="40"/>
      <c r="P30" s="40"/>
      <c r="S30" s="609"/>
      <c r="T30" s="239" t="s">
        <v>168</v>
      </c>
      <c r="U30" s="251">
        <f>V30/20</f>
        <v>164250</v>
      </c>
      <c r="V30" s="252">
        <f>W30/20</f>
        <v>3285000</v>
      </c>
      <c r="W30" s="213">
        <v>65700000</v>
      </c>
      <c r="X30" s="214">
        <v>821500000</v>
      </c>
      <c r="Y30" s="261">
        <f t="shared" si="1"/>
        <v>887200000</v>
      </c>
      <c r="Z30" s="70"/>
      <c r="AA30" s="36"/>
      <c r="AB30" s="70"/>
    </row>
    <row r="31" spans="1:28" ht="16" customHeight="1" thickBot="1" x14ac:dyDescent="0.25">
      <c r="H31" s="40"/>
      <c r="I31" s="40"/>
      <c r="J31" s="40"/>
      <c r="K31" s="40"/>
      <c r="L31" s="40"/>
      <c r="M31" s="40"/>
      <c r="N31" s="40"/>
      <c r="O31" s="40"/>
      <c r="P31" s="40"/>
      <c r="S31" s="610"/>
      <c r="T31" s="240" t="s">
        <v>6</v>
      </c>
      <c r="U31" s="69">
        <v>1</v>
      </c>
      <c r="V31" s="72">
        <v>2</v>
      </c>
      <c r="W31" s="72">
        <v>10</v>
      </c>
      <c r="X31" s="72">
        <v>35</v>
      </c>
      <c r="Y31" s="262">
        <f>X31+W31</f>
        <v>45</v>
      </c>
      <c r="Z31" s="77"/>
      <c r="AA31" s="77"/>
      <c r="AB31" s="77"/>
    </row>
    <row r="32" spans="1:28" ht="16" customHeight="1" thickBot="1" x14ac:dyDescent="0.25">
      <c r="H32" s="40"/>
      <c r="I32" s="41"/>
      <c r="J32" s="41"/>
      <c r="K32" s="594" t="s">
        <v>100</v>
      </c>
      <c r="L32" s="40"/>
      <c r="M32" s="40"/>
      <c r="N32" s="40"/>
      <c r="O32" s="40"/>
      <c r="P32" s="40"/>
      <c r="S32" s="75" t="s">
        <v>70</v>
      </c>
      <c r="T32" s="161" t="s">
        <v>6</v>
      </c>
      <c r="U32" s="164">
        <v>1</v>
      </c>
      <c r="V32" s="162">
        <v>4</v>
      </c>
      <c r="W32" s="163">
        <v>8</v>
      </c>
      <c r="X32" s="163">
        <v>16</v>
      </c>
      <c r="Y32" s="263">
        <f>X32+W32</f>
        <v>24</v>
      </c>
      <c r="Z32" s="77"/>
      <c r="AA32" s="77"/>
      <c r="AB32" s="77"/>
    </row>
    <row r="33" spans="5:61" ht="16" customHeight="1" thickBot="1" x14ac:dyDescent="0.25">
      <c r="F33" s="73"/>
      <c r="G33" s="73"/>
      <c r="H33" s="574" t="s">
        <v>15</v>
      </c>
      <c r="I33" s="154"/>
      <c r="J33" s="143"/>
      <c r="K33" s="595"/>
      <c r="L33" s="422"/>
      <c r="M33" s="439" t="s">
        <v>18</v>
      </c>
      <c r="N33" s="44" t="s">
        <v>31</v>
      </c>
      <c r="O33" s="44" t="s">
        <v>48</v>
      </c>
      <c r="P33" s="74" t="s">
        <v>43</v>
      </c>
      <c r="S33" s="608" t="s">
        <v>227</v>
      </c>
      <c r="T33" s="65" t="s">
        <v>6</v>
      </c>
      <c r="U33" s="66">
        <v>2</v>
      </c>
      <c r="V33" s="165">
        <v>3</v>
      </c>
      <c r="W33" s="66">
        <v>10</v>
      </c>
      <c r="X33" s="66">
        <v>30</v>
      </c>
      <c r="Y33" s="259">
        <f t="shared" ref="Y33:Y36" si="2">X33+W33</f>
        <v>40</v>
      </c>
      <c r="Z33" s="77"/>
      <c r="AA33" s="77"/>
      <c r="AB33" s="77"/>
    </row>
    <row r="34" spans="5:61" ht="16" customHeight="1" thickBot="1" x14ac:dyDescent="0.25">
      <c r="F34" s="73"/>
      <c r="G34" s="73"/>
      <c r="H34" s="575"/>
      <c r="I34" s="650" t="str">
        <f>D22</f>
        <v>Manage</v>
      </c>
      <c r="J34" s="651"/>
      <c r="K34" s="253" t="str">
        <f t="shared" ref="K34:K40" si="3">K22</f>
        <v>None</v>
      </c>
      <c r="L34" s="487"/>
      <c r="M34" s="484">
        <f>IF($E$22="Y",IF($K$22="Xsmall/Min",Z45,IF($K$22="Small",Z46,IF($K$22="Medium",Z47,IF($K$22="Large",Z48,Z49)))),0)</f>
        <v>0</v>
      </c>
      <c r="N34" s="483">
        <f>IF($E$22="Y",IF($K$22="Xsmall/Min",AA45,IF($K$22="Small",AA46,IF($K$22="Medium",AA47,IF($K$22="Large",AA48,AA49)))),0)</f>
        <v>0</v>
      </c>
      <c r="O34" s="483">
        <f>IF($E$22="Y",IF($K$22="Xsmall/Min",AB45,IF($K$22="Small",AB46,IF($K$22="Medium",AB47,IF($K$22="Large",AB48,AB49)))),0)</f>
        <v>0</v>
      </c>
      <c r="P34" s="50"/>
      <c r="S34" s="609"/>
      <c r="T34" s="67" t="s">
        <v>229</v>
      </c>
      <c r="U34" s="69">
        <v>50000</v>
      </c>
      <c r="V34" s="69">
        <v>100000</v>
      </c>
      <c r="W34" s="69">
        <v>600000</v>
      </c>
      <c r="X34" s="72">
        <v>1000000</v>
      </c>
      <c r="Y34" s="260">
        <f t="shared" si="2"/>
        <v>1600000</v>
      </c>
      <c r="Z34" s="77"/>
      <c r="AA34" s="77"/>
      <c r="AB34" s="77"/>
    </row>
    <row r="35" spans="5:61" ht="16" customHeight="1" x14ac:dyDescent="0.2">
      <c r="E35" s="73"/>
      <c r="F35" s="73"/>
      <c r="G35" s="73"/>
      <c r="H35" s="575"/>
      <c r="I35" s="596" t="str">
        <f>D23</f>
        <v>Monitor</v>
      </c>
      <c r="J35" s="597"/>
      <c r="K35" s="254" t="str">
        <f t="shared" si="3"/>
        <v>None</v>
      </c>
      <c r="L35" s="487"/>
      <c r="M35" s="481">
        <f>IF($E$23="Y",IF($K$23="Xsmall/Min",Z51,IF($K$23="Small",Z52,IF($K$23="Medium",Z53,IF($K$23="Large",Z54,Z55)))),0)</f>
        <v>0</v>
      </c>
      <c r="N35" s="256">
        <f>IF($E$23="Y",IF($K$23="Xsmall/Min",AA51,IF($K$23="Small",AA52,IF($K$23="Medium",AA53,IF($K$23="Large",AA54,AA55)))),0)</f>
        <v>0</v>
      </c>
      <c r="O35" s="256">
        <f>IF($E$23="Y",IF($K$23="Xsmall/Min",AB51,IF($K$23="Small",AB52,IF($K$23="Medium",AB53,IF($K$23="Large",AB54,AB55)))),0)</f>
        <v>0</v>
      </c>
      <c r="P35" s="56"/>
      <c r="S35" s="608" t="s">
        <v>228</v>
      </c>
      <c r="T35" s="238" t="s">
        <v>237</v>
      </c>
      <c r="U35" s="66">
        <v>50</v>
      </c>
      <c r="V35" s="165">
        <v>250</v>
      </c>
      <c r="W35" s="66">
        <v>2500</v>
      </c>
      <c r="X35" s="66">
        <v>10000</v>
      </c>
      <c r="Y35" s="259">
        <f t="shared" si="2"/>
        <v>12500</v>
      </c>
      <c r="Z35" s="77"/>
      <c r="AA35" s="77"/>
      <c r="AB35" s="77"/>
    </row>
    <row r="36" spans="5:61" ht="16" customHeight="1" thickBot="1" x14ac:dyDescent="0.25">
      <c r="E36" s="73"/>
      <c r="F36" s="73"/>
      <c r="G36" s="73"/>
      <c r="H36" s="575"/>
      <c r="I36" s="596" t="str">
        <f>D24</f>
        <v>Health</v>
      </c>
      <c r="J36" s="597"/>
      <c r="K36" s="254" t="str">
        <f t="shared" si="3"/>
        <v>None</v>
      </c>
      <c r="L36" s="487"/>
      <c r="M36" s="462">
        <f>IF($E$24="Y",IF(AND($E$16="W/Manage",E22="N"),"Error",IF(AND($E$16="W/Monitor",$E$23="N"),"Error",IF($K$24="Xsmall/Min",Z57,IF($K$24="Small",Z58,IF($K$24="Medium",Z59,IF($K$24="Large",Z60,Z61)))))),0)</f>
        <v>0</v>
      </c>
      <c r="N36" s="248">
        <f>IF($E$24="Y",IF(AND($E$16="W/Manage",E22="N"),"Error",IF(AND($E$16="W/Monitor",$E$23="N"),"Error",IF($K$24="Xsmall/Min",AA57,IF($K$24="Small",AA58,IF($K$24="Medium",AA59,IF($K$24="Large",AA60,AA61)))))),0)</f>
        <v>0</v>
      </c>
      <c r="O36" s="248">
        <f>IF($E$24="Y",IF(AND($E$16="W/Manage",E22="N"),"Error",IF(AND($E$16="W/Monitor",$E$23="N"),"Error",IF($K$24="Xsmall/Min",AB57,IF($K$24="Small",AB58,IF($K$24="Medium",AB59,IF($K$24="Large",AB60,AB61)))))),0)</f>
        <v>0</v>
      </c>
      <c r="P36" s="56"/>
      <c r="S36" s="610"/>
      <c r="T36" s="240" t="s">
        <v>11</v>
      </c>
      <c r="U36" s="69">
        <v>1000</v>
      </c>
      <c r="V36" s="69">
        <v>5000</v>
      </c>
      <c r="W36" s="69">
        <v>50000</v>
      </c>
      <c r="X36" s="72">
        <v>200000</v>
      </c>
      <c r="Y36" s="469">
        <f t="shared" si="2"/>
        <v>250000</v>
      </c>
      <c r="Z36" s="77"/>
      <c r="AA36" s="77"/>
      <c r="AB36" s="77"/>
    </row>
    <row r="37" spans="5:61" ht="16" customHeight="1" x14ac:dyDescent="0.2">
      <c r="E37" s="73"/>
      <c r="F37" s="73"/>
      <c r="G37" s="73"/>
      <c r="H37" s="575"/>
      <c r="I37" s="596" t="str">
        <f>D25</f>
        <v>Predict</v>
      </c>
      <c r="J37" s="597"/>
      <c r="K37" s="254" t="str">
        <f t="shared" si="3"/>
        <v>None</v>
      </c>
      <c r="L37" s="487"/>
      <c r="M37" s="462">
        <f>IF($E$25="Y",IF(OR(E23="N",E24="N"),"Error",IF($K$25="Xsmall/Min",Z63,IF($K$25="Small",Z64,IF($K$25="Medium",Z65,IF($K$25="Large",Z66,Z67))))),0)</f>
        <v>0</v>
      </c>
      <c r="N37" s="248">
        <f>IF($E$25="Y",IF(OR(E23="N",E24="N"),"Error",IF($K$25="Xsmall/Min",AA63,IF($K$25="Small",AA64,IF($K$25="Medium",AA65,IF($K$25="Large",AA66,AA67))))),0)</f>
        <v>0</v>
      </c>
      <c r="O37" s="248">
        <f>IF($E$25="Y",IF(OR(E23="N",E24="N"),"Error",IF($K$25="Xsmall/Min",AB63,IF($K$25="Small",AB64,IF($K$25="Medium",AB65,IF($K$25="Large",AB66,AB67))))),0)</f>
        <v>0</v>
      </c>
      <c r="P37" s="56"/>
      <c r="S37" s="3"/>
    </row>
    <row r="38" spans="5:61" ht="16" customHeight="1" x14ac:dyDescent="0.2">
      <c r="E38" s="73"/>
      <c r="F38" s="73"/>
      <c r="G38" s="73"/>
      <c r="H38" s="575"/>
      <c r="I38" s="596" t="str">
        <f>D26</f>
        <v>Visual Inspection</v>
      </c>
      <c r="J38" s="597"/>
      <c r="K38" s="254" t="str">
        <f t="shared" si="3"/>
        <v>None</v>
      </c>
      <c r="L38" s="487"/>
      <c r="M38" s="482">
        <f>IF($E$26="Y",IF($K$26="Xsmall/Min",Z69,IF($K$26="Small",Z70,IF($K$26="Medium",Z71,IF($K$26="Large",Z72,Z73)))),0)</f>
        <v>0</v>
      </c>
      <c r="N38" s="257">
        <f>IF($E$26="Y",IF($K$26="Xsmall/Min",AA69,IF($K$26="Small",AA70,IF($K$26="Medium",AA71,IF($K$26="Large",AA72,AA73)))),0)</f>
        <v>0</v>
      </c>
      <c r="O38" s="257">
        <f>IF($E$26="Y",IF($K$26="Xsmall/Min",AB69,IF($K$26="Small",AB70,IF($K$26="Medium",AB71,IF($K$26="Large",AB72,AB73)))),0)</f>
        <v>0</v>
      </c>
      <c r="P38" s="56"/>
      <c r="S38"/>
    </row>
    <row r="39" spans="5:61" ht="17" customHeight="1" x14ac:dyDescent="0.2">
      <c r="E39" s="73"/>
      <c r="F39" s="73"/>
      <c r="G39" s="73"/>
      <c r="H39" s="575"/>
      <c r="I39" s="596" t="s">
        <v>227</v>
      </c>
      <c r="J39" s="597"/>
      <c r="K39" s="254" t="str">
        <f t="shared" si="3"/>
        <v>None</v>
      </c>
      <c r="L39" s="26"/>
      <c r="M39" s="482">
        <f>IF($E$27="Y",IF($K$27="Xsmall/Min",Z75,IF($K$27="Small",Z76,IF($K$27="Medium",Z77,IF($K$27="Large",Z78,Z79)))),0)</f>
        <v>0</v>
      </c>
      <c r="N39" s="489">
        <f>IF($E$27="Y",IF($K$27="Xsmall/Min",AA75,IF($K$27="Small",AA76,IF($K$27="Medium",AA77,IF($K$27="Large",AA78,AA79)))),0)</f>
        <v>0</v>
      </c>
      <c r="O39" s="257">
        <f>IF($E$27="Y",IF($K$27="Xsmall/Min",AB75,IF($K$27="Small",AB76,IF($K$27="Medium",AB77,IF($K$27="Large",AB78,AB79)))),0)</f>
        <v>0</v>
      </c>
      <c r="P39" s="56"/>
      <c r="R39" s="88"/>
      <c r="S39" s="169"/>
      <c r="T39"/>
      <c r="U39"/>
      <c r="V39"/>
      <c r="W39"/>
      <c r="X39"/>
      <c r="Y39"/>
      <c r="Z39"/>
      <c r="AA39"/>
      <c r="AB39"/>
      <c r="AC39" s="89"/>
    </row>
    <row r="40" spans="5:61" ht="17" customHeight="1" thickBot="1" x14ac:dyDescent="0.25">
      <c r="H40" s="576"/>
      <c r="I40" s="598" t="s">
        <v>228</v>
      </c>
      <c r="J40" s="599"/>
      <c r="K40" s="255" t="str">
        <f t="shared" si="3"/>
        <v>None</v>
      </c>
      <c r="L40" s="32"/>
      <c r="M40" s="482">
        <f>IF($E$28="Y",IF($K$28="Xsmall/Min",Z81,IF($K$28="Small",Z82,IF($K$28="Medium",Z83,IF($K$28="Large",Z84,Z85)))),0)</f>
        <v>0</v>
      </c>
      <c r="N40" s="489">
        <f>IF($E$28="Y",IF($K$28="Xsmall/Min",AA81,IF($K$28="Small",AA82,IF($K$28="Medium",AA83,IF($K$28="Large",AA84,AA85)))),0)</f>
        <v>0</v>
      </c>
      <c r="O40" s="257">
        <f>IF($E$28="Y",IF($K$28="Xsmall/Min",AB81,IF($K$28="Small",AB82,IF($K$28="Medium",AB83,IF($K$28="Large",AB84,AB85)))),0)</f>
        <v>0</v>
      </c>
      <c r="P40" s="56"/>
      <c r="R40" s="90"/>
      <c r="S40"/>
      <c r="T40"/>
      <c r="U40"/>
      <c r="V40"/>
      <c r="W40"/>
      <c r="X40"/>
      <c r="Y40"/>
      <c r="Z40"/>
      <c r="AA40"/>
      <c r="AB40"/>
      <c r="AC40" s="89"/>
    </row>
    <row r="41" spans="5:61" ht="17" customHeight="1" thickBot="1" x14ac:dyDescent="0.25">
      <c r="G41" s="82"/>
      <c r="H41" s="73"/>
      <c r="I41" s="73"/>
      <c r="J41" s="40"/>
      <c r="K41" s="444" t="s">
        <v>235</v>
      </c>
      <c r="L41" s="445"/>
      <c r="M41" s="249">
        <f>SUM(M34:M40)</f>
        <v>0</v>
      </c>
      <c r="N41" s="249">
        <f>SUM(N34:N40)</f>
        <v>0</v>
      </c>
      <c r="O41" s="249">
        <f>SUM(O34:O40)</f>
        <v>0</v>
      </c>
      <c r="P41" s="78"/>
      <c r="R41" s="90"/>
      <c r="S41"/>
      <c r="T41"/>
      <c r="U41" s="712" t="s">
        <v>214</v>
      </c>
      <c r="V41" s="713"/>
      <c r="W41" s="713"/>
      <c r="X41" s="714"/>
      <c r="Y41"/>
      <c r="Z41" s="715" t="s">
        <v>215</v>
      </c>
      <c r="AA41" s="716"/>
      <c r="AB41" s="717"/>
      <c r="AC41" s="658" t="s">
        <v>108</v>
      </c>
      <c r="AD41" s="659"/>
      <c r="AE41" s="659"/>
      <c r="AF41" s="659"/>
      <c r="AG41" s="589" t="s">
        <v>109</v>
      </c>
      <c r="AH41" s="590"/>
      <c r="AI41" s="590"/>
      <c r="AJ41" s="590"/>
      <c r="AK41" s="590"/>
      <c r="AL41" s="591"/>
      <c r="AM41" s="443" t="s">
        <v>233</v>
      </c>
      <c r="AN41" s="589" t="s">
        <v>41</v>
      </c>
      <c r="AO41" s="590"/>
      <c r="AP41" s="590"/>
      <c r="AQ41" s="706"/>
      <c r="AR41" s="706"/>
      <c r="AS41" s="706"/>
      <c r="AT41" s="706"/>
      <c r="AU41" s="706"/>
      <c r="AV41" s="706"/>
      <c r="AW41" s="706"/>
      <c r="AX41" s="706"/>
      <c r="AY41" s="707"/>
      <c r="AZ41" s="589" t="s">
        <v>68</v>
      </c>
      <c r="BA41" s="590"/>
      <c r="BB41" s="590"/>
      <c r="BC41" s="590"/>
      <c r="BD41" s="590"/>
      <c r="BE41" s="590"/>
      <c r="BF41" s="590"/>
      <c r="BG41" s="591"/>
      <c r="BH41" s="393" t="s">
        <v>68</v>
      </c>
      <c r="BI41" s="393" t="s">
        <v>68</v>
      </c>
    </row>
    <row r="42" spans="5:61" ht="17" customHeight="1" thickBot="1" x14ac:dyDescent="0.25">
      <c r="G42" s="82"/>
      <c r="J42" s="40"/>
      <c r="K42" s="40"/>
      <c r="L42" s="40"/>
      <c r="M42" s="40"/>
      <c r="N42" s="40"/>
      <c r="O42" s="40"/>
      <c r="P42" s="79"/>
      <c r="S42" s="169"/>
      <c r="T42"/>
      <c r="U42" s="424"/>
      <c r="V42" s="425"/>
      <c r="W42" s="485" t="s">
        <v>211</v>
      </c>
      <c r="X42" s="426"/>
      <c r="Y42"/>
      <c r="Z42" s="589" t="s">
        <v>84</v>
      </c>
      <c r="AA42" s="590"/>
      <c r="AB42" s="591"/>
      <c r="AC42" s="93" t="s">
        <v>86</v>
      </c>
      <c r="AD42" s="94" t="s">
        <v>88</v>
      </c>
      <c r="AE42" s="94" t="s">
        <v>89</v>
      </c>
      <c r="AF42" s="95" t="s">
        <v>91</v>
      </c>
      <c r="AG42" s="441"/>
      <c r="AH42" s="386" t="s">
        <v>93</v>
      </c>
      <c r="AI42" s="386" t="s">
        <v>93</v>
      </c>
      <c r="AJ42" s="470" t="s">
        <v>96</v>
      </c>
      <c r="AK42" s="386"/>
      <c r="AL42" s="442" t="s">
        <v>93</v>
      </c>
      <c r="AM42" s="547" t="s">
        <v>127</v>
      </c>
      <c r="AN42" s="710" t="s">
        <v>112</v>
      </c>
      <c r="AO42" s="711"/>
      <c r="AP42" s="552" t="s">
        <v>127</v>
      </c>
      <c r="AQ42" s="395" t="s">
        <v>89</v>
      </c>
      <c r="AR42" s="386" t="s">
        <v>96</v>
      </c>
      <c r="AS42" s="386" t="s">
        <v>126</v>
      </c>
      <c r="AT42" s="386" t="s">
        <v>185</v>
      </c>
      <c r="AU42" s="386" t="s">
        <v>167</v>
      </c>
      <c r="AV42" s="386" t="s">
        <v>232</v>
      </c>
      <c r="AW42" s="386" t="s">
        <v>231</v>
      </c>
      <c r="AX42" s="386" t="s">
        <v>186</v>
      </c>
      <c r="AY42" s="396" t="s">
        <v>88</v>
      </c>
      <c r="AZ42" s="404" t="s">
        <v>189</v>
      </c>
      <c r="BA42" s="389" t="s">
        <v>185</v>
      </c>
      <c r="BB42" s="389" t="s">
        <v>188</v>
      </c>
      <c r="BC42" s="389" t="s">
        <v>89</v>
      </c>
      <c r="BD42" s="146" t="s">
        <v>167</v>
      </c>
      <c r="BE42" s="146" t="s">
        <v>232</v>
      </c>
      <c r="BF42" s="146" t="s">
        <v>231</v>
      </c>
      <c r="BG42" s="564" t="s">
        <v>68</v>
      </c>
      <c r="BH42" s="147" t="s">
        <v>175</v>
      </c>
      <c r="BI42" s="564" t="s">
        <v>190</v>
      </c>
    </row>
    <row r="43" spans="5:61" ht="61" customHeight="1" thickBot="1" x14ac:dyDescent="0.25">
      <c r="G43" s="82"/>
      <c r="H43" s="82"/>
      <c r="I43" s="611" t="s">
        <v>102</v>
      </c>
      <c r="J43" s="612"/>
      <c r="K43" s="83"/>
      <c r="L43" s="84"/>
      <c r="M43" s="85" t="s">
        <v>19</v>
      </c>
      <c r="N43" s="86" t="s">
        <v>31</v>
      </c>
      <c r="O43" s="87" t="s">
        <v>48</v>
      </c>
      <c r="P43" s="87" t="s">
        <v>43</v>
      </c>
      <c r="Q43" s="88"/>
      <c r="S43" s="700" t="s">
        <v>12</v>
      </c>
      <c r="T43" s="168" t="s">
        <v>16</v>
      </c>
      <c r="U43" s="80" t="s">
        <v>17</v>
      </c>
      <c r="V43" s="215" t="s">
        <v>18</v>
      </c>
      <c r="W43" s="531" t="s">
        <v>49</v>
      </c>
      <c r="X43" s="81" t="s">
        <v>48</v>
      </c>
      <c r="Y43" s="167" t="s">
        <v>43</v>
      </c>
      <c r="Z43" s="537" t="s">
        <v>85</v>
      </c>
      <c r="AA43" s="527" t="s">
        <v>68</v>
      </c>
      <c r="AB43" s="538" t="s">
        <v>41</v>
      </c>
      <c r="AC43" s="144" t="s">
        <v>87</v>
      </c>
      <c r="AD43" s="22" t="s">
        <v>83</v>
      </c>
      <c r="AE43" s="22" t="s">
        <v>90</v>
      </c>
      <c r="AF43" s="145" t="s">
        <v>92</v>
      </c>
      <c r="AG43" s="144" t="s">
        <v>167</v>
      </c>
      <c r="AH43" s="22" t="s">
        <v>94</v>
      </c>
      <c r="AI43" s="22" t="s">
        <v>95</v>
      </c>
      <c r="AJ43" s="405" t="s">
        <v>97</v>
      </c>
      <c r="AK43" s="22" t="s">
        <v>232</v>
      </c>
      <c r="AL43" s="145" t="s">
        <v>231</v>
      </c>
      <c r="AM43" s="527" t="s">
        <v>98</v>
      </c>
      <c r="AN43" s="553" t="s">
        <v>18</v>
      </c>
      <c r="AO43" s="554" t="s">
        <v>41</v>
      </c>
      <c r="AP43" s="537" t="s">
        <v>41</v>
      </c>
      <c r="AQ43" s="144" t="s">
        <v>41</v>
      </c>
      <c r="AR43" s="22" t="s">
        <v>41</v>
      </c>
      <c r="AS43" s="22" t="s">
        <v>41</v>
      </c>
      <c r="AT43" s="22" t="s">
        <v>41</v>
      </c>
      <c r="AU43" s="22" t="s">
        <v>41</v>
      </c>
      <c r="AV43" s="22" t="s">
        <v>41</v>
      </c>
      <c r="AW43" s="22" t="s">
        <v>41</v>
      </c>
      <c r="AX43" s="22" t="s">
        <v>41</v>
      </c>
      <c r="AY43" s="145" t="s">
        <v>41</v>
      </c>
      <c r="AZ43" s="405" t="s">
        <v>68</v>
      </c>
      <c r="BA43" s="388" t="s">
        <v>68</v>
      </c>
      <c r="BB43" s="388" t="s">
        <v>68</v>
      </c>
      <c r="BC43" s="388" t="s">
        <v>68</v>
      </c>
      <c r="BD43" s="145" t="s">
        <v>68</v>
      </c>
      <c r="BE43" s="145" t="s">
        <v>68</v>
      </c>
      <c r="BF43" s="145" t="s">
        <v>68</v>
      </c>
      <c r="BG43" s="565" t="s">
        <v>42</v>
      </c>
      <c r="BH43" s="59" t="s">
        <v>127</v>
      </c>
      <c r="BI43" s="565" t="s">
        <v>68</v>
      </c>
    </row>
    <row r="44" spans="5:61" ht="16" customHeight="1" thickBot="1" x14ac:dyDescent="0.25">
      <c r="G44" s="82"/>
      <c r="H44" s="82"/>
      <c r="I44" s="613"/>
      <c r="J44" s="614"/>
      <c r="K44" s="632" t="s">
        <v>69</v>
      </c>
      <c r="L44" s="633"/>
      <c r="M44" s="249">
        <f>M41+M29</f>
        <v>0</v>
      </c>
      <c r="N44" s="249">
        <f>N41+N29</f>
        <v>0</v>
      </c>
      <c r="O44" s="249">
        <f>O41+O29</f>
        <v>0</v>
      </c>
      <c r="P44" s="249">
        <f>P29+P41</f>
        <v>0</v>
      </c>
      <c r="Q44" s="90"/>
      <c r="S44" s="701"/>
      <c r="T44" s="703" t="s">
        <v>5</v>
      </c>
      <c r="U44" s="175" t="s">
        <v>123</v>
      </c>
      <c r="V44" s="185">
        <v>4</v>
      </c>
      <c r="W44" s="530">
        <f>IF($E$15="N",BC44+BH44,BH44)</f>
        <v>256</v>
      </c>
      <c r="X44" s="160">
        <v>16</v>
      </c>
      <c r="Y44" s="14"/>
      <c r="Z44" s="539">
        <f>IF($E$15="N",AM44,AM44-AE44-AD44)</f>
        <v>23</v>
      </c>
      <c r="AA44" s="530">
        <f>IF($E$15="N",BI44,AZ44+BA44+BD44)</f>
        <v>815</v>
      </c>
      <c r="AB44" s="540">
        <f>IF($E$15="N",AP44,AP44-AQ44-AY44)</f>
        <v>118</v>
      </c>
      <c r="AC44" s="178">
        <v>5</v>
      </c>
      <c r="AD44" s="176">
        <v>6</v>
      </c>
      <c r="AE44" s="176">
        <v>9</v>
      </c>
      <c r="AF44" s="181">
        <v>2</v>
      </c>
      <c r="AG44" s="178">
        <v>1</v>
      </c>
      <c r="AH44" s="176"/>
      <c r="AI44" s="176"/>
      <c r="AJ44" s="176"/>
      <c r="AK44" s="176"/>
      <c r="AL44" s="400"/>
      <c r="AM44" s="548">
        <f t="shared" ref="AM44:AM73" si="4">SUM(AC44:AL44)</f>
        <v>23</v>
      </c>
      <c r="AN44" s="555">
        <f t="shared" ref="AN44:AN49" si="5">IF($B$118="S",IF($E$22="Y",AC44+AD44+AF44+AG44,0),0)</f>
        <v>0</v>
      </c>
      <c r="AO44" s="556">
        <f>IF($B$118="S",IF($E$22="Y",AP44-AQ44-AR44-AS44,0),0)</f>
        <v>0</v>
      </c>
      <c r="AP44" s="557">
        <f>SUM(AQ44:AY44)</f>
        <v>118</v>
      </c>
      <c r="AQ44" s="178">
        <v>100</v>
      </c>
      <c r="AR44" s="176">
        <v>0</v>
      </c>
      <c r="AS44" s="176">
        <v>0</v>
      </c>
      <c r="AT44" s="176">
        <v>2</v>
      </c>
      <c r="AU44" s="176"/>
      <c r="AV44" s="176"/>
      <c r="AW44" s="176"/>
      <c r="AX44" s="176">
        <v>16</v>
      </c>
      <c r="AY44" s="400"/>
      <c r="AZ44" s="406">
        <v>120</v>
      </c>
      <c r="BA44" s="176">
        <v>20</v>
      </c>
      <c r="BB44" s="176">
        <v>655</v>
      </c>
      <c r="BC44" s="176">
        <v>256</v>
      </c>
      <c r="BD44" s="176">
        <v>20</v>
      </c>
      <c r="BE44" s="176"/>
      <c r="BF44" s="397"/>
      <c r="BG44" s="557">
        <f>SUM(AZ44:BF44)+BH44</f>
        <v>1071</v>
      </c>
      <c r="BH44" s="390">
        <v>0</v>
      </c>
      <c r="BI44" s="568">
        <f>AZ44+BA44+BB44+BD44</f>
        <v>815</v>
      </c>
    </row>
    <row r="45" spans="5:61" ht="17" customHeight="1" x14ac:dyDescent="0.2">
      <c r="G45" s="82"/>
      <c r="H45" s="82"/>
      <c r="I45" s="613"/>
      <c r="J45" s="614"/>
      <c r="K45" s="626" t="s">
        <v>21</v>
      </c>
      <c r="L45" s="627"/>
      <c r="M45" s="617" t="str">
        <f>IF(E22="y",K22&amp;" "&amp;D22,"")&amp;" - "&amp;IF(E23="y",K23&amp;" "&amp;D23,"")&amp;" - "&amp;IF(E24="y",K24&amp;" "&amp;D24,"")&amp;" - "&amp;IF(E25="y",K25&amp;" "&amp;D25,"")&amp;" - "&amp;IF(E26="y",K26&amp;" "&amp;D26,"")&amp;" - "&amp;IF(E27="y",K27&amp;" "&amp;D27,"")&amp;" - "&amp;IF(E28="y",K28&amp;" "&amp;D28,"")</f>
        <v xml:space="preserve"> -  -  -  -  -  - </v>
      </c>
      <c r="N45" s="618"/>
      <c r="O45" s="618"/>
      <c r="P45" s="619"/>
      <c r="Q45" s="90"/>
      <c r="S45" s="701"/>
      <c r="T45" s="704"/>
      <c r="U45" s="186" t="s">
        <v>122</v>
      </c>
      <c r="V45" s="92">
        <v>4</v>
      </c>
      <c r="W45" s="528">
        <f t="shared" ref="W45:W73" si="6">IF($E$15="N",BC45+BH45,BH45)</f>
        <v>256</v>
      </c>
      <c r="X45" s="265">
        <v>16</v>
      </c>
      <c r="Y45" s="171"/>
      <c r="Z45" s="541">
        <f t="shared" ref="Z45:Z49" si="7">IF($E$15="N",AM45,AM45-AE45-AD45)</f>
        <v>27</v>
      </c>
      <c r="AA45" s="528">
        <f t="shared" ref="AA45:AA49" si="8">IF($E$15="N",BI45,AZ45+BA45+BD45)</f>
        <v>815</v>
      </c>
      <c r="AB45" s="542">
        <f>IF($E$15="N",AP45,AP45-AQ45-AY45)</f>
        <v>118</v>
      </c>
      <c r="AC45" s="122">
        <v>5</v>
      </c>
      <c r="AD45" s="91">
        <v>6</v>
      </c>
      <c r="AE45" s="91">
        <v>12</v>
      </c>
      <c r="AF45" s="182">
        <v>2</v>
      </c>
      <c r="AG45" s="122">
        <v>2</v>
      </c>
      <c r="AH45" s="91"/>
      <c r="AI45" s="91"/>
      <c r="AJ45" s="91"/>
      <c r="AK45" s="91"/>
      <c r="AL45" s="401"/>
      <c r="AM45" s="549">
        <f t="shared" si="4"/>
        <v>27</v>
      </c>
      <c r="AN45" s="558">
        <f t="shared" si="5"/>
        <v>0</v>
      </c>
      <c r="AO45" s="559">
        <f t="shared" ref="AO45:AO49" si="9">IF($B$118="S",IF($E$22="Y",AP45-AQ45-AR45-AS45,0),0)</f>
        <v>0</v>
      </c>
      <c r="AP45" s="560">
        <f t="shared" ref="AP45:AP48" si="10">SUM(AQ45:AY45)</f>
        <v>118</v>
      </c>
      <c r="AQ45" s="122">
        <v>100</v>
      </c>
      <c r="AR45" s="91">
        <v>0</v>
      </c>
      <c r="AS45" s="385">
        <v>0</v>
      </c>
      <c r="AT45" s="385">
        <v>2</v>
      </c>
      <c r="AU45" s="385"/>
      <c r="AV45" s="385"/>
      <c r="AW45" s="385"/>
      <c r="AX45" s="385">
        <v>16</v>
      </c>
      <c r="AY45" s="411"/>
      <c r="AZ45" s="407">
        <v>120</v>
      </c>
      <c r="BA45" s="91">
        <v>20</v>
      </c>
      <c r="BB45" s="91">
        <v>655</v>
      </c>
      <c r="BC45" s="91">
        <v>256</v>
      </c>
      <c r="BD45" s="91">
        <v>20</v>
      </c>
      <c r="BE45" s="91"/>
      <c r="BF45" s="398"/>
      <c r="BG45" s="560">
        <f t="shared" ref="BG45:BG85" si="11">SUM(AZ45:BF45)+BH45</f>
        <v>1071</v>
      </c>
      <c r="BH45" s="391">
        <v>0</v>
      </c>
      <c r="BI45" s="569">
        <f t="shared" ref="BI45:BI85" si="12">AZ45+BA45+BB45+BD45</f>
        <v>815</v>
      </c>
    </row>
    <row r="46" spans="5:61" ht="17" customHeight="1" thickBot="1" x14ac:dyDescent="0.25">
      <c r="F46" s="96"/>
      <c r="G46" s="96"/>
      <c r="H46" s="82"/>
      <c r="I46" s="613"/>
      <c r="J46" s="614"/>
      <c r="K46" s="628"/>
      <c r="L46" s="629"/>
      <c r="M46" s="620"/>
      <c r="N46" s="621"/>
      <c r="O46" s="621"/>
      <c r="P46" s="622"/>
      <c r="S46" s="701"/>
      <c r="T46" s="705"/>
      <c r="U46" s="122" t="s">
        <v>20</v>
      </c>
      <c r="V46" s="97">
        <v>8</v>
      </c>
      <c r="W46" s="532">
        <f t="shared" si="6"/>
        <v>512</v>
      </c>
      <c r="X46" s="99">
        <v>32</v>
      </c>
      <c r="Y46" s="171"/>
      <c r="Z46" s="541">
        <f t="shared" si="7"/>
        <v>27</v>
      </c>
      <c r="AA46" s="528">
        <f t="shared" si="8"/>
        <v>815</v>
      </c>
      <c r="AB46" s="542">
        <f t="shared" ref="AB46:AB49" si="13">IF($E$15="N",AP46,AP46-AQ46-AY46)</f>
        <v>118</v>
      </c>
      <c r="AC46" s="122">
        <v>5</v>
      </c>
      <c r="AD46" s="91">
        <v>6</v>
      </c>
      <c r="AE46" s="91">
        <v>12</v>
      </c>
      <c r="AF46" s="182">
        <v>2</v>
      </c>
      <c r="AG46" s="122">
        <v>2</v>
      </c>
      <c r="AH46" s="91"/>
      <c r="AI46" s="91"/>
      <c r="AJ46" s="91"/>
      <c r="AK46" s="91"/>
      <c r="AL46" s="401"/>
      <c r="AM46" s="549">
        <f t="shared" si="4"/>
        <v>27</v>
      </c>
      <c r="AN46" s="558">
        <f t="shared" si="5"/>
        <v>0</v>
      </c>
      <c r="AO46" s="559">
        <f t="shared" si="9"/>
        <v>0</v>
      </c>
      <c r="AP46" s="560">
        <f t="shared" si="10"/>
        <v>118</v>
      </c>
      <c r="AQ46" s="122">
        <v>100</v>
      </c>
      <c r="AR46" s="91">
        <v>0</v>
      </c>
      <c r="AS46" s="385">
        <v>0</v>
      </c>
      <c r="AT46" s="385">
        <v>2</v>
      </c>
      <c r="AU46" s="385"/>
      <c r="AV46" s="385"/>
      <c r="AW46" s="385"/>
      <c r="AX46" s="385">
        <v>16</v>
      </c>
      <c r="AY46" s="411"/>
      <c r="AZ46" s="407">
        <v>120</v>
      </c>
      <c r="BA46" s="91">
        <v>20</v>
      </c>
      <c r="BB46" s="91">
        <v>655</v>
      </c>
      <c r="BC46" s="91">
        <v>512</v>
      </c>
      <c r="BD46" s="91">
        <v>20</v>
      </c>
      <c r="BE46" s="91"/>
      <c r="BF46" s="398"/>
      <c r="BG46" s="560">
        <f t="shared" si="11"/>
        <v>1327</v>
      </c>
      <c r="BH46" s="391">
        <v>0</v>
      </c>
      <c r="BI46" s="569">
        <f t="shared" si="12"/>
        <v>815</v>
      </c>
    </row>
    <row r="47" spans="5:61" ht="18" customHeight="1" thickBot="1" x14ac:dyDescent="0.25">
      <c r="H47" s="82"/>
      <c r="I47" s="615"/>
      <c r="J47" s="616"/>
      <c r="K47" s="630"/>
      <c r="L47" s="631"/>
      <c r="M47" s="623"/>
      <c r="N47" s="624"/>
      <c r="O47" s="624"/>
      <c r="P47" s="625"/>
      <c r="S47" s="701"/>
      <c r="T47" s="184" t="s">
        <v>82</v>
      </c>
      <c r="U47" s="122" t="s">
        <v>22</v>
      </c>
      <c r="V47" s="102">
        <v>24</v>
      </c>
      <c r="W47" s="533">
        <f t="shared" si="6"/>
        <v>1200</v>
      </c>
      <c r="X47" s="99">
        <v>96</v>
      </c>
      <c r="Y47" s="171"/>
      <c r="Z47" s="541">
        <f t="shared" si="7"/>
        <v>35</v>
      </c>
      <c r="AA47" s="528">
        <f t="shared" si="8"/>
        <v>825</v>
      </c>
      <c r="AB47" s="542">
        <f t="shared" si="13"/>
        <v>247</v>
      </c>
      <c r="AC47" s="122">
        <v>8</v>
      </c>
      <c r="AD47" s="91">
        <v>6</v>
      </c>
      <c r="AE47" s="91">
        <v>17</v>
      </c>
      <c r="AF47" s="182">
        <v>2</v>
      </c>
      <c r="AG47" s="122">
        <v>2</v>
      </c>
      <c r="AH47" s="91"/>
      <c r="AI47" s="91"/>
      <c r="AJ47" s="91"/>
      <c r="AK47" s="91"/>
      <c r="AL47" s="401"/>
      <c r="AM47" s="549">
        <f t="shared" si="4"/>
        <v>35</v>
      </c>
      <c r="AN47" s="558">
        <f t="shared" si="5"/>
        <v>0</v>
      </c>
      <c r="AO47" s="559">
        <f t="shared" si="9"/>
        <v>0</v>
      </c>
      <c r="AP47" s="560">
        <f t="shared" si="10"/>
        <v>247</v>
      </c>
      <c r="AQ47" s="122">
        <v>228</v>
      </c>
      <c r="AR47" s="91">
        <v>0</v>
      </c>
      <c r="AS47" s="385">
        <v>0</v>
      </c>
      <c r="AT47" s="385">
        <v>3</v>
      </c>
      <c r="AU47" s="385"/>
      <c r="AV47" s="385"/>
      <c r="AW47" s="385"/>
      <c r="AX47" s="385">
        <v>16</v>
      </c>
      <c r="AY47" s="411"/>
      <c r="AZ47" s="407">
        <v>120</v>
      </c>
      <c r="BA47" s="91">
        <v>20</v>
      </c>
      <c r="BB47" s="91">
        <v>655</v>
      </c>
      <c r="BC47" s="91">
        <v>1200</v>
      </c>
      <c r="BD47" s="91">
        <v>30</v>
      </c>
      <c r="BE47" s="91"/>
      <c r="BF47" s="398"/>
      <c r="BG47" s="560">
        <f t="shared" si="11"/>
        <v>2025</v>
      </c>
      <c r="BH47" s="391">
        <v>0</v>
      </c>
      <c r="BI47" s="569">
        <f t="shared" si="12"/>
        <v>825</v>
      </c>
    </row>
    <row r="48" spans="5:61" ht="17" customHeight="1" x14ac:dyDescent="0.2">
      <c r="H48" s="96"/>
      <c r="I48" s="2"/>
      <c r="J48" s="2"/>
      <c r="K48" s="3"/>
      <c r="S48" s="701"/>
      <c r="T48" s="718" t="s">
        <v>124</v>
      </c>
      <c r="U48" s="122" t="s">
        <v>2</v>
      </c>
      <c r="V48" s="98">
        <v>48</v>
      </c>
      <c r="W48" s="532">
        <f t="shared" si="6"/>
        <v>2800</v>
      </c>
      <c r="X48" s="99">
        <v>192</v>
      </c>
      <c r="Y48" s="171"/>
      <c r="Z48" s="541">
        <f t="shared" si="7"/>
        <v>53</v>
      </c>
      <c r="AA48" s="528">
        <f t="shared" si="8"/>
        <v>835</v>
      </c>
      <c r="AB48" s="542">
        <f t="shared" si="13"/>
        <v>599</v>
      </c>
      <c r="AC48" s="122">
        <v>8</v>
      </c>
      <c r="AD48" s="91">
        <v>6</v>
      </c>
      <c r="AE48" s="91">
        <v>33</v>
      </c>
      <c r="AF48" s="182">
        <v>2</v>
      </c>
      <c r="AG48" s="122">
        <v>4</v>
      </c>
      <c r="AH48" s="91"/>
      <c r="AI48" s="91"/>
      <c r="AJ48" s="91"/>
      <c r="AK48" s="91"/>
      <c r="AL48" s="401"/>
      <c r="AM48" s="549">
        <f t="shared" si="4"/>
        <v>53</v>
      </c>
      <c r="AN48" s="558">
        <f t="shared" si="5"/>
        <v>0</v>
      </c>
      <c r="AO48" s="559">
        <f t="shared" si="9"/>
        <v>0</v>
      </c>
      <c r="AP48" s="560">
        <f t="shared" si="10"/>
        <v>599</v>
      </c>
      <c r="AQ48" s="122">
        <v>484</v>
      </c>
      <c r="AR48" s="91">
        <v>0</v>
      </c>
      <c r="AS48" s="385">
        <v>0</v>
      </c>
      <c r="AT48" s="385">
        <v>3</v>
      </c>
      <c r="AU48" s="385">
        <v>96</v>
      </c>
      <c r="AV48" s="385"/>
      <c r="AW48" s="385"/>
      <c r="AX48" s="385">
        <v>16</v>
      </c>
      <c r="AY48" s="411"/>
      <c r="AZ48" s="407">
        <v>120</v>
      </c>
      <c r="BA48" s="91">
        <v>20</v>
      </c>
      <c r="BB48" s="91">
        <v>655</v>
      </c>
      <c r="BC48" s="91">
        <v>2800</v>
      </c>
      <c r="BD48" s="91">
        <v>40</v>
      </c>
      <c r="BE48" s="91"/>
      <c r="BF48" s="398"/>
      <c r="BG48" s="560">
        <f t="shared" si="11"/>
        <v>3635</v>
      </c>
      <c r="BH48" s="391">
        <v>0</v>
      </c>
      <c r="BI48" s="569">
        <f t="shared" si="12"/>
        <v>835</v>
      </c>
    </row>
    <row r="49" spans="9:61" ht="17" customHeight="1" thickBot="1" x14ac:dyDescent="0.25">
      <c r="S49" s="701"/>
      <c r="T49" s="709"/>
      <c r="U49" s="128" t="s">
        <v>59</v>
      </c>
      <c r="V49" s="268">
        <f>V48+V47</f>
        <v>72</v>
      </c>
      <c r="W49" s="534">
        <f t="shared" si="6"/>
        <v>4000</v>
      </c>
      <c r="X49" s="269">
        <f>X48+X47</f>
        <v>288</v>
      </c>
      <c r="Y49" s="171"/>
      <c r="Z49" s="543">
        <f t="shared" si="7"/>
        <v>72</v>
      </c>
      <c r="AA49" s="529">
        <f t="shared" si="8"/>
        <v>865</v>
      </c>
      <c r="AB49" s="544">
        <f t="shared" si="13"/>
        <v>846</v>
      </c>
      <c r="AC49" s="179">
        <v>8</v>
      </c>
      <c r="AD49" s="180">
        <v>6</v>
      </c>
      <c r="AE49" s="270">
        <f>AE48+AE47</f>
        <v>50</v>
      </c>
      <c r="AF49" s="183">
        <v>2</v>
      </c>
      <c r="AG49" s="271">
        <f>AG47+AG48</f>
        <v>6</v>
      </c>
      <c r="AH49" s="180"/>
      <c r="AI49" s="180"/>
      <c r="AJ49" s="180"/>
      <c r="AK49" s="180"/>
      <c r="AL49" s="402"/>
      <c r="AM49" s="550">
        <f t="shared" si="4"/>
        <v>72</v>
      </c>
      <c r="AN49" s="561">
        <f t="shared" si="5"/>
        <v>0</v>
      </c>
      <c r="AO49" s="562">
        <f t="shared" si="9"/>
        <v>0</v>
      </c>
      <c r="AP49" s="563">
        <f>AP47+AP48</f>
        <v>846</v>
      </c>
      <c r="AQ49" s="271">
        <f>AQ47+AQ48</f>
        <v>712</v>
      </c>
      <c r="AR49" s="180">
        <v>0</v>
      </c>
      <c r="AS49" s="413">
        <v>0</v>
      </c>
      <c r="AT49" s="387" t="s">
        <v>187</v>
      </c>
      <c r="AU49" s="387"/>
      <c r="AV49" s="387"/>
      <c r="AW49" s="387"/>
      <c r="AX49" s="387"/>
      <c r="AY49" s="414"/>
      <c r="AZ49" s="408">
        <f>AZ48</f>
        <v>120</v>
      </c>
      <c r="BA49" s="180">
        <f>BA48</f>
        <v>20</v>
      </c>
      <c r="BB49" s="180">
        <f>BB48</f>
        <v>655</v>
      </c>
      <c r="BC49" s="180">
        <f>BC48+BC47</f>
        <v>4000</v>
      </c>
      <c r="BD49" s="180">
        <f>BD48+BD47</f>
        <v>70</v>
      </c>
      <c r="BE49" s="486"/>
      <c r="BF49" s="473"/>
      <c r="BG49" s="566">
        <f t="shared" si="11"/>
        <v>4865</v>
      </c>
      <c r="BH49" s="392">
        <v>0</v>
      </c>
      <c r="BI49" s="570">
        <f t="shared" si="12"/>
        <v>865</v>
      </c>
    </row>
    <row r="50" spans="9:61" ht="16" customHeight="1" x14ac:dyDescent="0.2">
      <c r="I50" s="652" t="s">
        <v>23</v>
      </c>
      <c r="J50" s="634" t="s">
        <v>24</v>
      </c>
      <c r="K50" s="152" t="s">
        <v>25</v>
      </c>
      <c r="L50" s="266" t="str">
        <f>IF(COUNTIF(EnvironmentSizes,"Beyond Large"),"Beyond Large",IF(COUNTIF(EnvironmentSizes,"Large"),"Large",IF(COUNTIF(EnvironmentSizes,"Medium"),"Medium",IF(COUNTIF(EnvironmentSizes,"Small"),"Small",IF(COUNTIF(EnvironmentSizes,"Xsmall/Min"),"Xsmall/Min","None")))))</f>
        <v>None</v>
      </c>
      <c r="M50" s="100"/>
      <c r="N50" s="100"/>
      <c r="O50" s="100"/>
      <c r="P50" s="101"/>
      <c r="S50" s="701"/>
      <c r="T50" s="600" t="s">
        <v>10</v>
      </c>
      <c r="U50" s="175" t="s">
        <v>123</v>
      </c>
      <c r="V50" s="185">
        <v>10</v>
      </c>
      <c r="W50" s="530">
        <f t="shared" si="6"/>
        <v>512</v>
      </c>
      <c r="X50" s="160">
        <v>33</v>
      </c>
      <c r="Y50" s="14"/>
      <c r="Z50" s="539">
        <f t="shared" ref="Z50:Z51" si="14">IF(AN44=0,SUM(AC50:AJ50),IF($E$15="N",SUM(AC50:AJ50)-AN50,AM50-SUM(AC50:AG50)))</f>
        <v>32</v>
      </c>
      <c r="AA50" s="530">
        <f>IF($B$118="S",0,IF($E$15="N",BI50,AZ50+BA50+BD50))</f>
        <v>815</v>
      </c>
      <c r="AB50" s="540">
        <f>IF($E$15="N",IF(AO44=0,AP50,AP50-AO50),IF(AO44=0,AP50-AQ50-AY50,AP50-AO50-AQ50-AY50))</f>
        <v>150</v>
      </c>
      <c r="AC50" s="178">
        <v>5</v>
      </c>
      <c r="AD50" s="176">
        <v>6</v>
      </c>
      <c r="AE50" s="176">
        <v>9</v>
      </c>
      <c r="AF50" s="181">
        <v>2</v>
      </c>
      <c r="AG50" s="178">
        <v>1</v>
      </c>
      <c r="AH50" s="176"/>
      <c r="AI50" s="176"/>
      <c r="AJ50" s="176">
        <v>9</v>
      </c>
      <c r="AK50" s="176"/>
      <c r="AL50" s="400"/>
      <c r="AM50" s="548">
        <f t="shared" si="4"/>
        <v>32</v>
      </c>
      <c r="AN50" s="555">
        <f t="shared" ref="AN50:AN55" si="15">IF($B$118="S",IF($E$23="Y",AC50+AD50+AF50+AG50,0),0)</f>
        <v>0</v>
      </c>
      <c r="AO50" s="556">
        <f t="shared" ref="AO50:AO55" si="16">IF($B$118="S",IF($E$23="Y",AP50-AQ50-AR50-AS50,0),0)</f>
        <v>0</v>
      </c>
      <c r="AP50" s="557">
        <f>SUM(AQ50:AY50)</f>
        <v>150</v>
      </c>
      <c r="AQ50" s="178">
        <v>100</v>
      </c>
      <c r="AR50" s="176">
        <v>32</v>
      </c>
      <c r="AS50" s="176">
        <v>0</v>
      </c>
      <c r="AT50" s="176">
        <v>2</v>
      </c>
      <c r="AU50" s="176"/>
      <c r="AV50" s="176"/>
      <c r="AW50" s="176"/>
      <c r="AX50" s="176">
        <v>16</v>
      </c>
      <c r="AY50" s="400"/>
      <c r="AZ50" s="406">
        <v>120</v>
      </c>
      <c r="BA50" s="176">
        <v>20</v>
      </c>
      <c r="BB50" s="176">
        <v>655</v>
      </c>
      <c r="BC50" s="176">
        <v>512</v>
      </c>
      <c r="BD50" s="176">
        <v>20</v>
      </c>
      <c r="BE50" s="176"/>
      <c r="BF50" s="397"/>
      <c r="BG50" s="557">
        <f t="shared" si="11"/>
        <v>1327</v>
      </c>
      <c r="BH50" s="390">
        <v>0</v>
      </c>
      <c r="BI50" s="568">
        <f t="shared" si="12"/>
        <v>815</v>
      </c>
    </row>
    <row r="51" spans="9:61" ht="31" customHeight="1" x14ac:dyDescent="0.2">
      <c r="I51" s="653"/>
      <c r="J51" s="635"/>
      <c r="K51" s="155" t="s">
        <v>26</v>
      </c>
      <c r="L51" s="637" t="str">
        <f>M45</f>
        <v xml:space="preserve"> -  -  -  -  -  - </v>
      </c>
      <c r="M51" s="638"/>
      <c r="N51" s="638"/>
      <c r="O51" s="638"/>
      <c r="P51" s="639"/>
      <c r="R51" s="88"/>
      <c r="S51" s="701"/>
      <c r="T51" s="601"/>
      <c r="U51" s="186" t="s">
        <v>122</v>
      </c>
      <c r="V51" s="92">
        <v>17</v>
      </c>
      <c r="W51" s="528">
        <f t="shared" si="6"/>
        <v>512</v>
      </c>
      <c r="X51" s="99">
        <v>33</v>
      </c>
      <c r="Y51" s="171"/>
      <c r="Z51" s="541">
        <f t="shared" si="14"/>
        <v>36</v>
      </c>
      <c r="AA51" s="528">
        <f>IF(AND($B$118="S",$E$22="Y"),0,IF($E$15="N",BI51,AZ51+BA51+BD51))</f>
        <v>815</v>
      </c>
      <c r="AB51" s="542">
        <f t="shared" ref="AB51:AB55" si="17">IF($E$15="N",IF(AO45=0,AP51,AP51-AO51),IF(AO45=0,AP51-AQ51-AY51,AP51-AO51-AQ51-AY51))</f>
        <v>150</v>
      </c>
      <c r="AC51" s="122">
        <v>5</v>
      </c>
      <c r="AD51" s="91">
        <v>6</v>
      </c>
      <c r="AE51" s="91">
        <v>12</v>
      </c>
      <c r="AF51" s="182">
        <v>2</v>
      </c>
      <c r="AG51" s="122">
        <v>2</v>
      </c>
      <c r="AH51" s="91"/>
      <c r="AI51" s="91"/>
      <c r="AJ51" s="91">
        <v>9</v>
      </c>
      <c r="AK51" s="91"/>
      <c r="AL51" s="401"/>
      <c r="AM51" s="549">
        <f t="shared" si="4"/>
        <v>36</v>
      </c>
      <c r="AN51" s="558">
        <f t="shared" si="15"/>
        <v>0</v>
      </c>
      <c r="AO51" s="559">
        <f t="shared" si="16"/>
        <v>0</v>
      </c>
      <c r="AP51" s="560">
        <f t="shared" ref="AP51:AP54" si="18">SUM(AQ51:AY51)</f>
        <v>150</v>
      </c>
      <c r="AQ51" s="122">
        <v>100</v>
      </c>
      <c r="AR51" s="91">
        <v>32</v>
      </c>
      <c r="AS51" s="385">
        <v>0</v>
      </c>
      <c r="AT51" s="385">
        <v>2</v>
      </c>
      <c r="AU51" s="385"/>
      <c r="AV51" s="385"/>
      <c r="AW51" s="385"/>
      <c r="AX51" s="385">
        <v>16</v>
      </c>
      <c r="AY51" s="411"/>
      <c r="AZ51" s="407">
        <v>120</v>
      </c>
      <c r="BA51" s="91">
        <v>20</v>
      </c>
      <c r="BB51" s="91">
        <v>655</v>
      </c>
      <c r="BC51" s="91">
        <v>512</v>
      </c>
      <c r="BD51" s="91">
        <v>20</v>
      </c>
      <c r="BE51" s="91"/>
      <c r="BF51" s="398"/>
      <c r="BG51" s="560">
        <f t="shared" si="11"/>
        <v>1327</v>
      </c>
      <c r="BH51" s="391">
        <v>0</v>
      </c>
      <c r="BI51" s="569">
        <f t="shared" si="12"/>
        <v>815</v>
      </c>
    </row>
    <row r="52" spans="9:61" ht="17" thickBot="1" x14ac:dyDescent="0.25">
      <c r="I52" s="653"/>
      <c r="J52" s="636"/>
      <c r="K52" s="153" t="s">
        <v>27</v>
      </c>
      <c r="L52" s="267">
        <f>IF(E17="One for All",1+SUM(J22:J28),SUM(J22:J28))</f>
        <v>0</v>
      </c>
      <c r="M52" s="103"/>
      <c r="N52" s="103"/>
      <c r="O52" s="103"/>
      <c r="P52" s="104"/>
      <c r="S52" s="701"/>
      <c r="T52" s="602"/>
      <c r="U52" s="122" t="s">
        <v>20</v>
      </c>
      <c r="V52" s="97">
        <v>17</v>
      </c>
      <c r="W52" s="532">
        <f t="shared" si="6"/>
        <v>1024</v>
      </c>
      <c r="X52" s="99">
        <v>72</v>
      </c>
      <c r="Y52" s="171"/>
      <c r="Z52" s="541">
        <f>IF(AN46=0,SUM(AC52:AJ52),IF($E$15="N",SUM(AC52:AJ52)-AN52,AM52-SUM(AC52:AG52)))</f>
        <v>36</v>
      </c>
      <c r="AA52" s="528">
        <f>IF(AND($B$118="S",$E$22="Y"),0,IF($E$15="N",BI52,AZ52+BA52+BD52))</f>
        <v>815</v>
      </c>
      <c r="AB52" s="542">
        <f t="shared" si="17"/>
        <v>150</v>
      </c>
      <c r="AC52" s="122">
        <v>5</v>
      </c>
      <c r="AD52" s="91">
        <v>6</v>
      </c>
      <c r="AE52" s="91">
        <v>12</v>
      </c>
      <c r="AF52" s="182">
        <v>2</v>
      </c>
      <c r="AG52" s="122">
        <v>2</v>
      </c>
      <c r="AH52" s="91"/>
      <c r="AI52" s="91"/>
      <c r="AJ52" s="91">
        <v>9</v>
      </c>
      <c r="AK52" s="91"/>
      <c r="AL52" s="401"/>
      <c r="AM52" s="549">
        <f t="shared" si="4"/>
        <v>36</v>
      </c>
      <c r="AN52" s="558">
        <f t="shared" si="15"/>
        <v>0</v>
      </c>
      <c r="AO52" s="559">
        <f t="shared" si="16"/>
        <v>0</v>
      </c>
      <c r="AP52" s="560">
        <f t="shared" si="18"/>
        <v>150</v>
      </c>
      <c r="AQ52" s="122">
        <v>100</v>
      </c>
      <c r="AR52" s="91">
        <v>32</v>
      </c>
      <c r="AS52" s="385">
        <v>0</v>
      </c>
      <c r="AT52" s="385">
        <v>2</v>
      </c>
      <c r="AU52" s="385"/>
      <c r="AV52" s="385"/>
      <c r="AW52" s="385"/>
      <c r="AX52" s="385">
        <v>16</v>
      </c>
      <c r="AY52" s="411"/>
      <c r="AZ52" s="407">
        <v>120</v>
      </c>
      <c r="BA52" s="91">
        <v>20</v>
      </c>
      <c r="BB52" s="91">
        <v>655</v>
      </c>
      <c r="BC52" s="91">
        <v>1024</v>
      </c>
      <c r="BD52" s="91">
        <v>20</v>
      </c>
      <c r="BE52" s="91"/>
      <c r="BF52" s="398"/>
      <c r="BG52" s="560">
        <f t="shared" si="11"/>
        <v>1839</v>
      </c>
      <c r="BH52" s="391">
        <v>0</v>
      </c>
      <c r="BI52" s="569">
        <f t="shared" si="12"/>
        <v>815</v>
      </c>
    </row>
    <row r="53" spans="9:61" ht="22" customHeight="1" thickBot="1" x14ac:dyDescent="0.25">
      <c r="I53" s="653"/>
      <c r="J53" s="105"/>
      <c r="K53" s="106"/>
      <c r="L53" s="106"/>
      <c r="M53" s="106"/>
      <c r="N53" s="107"/>
      <c r="O53" s="108"/>
      <c r="P53" s="17"/>
      <c r="S53" s="701"/>
      <c r="T53" s="170" t="s">
        <v>82</v>
      </c>
      <c r="U53" s="122" t="s">
        <v>22</v>
      </c>
      <c r="V53" s="102">
        <v>29</v>
      </c>
      <c r="W53" s="533">
        <f t="shared" si="6"/>
        <v>2048</v>
      </c>
      <c r="X53" s="99">
        <v>101</v>
      </c>
      <c r="Y53" s="171"/>
      <c r="Z53" s="541">
        <f t="shared" ref="Z53:Z55" si="19">IF(AN47=0,SUM(AC53:AJ53),IF($E$15="N",SUM(AC53:AJ53)-AN53,AM53-SUM(AC53:AG53)))</f>
        <v>44</v>
      </c>
      <c r="AA53" s="528">
        <f>IF(AND($B$118="S",$E$22="Y"),0,IF($E$15="N",BI53,AZ53+BA53+BD53))</f>
        <v>825</v>
      </c>
      <c r="AB53" s="542">
        <f t="shared" si="17"/>
        <v>279</v>
      </c>
      <c r="AC53" s="122">
        <v>8</v>
      </c>
      <c r="AD53" s="91">
        <v>6</v>
      </c>
      <c r="AE53" s="91">
        <v>17</v>
      </c>
      <c r="AF53" s="182">
        <v>2</v>
      </c>
      <c r="AG53" s="122">
        <v>2</v>
      </c>
      <c r="AH53" s="91"/>
      <c r="AI53" s="91"/>
      <c r="AJ53" s="91">
        <v>9</v>
      </c>
      <c r="AK53" s="91"/>
      <c r="AL53" s="401"/>
      <c r="AM53" s="549">
        <f t="shared" si="4"/>
        <v>44</v>
      </c>
      <c r="AN53" s="558">
        <f t="shared" si="15"/>
        <v>0</v>
      </c>
      <c r="AO53" s="559">
        <f t="shared" si="16"/>
        <v>0</v>
      </c>
      <c r="AP53" s="560">
        <f t="shared" si="18"/>
        <v>279</v>
      </c>
      <c r="AQ53" s="122">
        <v>228</v>
      </c>
      <c r="AR53" s="91">
        <v>32</v>
      </c>
      <c r="AS53" s="385">
        <v>0</v>
      </c>
      <c r="AT53" s="385">
        <v>3</v>
      </c>
      <c r="AU53" s="385"/>
      <c r="AV53" s="385"/>
      <c r="AW53" s="385"/>
      <c r="AX53" s="385">
        <v>16</v>
      </c>
      <c r="AY53" s="411"/>
      <c r="AZ53" s="407">
        <v>120</v>
      </c>
      <c r="BA53" s="91">
        <v>20</v>
      </c>
      <c r="BB53" s="91">
        <v>655</v>
      </c>
      <c r="BC53" s="91">
        <v>2048</v>
      </c>
      <c r="BD53" s="91">
        <v>30</v>
      </c>
      <c r="BE53" s="91"/>
      <c r="BF53" s="398"/>
      <c r="BG53" s="560">
        <f t="shared" si="11"/>
        <v>2873</v>
      </c>
      <c r="BH53" s="391">
        <v>0</v>
      </c>
      <c r="BI53" s="569">
        <f t="shared" si="12"/>
        <v>825</v>
      </c>
    </row>
    <row r="54" spans="9:61" ht="22" customHeight="1" thickBot="1" x14ac:dyDescent="0.3">
      <c r="I54" s="653"/>
      <c r="J54" s="584" t="s">
        <v>28</v>
      </c>
      <c r="K54" s="522" t="s">
        <v>29</v>
      </c>
      <c r="L54" s="109"/>
      <c r="M54" s="110" t="s">
        <v>73</v>
      </c>
      <c r="N54" s="111" t="s">
        <v>68</v>
      </c>
      <c r="O54" s="112" t="s">
        <v>41</v>
      </c>
      <c r="P54" s="113" t="s">
        <v>43</v>
      </c>
      <c r="S54" s="701"/>
      <c r="T54" s="603" t="s">
        <v>124</v>
      </c>
      <c r="U54" s="122" t="s">
        <v>2</v>
      </c>
      <c r="V54" s="98">
        <v>105</v>
      </c>
      <c r="W54" s="532">
        <f t="shared" si="6"/>
        <v>3072</v>
      </c>
      <c r="X54" s="99">
        <v>1500</v>
      </c>
      <c r="Y54" s="171"/>
      <c r="Z54" s="541">
        <f t="shared" si="19"/>
        <v>103</v>
      </c>
      <c r="AA54" s="528">
        <f>IF(AND($B$118="S",$E$22="Y"),0,IF($E$15="N",BI54,AZ54+BA54+BD54))</f>
        <v>835</v>
      </c>
      <c r="AB54" s="542">
        <f t="shared" si="17"/>
        <v>719</v>
      </c>
      <c r="AC54" s="122">
        <v>8</v>
      </c>
      <c r="AD54" s="91">
        <v>6</v>
      </c>
      <c r="AE54" s="91">
        <v>33</v>
      </c>
      <c r="AF54" s="182">
        <v>2</v>
      </c>
      <c r="AG54" s="122">
        <v>4</v>
      </c>
      <c r="AH54" s="91"/>
      <c r="AI54" s="91"/>
      <c r="AJ54" s="91">
        <v>50</v>
      </c>
      <c r="AK54" s="91"/>
      <c r="AL54" s="401"/>
      <c r="AM54" s="549">
        <f t="shared" si="4"/>
        <v>103</v>
      </c>
      <c r="AN54" s="558">
        <f t="shared" si="15"/>
        <v>0</v>
      </c>
      <c r="AO54" s="559">
        <f t="shared" si="16"/>
        <v>0</v>
      </c>
      <c r="AP54" s="560">
        <f t="shared" si="18"/>
        <v>719</v>
      </c>
      <c r="AQ54" s="122">
        <v>484</v>
      </c>
      <c r="AR54" s="91">
        <v>120</v>
      </c>
      <c r="AS54" s="385">
        <v>0</v>
      </c>
      <c r="AT54" s="385">
        <v>3</v>
      </c>
      <c r="AU54" s="385">
        <v>96</v>
      </c>
      <c r="AV54" s="385"/>
      <c r="AW54" s="385"/>
      <c r="AX54" s="385">
        <v>16</v>
      </c>
      <c r="AY54" s="411"/>
      <c r="AZ54" s="407">
        <v>120</v>
      </c>
      <c r="BA54" s="91">
        <v>20</v>
      </c>
      <c r="BB54" s="91">
        <v>655</v>
      </c>
      <c r="BC54" s="91">
        <v>3072</v>
      </c>
      <c r="BD54" s="91">
        <v>40</v>
      </c>
      <c r="BE54" s="91"/>
      <c r="BF54" s="398"/>
      <c r="BG54" s="560">
        <f t="shared" si="11"/>
        <v>3907</v>
      </c>
      <c r="BH54" s="391">
        <v>0</v>
      </c>
      <c r="BI54" s="569">
        <f t="shared" si="12"/>
        <v>835</v>
      </c>
    </row>
    <row r="55" spans="9:61" ht="17" customHeight="1" thickBot="1" x14ac:dyDescent="0.25">
      <c r="I55" s="653"/>
      <c r="J55" s="585"/>
      <c r="K55" s="523" t="s">
        <v>30</v>
      </c>
      <c r="L55" s="524" t="s">
        <v>17</v>
      </c>
      <c r="M55" s="525" t="s">
        <v>18</v>
      </c>
      <c r="N55" s="526" t="s">
        <v>31</v>
      </c>
      <c r="O55" s="114" t="s">
        <v>72</v>
      </c>
      <c r="P55" s="115"/>
      <c r="Q55" s="88"/>
      <c r="S55" s="701"/>
      <c r="T55" s="604"/>
      <c r="U55" s="128" t="s">
        <v>59</v>
      </c>
      <c r="V55" s="268">
        <f>V54+V53</f>
        <v>134</v>
      </c>
      <c r="W55" s="534">
        <f t="shared" si="6"/>
        <v>5120</v>
      </c>
      <c r="X55" s="269">
        <f>X54+X53</f>
        <v>1601</v>
      </c>
      <c r="Y55" s="171"/>
      <c r="Z55" s="543">
        <f t="shared" si="19"/>
        <v>131</v>
      </c>
      <c r="AA55" s="529">
        <f>IF(AND($B$118="S",$E$22="Y"),0,IF($E$15="N",BI55,AZ55+BA55+BD55))</f>
        <v>865</v>
      </c>
      <c r="AB55" s="544">
        <f t="shared" si="17"/>
        <v>998</v>
      </c>
      <c r="AC55" s="179">
        <v>8</v>
      </c>
      <c r="AD55" s="180">
        <v>6</v>
      </c>
      <c r="AE55" s="270">
        <f>AE54+AE53</f>
        <v>50</v>
      </c>
      <c r="AF55" s="183">
        <v>2</v>
      </c>
      <c r="AG55" s="179">
        <v>6</v>
      </c>
      <c r="AH55" s="180"/>
      <c r="AI55" s="180"/>
      <c r="AJ55" s="270">
        <f>AJ54+AJ53</f>
        <v>59</v>
      </c>
      <c r="AK55" s="270"/>
      <c r="AL55" s="403"/>
      <c r="AM55" s="551">
        <f t="shared" si="4"/>
        <v>131</v>
      </c>
      <c r="AN55" s="561">
        <f t="shared" si="15"/>
        <v>0</v>
      </c>
      <c r="AO55" s="562">
        <f t="shared" si="16"/>
        <v>0</v>
      </c>
      <c r="AP55" s="563">
        <f>AP53+AP54</f>
        <v>998</v>
      </c>
      <c r="AQ55" s="271">
        <f>AQ53+AQ54</f>
        <v>712</v>
      </c>
      <c r="AR55" s="270">
        <f>AR54+AR53</f>
        <v>152</v>
      </c>
      <c r="AS55" s="413">
        <v>0</v>
      </c>
      <c r="AT55" s="387" t="s">
        <v>187</v>
      </c>
      <c r="AU55" s="387"/>
      <c r="AV55" s="387"/>
      <c r="AW55" s="387"/>
      <c r="AX55" s="387"/>
      <c r="AY55" s="414"/>
      <c r="AZ55" s="408">
        <f>AZ54</f>
        <v>120</v>
      </c>
      <c r="BA55" s="180">
        <f>BA54</f>
        <v>20</v>
      </c>
      <c r="BB55" s="180">
        <f>BB54</f>
        <v>655</v>
      </c>
      <c r="BC55" s="180">
        <f>BC54+BC53</f>
        <v>5120</v>
      </c>
      <c r="BD55" s="180">
        <f>BD54+BD53</f>
        <v>70</v>
      </c>
      <c r="BE55" s="486"/>
      <c r="BF55" s="473"/>
      <c r="BG55" s="566">
        <f t="shared" si="11"/>
        <v>5985</v>
      </c>
      <c r="BH55" s="392">
        <v>0</v>
      </c>
      <c r="BI55" s="570">
        <f t="shared" si="12"/>
        <v>865</v>
      </c>
    </row>
    <row r="56" spans="9:61" x14ac:dyDescent="0.2">
      <c r="I56" s="653"/>
      <c r="J56" s="585"/>
      <c r="K56" s="272" t="str">
        <f>D22</f>
        <v>Manage</v>
      </c>
      <c r="L56" s="287" t="str">
        <f>K22</f>
        <v>None</v>
      </c>
      <c r="M56" s="273">
        <f>M22</f>
        <v>0</v>
      </c>
      <c r="N56" s="274">
        <f>N22</f>
        <v>0</v>
      </c>
      <c r="O56" s="275">
        <f>O22</f>
        <v>0</v>
      </c>
      <c r="P56" s="117"/>
      <c r="S56" s="701"/>
      <c r="T56" s="600" t="s">
        <v>13</v>
      </c>
      <c r="U56" s="175" t="s">
        <v>123</v>
      </c>
      <c r="V56" s="185">
        <v>2</v>
      </c>
      <c r="W56" s="530">
        <f>IF(OR($E$15="Y",$E$16="W/Manage",$E$16="W/Monitor"),BH56,BC56+BH56)</f>
        <v>256</v>
      </c>
      <c r="X56" s="160">
        <v>0</v>
      </c>
      <c r="Y56" s="14"/>
      <c r="Z56" s="539">
        <f>IF(AND($E$16="N",$E$15="N"),IF(AND(AN50=0,AN44=0),SUM(AC56:AJ56),SUM(AC56:AJ56)-AN56),IF(AND(AN50=0,AN44=0),SUM(AC56:AJ56),SUM(AC56:AJ56)-AN56)-AE56)</f>
        <v>23</v>
      </c>
      <c r="AA56" s="530">
        <f t="shared" ref="AA56:AA61" si="20">IF(AND($B$118="S",OR($E$22="Y",$E$23="Y")),0,IF($E$15="N",BI56,AZ56+BA56+BD56))</f>
        <v>815</v>
      </c>
      <c r="AB56" s="540">
        <f t="shared" ref="AB56:AB61" si="21">IF($E$16="N",IF(AND(AO44=0,AO50=0),AP56,AP56-AO56),IF(AND(AO44=0,AO50=0),AP56,AP56-AO56)-AQ56)</f>
        <v>118</v>
      </c>
      <c r="AC56" s="178">
        <v>5</v>
      </c>
      <c r="AD56" s="176">
        <v>6</v>
      </c>
      <c r="AE56" s="176">
        <v>9</v>
      </c>
      <c r="AF56" s="181">
        <v>2</v>
      </c>
      <c r="AG56" s="178">
        <v>1</v>
      </c>
      <c r="AH56" s="176"/>
      <c r="AI56" s="176"/>
      <c r="AJ56" s="176"/>
      <c r="AK56" s="176"/>
      <c r="AL56" s="400"/>
      <c r="AM56" s="548">
        <f t="shared" si="4"/>
        <v>23</v>
      </c>
      <c r="AN56" s="555">
        <f t="shared" ref="AN56:AN61" si="22">IF($B$118="S",IF($E$24="Y",AC56+AD56+AF56+AG56,0),0)</f>
        <v>0</v>
      </c>
      <c r="AO56" s="556">
        <f t="shared" ref="AO56:AO61" si="23">IF($B$118="S",IF($E$24="Y",AP56-AQ56-AR56-AS56,0),0)</f>
        <v>0</v>
      </c>
      <c r="AP56" s="557">
        <f>SUM(AQ56:AY56)</f>
        <v>118</v>
      </c>
      <c r="AQ56" s="178">
        <v>100</v>
      </c>
      <c r="AR56" s="176">
        <v>0</v>
      </c>
      <c r="AS56" s="176">
        <v>0</v>
      </c>
      <c r="AT56" s="176">
        <v>2</v>
      </c>
      <c r="AU56" s="176"/>
      <c r="AV56" s="176"/>
      <c r="AW56" s="176"/>
      <c r="AX56" s="176">
        <v>16</v>
      </c>
      <c r="AY56" s="400"/>
      <c r="AZ56" s="406">
        <v>120</v>
      </c>
      <c r="BA56" s="176">
        <v>20</v>
      </c>
      <c r="BB56" s="176">
        <v>655</v>
      </c>
      <c r="BC56" s="176">
        <v>256</v>
      </c>
      <c r="BD56" s="176">
        <v>20</v>
      </c>
      <c r="BE56" s="176"/>
      <c r="BF56" s="397"/>
      <c r="BG56" s="557">
        <f t="shared" si="11"/>
        <v>1071</v>
      </c>
      <c r="BH56" s="390">
        <v>0</v>
      </c>
      <c r="BI56" s="568">
        <f t="shared" si="12"/>
        <v>815</v>
      </c>
    </row>
    <row r="57" spans="9:61" ht="16" customHeight="1" thickBot="1" x14ac:dyDescent="0.25">
      <c r="I57" s="653"/>
      <c r="J57" s="585"/>
      <c r="K57" s="118" t="s">
        <v>32</v>
      </c>
      <c r="L57" s="288">
        <f>IF(OR(AND(E22="N",J22&gt;0),AND($B$120="O",J22&gt;0)),"Error",J22)</f>
        <v>0</v>
      </c>
      <c r="M57" s="276">
        <f>$L$57*V44</f>
        <v>0</v>
      </c>
      <c r="N57" s="276">
        <f>L57*N56</f>
        <v>0</v>
      </c>
      <c r="O57" s="277">
        <f>$L$57*X44</f>
        <v>0</v>
      </c>
      <c r="P57" s="117"/>
      <c r="S57" s="701"/>
      <c r="T57" s="601"/>
      <c r="U57" s="186" t="s">
        <v>122</v>
      </c>
      <c r="V57" s="92">
        <v>2</v>
      </c>
      <c r="W57" s="528">
        <f t="shared" ref="W57:W61" si="24">IF(OR($E$15="Y",$E$16="W/Manage",$E$16="W/Monitor"),BH57,BC57+BH57)</f>
        <v>256</v>
      </c>
      <c r="X57" s="99">
        <v>0</v>
      </c>
      <c r="Y57" s="171"/>
      <c r="Z57" s="541">
        <f t="shared" ref="Z57:Z61" si="25">IF(AND($E$16="N",$E$15="N"),IF(AND(AN51=0,AN45=0),SUM(AC57:AJ57),SUM(AC57:AJ57)-AN57),IF(AND(AN51=0,AN45=0),SUM(AC57:AJ57),SUM(AC57:AJ57)-AN57)-AE57)</f>
        <v>27</v>
      </c>
      <c r="AA57" s="528">
        <f t="shared" si="20"/>
        <v>815</v>
      </c>
      <c r="AB57" s="542">
        <f t="shared" si="21"/>
        <v>118</v>
      </c>
      <c r="AC57" s="122">
        <v>5</v>
      </c>
      <c r="AD57" s="91">
        <v>6</v>
      </c>
      <c r="AE57" s="91">
        <v>12</v>
      </c>
      <c r="AF57" s="182">
        <v>2</v>
      </c>
      <c r="AG57" s="122">
        <v>2</v>
      </c>
      <c r="AH57" s="91"/>
      <c r="AI57" s="91"/>
      <c r="AJ57" s="91"/>
      <c r="AK57" s="91"/>
      <c r="AL57" s="401"/>
      <c r="AM57" s="549">
        <f t="shared" si="4"/>
        <v>27</v>
      </c>
      <c r="AN57" s="558">
        <f t="shared" si="22"/>
        <v>0</v>
      </c>
      <c r="AO57" s="559">
        <f t="shared" si="23"/>
        <v>0</v>
      </c>
      <c r="AP57" s="560">
        <f t="shared" ref="AP57:AP60" si="26">SUM(AQ57:AY57)</f>
        <v>118</v>
      </c>
      <c r="AQ57" s="122">
        <v>100</v>
      </c>
      <c r="AR57" s="91"/>
      <c r="AS57" s="385"/>
      <c r="AT57" s="385">
        <v>2</v>
      </c>
      <c r="AU57" s="385"/>
      <c r="AV57" s="385"/>
      <c r="AW57" s="385"/>
      <c r="AX57" s="385">
        <v>16</v>
      </c>
      <c r="AY57" s="411"/>
      <c r="AZ57" s="407">
        <v>120</v>
      </c>
      <c r="BA57" s="91">
        <v>20</v>
      </c>
      <c r="BB57" s="91">
        <v>655</v>
      </c>
      <c r="BC57" s="91">
        <v>256</v>
      </c>
      <c r="BD57" s="91">
        <v>20</v>
      </c>
      <c r="BE57" s="91"/>
      <c r="BF57" s="398"/>
      <c r="BG57" s="560">
        <f t="shared" si="11"/>
        <v>1071</v>
      </c>
      <c r="BH57" s="391">
        <v>0</v>
      </c>
      <c r="BI57" s="569">
        <f t="shared" si="12"/>
        <v>815</v>
      </c>
    </row>
    <row r="58" spans="9:61" ht="16" customHeight="1" thickBot="1" x14ac:dyDescent="0.25">
      <c r="I58" s="653"/>
      <c r="J58" s="585"/>
      <c r="K58" s="272" t="str">
        <f>D23</f>
        <v>Monitor</v>
      </c>
      <c r="L58" s="287" t="str">
        <f>K23</f>
        <v>None</v>
      </c>
      <c r="M58" s="278">
        <f>M23</f>
        <v>0</v>
      </c>
      <c r="N58" s="274">
        <f>N23</f>
        <v>0</v>
      </c>
      <c r="O58" s="275">
        <f>O23</f>
        <v>0</v>
      </c>
      <c r="P58" s="117"/>
      <c r="S58" s="701"/>
      <c r="T58" s="602"/>
      <c r="U58" s="122" t="s">
        <v>20</v>
      </c>
      <c r="V58" s="279">
        <v>2</v>
      </c>
      <c r="W58" s="532">
        <f t="shared" si="24"/>
        <v>512</v>
      </c>
      <c r="X58" s="99">
        <v>0</v>
      </c>
      <c r="Y58" s="171"/>
      <c r="Z58" s="541">
        <f t="shared" si="25"/>
        <v>27</v>
      </c>
      <c r="AA58" s="528">
        <f t="shared" si="20"/>
        <v>815</v>
      </c>
      <c r="AB58" s="542">
        <f t="shared" si="21"/>
        <v>118</v>
      </c>
      <c r="AC58" s="122">
        <v>5</v>
      </c>
      <c r="AD58" s="91">
        <v>6</v>
      </c>
      <c r="AE58" s="91">
        <v>12</v>
      </c>
      <c r="AF58" s="182">
        <v>2</v>
      </c>
      <c r="AG58" s="122">
        <v>2</v>
      </c>
      <c r="AH58" s="91"/>
      <c r="AI58" s="91"/>
      <c r="AJ58" s="91"/>
      <c r="AK58" s="91"/>
      <c r="AL58" s="401"/>
      <c r="AM58" s="549">
        <f t="shared" si="4"/>
        <v>27</v>
      </c>
      <c r="AN58" s="558">
        <f t="shared" si="22"/>
        <v>0</v>
      </c>
      <c r="AO58" s="559">
        <f t="shared" si="23"/>
        <v>0</v>
      </c>
      <c r="AP58" s="560">
        <f t="shared" si="26"/>
        <v>118</v>
      </c>
      <c r="AQ58" s="122">
        <v>100</v>
      </c>
      <c r="AR58" s="91"/>
      <c r="AS58" s="385"/>
      <c r="AT58" s="385">
        <v>2</v>
      </c>
      <c r="AU58" s="385"/>
      <c r="AV58" s="385"/>
      <c r="AW58" s="385"/>
      <c r="AX58" s="385">
        <v>16</v>
      </c>
      <c r="AY58" s="411"/>
      <c r="AZ58" s="407">
        <v>120</v>
      </c>
      <c r="BA58" s="91">
        <v>20</v>
      </c>
      <c r="BB58" s="91">
        <v>655</v>
      </c>
      <c r="BC58" s="91">
        <v>512</v>
      </c>
      <c r="BD58" s="91">
        <v>20</v>
      </c>
      <c r="BE58" s="91"/>
      <c r="BF58" s="398"/>
      <c r="BG58" s="560">
        <f t="shared" si="11"/>
        <v>1327</v>
      </c>
      <c r="BH58" s="391">
        <v>0</v>
      </c>
      <c r="BI58" s="569">
        <f t="shared" si="12"/>
        <v>815</v>
      </c>
    </row>
    <row r="59" spans="9:61" ht="17" thickBot="1" x14ac:dyDescent="0.25">
      <c r="I59" s="653"/>
      <c r="J59" s="585"/>
      <c r="K59" s="118" t="s">
        <v>33</v>
      </c>
      <c r="L59" s="288">
        <f>J23</f>
        <v>0</v>
      </c>
      <c r="M59" s="276">
        <f>$L$59*V50</f>
        <v>0</v>
      </c>
      <c r="N59" s="276">
        <f>L59*N58</f>
        <v>0</v>
      </c>
      <c r="O59" s="277">
        <f>$L$59*X50</f>
        <v>0</v>
      </c>
      <c r="P59" s="117"/>
      <c r="S59" s="701"/>
      <c r="T59" s="170" t="s">
        <v>82</v>
      </c>
      <c r="U59" s="122" t="s">
        <v>22</v>
      </c>
      <c r="V59" s="280">
        <v>2</v>
      </c>
      <c r="W59" s="533">
        <f t="shared" si="24"/>
        <v>1024</v>
      </c>
      <c r="X59" s="99">
        <v>0</v>
      </c>
      <c r="Y59" s="171"/>
      <c r="Z59" s="541">
        <f t="shared" si="25"/>
        <v>35</v>
      </c>
      <c r="AA59" s="528">
        <f t="shared" si="20"/>
        <v>825</v>
      </c>
      <c r="AB59" s="542">
        <f t="shared" si="21"/>
        <v>247</v>
      </c>
      <c r="AC59" s="122">
        <v>8</v>
      </c>
      <c r="AD59" s="91">
        <v>6</v>
      </c>
      <c r="AE59" s="91">
        <v>17</v>
      </c>
      <c r="AF59" s="182">
        <v>2</v>
      </c>
      <c r="AG59" s="122">
        <v>2</v>
      </c>
      <c r="AH59" s="91"/>
      <c r="AI59" s="91"/>
      <c r="AJ59" s="91"/>
      <c r="AK59" s="91"/>
      <c r="AL59" s="401"/>
      <c r="AM59" s="549">
        <f t="shared" si="4"/>
        <v>35</v>
      </c>
      <c r="AN59" s="558">
        <f t="shared" si="22"/>
        <v>0</v>
      </c>
      <c r="AO59" s="559">
        <f t="shared" si="23"/>
        <v>0</v>
      </c>
      <c r="AP59" s="560">
        <f t="shared" si="26"/>
        <v>247</v>
      </c>
      <c r="AQ59" s="122">
        <v>228</v>
      </c>
      <c r="AR59" s="91"/>
      <c r="AS59" s="385"/>
      <c r="AT59" s="385">
        <v>3</v>
      </c>
      <c r="AU59" s="385"/>
      <c r="AV59" s="385"/>
      <c r="AW59" s="385"/>
      <c r="AX59" s="385">
        <v>16</v>
      </c>
      <c r="AY59" s="411"/>
      <c r="AZ59" s="407">
        <v>120</v>
      </c>
      <c r="BA59" s="91">
        <v>20</v>
      </c>
      <c r="BB59" s="91">
        <v>655</v>
      </c>
      <c r="BC59" s="91">
        <v>1024</v>
      </c>
      <c r="BD59" s="91">
        <v>30</v>
      </c>
      <c r="BE59" s="91"/>
      <c r="BF59" s="398"/>
      <c r="BG59" s="560">
        <f t="shared" si="11"/>
        <v>1849</v>
      </c>
      <c r="BH59" s="391">
        <v>0</v>
      </c>
      <c r="BI59" s="569">
        <f t="shared" si="12"/>
        <v>825</v>
      </c>
    </row>
    <row r="60" spans="9:61" x14ac:dyDescent="0.2">
      <c r="I60" s="653"/>
      <c r="J60" s="585"/>
      <c r="K60" s="272" t="str">
        <f>D24</f>
        <v>Health</v>
      </c>
      <c r="L60" s="287" t="str">
        <f>K24</f>
        <v>None</v>
      </c>
      <c r="M60" s="273">
        <f>M24</f>
        <v>0</v>
      </c>
      <c r="N60" s="274">
        <f>N24</f>
        <v>0</v>
      </c>
      <c r="O60" s="275">
        <f>O24</f>
        <v>0</v>
      </c>
      <c r="P60" s="117"/>
      <c r="S60" s="701"/>
      <c r="T60" s="603" t="s">
        <v>124</v>
      </c>
      <c r="U60" s="122" t="s">
        <v>2</v>
      </c>
      <c r="V60" s="98">
        <v>12</v>
      </c>
      <c r="W60" s="532">
        <f t="shared" si="24"/>
        <v>1200</v>
      </c>
      <c r="X60" s="99">
        <v>2</v>
      </c>
      <c r="Y60" s="171"/>
      <c r="Z60" s="541">
        <f t="shared" si="25"/>
        <v>53</v>
      </c>
      <c r="AA60" s="528">
        <f t="shared" si="20"/>
        <v>835</v>
      </c>
      <c r="AB60" s="542">
        <f t="shared" si="21"/>
        <v>599</v>
      </c>
      <c r="AC60" s="122">
        <v>8</v>
      </c>
      <c r="AD60" s="91">
        <v>6</v>
      </c>
      <c r="AE60" s="91">
        <v>33</v>
      </c>
      <c r="AF60" s="182">
        <v>2</v>
      </c>
      <c r="AG60" s="122">
        <v>4</v>
      </c>
      <c r="AH60" s="91"/>
      <c r="AI60" s="91"/>
      <c r="AJ60" s="91"/>
      <c r="AK60" s="91"/>
      <c r="AL60" s="401"/>
      <c r="AM60" s="549">
        <f t="shared" si="4"/>
        <v>53</v>
      </c>
      <c r="AN60" s="558">
        <f t="shared" si="22"/>
        <v>0</v>
      </c>
      <c r="AO60" s="559">
        <f t="shared" si="23"/>
        <v>0</v>
      </c>
      <c r="AP60" s="560">
        <f t="shared" si="26"/>
        <v>599</v>
      </c>
      <c r="AQ60" s="122">
        <v>484</v>
      </c>
      <c r="AR60" s="91"/>
      <c r="AS60" s="385"/>
      <c r="AT60" s="385">
        <v>3</v>
      </c>
      <c r="AU60" s="385">
        <v>96</v>
      </c>
      <c r="AV60" s="385"/>
      <c r="AW60" s="385"/>
      <c r="AX60" s="385">
        <v>16</v>
      </c>
      <c r="AY60" s="411"/>
      <c r="AZ60" s="407">
        <v>120</v>
      </c>
      <c r="BA60" s="91">
        <v>20</v>
      </c>
      <c r="BB60" s="91">
        <v>655</v>
      </c>
      <c r="BC60" s="91">
        <v>1200</v>
      </c>
      <c r="BD60" s="91">
        <v>40</v>
      </c>
      <c r="BE60" s="91"/>
      <c r="BF60" s="398"/>
      <c r="BG60" s="560">
        <f t="shared" si="11"/>
        <v>2035</v>
      </c>
      <c r="BH60" s="391">
        <v>0</v>
      </c>
      <c r="BI60" s="569">
        <f t="shared" si="12"/>
        <v>835</v>
      </c>
    </row>
    <row r="61" spans="9:61" ht="17" thickBot="1" x14ac:dyDescent="0.25">
      <c r="I61" s="653"/>
      <c r="J61" s="585"/>
      <c r="K61" s="118" t="s">
        <v>34</v>
      </c>
      <c r="L61" s="288">
        <f>J24</f>
        <v>0</v>
      </c>
      <c r="M61" s="276">
        <f>$L$61*V56</f>
        <v>0</v>
      </c>
      <c r="N61" s="276">
        <f>L61*N60</f>
        <v>0</v>
      </c>
      <c r="O61" s="277">
        <f>$L$61*X56</f>
        <v>0</v>
      </c>
      <c r="P61" s="117"/>
      <c r="S61" s="701"/>
      <c r="T61" s="604"/>
      <c r="U61" s="128" t="s">
        <v>59</v>
      </c>
      <c r="V61" s="268">
        <f>V60+V59</f>
        <v>14</v>
      </c>
      <c r="W61" s="534">
        <f t="shared" si="24"/>
        <v>2224</v>
      </c>
      <c r="X61" s="269">
        <v>3</v>
      </c>
      <c r="Y61" s="171"/>
      <c r="Z61" s="543">
        <f t="shared" si="25"/>
        <v>72</v>
      </c>
      <c r="AA61" s="529">
        <f t="shared" si="20"/>
        <v>865</v>
      </c>
      <c r="AB61" s="544">
        <f t="shared" si="21"/>
        <v>846</v>
      </c>
      <c r="AC61" s="179">
        <v>8</v>
      </c>
      <c r="AD61" s="180">
        <v>6</v>
      </c>
      <c r="AE61" s="270">
        <f>AE60+AE59</f>
        <v>50</v>
      </c>
      <c r="AF61" s="183">
        <v>2</v>
      </c>
      <c r="AG61" s="179">
        <v>6</v>
      </c>
      <c r="AH61" s="180"/>
      <c r="AI61" s="180"/>
      <c r="AJ61" s="180"/>
      <c r="AK61" s="180"/>
      <c r="AL61" s="402"/>
      <c r="AM61" s="550">
        <f t="shared" si="4"/>
        <v>72</v>
      </c>
      <c r="AN61" s="561">
        <f t="shared" si="22"/>
        <v>0</v>
      </c>
      <c r="AO61" s="562">
        <f t="shared" si="23"/>
        <v>0</v>
      </c>
      <c r="AP61" s="563">
        <f>AP59+AP60</f>
        <v>846</v>
      </c>
      <c r="AQ61" s="271">
        <f>AQ59+AQ60</f>
        <v>712</v>
      </c>
      <c r="AR61" s="180"/>
      <c r="AS61" s="413"/>
      <c r="AT61" s="387" t="s">
        <v>187</v>
      </c>
      <c r="AU61" s="387"/>
      <c r="AV61" s="387"/>
      <c r="AW61" s="387"/>
      <c r="AX61" s="387"/>
      <c r="AY61" s="414"/>
      <c r="AZ61" s="408">
        <f>AZ60</f>
        <v>120</v>
      </c>
      <c r="BA61" s="180">
        <f>BA60</f>
        <v>20</v>
      </c>
      <c r="BB61" s="180">
        <f>BB60</f>
        <v>655</v>
      </c>
      <c r="BC61" s="180">
        <f>BC60+BC59</f>
        <v>2224</v>
      </c>
      <c r="BD61" s="180">
        <f>BD60+BD59</f>
        <v>70</v>
      </c>
      <c r="BE61" s="486"/>
      <c r="BF61" s="473"/>
      <c r="BG61" s="566">
        <f t="shared" si="11"/>
        <v>3089</v>
      </c>
      <c r="BH61" s="392">
        <v>0</v>
      </c>
      <c r="BI61" s="570">
        <f t="shared" si="12"/>
        <v>865</v>
      </c>
    </row>
    <row r="62" spans="9:61" ht="15" customHeight="1" x14ac:dyDescent="0.2">
      <c r="I62" s="653"/>
      <c r="J62" s="585"/>
      <c r="K62" s="272" t="str">
        <f>D25</f>
        <v>Predict</v>
      </c>
      <c r="L62" s="287" t="str">
        <f>K25</f>
        <v>None</v>
      </c>
      <c r="M62" s="273">
        <f>M25</f>
        <v>0</v>
      </c>
      <c r="N62" s="274">
        <f>N25</f>
        <v>0</v>
      </c>
      <c r="O62" s="275">
        <f>O25</f>
        <v>0</v>
      </c>
      <c r="P62" s="117"/>
      <c r="S62" s="701"/>
      <c r="T62" s="600" t="s">
        <v>14</v>
      </c>
      <c r="U62" s="175" t="s">
        <v>123</v>
      </c>
      <c r="V62" s="185">
        <v>2</v>
      </c>
      <c r="W62" s="530">
        <f t="shared" si="6"/>
        <v>512</v>
      </c>
      <c r="X62" s="303">
        <v>0</v>
      </c>
      <c r="Y62" s="14"/>
      <c r="Z62" s="539">
        <f>IF(AND(AN44=0,AN56=0,AN50=0),SUM(AC62:AJ62),IF($E$15="N",SUM(AC62:AJ62)-AN62,AM62-AN62+AD62))</f>
        <v>42</v>
      </c>
      <c r="AA62" s="530">
        <f>IF($E$15="N",IF(AND($B$118="S",OR($E$22="Y",$E$23="Y",$E$24="Y")),0,BI62),IF(AND($B$118="S",OR($E$22="Y",$E$23="Y",$E$24="Y")),BB62,BI62))</f>
        <v>815</v>
      </c>
      <c r="AB62" s="540">
        <f t="shared" ref="AB62:AB67" si="27">IF(AND(AO44=0,AO50=0,AO56=0),AP62,AP62-AO62)</f>
        <v>130</v>
      </c>
      <c r="AC62" s="178">
        <v>5</v>
      </c>
      <c r="AD62" s="176">
        <v>6</v>
      </c>
      <c r="AE62" s="176">
        <v>0</v>
      </c>
      <c r="AF62" s="181">
        <v>2</v>
      </c>
      <c r="AG62" s="178">
        <v>1</v>
      </c>
      <c r="AH62" s="176">
        <v>12</v>
      </c>
      <c r="AI62" s="176">
        <v>16</v>
      </c>
      <c r="AJ62" s="176"/>
      <c r="AK62" s="176"/>
      <c r="AL62" s="400"/>
      <c r="AM62" s="548">
        <f t="shared" si="4"/>
        <v>42</v>
      </c>
      <c r="AN62" s="555">
        <f t="shared" ref="AN62:AN67" si="28">IF($B$118="S",IF($E$25="Y",AC62+AD62+AF62+AG62,0),0)</f>
        <v>0</v>
      </c>
      <c r="AO62" s="556">
        <f t="shared" ref="AO62:AO67" si="29">IF($B$118="S",IF($E$25="Y",AP62-AQ62-AR62-AS62,0),0)</f>
        <v>0</v>
      </c>
      <c r="AP62" s="557">
        <f>SUM(AQ62:AY62)</f>
        <v>130</v>
      </c>
      <c r="AQ62" s="178">
        <v>0</v>
      </c>
      <c r="AR62" s="176">
        <v>0</v>
      </c>
      <c r="AS62" s="176">
        <v>112</v>
      </c>
      <c r="AT62" s="176">
        <v>2</v>
      </c>
      <c r="AU62" s="176"/>
      <c r="AV62" s="176"/>
      <c r="AW62" s="176"/>
      <c r="AX62" s="176">
        <v>16</v>
      </c>
      <c r="AY62" s="400"/>
      <c r="AZ62" s="406">
        <v>120</v>
      </c>
      <c r="BA62" s="176">
        <v>20</v>
      </c>
      <c r="BB62" s="176">
        <v>655</v>
      </c>
      <c r="BC62" s="176">
        <v>0</v>
      </c>
      <c r="BD62" s="176">
        <v>20</v>
      </c>
      <c r="BE62" s="176"/>
      <c r="BF62" s="397"/>
      <c r="BG62" s="557">
        <f t="shared" si="11"/>
        <v>1327</v>
      </c>
      <c r="BH62" s="174">
        <v>512</v>
      </c>
      <c r="BI62" s="568">
        <f t="shared" si="12"/>
        <v>815</v>
      </c>
    </row>
    <row r="63" spans="9:61" ht="17" thickBot="1" x14ac:dyDescent="0.25">
      <c r="I63" s="653"/>
      <c r="J63" s="585"/>
      <c r="K63" s="118" t="s">
        <v>35</v>
      </c>
      <c r="L63" s="288">
        <f>J25</f>
        <v>0</v>
      </c>
      <c r="M63" s="276">
        <f>$L$63*V62</f>
        <v>0</v>
      </c>
      <c r="N63" s="276">
        <f>L63*N62</f>
        <v>0</v>
      </c>
      <c r="O63" s="277">
        <f>$L$63*X62</f>
        <v>0</v>
      </c>
      <c r="P63" s="119"/>
      <c r="S63" s="701"/>
      <c r="T63" s="601"/>
      <c r="U63" s="186" t="s">
        <v>122</v>
      </c>
      <c r="V63" s="92">
        <v>2</v>
      </c>
      <c r="W63" s="528">
        <f t="shared" si="6"/>
        <v>512</v>
      </c>
      <c r="X63" s="265">
        <v>0</v>
      </c>
      <c r="Y63" s="171"/>
      <c r="Z63" s="541">
        <f t="shared" ref="Z63:Z67" si="30">IF(AND(AN45=0,AN57=0,AN51=0),SUM(AC63:AJ63),IF($E$15="N",SUM(AC63:AJ63)-AN63,AM63-AN63+AD63))</f>
        <v>59</v>
      </c>
      <c r="AA63" s="528">
        <f t="shared" ref="AA63:AA67" si="31">IF($E$15="N",IF(AND($B$118="S",OR($E$22="Y",$E$23="Y",$E$24="Y")),0,BI63),IF(AND($B$118="S",OR($E$22="Y",$E$23="Y",$E$24="Y")),BB63,BI63))</f>
        <v>815</v>
      </c>
      <c r="AB63" s="542">
        <f t="shared" si="27"/>
        <v>130</v>
      </c>
      <c r="AC63" s="122">
        <v>5</v>
      </c>
      <c r="AD63" s="91">
        <v>6</v>
      </c>
      <c r="AE63" s="91">
        <v>0</v>
      </c>
      <c r="AF63" s="182">
        <v>2</v>
      </c>
      <c r="AG63" s="122">
        <v>2</v>
      </c>
      <c r="AH63" s="91">
        <v>12</v>
      </c>
      <c r="AI63" s="91">
        <v>32</v>
      </c>
      <c r="AJ63" s="91"/>
      <c r="AK63" s="91"/>
      <c r="AL63" s="401"/>
      <c r="AM63" s="549">
        <f t="shared" si="4"/>
        <v>59</v>
      </c>
      <c r="AN63" s="558">
        <f t="shared" si="28"/>
        <v>0</v>
      </c>
      <c r="AO63" s="559">
        <f t="shared" si="29"/>
        <v>0</v>
      </c>
      <c r="AP63" s="560">
        <f t="shared" ref="AP63:AP66" si="32">SUM(AQ63:AY63)</f>
        <v>130</v>
      </c>
      <c r="AQ63" s="122">
        <v>0</v>
      </c>
      <c r="AR63" s="91">
        <v>0</v>
      </c>
      <c r="AS63" s="385">
        <v>112</v>
      </c>
      <c r="AT63" s="385">
        <v>2</v>
      </c>
      <c r="AU63" s="385"/>
      <c r="AV63" s="385"/>
      <c r="AW63" s="385"/>
      <c r="AX63" s="385">
        <v>16</v>
      </c>
      <c r="AY63" s="411"/>
      <c r="AZ63" s="407">
        <v>120</v>
      </c>
      <c r="BA63" s="91">
        <v>20</v>
      </c>
      <c r="BB63" s="91">
        <v>655</v>
      </c>
      <c r="BC63" s="91">
        <v>0</v>
      </c>
      <c r="BD63" s="91">
        <v>20</v>
      </c>
      <c r="BE63" s="91"/>
      <c r="BF63" s="398"/>
      <c r="BG63" s="560">
        <f t="shared" si="11"/>
        <v>1327</v>
      </c>
      <c r="BH63" s="391">
        <v>512</v>
      </c>
      <c r="BI63" s="569">
        <f t="shared" si="12"/>
        <v>815</v>
      </c>
    </row>
    <row r="64" spans="9:61" ht="17" thickBot="1" x14ac:dyDescent="0.25">
      <c r="I64" s="653"/>
      <c r="J64" s="585"/>
      <c r="K64" s="123" t="s">
        <v>70</v>
      </c>
      <c r="L64" s="287" t="str">
        <f>K26</f>
        <v>None</v>
      </c>
      <c r="M64" s="273">
        <f>M26</f>
        <v>0</v>
      </c>
      <c r="N64" s="274">
        <f>N26</f>
        <v>0</v>
      </c>
      <c r="O64" s="273">
        <f>O26</f>
        <v>0</v>
      </c>
      <c r="P64" s="281">
        <f>P26</f>
        <v>0</v>
      </c>
      <c r="S64" s="701"/>
      <c r="T64" s="602"/>
      <c r="U64" s="122" t="s">
        <v>20</v>
      </c>
      <c r="V64" s="279">
        <v>2</v>
      </c>
      <c r="W64" s="535">
        <f t="shared" si="6"/>
        <v>1024</v>
      </c>
      <c r="X64" s="265">
        <v>0</v>
      </c>
      <c r="Y64" s="171"/>
      <c r="Z64" s="541">
        <f t="shared" si="30"/>
        <v>59</v>
      </c>
      <c r="AA64" s="528">
        <f t="shared" si="31"/>
        <v>815</v>
      </c>
      <c r="AB64" s="542">
        <f t="shared" si="27"/>
        <v>194</v>
      </c>
      <c r="AC64" s="122">
        <v>5</v>
      </c>
      <c r="AD64" s="91">
        <v>6</v>
      </c>
      <c r="AE64" s="91">
        <v>0</v>
      </c>
      <c r="AF64" s="182">
        <v>2</v>
      </c>
      <c r="AG64" s="122">
        <v>2</v>
      </c>
      <c r="AH64" s="91">
        <v>12</v>
      </c>
      <c r="AI64" s="91">
        <v>32</v>
      </c>
      <c r="AJ64" s="91"/>
      <c r="AK64" s="91"/>
      <c r="AL64" s="401"/>
      <c r="AM64" s="549">
        <f t="shared" si="4"/>
        <v>59</v>
      </c>
      <c r="AN64" s="558">
        <f t="shared" si="28"/>
        <v>0</v>
      </c>
      <c r="AO64" s="559">
        <f t="shared" si="29"/>
        <v>0</v>
      </c>
      <c r="AP64" s="560">
        <f t="shared" si="32"/>
        <v>194</v>
      </c>
      <c r="AQ64" s="122">
        <v>0</v>
      </c>
      <c r="AR64" s="91">
        <v>0</v>
      </c>
      <c r="AS64" s="385">
        <v>176</v>
      </c>
      <c r="AT64" s="385">
        <v>2</v>
      </c>
      <c r="AU64" s="385"/>
      <c r="AV64" s="385"/>
      <c r="AW64" s="385"/>
      <c r="AX64" s="385">
        <v>16</v>
      </c>
      <c r="AY64" s="411"/>
      <c r="AZ64" s="407">
        <v>120</v>
      </c>
      <c r="BA64" s="91">
        <v>20</v>
      </c>
      <c r="BB64" s="91">
        <v>655</v>
      </c>
      <c r="BC64" s="91">
        <v>0</v>
      </c>
      <c r="BD64" s="91">
        <v>20</v>
      </c>
      <c r="BE64" s="91"/>
      <c r="BF64" s="398"/>
      <c r="BG64" s="560">
        <f t="shared" si="11"/>
        <v>1839</v>
      </c>
      <c r="BH64" s="391">
        <v>1024</v>
      </c>
      <c r="BI64" s="569">
        <f t="shared" si="12"/>
        <v>815</v>
      </c>
    </row>
    <row r="65" spans="2:61" ht="17" thickBot="1" x14ac:dyDescent="0.25">
      <c r="I65" s="653"/>
      <c r="J65" s="585"/>
      <c r="K65" s="124" t="s">
        <v>71</v>
      </c>
      <c r="L65" s="288">
        <f>J26</f>
        <v>0</v>
      </c>
      <c r="M65" s="282">
        <f>$L$65*V68</f>
        <v>0</v>
      </c>
      <c r="N65" s="282">
        <f>$L$65*W68</f>
        <v>0</v>
      </c>
      <c r="O65" s="282">
        <f>$L$65*X68</f>
        <v>0</v>
      </c>
      <c r="P65" s="283">
        <f>$L$65*Y68</f>
        <v>0</v>
      </c>
      <c r="S65" s="701"/>
      <c r="T65" s="170" t="s">
        <v>82</v>
      </c>
      <c r="U65" s="122" t="s">
        <v>22</v>
      </c>
      <c r="V65" s="280">
        <v>2</v>
      </c>
      <c r="W65" s="528">
        <f t="shared" si="6"/>
        <v>2048</v>
      </c>
      <c r="X65" s="265">
        <v>0</v>
      </c>
      <c r="Y65" s="171"/>
      <c r="Z65" s="541">
        <f t="shared" si="30"/>
        <v>72</v>
      </c>
      <c r="AA65" s="528">
        <f t="shared" si="31"/>
        <v>825</v>
      </c>
      <c r="AB65" s="542">
        <f t="shared" si="27"/>
        <v>235</v>
      </c>
      <c r="AC65" s="122">
        <v>8</v>
      </c>
      <c r="AD65" s="91">
        <v>6</v>
      </c>
      <c r="AE65" s="91">
        <v>0</v>
      </c>
      <c r="AF65" s="182">
        <v>2</v>
      </c>
      <c r="AG65" s="122">
        <v>2</v>
      </c>
      <c r="AH65" s="91">
        <v>22</v>
      </c>
      <c r="AI65" s="91">
        <v>32</v>
      </c>
      <c r="AJ65" s="91"/>
      <c r="AK65" s="91"/>
      <c r="AL65" s="401"/>
      <c r="AM65" s="549">
        <f t="shared" si="4"/>
        <v>72</v>
      </c>
      <c r="AN65" s="558">
        <f t="shared" si="28"/>
        <v>0</v>
      </c>
      <c r="AO65" s="559">
        <f t="shared" si="29"/>
        <v>0</v>
      </c>
      <c r="AP65" s="560">
        <f t="shared" si="32"/>
        <v>235</v>
      </c>
      <c r="AQ65" s="122">
        <v>0</v>
      </c>
      <c r="AR65" s="91">
        <v>0</v>
      </c>
      <c r="AS65" s="385">
        <v>216</v>
      </c>
      <c r="AT65" s="385">
        <v>3</v>
      </c>
      <c r="AU65" s="385"/>
      <c r="AV65" s="385"/>
      <c r="AW65" s="385"/>
      <c r="AX65" s="385">
        <v>16</v>
      </c>
      <c r="AY65" s="411"/>
      <c r="AZ65" s="407">
        <v>120</v>
      </c>
      <c r="BA65" s="91">
        <v>20</v>
      </c>
      <c r="BB65" s="91">
        <v>655</v>
      </c>
      <c r="BC65" s="91">
        <v>0</v>
      </c>
      <c r="BD65" s="91">
        <v>30</v>
      </c>
      <c r="BE65" s="91"/>
      <c r="BF65" s="398"/>
      <c r="BG65" s="560">
        <f t="shared" si="11"/>
        <v>2873</v>
      </c>
      <c r="BH65" s="391">
        <v>2048</v>
      </c>
      <c r="BI65" s="569">
        <f t="shared" si="12"/>
        <v>825</v>
      </c>
    </row>
    <row r="66" spans="2:61" x14ac:dyDescent="0.2">
      <c r="I66" s="653"/>
      <c r="J66" s="585"/>
      <c r="K66" s="272" t="str">
        <f>D27</f>
        <v>Assist</v>
      </c>
      <c r="L66" s="287" t="str">
        <f>K27</f>
        <v>None</v>
      </c>
      <c r="M66" s="273">
        <f>M27</f>
        <v>0</v>
      </c>
      <c r="N66" s="274">
        <f>N27</f>
        <v>0</v>
      </c>
      <c r="O66" s="275">
        <f>O27</f>
        <v>0</v>
      </c>
      <c r="P66" s="117"/>
      <c r="S66" s="701"/>
      <c r="T66" s="603">
        <v>2</v>
      </c>
      <c r="U66" s="122" t="s">
        <v>2</v>
      </c>
      <c r="V66" s="98">
        <v>8</v>
      </c>
      <c r="W66" s="535">
        <f t="shared" si="6"/>
        <v>3072</v>
      </c>
      <c r="X66" s="265">
        <v>2</v>
      </c>
      <c r="Y66" s="171"/>
      <c r="Z66" s="541">
        <f t="shared" si="30"/>
        <v>90</v>
      </c>
      <c r="AA66" s="528">
        <f t="shared" si="31"/>
        <v>835</v>
      </c>
      <c r="AB66" s="542">
        <f t="shared" si="27"/>
        <v>385</v>
      </c>
      <c r="AC66" s="122">
        <v>8</v>
      </c>
      <c r="AD66" s="91">
        <v>6</v>
      </c>
      <c r="AE66" s="91">
        <v>0</v>
      </c>
      <c r="AF66" s="182">
        <v>2</v>
      </c>
      <c r="AG66" s="122">
        <v>4</v>
      </c>
      <c r="AH66" s="91">
        <v>22</v>
      </c>
      <c r="AI66" s="91">
        <v>48</v>
      </c>
      <c r="AJ66" s="91"/>
      <c r="AK66" s="91"/>
      <c r="AL66" s="401"/>
      <c r="AM66" s="549">
        <f t="shared" si="4"/>
        <v>90</v>
      </c>
      <c r="AN66" s="558">
        <f t="shared" si="28"/>
        <v>0</v>
      </c>
      <c r="AO66" s="559">
        <f t="shared" si="29"/>
        <v>0</v>
      </c>
      <c r="AP66" s="560">
        <f t="shared" si="32"/>
        <v>385</v>
      </c>
      <c r="AQ66" s="122">
        <v>0</v>
      </c>
      <c r="AR66" s="91">
        <v>0</v>
      </c>
      <c r="AS66" s="385">
        <v>270</v>
      </c>
      <c r="AT66" s="385">
        <v>3</v>
      </c>
      <c r="AU66" s="385">
        <v>96</v>
      </c>
      <c r="AV66" s="385"/>
      <c r="AW66" s="385"/>
      <c r="AX66" s="385">
        <v>16</v>
      </c>
      <c r="AY66" s="411"/>
      <c r="AZ66" s="407">
        <v>120</v>
      </c>
      <c r="BA66" s="91">
        <v>20</v>
      </c>
      <c r="BB66" s="91">
        <v>655</v>
      </c>
      <c r="BC66" s="91">
        <v>0</v>
      </c>
      <c r="BD66" s="91">
        <v>40</v>
      </c>
      <c r="BE66" s="91"/>
      <c r="BF66" s="398"/>
      <c r="BG66" s="560">
        <f t="shared" si="11"/>
        <v>3907</v>
      </c>
      <c r="BH66" s="391">
        <v>3072</v>
      </c>
      <c r="BI66" s="569">
        <f t="shared" si="12"/>
        <v>835</v>
      </c>
    </row>
    <row r="67" spans="2:61" ht="17" thickBot="1" x14ac:dyDescent="0.25">
      <c r="I67" s="653"/>
      <c r="J67" s="585"/>
      <c r="K67" s="497" t="s">
        <v>236</v>
      </c>
      <c r="L67" s="498">
        <f>J27</f>
        <v>0</v>
      </c>
      <c r="M67" s="292">
        <f>$L$67*V74</f>
        <v>0</v>
      </c>
      <c r="N67" s="292">
        <f>$L$67*W74</f>
        <v>0</v>
      </c>
      <c r="O67" s="499">
        <f>$L$67*X74</f>
        <v>0</v>
      </c>
      <c r="P67" s="117"/>
      <c r="S67" s="701"/>
      <c r="T67" s="604"/>
      <c r="U67" s="187" t="s">
        <v>59</v>
      </c>
      <c r="V67" s="296">
        <f>V66+V65</f>
        <v>10</v>
      </c>
      <c r="W67" s="536">
        <f t="shared" si="6"/>
        <v>5120</v>
      </c>
      <c r="X67" s="269">
        <v>3</v>
      </c>
      <c r="Y67" s="171"/>
      <c r="Z67" s="543">
        <f t="shared" si="30"/>
        <v>146</v>
      </c>
      <c r="AA67" s="529">
        <f t="shared" si="31"/>
        <v>865</v>
      </c>
      <c r="AB67" s="544">
        <f t="shared" si="27"/>
        <v>620</v>
      </c>
      <c r="AC67" s="179">
        <v>8</v>
      </c>
      <c r="AD67" s="180">
        <v>6</v>
      </c>
      <c r="AE67" s="270">
        <f>AE66+AE65</f>
        <v>0</v>
      </c>
      <c r="AF67" s="183">
        <v>2</v>
      </c>
      <c r="AG67" s="271">
        <f>AG65+AG66</f>
        <v>6</v>
      </c>
      <c r="AH67" s="270">
        <f>AH66+AH65</f>
        <v>44</v>
      </c>
      <c r="AI67" s="270">
        <f>AI66+AI65</f>
        <v>80</v>
      </c>
      <c r="AJ67" s="180"/>
      <c r="AK67" s="180"/>
      <c r="AL67" s="402"/>
      <c r="AM67" s="550">
        <f t="shared" si="4"/>
        <v>146</v>
      </c>
      <c r="AN67" s="561">
        <f t="shared" si="28"/>
        <v>0</v>
      </c>
      <c r="AO67" s="562">
        <f t="shared" si="29"/>
        <v>0</v>
      </c>
      <c r="AP67" s="563">
        <f>AP65+AP66</f>
        <v>620</v>
      </c>
      <c r="AQ67" s="264">
        <f>AQ65+AQ66</f>
        <v>0</v>
      </c>
      <c r="AR67" s="91">
        <v>0</v>
      </c>
      <c r="AS67" s="409">
        <f>AS66+AS65</f>
        <v>486</v>
      </c>
      <c r="AT67" s="410" t="s">
        <v>187</v>
      </c>
      <c r="AU67" s="410"/>
      <c r="AV67" s="410"/>
      <c r="AW67" s="410"/>
      <c r="AX67" s="410"/>
      <c r="AY67" s="412"/>
      <c r="AZ67" s="408">
        <f>AZ66</f>
        <v>120</v>
      </c>
      <c r="BA67" s="180">
        <f>BA66</f>
        <v>20</v>
      </c>
      <c r="BB67" s="180">
        <f>BB66</f>
        <v>655</v>
      </c>
      <c r="BC67" s="180">
        <f>BC66+BC65</f>
        <v>0</v>
      </c>
      <c r="BD67" s="180">
        <f>BD66+BD65</f>
        <v>70</v>
      </c>
      <c r="BE67" s="486"/>
      <c r="BF67" s="473"/>
      <c r="BG67" s="566">
        <f t="shared" si="11"/>
        <v>5985</v>
      </c>
      <c r="BH67" s="392">
        <f>BH66+BH65</f>
        <v>5120</v>
      </c>
      <c r="BI67" s="570">
        <f t="shared" si="12"/>
        <v>865</v>
      </c>
    </row>
    <row r="68" spans="2:61" ht="17" thickBot="1" x14ac:dyDescent="0.25">
      <c r="I68" s="653"/>
      <c r="J68" s="585"/>
      <c r="K68" s="272" t="str">
        <f>D28</f>
        <v>Safety</v>
      </c>
      <c r="L68" s="501" t="str">
        <f>K28</f>
        <v>None</v>
      </c>
      <c r="M68" s="503">
        <f>M28</f>
        <v>0</v>
      </c>
      <c r="N68" s="503">
        <f>N28</f>
        <v>0</v>
      </c>
      <c r="O68" s="503">
        <f>O28</f>
        <v>0</v>
      </c>
      <c r="P68" s="117"/>
      <c r="S68" s="701"/>
      <c r="T68" s="703" t="s">
        <v>47</v>
      </c>
      <c r="U68" s="175" t="s">
        <v>123</v>
      </c>
      <c r="V68" s="185">
        <v>4</v>
      </c>
      <c r="W68" s="530">
        <f t="shared" si="6"/>
        <v>100</v>
      </c>
      <c r="X68" s="304">
        <f>V68*$T$72</f>
        <v>64</v>
      </c>
      <c r="Y68" s="177">
        <v>1</v>
      </c>
      <c r="Z68" s="539">
        <f t="shared" ref="Z68:Z73" si="33">IF(AND(AN44=0,AN50=0,AN62=0,AN56=0),SUM(AC68:AJ68),SUM(AC68:AJ68)-AN68)</f>
        <v>8</v>
      </c>
      <c r="AA68" s="530">
        <f>IF(AND($B$118="S",OR($E$22="Y",$E$23="Y",$E$24="Y",$E$25="Y")),0,BI68)</f>
        <v>160</v>
      </c>
      <c r="AB68" s="540">
        <f t="shared" ref="AB68:AB73" si="34">IF(AND(AO44=0,AO50=0,AO56=0,AO62=0),AP68,IF(AP68-AO68&lt;0,0,AP68-AO68))</f>
        <v>18</v>
      </c>
      <c r="AC68" s="178">
        <v>5</v>
      </c>
      <c r="AD68" s="176">
        <v>0</v>
      </c>
      <c r="AE68" s="176">
        <v>0</v>
      </c>
      <c r="AF68" s="181">
        <v>2</v>
      </c>
      <c r="AG68" s="178">
        <v>1</v>
      </c>
      <c r="AH68" s="176"/>
      <c r="AI68" s="176"/>
      <c r="AJ68" s="176"/>
      <c r="AK68" s="176"/>
      <c r="AL68" s="400"/>
      <c r="AM68" s="548">
        <f t="shared" si="4"/>
        <v>8</v>
      </c>
      <c r="AN68" s="555">
        <f t="shared" ref="AN68:AN73" si="35">IF($B$118="S",IF($E$26="Y",AC68+AD68+AF68+AG68,0),0)</f>
        <v>0</v>
      </c>
      <c r="AO68" s="556">
        <f t="shared" ref="AO68:AO73" si="36">IF($B$118="S",IF($E$26="Y",AP68-AQ68-AR68-AS68,0),0)</f>
        <v>0</v>
      </c>
      <c r="AP68" s="557">
        <f>SUM(AQ68:AY68)</f>
        <v>18</v>
      </c>
      <c r="AQ68" s="419">
        <v>0</v>
      </c>
      <c r="AR68" s="420">
        <v>0</v>
      </c>
      <c r="AS68" s="420">
        <v>0</v>
      </c>
      <c r="AT68" s="420">
        <v>2</v>
      </c>
      <c r="AU68" s="420"/>
      <c r="AV68" s="420"/>
      <c r="AW68" s="420"/>
      <c r="AX68" s="420">
        <v>16</v>
      </c>
      <c r="AY68" s="421"/>
      <c r="AZ68" s="406">
        <v>120</v>
      </c>
      <c r="BA68" s="176">
        <v>20</v>
      </c>
      <c r="BB68" s="176">
        <v>0</v>
      </c>
      <c r="BC68" s="176">
        <v>0</v>
      </c>
      <c r="BD68" s="176">
        <v>20</v>
      </c>
      <c r="BE68" s="176"/>
      <c r="BF68" s="397"/>
      <c r="BG68" s="557">
        <f t="shared" si="11"/>
        <v>260</v>
      </c>
      <c r="BH68" s="174">
        <v>100</v>
      </c>
      <c r="BI68" s="568">
        <f t="shared" si="12"/>
        <v>160</v>
      </c>
    </row>
    <row r="69" spans="2:61" ht="19" customHeight="1" thickBot="1" x14ac:dyDescent="0.25">
      <c r="I69" s="653"/>
      <c r="J69" s="585"/>
      <c r="K69" s="500" t="s">
        <v>236</v>
      </c>
      <c r="L69" s="502">
        <f>J28</f>
        <v>0</v>
      </c>
      <c r="M69" s="292">
        <f>$L$69*V80</f>
        <v>0</v>
      </c>
      <c r="N69" s="292">
        <f>$L$69*W80</f>
        <v>0</v>
      </c>
      <c r="O69" s="499">
        <f>$L$69*X80</f>
        <v>0</v>
      </c>
      <c r="P69" s="117"/>
      <c r="S69" s="701"/>
      <c r="T69" s="704"/>
      <c r="U69" s="186" t="s">
        <v>122</v>
      </c>
      <c r="V69" s="92">
        <v>4</v>
      </c>
      <c r="W69" s="528">
        <f t="shared" si="6"/>
        <v>100</v>
      </c>
      <c r="X69" s="305">
        <f>V69*$T$72</f>
        <v>64</v>
      </c>
      <c r="Y69" s="188">
        <v>2</v>
      </c>
      <c r="Z69" s="545">
        <f t="shared" si="33"/>
        <v>9</v>
      </c>
      <c r="AA69" s="528">
        <f t="shared" ref="AA69:AA73" si="37">IF(AND($B$118="S",OR($E$22="Y",$E$23="Y",$E$24="Y",$E$25="Y")),0,BI69)</f>
        <v>160</v>
      </c>
      <c r="AB69" s="542">
        <f t="shared" si="34"/>
        <v>18</v>
      </c>
      <c r="AC69" s="122">
        <v>5</v>
      </c>
      <c r="AD69" s="91">
        <v>0</v>
      </c>
      <c r="AE69" s="91">
        <v>0</v>
      </c>
      <c r="AF69" s="182">
        <v>2</v>
      </c>
      <c r="AG69" s="122">
        <v>2</v>
      </c>
      <c r="AH69" s="91"/>
      <c r="AI69" s="91"/>
      <c r="AJ69" s="91"/>
      <c r="AK69" s="91"/>
      <c r="AL69" s="401"/>
      <c r="AM69" s="549">
        <f t="shared" si="4"/>
        <v>9</v>
      </c>
      <c r="AN69" s="558">
        <f t="shared" si="35"/>
        <v>0</v>
      </c>
      <c r="AO69" s="559">
        <f t="shared" si="36"/>
        <v>0</v>
      </c>
      <c r="AP69" s="560">
        <f t="shared" ref="AP69:AP72" si="38">SUM(AQ69:AY69)</f>
        <v>18</v>
      </c>
      <c r="AQ69" s="415">
        <v>0</v>
      </c>
      <c r="AR69" s="416">
        <v>0</v>
      </c>
      <c r="AS69" s="417">
        <v>0</v>
      </c>
      <c r="AT69" s="417">
        <v>2</v>
      </c>
      <c r="AU69" s="417"/>
      <c r="AV69" s="417"/>
      <c r="AW69" s="417"/>
      <c r="AX69" s="417">
        <v>16</v>
      </c>
      <c r="AY69" s="418"/>
      <c r="AZ69" s="407">
        <v>120</v>
      </c>
      <c r="BA69" s="91">
        <v>20</v>
      </c>
      <c r="BB69" s="91">
        <v>0</v>
      </c>
      <c r="BC69" s="91">
        <v>0</v>
      </c>
      <c r="BD69" s="91">
        <v>20</v>
      </c>
      <c r="BE69" s="91"/>
      <c r="BF69" s="398"/>
      <c r="BG69" s="560">
        <f t="shared" si="11"/>
        <v>260</v>
      </c>
      <c r="BH69" s="391">
        <v>100</v>
      </c>
      <c r="BI69" s="569">
        <f t="shared" si="12"/>
        <v>160</v>
      </c>
    </row>
    <row r="70" spans="2:61" ht="18" customHeight="1" thickBot="1" x14ac:dyDescent="0.25">
      <c r="I70" s="653"/>
      <c r="J70" s="585"/>
      <c r="K70" s="120" t="s">
        <v>128</v>
      </c>
      <c r="L70" s="121"/>
      <c r="M70" s="284">
        <f>M63+M62+M61+M60+M59+M58+M57+M56+M64+M65+M66+M67+M68+M69</f>
        <v>0</v>
      </c>
      <c r="N70" s="285">
        <f t="shared" ref="N70:O70" si="39">N63+N62+N61+N60+N59+N58+N57+N56+N64+N65+N66+N67+N68+N69</f>
        <v>0</v>
      </c>
      <c r="O70" s="285">
        <f t="shared" si="39"/>
        <v>0</v>
      </c>
      <c r="P70" s="286">
        <f>P64+P65</f>
        <v>0</v>
      </c>
      <c r="R70"/>
      <c r="S70" s="701"/>
      <c r="T70" s="705"/>
      <c r="U70" s="122" t="s">
        <v>20</v>
      </c>
      <c r="V70" s="97">
        <v>8</v>
      </c>
      <c r="W70" s="535">
        <f t="shared" si="6"/>
        <v>240</v>
      </c>
      <c r="X70" s="305">
        <f>V70*$T$72</f>
        <v>128</v>
      </c>
      <c r="Y70" s="188">
        <v>2</v>
      </c>
      <c r="Z70" s="545">
        <f t="shared" si="33"/>
        <v>9</v>
      </c>
      <c r="AA70" s="528">
        <f t="shared" si="37"/>
        <v>160</v>
      </c>
      <c r="AB70" s="542">
        <f t="shared" si="34"/>
        <v>18</v>
      </c>
      <c r="AC70" s="122">
        <v>5</v>
      </c>
      <c r="AD70" s="91">
        <v>0</v>
      </c>
      <c r="AE70" s="91">
        <v>0</v>
      </c>
      <c r="AF70" s="182">
        <v>2</v>
      </c>
      <c r="AG70" s="122">
        <v>2</v>
      </c>
      <c r="AH70" s="91"/>
      <c r="AI70" s="91"/>
      <c r="AJ70" s="91"/>
      <c r="AK70" s="91"/>
      <c r="AL70" s="401"/>
      <c r="AM70" s="549">
        <f t="shared" si="4"/>
        <v>9</v>
      </c>
      <c r="AN70" s="558">
        <f t="shared" si="35"/>
        <v>0</v>
      </c>
      <c r="AO70" s="559">
        <f t="shared" si="36"/>
        <v>0</v>
      </c>
      <c r="AP70" s="560">
        <f t="shared" si="38"/>
        <v>18</v>
      </c>
      <c r="AQ70" s="122">
        <v>0</v>
      </c>
      <c r="AR70" s="91">
        <v>0</v>
      </c>
      <c r="AS70" s="385">
        <v>0</v>
      </c>
      <c r="AT70" s="385">
        <v>2</v>
      </c>
      <c r="AU70" s="385"/>
      <c r="AV70" s="385"/>
      <c r="AW70" s="385"/>
      <c r="AX70" s="385">
        <v>16</v>
      </c>
      <c r="AY70" s="411"/>
      <c r="AZ70" s="407">
        <v>120</v>
      </c>
      <c r="BA70" s="91">
        <v>20</v>
      </c>
      <c r="BB70" s="91">
        <v>0</v>
      </c>
      <c r="BC70" s="91">
        <v>0</v>
      </c>
      <c r="BD70" s="91">
        <v>20</v>
      </c>
      <c r="BE70" s="91"/>
      <c r="BF70" s="398"/>
      <c r="BG70" s="560">
        <f t="shared" si="11"/>
        <v>400</v>
      </c>
      <c r="BH70" s="391">
        <v>240</v>
      </c>
      <c r="BI70" s="569">
        <f t="shared" si="12"/>
        <v>160</v>
      </c>
    </row>
    <row r="71" spans="2:61" ht="22" customHeight="1" thickBot="1" x14ac:dyDescent="0.25">
      <c r="I71" s="653"/>
      <c r="J71" s="585"/>
      <c r="K71" s="116" t="s">
        <v>116</v>
      </c>
      <c r="L71" s="159"/>
      <c r="M71" s="289">
        <f>M41</f>
        <v>0</v>
      </c>
      <c r="N71" s="290">
        <f>N41</f>
        <v>0</v>
      </c>
      <c r="O71" s="291">
        <f>O41</f>
        <v>0</v>
      </c>
      <c r="P71" s="194"/>
      <c r="R71"/>
      <c r="S71" s="701"/>
      <c r="T71" s="184" t="s">
        <v>82</v>
      </c>
      <c r="U71" s="122" t="s">
        <v>22</v>
      </c>
      <c r="V71" s="102">
        <v>16</v>
      </c>
      <c r="W71" s="528">
        <f t="shared" si="6"/>
        <v>480</v>
      </c>
      <c r="X71" s="305">
        <f>V71*$T$72</f>
        <v>256</v>
      </c>
      <c r="Y71" s="188">
        <v>4</v>
      </c>
      <c r="Z71" s="545">
        <f t="shared" si="33"/>
        <v>12</v>
      </c>
      <c r="AA71" s="528">
        <f t="shared" si="37"/>
        <v>170</v>
      </c>
      <c r="AB71" s="542">
        <f t="shared" si="34"/>
        <v>19</v>
      </c>
      <c r="AC71" s="122">
        <v>8</v>
      </c>
      <c r="AD71" s="91">
        <v>0</v>
      </c>
      <c r="AE71" s="91">
        <v>0</v>
      </c>
      <c r="AF71" s="182">
        <v>2</v>
      </c>
      <c r="AG71" s="122">
        <v>2</v>
      </c>
      <c r="AH71" s="91"/>
      <c r="AI71" s="91"/>
      <c r="AJ71" s="91"/>
      <c r="AK71" s="91"/>
      <c r="AL71" s="401"/>
      <c r="AM71" s="549">
        <f t="shared" si="4"/>
        <v>12</v>
      </c>
      <c r="AN71" s="558">
        <f t="shared" si="35"/>
        <v>0</v>
      </c>
      <c r="AO71" s="559">
        <f t="shared" si="36"/>
        <v>0</v>
      </c>
      <c r="AP71" s="560">
        <f t="shared" si="38"/>
        <v>19</v>
      </c>
      <c r="AQ71" s="122">
        <v>0</v>
      </c>
      <c r="AR71" s="91">
        <v>0</v>
      </c>
      <c r="AS71" s="385">
        <v>0</v>
      </c>
      <c r="AT71" s="385">
        <v>3</v>
      </c>
      <c r="AU71" s="385"/>
      <c r="AV71" s="385"/>
      <c r="AW71" s="385"/>
      <c r="AX71" s="385">
        <v>16</v>
      </c>
      <c r="AY71" s="411"/>
      <c r="AZ71" s="407">
        <v>120</v>
      </c>
      <c r="BA71" s="91">
        <v>20</v>
      </c>
      <c r="BB71" s="91">
        <v>0</v>
      </c>
      <c r="BC71" s="91">
        <v>0</v>
      </c>
      <c r="BD71" s="91">
        <v>30</v>
      </c>
      <c r="BE71" s="91"/>
      <c r="BF71" s="398"/>
      <c r="BG71" s="560">
        <f t="shared" si="11"/>
        <v>650</v>
      </c>
      <c r="BH71" s="391">
        <v>480</v>
      </c>
      <c r="BI71" s="569">
        <f t="shared" si="12"/>
        <v>170</v>
      </c>
    </row>
    <row r="72" spans="2:61" ht="23" customHeight="1" thickBot="1" x14ac:dyDescent="0.25">
      <c r="I72" s="653"/>
      <c r="J72" s="585"/>
      <c r="K72" s="125" t="s">
        <v>117</v>
      </c>
      <c r="L72" s="197"/>
      <c r="M72" s="292">
        <f>IF($L$57&gt;0,Z44,0)+IF($L$59&gt;0,Z50,0)+IF($L$61&gt;0,Z56,0)+IF($L$63&gt;0,Z62,0)+IF($L$65&gt;0,Z68,0)+IF($L$67&gt;0,Z74,0)+IF($L$69&gt;0,Z80,0)</f>
        <v>0</v>
      </c>
      <c r="N72" s="292">
        <f>IF($L$57&gt;0,AA44,0)+IF($L$59&gt;0,AA50,0)+IF($L$61&gt;0,AA56,0)+IF($L$63&gt;0,AA62,0)+IF($L$65&gt;0,AA68,0)+IF($L$67&gt;0,AA74,0)+IF($L$69&gt;0,AA80,0)</f>
        <v>0</v>
      </c>
      <c r="O72" s="293">
        <f>IF($L$57&gt;0,AB44,0)+IF($L$59&gt;0,AB50,0)+IF($L$61&gt;0,AB56,0)+IF($L$63&gt;0,AB62,0)+IF($L$65&gt;0,AB68,0)+IF($L$67&gt;0,AB74,0)+IF($L$69&gt;0,AB80,0)</f>
        <v>0</v>
      </c>
      <c r="P72" s="195"/>
      <c r="R72"/>
      <c r="S72" s="701"/>
      <c r="T72" s="708">
        <v>16</v>
      </c>
      <c r="U72" s="122" t="s">
        <v>2</v>
      </c>
      <c r="V72" s="98">
        <v>24</v>
      </c>
      <c r="W72" s="535">
        <f t="shared" si="6"/>
        <v>960</v>
      </c>
      <c r="X72" s="305">
        <v>512</v>
      </c>
      <c r="Y72" s="188">
        <v>8</v>
      </c>
      <c r="Z72" s="545">
        <f t="shared" si="33"/>
        <v>14</v>
      </c>
      <c r="AA72" s="528">
        <f t="shared" si="37"/>
        <v>180</v>
      </c>
      <c r="AB72" s="542">
        <f t="shared" si="34"/>
        <v>115</v>
      </c>
      <c r="AC72" s="122">
        <v>8</v>
      </c>
      <c r="AD72" s="91">
        <v>0</v>
      </c>
      <c r="AE72" s="91">
        <v>0</v>
      </c>
      <c r="AF72" s="182">
        <v>2</v>
      </c>
      <c r="AG72" s="122">
        <v>4</v>
      </c>
      <c r="AH72" s="91"/>
      <c r="AI72" s="91"/>
      <c r="AJ72" s="91"/>
      <c r="AK72" s="91"/>
      <c r="AL72" s="401"/>
      <c r="AM72" s="549">
        <f t="shared" si="4"/>
        <v>14</v>
      </c>
      <c r="AN72" s="558">
        <f t="shared" si="35"/>
        <v>0</v>
      </c>
      <c r="AO72" s="559">
        <f t="shared" si="36"/>
        <v>0</v>
      </c>
      <c r="AP72" s="560">
        <f t="shared" si="38"/>
        <v>115</v>
      </c>
      <c r="AQ72" s="122">
        <v>0</v>
      </c>
      <c r="AR72" s="91">
        <v>0</v>
      </c>
      <c r="AS72" s="385">
        <v>0</v>
      </c>
      <c r="AT72" s="385">
        <v>3</v>
      </c>
      <c r="AU72" s="385">
        <v>96</v>
      </c>
      <c r="AV72" s="385"/>
      <c r="AW72" s="385"/>
      <c r="AX72" s="385">
        <v>16</v>
      </c>
      <c r="AY72" s="411"/>
      <c r="AZ72" s="407">
        <v>120</v>
      </c>
      <c r="BA72" s="91">
        <v>20</v>
      </c>
      <c r="BB72" s="91">
        <v>0</v>
      </c>
      <c r="BC72" s="91">
        <v>0</v>
      </c>
      <c r="BD72" s="91">
        <v>40</v>
      </c>
      <c r="BE72" s="91"/>
      <c r="BF72" s="398"/>
      <c r="BG72" s="560">
        <f t="shared" si="11"/>
        <v>1140</v>
      </c>
      <c r="BH72" s="391">
        <v>960</v>
      </c>
      <c r="BI72" s="569">
        <f t="shared" si="12"/>
        <v>180</v>
      </c>
    </row>
    <row r="73" spans="2:61" ht="22" customHeight="1" thickBot="1" x14ac:dyDescent="0.25">
      <c r="I73" s="653"/>
      <c r="J73" s="585"/>
      <c r="K73" s="511" t="s">
        <v>118</v>
      </c>
      <c r="L73" s="512"/>
      <c r="M73" s="513">
        <f>ROUND(M72+M71,0)</f>
        <v>0</v>
      </c>
      <c r="N73" s="514">
        <f>ROUND(N72+N71,0)</f>
        <v>0</v>
      </c>
      <c r="O73" s="286">
        <f>ROUND(O72+O71,0)</f>
        <v>0</v>
      </c>
      <c r="P73" s="195"/>
      <c r="R73"/>
      <c r="S73" s="702"/>
      <c r="T73" s="709"/>
      <c r="U73" s="128" t="s">
        <v>59</v>
      </c>
      <c r="V73" s="268">
        <f>V72+V71</f>
        <v>40</v>
      </c>
      <c r="W73" s="534">
        <f t="shared" si="6"/>
        <v>1440</v>
      </c>
      <c r="X73" s="306">
        <f>V73*$T$72</f>
        <v>640</v>
      </c>
      <c r="Y73" s="189">
        <v>16</v>
      </c>
      <c r="Z73" s="546">
        <f t="shared" si="33"/>
        <v>16</v>
      </c>
      <c r="AA73" s="529">
        <f t="shared" si="37"/>
        <v>210</v>
      </c>
      <c r="AB73" s="544">
        <f t="shared" si="34"/>
        <v>134</v>
      </c>
      <c r="AC73" s="179">
        <v>8</v>
      </c>
      <c r="AD73" s="180">
        <v>0</v>
      </c>
      <c r="AE73" s="270">
        <f>AE72+AE71</f>
        <v>0</v>
      </c>
      <c r="AF73" s="183">
        <v>2</v>
      </c>
      <c r="AG73" s="179">
        <v>6</v>
      </c>
      <c r="AH73" s="180"/>
      <c r="AI73" s="180"/>
      <c r="AJ73" s="180"/>
      <c r="AK73" s="180"/>
      <c r="AL73" s="402"/>
      <c r="AM73" s="550">
        <f t="shared" si="4"/>
        <v>16</v>
      </c>
      <c r="AN73" s="561">
        <f t="shared" si="35"/>
        <v>0</v>
      </c>
      <c r="AO73" s="562">
        <f t="shared" si="36"/>
        <v>0</v>
      </c>
      <c r="AP73" s="563">
        <f>AP71+AP72</f>
        <v>134</v>
      </c>
      <c r="AQ73" s="271">
        <f>AQ71+AQ72</f>
        <v>0</v>
      </c>
      <c r="AR73" s="180">
        <v>0</v>
      </c>
      <c r="AS73" s="413">
        <v>0</v>
      </c>
      <c r="AT73" s="387" t="s">
        <v>187</v>
      </c>
      <c r="AU73" s="387"/>
      <c r="AV73" s="387"/>
      <c r="AW73" s="387"/>
      <c r="AX73" s="387"/>
      <c r="AY73" s="414"/>
      <c r="AZ73" s="408">
        <f>AZ72</f>
        <v>120</v>
      </c>
      <c r="BA73" s="180">
        <f>BA72</f>
        <v>20</v>
      </c>
      <c r="BB73" s="180">
        <v>0</v>
      </c>
      <c r="BC73" s="180">
        <f>BC72+BC71</f>
        <v>0</v>
      </c>
      <c r="BD73" s="180">
        <f>BD72+BD71</f>
        <v>70</v>
      </c>
      <c r="BE73" s="180"/>
      <c r="BF73" s="399"/>
      <c r="BG73" s="567">
        <f t="shared" si="11"/>
        <v>1650</v>
      </c>
      <c r="BH73" s="392">
        <f>BH72+BH71</f>
        <v>1440</v>
      </c>
      <c r="BI73" s="570">
        <f t="shared" si="12"/>
        <v>210</v>
      </c>
    </row>
    <row r="74" spans="2:61" ht="20" customHeight="1" thickBot="1" x14ac:dyDescent="0.25">
      <c r="I74" s="653"/>
      <c r="J74" s="585"/>
      <c r="K74" s="517"/>
      <c r="L74" s="440"/>
      <c r="M74" s="518"/>
      <c r="N74" s="518"/>
      <c r="O74" s="518"/>
      <c r="P74" s="519"/>
      <c r="R74"/>
      <c r="T74" s="600" t="s">
        <v>227</v>
      </c>
      <c r="U74" s="175" t="s">
        <v>123</v>
      </c>
      <c r="V74" s="185">
        <v>12</v>
      </c>
      <c r="W74" s="530">
        <f>IF($E$15="N",BE74+BH74,BH74)</f>
        <v>20</v>
      </c>
      <c r="X74" s="303">
        <f>V74*$T$78</f>
        <v>96</v>
      </c>
      <c r="Y74" s="14"/>
      <c r="Z74" s="539">
        <f>IF(AND(AN44=0,AN50=0,AN56=0,AN68=0,AN62=0),SUM(AC74:AL74),SUM(AC74:AL74)-AN74)</f>
        <v>51</v>
      </c>
      <c r="AA74" s="530">
        <f>IF(AND($B$118="S",OR($E$22="Y",$E$23="Y",$E$24="Y",$E$25="Y",$E$26="Y")),0,BI74)</f>
        <v>160</v>
      </c>
      <c r="AB74" s="540">
        <f>IF(AND(AO44=0,AO50=0,AO56=0,AO62=0,AO68=0),AP74,IF(AP74-AO74&lt;0,0,AP74-AO74))</f>
        <v>18</v>
      </c>
      <c r="AC74" s="178">
        <v>5</v>
      </c>
      <c r="AD74" s="176">
        <v>0</v>
      </c>
      <c r="AE74" s="176">
        <v>0</v>
      </c>
      <c r="AF74" s="181">
        <v>2</v>
      </c>
      <c r="AG74" s="178">
        <v>1</v>
      </c>
      <c r="AH74" s="176"/>
      <c r="AI74" s="176"/>
      <c r="AJ74" s="176"/>
      <c r="AK74" s="176">
        <v>3</v>
      </c>
      <c r="AL74" s="400">
        <v>40</v>
      </c>
      <c r="AM74" s="548">
        <f>SUM(AC74:AL74)</f>
        <v>51</v>
      </c>
      <c r="AN74" s="555">
        <f>IF($B$118="S",IF($E$27="Y",AC74+AD74+AF74+AG74,0),0)</f>
        <v>0</v>
      </c>
      <c r="AO74" s="556">
        <f>IF($B$118="S",IF($E$27="Y",AP74-AQ74-AR74-AS74,0),0)</f>
        <v>0</v>
      </c>
      <c r="AP74" s="557">
        <f>SUM(AQ74:AY74)</f>
        <v>18</v>
      </c>
      <c r="AQ74" s="178"/>
      <c r="AR74" s="176"/>
      <c r="AS74" s="176"/>
      <c r="AT74" s="176">
        <v>2</v>
      </c>
      <c r="AU74" s="176"/>
      <c r="AV74" s="176"/>
      <c r="AW74" s="176"/>
      <c r="AX74" s="176">
        <v>16</v>
      </c>
      <c r="AY74" s="400"/>
      <c r="AZ74" s="406">
        <v>120</v>
      </c>
      <c r="BA74" s="176">
        <v>20</v>
      </c>
      <c r="BB74" s="176">
        <v>0</v>
      </c>
      <c r="BC74" s="176">
        <v>0</v>
      </c>
      <c r="BD74" s="176">
        <v>20</v>
      </c>
      <c r="BE74" s="176">
        <v>20</v>
      </c>
      <c r="BF74" s="397"/>
      <c r="BG74" s="557">
        <f t="shared" si="11"/>
        <v>180</v>
      </c>
      <c r="BH74" s="174">
        <v>0</v>
      </c>
      <c r="BI74" s="568">
        <f t="shared" si="12"/>
        <v>160</v>
      </c>
    </row>
    <row r="75" spans="2:61" ht="19" customHeight="1" thickBot="1" x14ac:dyDescent="0.25">
      <c r="I75" s="653"/>
      <c r="J75" s="585"/>
      <c r="K75" s="515" t="str">
        <f>IF(E17="One for All","Shared Dev Environment Totals","")</f>
        <v/>
      </c>
      <c r="L75" s="516"/>
      <c r="M75" s="520">
        <f>IF($E$17="One for All",IF(E22="Y",Z44+V44,0)+IF(E23="Y",Z50+V50,0)+IF(E24="Y",Z56+V56,0)+IF(E25="Y",Z62+V62,0)+IF(E26="Y",Z68+V68,0)+IF(E27="Y",Z74+V74,0)+IF(E28="Y",Z80+V80,0),0)</f>
        <v>0</v>
      </c>
      <c r="N75" s="520">
        <f>IF($E$17="One for All",MAX(N56,N58,N60,N62,N64,N66,N68),0)</f>
        <v>0</v>
      </c>
      <c r="O75" s="520">
        <f>IF($E$17="One for All",IF(E22="Y",AB44+X44,0)+IF(E23="Y",AB50+X50,0)+IF(E24="Y",AB56+X56,0)+IF(E25="Y",AB62+X62,0)+IF(E26="Y",AB68+X68,0)+IF(E27="Y",AB74+X74,0)+IF(E28="Y",AB80+X80,0),0)</f>
        <v>0</v>
      </c>
      <c r="P75" s="521">
        <f>IF($E$17="One for All",IF(E26="Y",Y68,0),0)</f>
        <v>0</v>
      </c>
      <c r="R75" s="172"/>
      <c r="T75" s="601"/>
      <c r="U75" s="186" t="s">
        <v>122</v>
      </c>
      <c r="V75" s="92">
        <v>16</v>
      </c>
      <c r="W75" s="528">
        <f>IF($E$15="N",BE75+BH75,BH75)</f>
        <v>20</v>
      </c>
      <c r="X75" s="265">
        <f t="shared" ref="X75:X79" si="40">V75*$T$78</f>
        <v>128</v>
      </c>
      <c r="Y75" s="171"/>
      <c r="Z75" s="541">
        <f t="shared" ref="Z75:Z79" si="41">IF(AND(AN45=0,AN51=0,AN57=0,AN69=0,AN63=0),SUM(AC75:AL75),SUM(AC75:AL75)-AN75)</f>
        <v>42</v>
      </c>
      <c r="AA75" s="528">
        <f t="shared" ref="AA75:AA79" si="42">IF(AND($B$118="S",OR($E$22="Y",$E$23="Y",$E$24="Y",$E$25="Y",$E$26="Y")),0,BI75)</f>
        <v>160</v>
      </c>
      <c r="AB75" s="542">
        <f t="shared" ref="AB75:AB79" si="43">IF(AND(AO45=0,AO51=0,AO57=0,AO63=0,AO69=0),AP75,IF(AP75-AO75&lt;0,0,AP75-AO75))</f>
        <v>18</v>
      </c>
      <c r="AC75" s="122">
        <v>5</v>
      </c>
      <c r="AD75" s="91">
        <v>0</v>
      </c>
      <c r="AE75" s="91">
        <v>0</v>
      </c>
      <c r="AF75" s="182">
        <v>2</v>
      </c>
      <c r="AG75" s="122">
        <v>2</v>
      </c>
      <c r="AH75" s="91"/>
      <c r="AI75" s="91"/>
      <c r="AJ75" s="91"/>
      <c r="AK75" s="91">
        <v>9</v>
      </c>
      <c r="AL75" s="401">
        <v>24</v>
      </c>
      <c r="AM75" s="549">
        <f t="shared" ref="AM75:AM85" si="44">SUM(AC75:AL75)</f>
        <v>42</v>
      </c>
      <c r="AN75" s="558">
        <f t="shared" ref="AN75:AN79" si="45">IF($B$118="S",IF($E$27="Y",AC75+AD75+AF75+AG75,0),0)</f>
        <v>0</v>
      </c>
      <c r="AO75" s="559">
        <f t="shared" ref="AO75:AO79" si="46">IF($B$118="S",IF($E$27="Y",AP75-AQ75-AR75-AS75,0),0)</f>
        <v>0</v>
      </c>
      <c r="AP75" s="560">
        <f t="shared" ref="AP75:AP78" si="47">SUM(AQ75:AY75)</f>
        <v>18</v>
      </c>
      <c r="AQ75" s="122">
        <v>0</v>
      </c>
      <c r="AR75" s="91"/>
      <c r="AS75" s="385"/>
      <c r="AT75" s="385">
        <v>2</v>
      </c>
      <c r="AU75" s="385"/>
      <c r="AV75" s="385"/>
      <c r="AW75" s="385"/>
      <c r="AX75" s="385">
        <v>16</v>
      </c>
      <c r="AY75" s="411"/>
      <c r="AZ75" s="407">
        <v>120</v>
      </c>
      <c r="BA75" s="91">
        <v>20</v>
      </c>
      <c r="BB75" s="91">
        <v>0</v>
      </c>
      <c r="BC75" s="91">
        <v>0</v>
      </c>
      <c r="BD75" s="91">
        <v>20</v>
      </c>
      <c r="BE75" s="91">
        <v>20</v>
      </c>
      <c r="BF75" s="398"/>
      <c r="BG75" s="560">
        <f t="shared" si="11"/>
        <v>180</v>
      </c>
      <c r="BH75" s="391">
        <v>0</v>
      </c>
      <c r="BI75" s="569">
        <f t="shared" si="12"/>
        <v>160</v>
      </c>
    </row>
    <row r="76" spans="2:61" ht="18" customHeight="1" thickBot="1" x14ac:dyDescent="0.25">
      <c r="I76" s="653"/>
      <c r="J76" s="586"/>
      <c r="K76" s="126" t="s">
        <v>42</v>
      </c>
      <c r="L76" s="127"/>
      <c r="M76" s="294">
        <f>M70+M73+M75</f>
        <v>0</v>
      </c>
      <c r="N76" s="294">
        <f>N70+N73+N75</f>
        <v>0</v>
      </c>
      <c r="O76" s="294">
        <f>O70+O73+O75</f>
        <v>0</v>
      </c>
      <c r="P76" s="295">
        <f>P70+P73+P75</f>
        <v>0</v>
      </c>
      <c r="R76" s="173"/>
      <c r="T76" s="602"/>
      <c r="U76" s="122" t="s">
        <v>20</v>
      </c>
      <c r="V76" s="279">
        <v>24</v>
      </c>
      <c r="W76" s="535">
        <f>IF($E$15="N",BE76+BH76,BH76)</f>
        <v>20</v>
      </c>
      <c r="X76" s="265">
        <f t="shared" si="40"/>
        <v>192</v>
      </c>
      <c r="Y76" s="171"/>
      <c r="Z76" s="541">
        <f t="shared" si="41"/>
        <v>53</v>
      </c>
      <c r="AA76" s="528">
        <f t="shared" si="42"/>
        <v>160</v>
      </c>
      <c r="AB76" s="542">
        <f t="shared" si="43"/>
        <v>18</v>
      </c>
      <c r="AC76" s="122">
        <v>5</v>
      </c>
      <c r="AD76" s="91">
        <v>0</v>
      </c>
      <c r="AE76" s="91">
        <v>0</v>
      </c>
      <c r="AF76" s="182">
        <v>2</v>
      </c>
      <c r="AG76" s="122">
        <v>2</v>
      </c>
      <c r="AH76" s="91"/>
      <c r="AI76" s="91"/>
      <c r="AJ76" s="91"/>
      <c r="AK76" s="91">
        <v>12</v>
      </c>
      <c r="AL76" s="401">
        <v>32</v>
      </c>
      <c r="AM76" s="549">
        <f t="shared" si="44"/>
        <v>53</v>
      </c>
      <c r="AN76" s="558">
        <f t="shared" si="45"/>
        <v>0</v>
      </c>
      <c r="AO76" s="559">
        <f t="shared" si="46"/>
        <v>0</v>
      </c>
      <c r="AP76" s="560">
        <f t="shared" si="47"/>
        <v>18</v>
      </c>
      <c r="AQ76" s="122">
        <v>0</v>
      </c>
      <c r="AR76" s="91"/>
      <c r="AS76" s="385"/>
      <c r="AT76" s="385">
        <v>2</v>
      </c>
      <c r="AU76" s="385"/>
      <c r="AV76" s="385"/>
      <c r="AW76" s="385"/>
      <c r="AX76" s="385">
        <v>16</v>
      </c>
      <c r="AY76" s="411"/>
      <c r="AZ76" s="407">
        <v>120</v>
      </c>
      <c r="BA76" s="91">
        <v>20</v>
      </c>
      <c r="BB76" s="91">
        <v>0</v>
      </c>
      <c r="BC76" s="91">
        <v>0</v>
      </c>
      <c r="BD76" s="91">
        <v>20</v>
      </c>
      <c r="BE76" s="91">
        <v>20</v>
      </c>
      <c r="BF76" s="398"/>
      <c r="BG76" s="560">
        <f t="shared" si="11"/>
        <v>180</v>
      </c>
      <c r="BH76" s="391">
        <v>0</v>
      </c>
      <c r="BI76" s="569">
        <f t="shared" si="12"/>
        <v>160</v>
      </c>
    </row>
    <row r="77" spans="2:61" ht="32" customHeight="1" thickBot="1" x14ac:dyDescent="0.3">
      <c r="I77" s="653"/>
      <c r="J77" s="655" t="s">
        <v>107</v>
      </c>
      <c r="K77" s="504" t="s">
        <v>104</v>
      </c>
      <c r="L77" s="129"/>
      <c r="M77" s="129"/>
      <c r="N77" s="130"/>
      <c r="O77" s="108"/>
      <c r="R77" s="173"/>
      <c r="T77" s="170" t="s">
        <v>82</v>
      </c>
      <c r="U77" s="122" t="s">
        <v>22</v>
      </c>
      <c r="V77" s="280">
        <v>31</v>
      </c>
      <c r="W77" s="528">
        <f>IF($E$15="N",BE77+BH77,BH77)</f>
        <v>30</v>
      </c>
      <c r="X77" s="265">
        <f t="shared" si="40"/>
        <v>248</v>
      </c>
      <c r="Y77" s="171"/>
      <c r="Z77" s="541">
        <f t="shared" si="41"/>
        <v>69</v>
      </c>
      <c r="AA77" s="528">
        <f t="shared" si="42"/>
        <v>170</v>
      </c>
      <c r="AB77" s="542">
        <f t="shared" si="43"/>
        <v>19</v>
      </c>
      <c r="AC77" s="122">
        <v>8</v>
      </c>
      <c r="AD77" s="91">
        <v>0</v>
      </c>
      <c r="AE77" s="91">
        <v>0</v>
      </c>
      <c r="AF77" s="182">
        <v>2</v>
      </c>
      <c r="AG77" s="122">
        <v>2</v>
      </c>
      <c r="AH77" s="91"/>
      <c r="AI77" s="91"/>
      <c r="AJ77" s="91"/>
      <c r="AK77" s="91">
        <v>15</v>
      </c>
      <c r="AL77" s="401">
        <v>42</v>
      </c>
      <c r="AM77" s="549">
        <f t="shared" si="44"/>
        <v>69</v>
      </c>
      <c r="AN77" s="558">
        <f t="shared" si="45"/>
        <v>0</v>
      </c>
      <c r="AO77" s="559">
        <f t="shared" si="46"/>
        <v>0</v>
      </c>
      <c r="AP77" s="560">
        <f t="shared" si="47"/>
        <v>19</v>
      </c>
      <c r="AQ77" s="122">
        <v>0</v>
      </c>
      <c r="AR77" s="91"/>
      <c r="AS77" s="385"/>
      <c r="AT77" s="385">
        <v>3</v>
      </c>
      <c r="AU77" s="385"/>
      <c r="AV77" s="385"/>
      <c r="AW77" s="385"/>
      <c r="AX77" s="385">
        <v>16</v>
      </c>
      <c r="AY77" s="411"/>
      <c r="AZ77" s="407">
        <v>120</v>
      </c>
      <c r="BA77" s="91">
        <v>20</v>
      </c>
      <c r="BB77" s="91">
        <v>0</v>
      </c>
      <c r="BC77" s="91">
        <v>0</v>
      </c>
      <c r="BD77" s="91">
        <v>30</v>
      </c>
      <c r="BE77" s="91">
        <v>30</v>
      </c>
      <c r="BF77" s="398"/>
      <c r="BG77" s="560">
        <f t="shared" si="11"/>
        <v>200</v>
      </c>
      <c r="BH77" s="391">
        <v>0</v>
      </c>
      <c r="BI77" s="569">
        <f t="shared" si="12"/>
        <v>170</v>
      </c>
    </row>
    <row r="78" spans="2:61" ht="17" thickBot="1" x14ac:dyDescent="0.25">
      <c r="B78" s="2" t="s">
        <v>37</v>
      </c>
      <c r="I78" s="653"/>
      <c r="J78" s="656"/>
      <c r="K78" s="131" t="s">
        <v>121</v>
      </c>
      <c r="L78" s="132" t="s">
        <v>103</v>
      </c>
      <c r="M78" s="132"/>
      <c r="N78" s="133" t="s">
        <v>75</v>
      </c>
      <c r="O78" s="134" t="s">
        <v>105</v>
      </c>
      <c r="P78" s="135" t="s">
        <v>144</v>
      </c>
      <c r="Q78" s="136" t="s">
        <v>106</v>
      </c>
      <c r="T78" s="603">
        <v>8</v>
      </c>
      <c r="U78" s="122" t="s">
        <v>2</v>
      </c>
      <c r="V78" s="98">
        <v>47</v>
      </c>
      <c r="W78" s="535">
        <f>IF($E$15="N",BE78+BH78,BH78)</f>
        <v>40</v>
      </c>
      <c r="X78" s="265">
        <f t="shared" si="40"/>
        <v>376</v>
      </c>
      <c r="Y78" s="171"/>
      <c r="Z78" s="541">
        <f t="shared" si="41"/>
        <v>83</v>
      </c>
      <c r="AA78" s="528">
        <f t="shared" si="42"/>
        <v>180</v>
      </c>
      <c r="AB78" s="542">
        <f t="shared" si="43"/>
        <v>115</v>
      </c>
      <c r="AC78" s="122">
        <v>8</v>
      </c>
      <c r="AD78" s="91">
        <v>0</v>
      </c>
      <c r="AE78" s="91">
        <v>0</v>
      </c>
      <c r="AF78" s="182">
        <v>2</v>
      </c>
      <c r="AG78" s="122">
        <v>4</v>
      </c>
      <c r="AH78" s="91"/>
      <c r="AI78" s="91"/>
      <c r="AJ78" s="91"/>
      <c r="AK78" s="91">
        <v>21</v>
      </c>
      <c r="AL78" s="401">
        <v>48</v>
      </c>
      <c r="AM78" s="549">
        <f t="shared" si="44"/>
        <v>83</v>
      </c>
      <c r="AN78" s="558">
        <f t="shared" si="45"/>
        <v>0</v>
      </c>
      <c r="AO78" s="559">
        <f t="shared" si="46"/>
        <v>0</v>
      </c>
      <c r="AP78" s="560">
        <f t="shared" si="47"/>
        <v>115</v>
      </c>
      <c r="AQ78" s="122">
        <v>0</v>
      </c>
      <c r="AR78" s="91"/>
      <c r="AS78" s="385"/>
      <c r="AT78" s="385">
        <v>3</v>
      </c>
      <c r="AU78" s="385">
        <v>96</v>
      </c>
      <c r="AV78" s="385"/>
      <c r="AW78" s="385"/>
      <c r="AX78" s="385">
        <v>16</v>
      </c>
      <c r="AY78" s="411"/>
      <c r="AZ78" s="407">
        <v>120</v>
      </c>
      <c r="BA78" s="91">
        <v>20</v>
      </c>
      <c r="BB78" s="91">
        <v>0</v>
      </c>
      <c r="BC78" s="91">
        <v>0</v>
      </c>
      <c r="BD78" s="91">
        <v>40</v>
      </c>
      <c r="BE78" s="91">
        <v>40</v>
      </c>
      <c r="BF78" s="398"/>
      <c r="BG78" s="560">
        <f t="shared" si="11"/>
        <v>220</v>
      </c>
      <c r="BH78" s="391">
        <v>0</v>
      </c>
      <c r="BI78" s="569">
        <f t="shared" si="12"/>
        <v>180</v>
      </c>
    </row>
    <row r="79" spans="2:61" ht="40" customHeight="1" thickBot="1" x14ac:dyDescent="0.25">
      <c r="B79" s="2" t="s">
        <v>38</v>
      </c>
      <c r="I79" s="653"/>
      <c r="J79" s="656"/>
      <c r="K79" s="508" t="str">
        <f>"OpenShift Master Nodes:  Totals -&gt; "&amp;CHAR(10)&amp;G6&amp;" VPCs, "&amp;I6&amp;"GBs of Mem, "&amp;K6&amp;"GBs Storage"</f>
        <v>OpenShift Master Nodes:  Totals -&gt; 
12 VPCs, 48GBs of Mem, 360GBs Storage</v>
      </c>
      <c r="L79" s="582" t="str">
        <f>IF(E13="N","VPCs: "&amp;G6&amp;"   Memory(GB): "&amp;I6&amp;"   Storage (GB): "&amp;K6, "VPCs: "&amp;F6&amp;"   Memory(GB): "&amp;H6&amp;CHAR(10)&amp;"Storage (GB): "&amp;J6)</f>
        <v>VPCs: 4   Memory(GB): 16
Storage (GB): 120</v>
      </c>
      <c r="M79" s="583"/>
      <c r="N79" s="307">
        <f>IF(E14="Y",0,IF(E13="Y",3,1))</f>
        <v>3</v>
      </c>
      <c r="O79" s="137"/>
      <c r="P79" s="138"/>
      <c r="Q79" s="139"/>
      <c r="S79" s="158"/>
      <c r="T79" s="604"/>
      <c r="U79" s="187" t="s">
        <v>59</v>
      </c>
      <c r="V79" s="296">
        <f>V78+V77</f>
        <v>78</v>
      </c>
      <c r="W79" s="536">
        <f>IF($E$15="N",BE79+BH79,BH79)</f>
        <v>70</v>
      </c>
      <c r="X79" s="571">
        <f t="shared" si="40"/>
        <v>624</v>
      </c>
      <c r="Y79" s="171"/>
      <c r="Z79" s="543">
        <f t="shared" si="41"/>
        <v>142</v>
      </c>
      <c r="AA79" s="529">
        <f t="shared" si="42"/>
        <v>210</v>
      </c>
      <c r="AB79" s="544">
        <f t="shared" si="43"/>
        <v>134</v>
      </c>
      <c r="AC79" s="179">
        <v>8</v>
      </c>
      <c r="AD79" s="180">
        <v>0</v>
      </c>
      <c r="AE79" s="270">
        <f>AE78+AE77</f>
        <v>0</v>
      </c>
      <c r="AF79" s="183">
        <v>2</v>
      </c>
      <c r="AG79" s="271">
        <f>AG77+AG78</f>
        <v>6</v>
      </c>
      <c r="AH79" s="270">
        <f>AH78+AH77</f>
        <v>0</v>
      </c>
      <c r="AI79" s="270">
        <f>AI78+AI77</f>
        <v>0</v>
      </c>
      <c r="AJ79" s="180">
        <f t="shared" ref="AJ79:AL79" si="48">AJ78+AJ77</f>
        <v>0</v>
      </c>
      <c r="AK79" s="180">
        <f t="shared" si="48"/>
        <v>36</v>
      </c>
      <c r="AL79" s="402">
        <f t="shared" si="48"/>
        <v>90</v>
      </c>
      <c r="AM79" s="550">
        <f t="shared" si="44"/>
        <v>142</v>
      </c>
      <c r="AN79" s="561">
        <f t="shared" si="45"/>
        <v>0</v>
      </c>
      <c r="AO79" s="562">
        <f t="shared" si="46"/>
        <v>0</v>
      </c>
      <c r="AP79" s="563">
        <f>AP77+AP78</f>
        <v>134</v>
      </c>
      <c r="AQ79" s="264">
        <f>AQ77+AQ78</f>
        <v>0</v>
      </c>
      <c r="AR79" s="91">
        <f t="shared" ref="AR79:AS79" si="49">AR77+AR78</f>
        <v>0</v>
      </c>
      <c r="AS79" s="409">
        <f t="shared" si="49"/>
        <v>0</v>
      </c>
      <c r="AT79" s="410" t="s">
        <v>187</v>
      </c>
      <c r="AU79" s="410"/>
      <c r="AV79" s="410"/>
      <c r="AW79" s="410"/>
      <c r="AX79" s="410"/>
      <c r="AY79" s="412"/>
      <c r="AZ79" s="408">
        <f>AZ78</f>
        <v>120</v>
      </c>
      <c r="BA79" s="180">
        <f>BA78</f>
        <v>20</v>
      </c>
      <c r="BB79" s="180">
        <f>BB78</f>
        <v>0</v>
      </c>
      <c r="BC79" s="180">
        <f>BC78+BC77</f>
        <v>0</v>
      </c>
      <c r="BD79" s="180">
        <f>BD78+BD77</f>
        <v>70</v>
      </c>
      <c r="BE79" s="180">
        <f>BE78+BE77</f>
        <v>70</v>
      </c>
      <c r="BF79" s="473"/>
      <c r="BG79" s="566">
        <f t="shared" si="11"/>
        <v>280</v>
      </c>
      <c r="BH79" s="392">
        <f>BH78+BH77</f>
        <v>0</v>
      </c>
      <c r="BI79" s="570">
        <f t="shared" si="12"/>
        <v>210</v>
      </c>
    </row>
    <row r="80" spans="2:61" ht="40" customHeight="1" x14ac:dyDescent="0.25">
      <c r="I80" s="653"/>
      <c r="J80" s="656"/>
      <c r="K80" s="509" t="str">
        <f>"Openshift Worker Nodes:  Totals -&gt;  "&amp;CHAR(10)&amp;IF(B122="Y",B126&amp;" VPCs, "&amp;B128&amp;" GBs of Memory",IF(ROUNDUP(M70+M73+M75,0)&gt;0,ROUNDUP(M70+M73+M75,0),G7)&amp;" VPCs,  "&amp;IF(O73+O70+O75&gt;0,O73+O70+O75,I7)&amp;" GBs of Memory, "&amp;P70+P75&amp;" GPUs")</f>
        <v>Openshift Worker Nodes:  Totals -&gt;  
4 VPCs,  16 GBs of Memory, 0 GPUs</v>
      </c>
      <c r="L80" s="582" t="str">
        <f>"VPCs: "&amp;N90 &amp; "  Memory(GB): "&amp;N91&amp;IF(AND(B122="N",E26="Y"),"  GPUs: "&amp;N92,"")</f>
        <v>VPCs: 16  Memory(GB): 128</v>
      </c>
      <c r="M80" s="583"/>
      <c r="N80" s="308">
        <f>IF($B$122="N",IF(AND(E14="N",E13="Y"),MAX(2,MAX(ROUNDUP(M76/N90,0),ROUNDUP(O76/N91,0),IF(N92=0,0,ROUNDUP(P76/N92,0)))),MAX(ROUNDUP(M76/N90,0),ROUNDUP(O76/N91,0),IF(N92=0,0,ROUNDUP(P76/N92,0)))),IF(AND(E14="N",E13="Y"),MAX(2,MAX(ROUNDUP((M76-M64-M65)/N90,0),ROUNDUP((O76-O64-O65)/N91,0),IF(N92=0,0,ROUNDUP((P76-P64-P65)/N92,0)))),MAX(ROUNDUP((M76-M64-M65)/N90,0),ROUNDUP((O76-O64-O65)/N91,0),IF(N92=0,0,ROUNDUP((P76-P64-P65)/N92,0)))))</f>
        <v>2</v>
      </c>
      <c r="O80" s="297">
        <f>IF($B$122="N",M76/N90,(M76-M64-M65)/N90)</f>
        <v>0</v>
      </c>
      <c r="P80" s="298">
        <f>IF($B$122="N",O76/N91,(O76-O64-O65)/N91)</f>
        <v>0</v>
      </c>
      <c r="Q80" s="299">
        <f>IF(AND(B122="N",N92&gt;0),P76/N92,0)</f>
        <v>0</v>
      </c>
      <c r="T80" s="600" t="s">
        <v>228</v>
      </c>
      <c r="U80" s="175" t="s">
        <v>123</v>
      </c>
      <c r="V80" s="185">
        <v>3</v>
      </c>
      <c r="W80" s="572">
        <f t="shared" ref="W80:W81" si="50">IF($E$15="N",BC80+BH80,BH80)</f>
        <v>1</v>
      </c>
      <c r="X80" s="303">
        <f>V80*$T$84</f>
        <v>12</v>
      </c>
      <c r="Y80" s="14"/>
      <c r="Z80" s="539">
        <f>IF(AND(AN44=0,AN50=0,AN56=0,AN62=0,AN74=0,AN68=0),SUM(AC80:AL80),SUM(AC80:AL80)-AN80)</f>
        <v>8</v>
      </c>
      <c r="AA80" s="530">
        <f>IF(AND($B$118="S",OR($E$22="Y",$E$23="Y",$E$24="Y",$E$25="Y",$E$26="Y",$E$27="Y")),0,BI80)</f>
        <v>160</v>
      </c>
      <c r="AB80" s="540">
        <f>IF(AND(AO44=0,AO50=0,AO56=0,AO62=0,AO68=0,AO74=0),AP80,IF(AP80-AO80&lt;0,0,AP80-AO80))</f>
        <v>18</v>
      </c>
      <c r="AC80" s="178">
        <v>5</v>
      </c>
      <c r="AD80" s="176">
        <v>0</v>
      </c>
      <c r="AE80" s="176">
        <v>0</v>
      </c>
      <c r="AF80" s="181">
        <v>2</v>
      </c>
      <c r="AG80" s="178">
        <v>1</v>
      </c>
      <c r="AH80" s="176">
        <v>0</v>
      </c>
      <c r="AI80" s="176">
        <v>0</v>
      </c>
      <c r="AJ80" s="176"/>
      <c r="AK80" s="176"/>
      <c r="AL80" s="400"/>
      <c r="AM80" s="548">
        <f t="shared" si="44"/>
        <v>8</v>
      </c>
      <c r="AN80" s="555">
        <f>IF($B$118="S",IF($E$28="Y",AC80+AD80+AF80+AG80,0),0)</f>
        <v>0</v>
      </c>
      <c r="AO80" s="556">
        <f>IF($B$118="S",IF($E$28="Y",AP80-AQ80-AR80-AS80,0),0)</f>
        <v>0</v>
      </c>
      <c r="AP80" s="557">
        <f>SUM(AQ80:AY80)</f>
        <v>18</v>
      </c>
      <c r="AQ80" s="178">
        <v>0</v>
      </c>
      <c r="AR80" s="176">
        <v>0</v>
      </c>
      <c r="AS80" s="176">
        <v>0</v>
      </c>
      <c r="AT80" s="176">
        <v>2</v>
      </c>
      <c r="AU80" s="176"/>
      <c r="AV80" s="176"/>
      <c r="AW80" s="176"/>
      <c r="AX80" s="176">
        <v>16</v>
      </c>
      <c r="AY80" s="400"/>
      <c r="AZ80" s="178">
        <v>120</v>
      </c>
      <c r="BA80" s="176">
        <v>20</v>
      </c>
      <c r="BB80" s="176">
        <v>0</v>
      </c>
      <c r="BC80" s="176">
        <v>0</v>
      </c>
      <c r="BD80" s="176">
        <v>20</v>
      </c>
      <c r="BE80" s="176"/>
      <c r="BF80" s="471"/>
      <c r="BG80" s="568">
        <f t="shared" si="11"/>
        <v>161</v>
      </c>
      <c r="BH80" s="174">
        <v>1</v>
      </c>
      <c r="BI80" s="568">
        <f t="shared" si="12"/>
        <v>160</v>
      </c>
    </row>
    <row r="81" spans="2:61" ht="43" customHeight="1" thickBot="1" x14ac:dyDescent="0.3">
      <c r="B81" s="2">
        <v>1</v>
      </c>
      <c r="I81" s="653"/>
      <c r="J81" s="656"/>
      <c r="K81" s="510" t="str">
        <f>IF(B122="N","","Openshift Worker Nodes:  Totals -&gt;      "&amp;CHAR(10)&amp;IF(ROUNDUP(M64+O64+P64,0)&gt;0,ROUNDUP(M64+M65,0)&amp;" VPCs, "&amp;O64+O65&amp;" GBs of Memory, "&amp;P64+P65+P75&amp;" GPUs",""))</f>
        <v/>
      </c>
      <c r="L81" s="644" t="str">
        <f>IF(B122="Y","VPCs: "&amp;N97 &amp; "  Memory(GB): "&amp;N98&amp;"     GPUs: "&amp;N99,"")</f>
        <v/>
      </c>
      <c r="M81" s="645"/>
      <c r="N81" s="507" t="str">
        <f>IF(B122="N","",MAX(ROUNDUP((M64+M65)/N97,0),ROUNDUP((O64+O65)/N98,0),IF(N99=0,0,ROUNDUP((P64+P65+P75)/N99,0))))</f>
        <v/>
      </c>
      <c r="O81" s="300" t="str">
        <f>IF(B122="Y",(M64+M65)/N97,"")</f>
        <v/>
      </c>
      <c r="P81" s="301" t="str">
        <f>IF(B122="Y",(O64+O65)/N98,"")</f>
        <v/>
      </c>
      <c r="Q81" s="302" t="str">
        <f>IF(AND(B122="Y",N99&gt;0),P76/N99,"")</f>
        <v/>
      </c>
      <c r="T81" s="601"/>
      <c r="U81" s="186" t="s">
        <v>122</v>
      </c>
      <c r="V81" s="92">
        <v>3</v>
      </c>
      <c r="W81" s="535">
        <f t="shared" si="50"/>
        <v>1</v>
      </c>
      <c r="X81" s="265">
        <f t="shared" ref="X81:X85" si="51">V81*$T$84</f>
        <v>12</v>
      </c>
      <c r="Y81" s="171"/>
      <c r="Z81" s="541">
        <f t="shared" ref="Z81:Z85" si="52">IF(AND(AN45=0,AN51=0,AN57=0,AN63=0,AN75=0,AN69=0),SUM(AC81:AL81),SUM(AC81:AL81)-AN81)</f>
        <v>9</v>
      </c>
      <c r="AA81" s="528">
        <f t="shared" ref="AA81:AA85" si="53">IF(AND($B$118="S",OR($E$22="Y",$E$23="Y",$E$24="Y",$E$25="Y",$E$26="Y",$E$27="Y")),0,BI81)</f>
        <v>160</v>
      </c>
      <c r="AB81" s="542">
        <f t="shared" ref="AB81:AB85" si="54">IF(AND(AO45=0,AO51=0,AO57=0,AO63=0,AO69=0,AO75=0),AP81,IF(AP81-AO81&lt;0,0,AP81-AO81))</f>
        <v>18</v>
      </c>
      <c r="AC81" s="122">
        <v>5</v>
      </c>
      <c r="AD81" s="91">
        <v>0</v>
      </c>
      <c r="AE81" s="91">
        <v>0</v>
      </c>
      <c r="AF81" s="182">
        <v>2</v>
      </c>
      <c r="AG81" s="122">
        <v>2</v>
      </c>
      <c r="AH81" s="91">
        <v>0</v>
      </c>
      <c r="AI81" s="91">
        <v>0</v>
      </c>
      <c r="AJ81" s="91"/>
      <c r="AK81" s="91"/>
      <c r="AL81" s="401"/>
      <c r="AM81" s="549">
        <f t="shared" si="44"/>
        <v>9</v>
      </c>
      <c r="AN81" s="558">
        <f t="shared" ref="AN81:AN85" si="55">IF($B$118="S",IF($E$28="Y",AC81+AD81+AF81+AG81,0),0)</f>
        <v>0</v>
      </c>
      <c r="AO81" s="559">
        <f t="shared" ref="AO81:AO85" si="56">IF($B$118="S",IF($E$28="Y",AP81-AQ81-AR81-AS81,0),0)</f>
        <v>0</v>
      </c>
      <c r="AP81" s="560">
        <f t="shared" ref="AP81:AP84" si="57">SUM(AQ81:AY81)</f>
        <v>18</v>
      </c>
      <c r="AQ81" s="122">
        <v>0</v>
      </c>
      <c r="AR81" s="91">
        <v>0</v>
      </c>
      <c r="AS81" s="385">
        <v>0</v>
      </c>
      <c r="AT81" s="385">
        <v>2</v>
      </c>
      <c r="AU81" s="385"/>
      <c r="AV81" s="385"/>
      <c r="AW81" s="385"/>
      <c r="AX81" s="385">
        <v>16</v>
      </c>
      <c r="AY81" s="411"/>
      <c r="AZ81" s="122">
        <v>120</v>
      </c>
      <c r="BA81" s="91">
        <v>20</v>
      </c>
      <c r="BB81" s="91">
        <v>0</v>
      </c>
      <c r="BC81" s="91">
        <v>0</v>
      </c>
      <c r="BD81" s="91">
        <v>20</v>
      </c>
      <c r="BE81" s="91"/>
      <c r="BF81" s="446"/>
      <c r="BG81" s="569">
        <f t="shared" si="11"/>
        <v>161</v>
      </c>
      <c r="BH81" s="391">
        <v>1</v>
      </c>
      <c r="BI81" s="569">
        <f t="shared" si="12"/>
        <v>160</v>
      </c>
    </row>
    <row r="82" spans="2:61" ht="40" customHeight="1" thickBot="1" x14ac:dyDescent="0.3">
      <c r="B82" s="2">
        <v>2</v>
      </c>
      <c r="I82" s="653"/>
      <c r="J82" s="657"/>
      <c r="K82" s="196" t="s">
        <v>36</v>
      </c>
      <c r="L82" s="646" t="s">
        <v>216</v>
      </c>
      <c r="M82" s="647"/>
      <c r="N82" s="309">
        <f>IF(N76&gt;0,N76,K7)</f>
        <v>240</v>
      </c>
      <c r="O82" s="149"/>
      <c r="P82" s="150"/>
      <c r="Q82" s="151"/>
      <c r="T82" s="602"/>
      <c r="U82" s="122" t="s">
        <v>20</v>
      </c>
      <c r="V82" s="279">
        <v>3</v>
      </c>
      <c r="W82" s="535">
        <f>IF($E$15="N",BC82+BH82,BH82)</f>
        <v>1</v>
      </c>
      <c r="X82" s="265">
        <f t="shared" si="51"/>
        <v>12</v>
      </c>
      <c r="Y82" s="171"/>
      <c r="Z82" s="541">
        <f t="shared" si="52"/>
        <v>9</v>
      </c>
      <c r="AA82" s="528">
        <f t="shared" si="53"/>
        <v>160</v>
      </c>
      <c r="AB82" s="542">
        <f t="shared" si="54"/>
        <v>18</v>
      </c>
      <c r="AC82" s="122">
        <v>5</v>
      </c>
      <c r="AD82" s="91">
        <v>0</v>
      </c>
      <c r="AE82" s="91">
        <v>0</v>
      </c>
      <c r="AF82" s="182">
        <v>2</v>
      </c>
      <c r="AG82" s="122">
        <v>2</v>
      </c>
      <c r="AH82" s="91">
        <v>0</v>
      </c>
      <c r="AI82" s="91">
        <v>0</v>
      </c>
      <c r="AJ82" s="91"/>
      <c r="AK82" s="91"/>
      <c r="AL82" s="401"/>
      <c r="AM82" s="549">
        <f t="shared" si="44"/>
        <v>9</v>
      </c>
      <c r="AN82" s="558">
        <f t="shared" si="55"/>
        <v>0</v>
      </c>
      <c r="AO82" s="559">
        <f t="shared" si="56"/>
        <v>0</v>
      </c>
      <c r="AP82" s="560">
        <f t="shared" si="57"/>
        <v>18</v>
      </c>
      <c r="AQ82" s="122">
        <v>0</v>
      </c>
      <c r="AR82" s="91">
        <v>0</v>
      </c>
      <c r="AS82" s="385">
        <v>0</v>
      </c>
      <c r="AT82" s="385">
        <v>2</v>
      </c>
      <c r="AU82" s="385"/>
      <c r="AV82" s="385"/>
      <c r="AW82" s="385"/>
      <c r="AX82" s="385">
        <v>16</v>
      </c>
      <c r="AY82" s="411"/>
      <c r="AZ82" s="122">
        <v>120</v>
      </c>
      <c r="BA82" s="91">
        <v>20</v>
      </c>
      <c r="BB82" s="91">
        <v>0</v>
      </c>
      <c r="BC82" s="91">
        <v>0</v>
      </c>
      <c r="BD82" s="91">
        <v>20</v>
      </c>
      <c r="BE82" s="91"/>
      <c r="BF82" s="446"/>
      <c r="BG82" s="569">
        <f t="shared" si="11"/>
        <v>161</v>
      </c>
      <c r="BH82" s="391">
        <v>1</v>
      </c>
      <c r="BI82" s="569">
        <f t="shared" si="12"/>
        <v>160</v>
      </c>
    </row>
    <row r="83" spans="2:61" ht="21" customHeight="1" thickBot="1" x14ac:dyDescent="0.25">
      <c r="B83" s="2">
        <v>4</v>
      </c>
      <c r="I83" s="654"/>
      <c r="J83" s="148" t="s">
        <v>115</v>
      </c>
      <c r="K83" s="310" t="str">
        <f>IF(COUNTIF(K22:K26,"Beyond Large")&gt;0,"Warning Sizing Contains Beyond Large, Contact Offering Management Before Finalizing the Sizing",IF(AND(N80-O80&gt;=1,N80-P80&gt;=1,N80-Q80&gt;=1),"Minimum Configuration for OpenShift Requires at Least 2 Work Nodes for HA Configuration",""))</f>
        <v>Minimum Configuration for OpenShift Requires at Least 2 Work Nodes for HA Configuration</v>
      </c>
      <c r="L83" s="190"/>
      <c r="M83" s="190"/>
      <c r="N83" s="190"/>
      <c r="O83" s="190"/>
      <c r="P83" s="190"/>
      <c r="Q83" s="191"/>
      <c r="T83" s="170" t="s">
        <v>82</v>
      </c>
      <c r="U83" s="122" t="s">
        <v>22</v>
      </c>
      <c r="V83" s="280">
        <v>5</v>
      </c>
      <c r="W83" s="528">
        <f>IF($E$15="N",BC83+BH83,BH83)</f>
        <v>5</v>
      </c>
      <c r="X83" s="265">
        <f t="shared" si="51"/>
        <v>20</v>
      </c>
      <c r="Y83" s="171"/>
      <c r="Z83" s="541">
        <f t="shared" si="52"/>
        <v>12</v>
      </c>
      <c r="AA83" s="528">
        <f t="shared" si="53"/>
        <v>170</v>
      </c>
      <c r="AB83" s="542">
        <f t="shared" si="54"/>
        <v>19</v>
      </c>
      <c r="AC83" s="122">
        <v>8</v>
      </c>
      <c r="AD83" s="91">
        <v>0</v>
      </c>
      <c r="AE83" s="91">
        <v>0</v>
      </c>
      <c r="AF83" s="182">
        <v>2</v>
      </c>
      <c r="AG83" s="122">
        <v>2</v>
      </c>
      <c r="AH83" s="91">
        <v>0</v>
      </c>
      <c r="AI83" s="91">
        <v>0</v>
      </c>
      <c r="AJ83" s="91"/>
      <c r="AK83" s="91"/>
      <c r="AL83" s="401"/>
      <c r="AM83" s="549">
        <f t="shared" si="44"/>
        <v>12</v>
      </c>
      <c r="AN83" s="558">
        <f t="shared" si="55"/>
        <v>0</v>
      </c>
      <c r="AO83" s="559">
        <f t="shared" si="56"/>
        <v>0</v>
      </c>
      <c r="AP83" s="560">
        <f t="shared" si="57"/>
        <v>19</v>
      </c>
      <c r="AQ83" s="122">
        <v>0</v>
      </c>
      <c r="AR83" s="91">
        <v>0</v>
      </c>
      <c r="AS83" s="385">
        <v>0</v>
      </c>
      <c r="AT83" s="385">
        <v>3</v>
      </c>
      <c r="AU83" s="385"/>
      <c r="AV83" s="385"/>
      <c r="AW83" s="385"/>
      <c r="AX83" s="385">
        <v>16</v>
      </c>
      <c r="AY83" s="411"/>
      <c r="AZ83" s="122">
        <v>120</v>
      </c>
      <c r="BA83" s="91">
        <v>20</v>
      </c>
      <c r="BB83" s="91">
        <v>0</v>
      </c>
      <c r="BC83" s="91">
        <v>0</v>
      </c>
      <c r="BD83" s="91">
        <v>30</v>
      </c>
      <c r="BE83" s="91"/>
      <c r="BF83" s="446"/>
      <c r="BG83" s="569">
        <f t="shared" si="11"/>
        <v>175</v>
      </c>
      <c r="BH83" s="391">
        <v>5</v>
      </c>
      <c r="BI83" s="569">
        <f t="shared" si="12"/>
        <v>170</v>
      </c>
    </row>
    <row r="84" spans="2:61" ht="44" customHeight="1" thickBot="1" x14ac:dyDescent="0.25">
      <c r="B84" s="2">
        <v>8</v>
      </c>
      <c r="I84" s="577" t="s">
        <v>217</v>
      </c>
      <c r="J84" s="578"/>
      <c r="K84" s="579" t="str">
        <f>IF(E13="Y","Isolated Master Nodes  :  ","Consolidated Master Nodes  :")&amp;IF(E14="Y","Using Existing OpenShift  :  ", "New OpenShift Cluster  :  ")&amp;IF(E15="N","New DB2 Deployment  :  ","Existing DB Deployment  :  ")&amp;IF(E24="Y",IF(E16="N","Health DB2 Instance NOT Shared  :  ","Health DB2 Instance Shared "&amp;E16),"")&amp;"  :  "&amp;CHAR(10)&amp;IF(L52&gt;0,IF(E17="Individual","Individual Dev Environments for Each Offering","Single Shared Dev Environment"),"")</f>
        <v xml:space="preserve">Isolated Master Nodes  :  New OpenShift Cluster  :  New DB2 Deployment  :    :  
</v>
      </c>
      <c r="L84" s="580"/>
      <c r="M84" s="580"/>
      <c r="N84" s="580"/>
      <c r="O84" s="580"/>
      <c r="P84" s="580"/>
      <c r="Q84" s="581"/>
      <c r="T84" s="603">
        <v>4</v>
      </c>
      <c r="U84" s="122" t="s">
        <v>2</v>
      </c>
      <c r="V84" s="98">
        <v>10</v>
      </c>
      <c r="W84" s="535">
        <f>IF($E$15="N",BC84+BH84,BH84)</f>
        <v>50</v>
      </c>
      <c r="X84" s="265">
        <f t="shared" si="51"/>
        <v>40</v>
      </c>
      <c r="Y84" s="171"/>
      <c r="Z84" s="541">
        <f t="shared" si="52"/>
        <v>14</v>
      </c>
      <c r="AA84" s="528">
        <f t="shared" si="53"/>
        <v>180</v>
      </c>
      <c r="AB84" s="542">
        <f t="shared" si="54"/>
        <v>115</v>
      </c>
      <c r="AC84" s="122">
        <v>8</v>
      </c>
      <c r="AD84" s="91">
        <v>0</v>
      </c>
      <c r="AE84" s="91">
        <v>0</v>
      </c>
      <c r="AF84" s="182">
        <v>2</v>
      </c>
      <c r="AG84" s="122">
        <v>4</v>
      </c>
      <c r="AH84" s="91">
        <v>0</v>
      </c>
      <c r="AI84" s="91">
        <v>0</v>
      </c>
      <c r="AJ84" s="91"/>
      <c r="AK84" s="91"/>
      <c r="AL84" s="401"/>
      <c r="AM84" s="549">
        <f t="shared" si="44"/>
        <v>14</v>
      </c>
      <c r="AN84" s="558">
        <f t="shared" si="55"/>
        <v>0</v>
      </c>
      <c r="AO84" s="559">
        <f t="shared" si="56"/>
        <v>0</v>
      </c>
      <c r="AP84" s="560">
        <f t="shared" si="57"/>
        <v>115</v>
      </c>
      <c r="AQ84" s="122">
        <v>0</v>
      </c>
      <c r="AR84" s="91">
        <v>0</v>
      </c>
      <c r="AS84" s="385">
        <v>0</v>
      </c>
      <c r="AT84" s="385">
        <v>3</v>
      </c>
      <c r="AU84" s="385">
        <v>96</v>
      </c>
      <c r="AV84" s="385"/>
      <c r="AW84" s="385"/>
      <c r="AX84" s="385">
        <v>16</v>
      </c>
      <c r="AY84" s="411"/>
      <c r="AZ84" s="122">
        <v>120</v>
      </c>
      <c r="BA84" s="91">
        <v>20</v>
      </c>
      <c r="BB84" s="91">
        <v>0</v>
      </c>
      <c r="BC84" s="91">
        <v>0</v>
      </c>
      <c r="BD84" s="91">
        <v>40</v>
      </c>
      <c r="BE84" s="91"/>
      <c r="BF84" s="446"/>
      <c r="BG84" s="569">
        <f t="shared" si="11"/>
        <v>230</v>
      </c>
      <c r="BH84" s="391">
        <v>50</v>
      </c>
      <c r="BI84" s="569">
        <f t="shared" si="12"/>
        <v>180</v>
      </c>
    </row>
    <row r="85" spans="2:61" ht="17" thickBot="1" x14ac:dyDescent="0.25">
      <c r="B85" s="2">
        <v>16</v>
      </c>
      <c r="I85" s="505"/>
      <c r="J85" s="505"/>
      <c r="K85" s="506"/>
      <c r="L85" s="506"/>
      <c r="M85" s="506"/>
      <c r="N85" s="506"/>
      <c r="O85" s="506"/>
      <c r="P85" s="506"/>
      <c r="Q85" s="506"/>
      <c r="T85" s="604"/>
      <c r="U85" s="128" t="s">
        <v>59</v>
      </c>
      <c r="V85" s="268">
        <f>V84+V83</f>
        <v>15</v>
      </c>
      <c r="W85" s="534">
        <f>IF($E$15="N",BC85+BH85,BH85)</f>
        <v>55</v>
      </c>
      <c r="X85" s="269">
        <f t="shared" si="51"/>
        <v>60</v>
      </c>
      <c r="Y85" s="171"/>
      <c r="Z85" s="543">
        <f t="shared" si="52"/>
        <v>16</v>
      </c>
      <c r="AA85" s="529">
        <f t="shared" si="53"/>
        <v>210</v>
      </c>
      <c r="AB85" s="544">
        <f t="shared" si="54"/>
        <v>134</v>
      </c>
      <c r="AC85" s="179">
        <v>8</v>
      </c>
      <c r="AD85" s="180">
        <v>0</v>
      </c>
      <c r="AE85" s="270">
        <f>AE84+AE83</f>
        <v>0</v>
      </c>
      <c r="AF85" s="183">
        <v>2</v>
      </c>
      <c r="AG85" s="271">
        <f>AG83+AG84</f>
        <v>6</v>
      </c>
      <c r="AH85" s="270">
        <f>AH84+AH83</f>
        <v>0</v>
      </c>
      <c r="AI85" s="270">
        <f>AI84+AI83</f>
        <v>0</v>
      </c>
      <c r="AJ85" s="180"/>
      <c r="AK85" s="180"/>
      <c r="AL85" s="402"/>
      <c r="AM85" s="550">
        <f t="shared" si="44"/>
        <v>16</v>
      </c>
      <c r="AN85" s="561">
        <f t="shared" si="55"/>
        <v>0</v>
      </c>
      <c r="AO85" s="562">
        <f t="shared" si="56"/>
        <v>0</v>
      </c>
      <c r="AP85" s="563">
        <f>AP83+AP84</f>
        <v>134</v>
      </c>
      <c r="AQ85" s="264">
        <f>AQ83+AQ84</f>
        <v>0</v>
      </c>
      <c r="AR85" s="91">
        <v>0</v>
      </c>
      <c r="AS85" s="409">
        <f>AS84+AS83</f>
        <v>0</v>
      </c>
      <c r="AT85" s="410" t="s">
        <v>187</v>
      </c>
      <c r="AU85" s="410"/>
      <c r="AV85" s="410"/>
      <c r="AW85" s="410"/>
      <c r="AX85" s="410"/>
      <c r="AY85" s="412"/>
      <c r="AZ85" s="179">
        <f>AZ84</f>
        <v>120</v>
      </c>
      <c r="BA85" s="180">
        <f>BA84</f>
        <v>20</v>
      </c>
      <c r="BB85" s="180">
        <f>BB84</f>
        <v>0</v>
      </c>
      <c r="BC85" s="180">
        <f>BC84+BC83</f>
        <v>0</v>
      </c>
      <c r="BD85" s="180">
        <f>BD84+BD83</f>
        <v>70</v>
      </c>
      <c r="BE85" s="180"/>
      <c r="BF85" s="472"/>
      <c r="BG85" s="570">
        <f t="shared" si="11"/>
        <v>265</v>
      </c>
      <c r="BH85" s="392">
        <f>BH84+BH83</f>
        <v>55</v>
      </c>
      <c r="BI85" s="570">
        <f t="shared" si="12"/>
        <v>210</v>
      </c>
    </row>
    <row r="86" spans="2:61" ht="17" thickBot="1" x14ac:dyDescent="0.25">
      <c r="B86" s="2">
        <v>20</v>
      </c>
      <c r="I86"/>
      <c r="O86" s="3"/>
      <c r="P86" s="3"/>
    </row>
    <row r="87" spans="2:61" ht="17" thickBot="1" x14ac:dyDescent="0.25">
      <c r="B87" s="2">
        <v>24</v>
      </c>
      <c r="I87"/>
      <c r="L87" s="311" t="str">
        <f>IF(B122="N","OpenShift Worker Node Configuration","OpenShift Worker Node Configuration (Non-MVI)")</f>
        <v>OpenShift Worker Node Configuration</v>
      </c>
      <c r="M87" s="192"/>
      <c r="N87" s="193"/>
      <c r="P87"/>
    </row>
    <row r="88" spans="2:61" x14ac:dyDescent="0.2">
      <c r="B88" s="2">
        <v>28</v>
      </c>
      <c r="I88" s="2"/>
      <c r="J88" s="2"/>
      <c r="L88" s="648" t="s">
        <v>79</v>
      </c>
      <c r="M88" s="649"/>
      <c r="N88" s="141">
        <v>1</v>
      </c>
    </row>
    <row r="89" spans="2:61" x14ac:dyDescent="0.2">
      <c r="I89" s="2"/>
      <c r="J89" s="2"/>
      <c r="L89" s="642" t="s">
        <v>80</v>
      </c>
      <c r="M89" s="643"/>
      <c r="N89" s="140">
        <v>16</v>
      </c>
    </row>
    <row r="90" spans="2:61" x14ac:dyDescent="0.2">
      <c r="L90" s="640" t="s">
        <v>98</v>
      </c>
      <c r="M90" s="641"/>
      <c r="N90" s="312">
        <f>N88*N89</f>
        <v>16</v>
      </c>
    </row>
    <row r="91" spans="2:61" x14ac:dyDescent="0.2">
      <c r="L91" s="642" t="s">
        <v>99</v>
      </c>
      <c r="M91" s="643"/>
      <c r="N91" s="140">
        <v>128</v>
      </c>
    </row>
    <row r="92" spans="2:61" ht="17" thickBot="1" x14ac:dyDescent="0.25">
      <c r="L92" s="587" t="str">
        <f>IF(B122="N","GPUs","")</f>
        <v>GPUs</v>
      </c>
      <c r="M92" s="588"/>
      <c r="N92" s="142">
        <v>0</v>
      </c>
      <c r="O92" s="313" t="str">
        <f>IF(AND($P$76&gt;0,N92=0,$B$122="N"),"&lt;===== Enter GPUs Per Server","")</f>
        <v/>
      </c>
    </row>
    <row r="94" spans="2:61" x14ac:dyDescent="0.2">
      <c r="B94" s="2">
        <v>32</v>
      </c>
      <c r="L94" s="314" t="str">
        <f>IF(B122="Y","MVI Worker Node Configuration","")</f>
        <v/>
      </c>
      <c r="M94" s="229"/>
      <c r="N94" s="229"/>
    </row>
    <row r="95" spans="2:61" x14ac:dyDescent="0.2">
      <c r="B95" s="2">
        <v>64</v>
      </c>
      <c r="L95" s="573" t="str">
        <f>IF(B122="Y","CPU Count","")</f>
        <v/>
      </c>
      <c r="M95" s="573"/>
      <c r="N95" s="231">
        <v>1</v>
      </c>
    </row>
    <row r="96" spans="2:61" x14ac:dyDescent="0.2">
      <c r="B96" s="2">
        <v>96</v>
      </c>
      <c r="L96" s="573" t="str">
        <f>IF(B122="Y","Cores per CPU","")</f>
        <v/>
      </c>
      <c r="M96" s="573"/>
      <c r="N96" s="231">
        <v>16</v>
      </c>
    </row>
    <row r="97" spans="2:15" x14ac:dyDescent="0.2">
      <c r="B97" s="2">
        <v>128</v>
      </c>
      <c r="L97" s="573" t="str">
        <f>IF(B122="Y","VPCs","")</f>
        <v/>
      </c>
      <c r="M97" s="573"/>
      <c r="N97" s="315">
        <f>N95*N96</f>
        <v>16</v>
      </c>
    </row>
    <row r="98" spans="2:15" x14ac:dyDescent="0.2">
      <c r="B98" s="2">
        <v>256</v>
      </c>
      <c r="L98" s="573" t="str">
        <f>IF(B122="Y","Total Memory (GB)","")</f>
        <v/>
      </c>
      <c r="M98" s="573"/>
      <c r="N98" s="231">
        <v>256</v>
      </c>
    </row>
    <row r="99" spans="2:15" x14ac:dyDescent="0.2">
      <c r="B99" s="2">
        <v>384</v>
      </c>
      <c r="L99" s="573" t="str">
        <f>IF(B122="Y","GPUs","")</f>
        <v/>
      </c>
      <c r="M99" s="573"/>
      <c r="N99" s="231">
        <v>4</v>
      </c>
      <c r="O99" s="313" t="str">
        <f>IF(AND($P$76&gt;0,N99=0,$B$122="Y"),"&lt;===== Enter GPUs Per Server","")</f>
        <v/>
      </c>
    </row>
    <row r="100" spans="2:15" x14ac:dyDescent="0.2">
      <c r="B100" s="2">
        <v>512</v>
      </c>
      <c r="N100" s="230"/>
    </row>
    <row r="101" spans="2:15" x14ac:dyDescent="0.2">
      <c r="B101" s="2">
        <v>768</v>
      </c>
    </row>
    <row r="102" spans="2:15" x14ac:dyDescent="0.2">
      <c r="B102" s="2">
        <v>1024</v>
      </c>
    </row>
    <row r="104" spans="2:15" x14ac:dyDescent="0.2">
      <c r="B104" s="2">
        <v>0</v>
      </c>
    </row>
    <row r="105" spans="2:15" x14ac:dyDescent="0.2">
      <c r="B105" s="2">
        <v>1</v>
      </c>
    </row>
    <row r="106" spans="2:15" x14ac:dyDescent="0.2">
      <c r="B106" s="2">
        <v>2</v>
      </c>
    </row>
    <row r="107" spans="2:15" x14ac:dyDescent="0.2">
      <c r="B107" s="2">
        <v>4</v>
      </c>
    </row>
    <row r="108" spans="2:15" x14ac:dyDescent="0.2">
      <c r="B108" s="2">
        <v>8</v>
      </c>
    </row>
    <row r="109" spans="2:15" x14ac:dyDescent="0.2">
      <c r="B109" s="2">
        <v>16</v>
      </c>
    </row>
    <row r="111" spans="2:15" x14ac:dyDescent="0.2">
      <c r="B111" s="2" t="s">
        <v>111</v>
      </c>
    </row>
    <row r="112" spans="2:15" x14ac:dyDescent="0.2">
      <c r="B112" s="2" t="s">
        <v>110</v>
      </c>
    </row>
    <row r="114" spans="2:2" x14ac:dyDescent="0.2">
      <c r="B114" s="2" t="s">
        <v>38</v>
      </c>
    </row>
    <row r="115" spans="2:2" x14ac:dyDescent="0.2">
      <c r="B115" s="2" t="s">
        <v>113</v>
      </c>
    </row>
    <row r="116" spans="2:2" x14ac:dyDescent="0.2">
      <c r="B116" s="2" t="s">
        <v>114</v>
      </c>
    </row>
    <row r="118" spans="2:2" x14ac:dyDescent="0.2">
      <c r="B118" s="316" t="str">
        <f>IF(COUNTIF(E22:E28,"Y")&gt;=2,"S","N")</f>
        <v>N</v>
      </c>
    </row>
    <row r="120" spans="2:2" x14ac:dyDescent="0.2">
      <c r="B120" s="316" t="str">
        <f>IF(E17="One for All","O","I")</f>
        <v>I</v>
      </c>
    </row>
    <row r="122" spans="2:2" x14ac:dyDescent="0.2">
      <c r="B122" s="316" t="str">
        <f>IF(AND(COUNTIF(E22:E28,"Y")&gt;1,E26="Y",E18="Y"),"Y","N")</f>
        <v>N</v>
      </c>
    </row>
    <row r="124" spans="2:2" x14ac:dyDescent="0.2">
      <c r="B124" s="2" t="s">
        <v>183</v>
      </c>
    </row>
    <row r="125" spans="2:2" x14ac:dyDescent="0.2">
      <c r="B125" s="2" t="s">
        <v>18</v>
      </c>
    </row>
    <row r="126" spans="2:2" x14ac:dyDescent="0.2">
      <c r="B126" s="317">
        <f>M76-M64</f>
        <v>0</v>
      </c>
    </row>
    <row r="127" spans="2:2" x14ac:dyDescent="0.2">
      <c r="B127" s="2" t="s">
        <v>184</v>
      </c>
    </row>
    <row r="128" spans="2:2" x14ac:dyDescent="0.2">
      <c r="B128" s="317">
        <f>O76-O64</f>
        <v>0</v>
      </c>
    </row>
  </sheetData>
  <sheetProtection algorithmName="SHA-512" hashValue="zoO1KWR7NdminNyjWNjU3ya5bstFGO0034rI9NfeqIsxiMyaJ0RktB1HwAYgWp3OIlvaWPe+3oRtPY50wSkD3g==" saltValue="5uQG9+HHOkGRfjENc+Y/wA==" spinCount="100000" sheet="1" objects="1" scenarios="1"/>
  <dataConsolidate/>
  <mergeCells count="79">
    <mergeCell ref="A18:D18"/>
    <mergeCell ref="AN41:AY41"/>
    <mergeCell ref="T72:T73"/>
    <mergeCell ref="S29:S31"/>
    <mergeCell ref="AN42:AO42"/>
    <mergeCell ref="U41:X41"/>
    <mergeCell ref="Z41:AB41"/>
    <mergeCell ref="T44:T46"/>
    <mergeCell ref="T48:T49"/>
    <mergeCell ref="T62:T64"/>
    <mergeCell ref="T54:T55"/>
    <mergeCell ref="T60:T61"/>
    <mergeCell ref="T66:T67"/>
    <mergeCell ref="AZ41:BG41"/>
    <mergeCell ref="D2:J2"/>
    <mergeCell ref="D3:J3"/>
    <mergeCell ref="A13:D13"/>
    <mergeCell ref="A14:D14"/>
    <mergeCell ref="A15:D15"/>
    <mergeCell ref="I13:K17"/>
    <mergeCell ref="A16:D16"/>
    <mergeCell ref="A17:D17"/>
    <mergeCell ref="G13:H17"/>
    <mergeCell ref="Z42:AB42"/>
    <mergeCell ref="AC41:AF41"/>
    <mergeCell ref="L13:M17"/>
    <mergeCell ref="S4:Y4"/>
    <mergeCell ref="K20:K21"/>
    <mergeCell ref="F20:G20"/>
    <mergeCell ref="I36:J36"/>
    <mergeCell ref="I34:J34"/>
    <mergeCell ref="I35:J35"/>
    <mergeCell ref="I50:I83"/>
    <mergeCell ref="J77:J82"/>
    <mergeCell ref="H20:I20"/>
    <mergeCell ref="S25:S26"/>
    <mergeCell ref="S27:S28"/>
    <mergeCell ref="L89:M89"/>
    <mergeCell ref="L80:M80"/>
    <mergeCell ref="L81:M81"/>
    <mergeCell ref="L82:M82"/>
    <mergeCell ref="L88:M88"/>
    <mergeCell ref="S43:S73"/>
    <mergeCell ref="T74:T76"/>
    <mergeCell ref="T78:T79"/>
    <mergeCell ref="T80:T82"/>
    <mergeCell ref="T84:T85"/>
    <mergeCell ref="C22:C28"/>
    <mergeCell ref="S33:S34"/>
    <mergeCell ref="S35:S36"/>
    <mergeCell ref="I43:J47"/>
    <mergeCell ref="M45:P47"/>
    <mergeCell ref="K45:L47"/>
    <mergeCell ref="K44:L44"/>
    <mergeCell ref="J50:J52"/>
    <mergeCell ref="L51:P51"/>
    <mergeCell ref="T50:T52"/>
    <mergeCell ref="T56:T58"/>
    <mergeCell ref="T68:T70"/>
    <mergeCell ref="AG41:AL41"/>
    <mergeCell ref="K29:L29"/>
    <mergeCell ref="K32:K33"/>
    <mergeCell ref="I37:J37"/>
    <mergeCell ref="I38:J38"/>
    <mergeCell ref="I39:J39"/>
    <mergeCell ref="I40:J40"/>
    <mergeCell ref="L96:M96"/>
    <mergeCell ref="L97:M97"/>
    <mergeCell ref="L98:M98"/>
    <mergeCell ref="L99:M99"/>
    <mergeCell ref="H33:H40"/>
    <mergeCell ref="I84:J84"/>
    <mergeCell ref="K84:Q84"/>
    <mergeCell ref="L79:M79"/>
    <mergeCell ref="J54:J76"/>
    <mergeCell ref="L95:M95"/>
    <mergeCell ref="L92:M92"/>
    <mergeCell ref="L90:M90"/>
    <mergeCell ref="L91:M91"/>
  </mergeCells>
  <conditionalFormatting sqref="K25">
    <cfRule type="expression" dxfId="47" priority="29" stopIfTrue="1">
      <formula>AND($E$25="N",$J$25&gt;0)</formula>
    </cfRule>
    <cfRule type="expression" dxfId="46" priority="77">
      <formula>AND($E$25="Y",OR($E$23="N",$E$24="N"))</formula>
    </cfRule>
  </conditionalFormatting>
  <conditionalFormatting sqref="M24">
    <cfRule type="expression" dxfId="45" priority="65">
      <formula>$M$24="Error"</formula>
    </cfRule>
  </conditionalFormatting>
  <conditionalFormatting sqref="N24">
    <cfRule type="expression" dxfId="44" priority="64">
      <formula>$M$24="Error"</formula>
    </cfRule>
  </conditionalFormatting>
  <conditionalFormatting sqref="O24">
    <cfRule type="expression" dxfId="43" priority="63">
      <formula>$M$24="Error"</formula>
    </cfRule>
  </conditionalFormatting>
  <conditionalFormatting sqref="M36">
    <cfRule type="expression" dxfId="42" priority="62">
      <formula>$M$24="Error"</formula>
    </cfRule>
  </conditionalFormatting>
  <conditionalFormatting sqref="N36">
    <cfRule type="expression" dxfId="41" priority="61">
      <formula>$M$24="Error"</formula>
    </cfRule>
  </conditionalFormatting>
  <conditionalFormatting sqref="O36">
    <cfRule type="expression" dxfId="40" priority="60">
      <formula>$M$24="Error"</formula>
    </cfRule>
  </conditionalFormatting>
  <conditionalFormatting sqref="M25">
    <cfRule type="expression" dxfId="39" priority="59">
      <formula>$M$25="Error"</formula>
    </cfRule>
  </conditionalFormatting>
  <conditionalFormatting sqref="N25">
    <cfRule type="expression" dxfId="38" priority="58">
      <formula>$M$25="Error"</formula>
    </cfRule>
  </conditionalFormatting>
  <conditionalFormatting sqref="O25">
    <cfRule type="expression" dxfId="37" priority="57">
      <formula>$M$25="Error"</formula>
    </cfRule>
  </conditionalFormatting>
  <conditionalFormatting sqref="M37">
    <cfRule type="expression" dxfId="36" priority="56">
      <formula>$M$25="Error"</formula>
    </cfRule>
  </conditionalFormatting>
  <conditionalFormatting sqref="N37">
    <cfRule type="expression" dxfId="35" priority="55">
      <formula>$M$25="Error"</formula>
    </cfRule>
  </conditionalFormatting>
  <conditionalFormatting sqref="O37">
    <cfRule type="expression" dxfId="34" priority="54">
      <formula>$M$25="Error"</formula>
    </cfRule>
  </conditionalFormatting>
  <conditionalFormatting sqref="K22">
    <cfRule type="expression" dxfId="33" priority="33">
      <formula>AND($E$22="N",$J$22&gt;0)</formula>
    </cfRule>
  </conditionalFormatting>
  <conditionalFormatting sqref="K23">
    <cfRule type="expression" dxfId="32" priority="31">
      <formula>AND($E$23="N",$J$23&gt;0)</formula>
    </cfRule>
  </conditionalFormatting>
  <conditionalFormatting sqref="K26">
    <cfRule type="expression" dxfId="31" priority="27">
      <formula>AND($E$26="N",$J$26&gt;0)</formula>
    </cfRule>
  </conditionalFormatting>
  <conditionalFormatting sqref="L94:N94">
    <cfRule type="expression" dxfId="30" priority="18">
      <formula>$B$122="Y"</formula>
    </cfRule>
  </conditionalFormatting>
  <conditionalFormatting sqref="L97 N97">
    <cfRule type="expression" dxfId="29" priority="16">
      <formula>$B$122="Y"</formula>
    </cfRule>
  </conditionalFormatting>
  <conditionalFormatting sqref="N95:N96 N98:N99">
    <cfRule type="expression" dxfId="28" priority="15">
      <formula>$B$122="Y"</formula>
    </cfRule>
  </conditionalFormatting>
  <conditionalFormatting sqref="L95:M99">
    <cfRule type="expression" dxfId="27" priority="14">
      <formula>$B$122="Y"</formula>
    </cfRule>
  </conditionalFormatting>
  <conditionalFormatting sqref="K81">
    <cfRule type="expression" dxfId="26" priority="13">
      <formula>$B$122="Y"</formula>
    </cfRule>
  </conditionalFormatting>
  <conditionalFormatting sqref="L81 N81">
    <cfRule type="expression" dxfId="25" priority="12">
      <formula>$B$122="Y"</formula>
    </cfRule>
  </conditionalFormatting>
  <conditionalFormatting sqref="O81:Q81">
    <cfRule type="expression" dxfId="24" priority="11">
      <formula>$B$122="Y"</formula>
    </cfRule>
  </conditionalFormatting>
  <conditionalFormatting sqref="N92">
    <cfRule type="expression" dxfId="23" priority="10">
      <formula>B122="Y"</formula>
    </cfRule>
  </conditionalFormatting>
  <conditionalFormatting sqref="Q80">
    <cfRule type="expression" dxfId="22" priority="9">
      <formula>AND($P$76&gt;0,$N$92=0,$B$122="N")</formula>
    </cfRule>
  </conditionalFormatting>
  <conditionalFormatting sqref="Q81">
    <cfRule type="expression" dxfId="21" priority="8">
      <formula>AND($B$122="Y",$N$99=0)</formula>
    </cfRule>
  </conditionalFormatting>
  <conditionalFormatting sqref="K24">
    <cfRule type="expression" dxfId="20" priority="78" stopIfTrue="1">
      <formula>AND($E$24="N",$J$24&gt;0)</formula>
    </cfRule>
    <cfRule type="expression" dxfId="19" priority="79" stopIfTrue="1">
      <formula>AND($E$16="W/Monitor",$E$23="N",$E$24="Y")</formula>
    </cfRule>
    <cfRule type="expression" dxfId="18" priority="80">
      <formula>AND($E$16="W/Manage",$E$22="N",$E$24="Y")</formula>
    </cfRule>
  </conditionalFormatting>
  <conditionalFormatting sqref="L75:P75 K75">
    <cfRule type="expression" dxfId="17" priority="83">
      <formula>$E$17="One for All"</formula>
    </cfRule>
  </conditionalFormatting>
  <conditionalFormatting sqref="J22">
    <cfRule type="expression" dxfId="16" priority="89" stopIfTrue="1">
      <formula>$J$22&gt;0</formula>
    </cfRule>
    <cfRule type="expression" dxfId="15" priority="90">
      <formula>$E$17="One for All"</formula>
    </cfRule>
  </conditionalFormatting>
  <conditionalFormatting sqref="J23">
    <cfRule type="expression" dxfId="14" priority="91" stopIfTrue="1">
      <formula>$J$23&gt;0</formula>
    </cfRule>
    <cfRule type="expression" dxfId="13" priority="92">
      <formula>$E$17="One for All"</formula>
    </cfRule>
  </conditionalFormatting>
  <conditionalFormatting sqref="J24">
    <cfRule type="expression" dxfId="12" priority="93" stopIfTrue="1">
      <formula>$J$24&gt;0</formula>
    </cfRule>
    <cfRule type="expression" dxfId="11" priority="94">
      <formula>$E$17="One for All"</formula>
    </cfRule>
  </conditionalFormatting>
  <conditionalFormatting sqref="J25">
    <cfRule type="expression" dxfId="10" priority="95" stopIfTrue="1">
      <formula>$J$25&gt;0</formula>
    </cfRule>
    <cfRule type="expression" dxfId="9" priority="96">
      <formula>$E$17="One for All"</formula>
    </cfRule>
  </conditionalFormatting>
  <conditionalFormatting sqref="J26">
    <cfRule type="expression" dxfId="8" priority="97" stopIfTrue="1">
      <formula>$J$26&gt;0</formula>
    </cfRule>
    <cfRule type="expression" dxfId="7" priority="98">
      <formula>$E$17="One for All"</formula>
    </cfRule>
  </conditionalFormatting>
  <conditionalFormatting sqref="K28">
    <cfRule type="expression" dxfId="6" priority="5">
      <formula>AND($E$28="N",$J$28&gt;0)</formula>
    </cfRule>
  </conditionalFormatting>
  <conditionalFormatting sqref="J28">
    <cfRule type="expression" dxfId="5" priority="6" stopIfTrue="1">
      <formula>$J$23&gt;0</formula>
    </cfRule>
    <cfRule type="expression" dxfId="4" priority="7">
      <formula>$E$17="One for All"</formula>
    </cfRule>
  </conditionalFormatting>
  <conditionalFormatting sqref="J27">
    <cfRule type="expression" dxfId="3" priority="3" stopIfTrue="1">
      <formula>$J$23&gt;0</formula>
    </cfRule>
    <cfRule type="expression" dxfId="2" priority="4">
      <formula>$E$17="One for All"</formula>
    </cfRule>
  </conditionalFormatting>
  <conditionalFormatting sqref="K27">
    <cfRule type="expression" dxfId="1" priority="2">
      <formula>AND($E$27="N",$J$27&gt;0)</formula>
    </cfRule>
  </conditionalFormatting>
  <conditionalFormatting sqref="K75">
    <cfRule type="expression" dxfId="0" priority="1">
      <formula>$E$17="One for All"</formula>
    </cfRule>
  </conditionalFormatting>
  <dataValidations xWindow="383" yWindow="435" count="24">
    <dataValidation type="list" allowBlank="1" showInputMessage="1" showErrorMessage="1" promptTitle="MAS Application Enable" sqref="E22:E25" xr:uid="{C60208C9-EA4C-CC4A-BDD4-C1A6A6D4A689}">
      <formula1>$B$78:$B$79</formula1>
    </dataValidation>
    <dataValidation type="whole" operator="greaterThanOrEqual" allowBlank="1" showInputMessage="1" showErrorMessage="1" errorTitle="Invalid input" error="Must be an integer " promptTitle="Input estimated usage" prompt="Input application usage metric according to the size driver, this will select the appropriate t-shirt environment size " sqref="I22" xr:uid="{9545949C-1A70-7342-B328-6E89B305184F}">
      <formula1>0</formula1>
    </dataValidation>
    <dataValidation type="whole" operator="greaterThanOrEqual" allowBlank="1" showInputMessage="1" showErrorMessage="1" errorTitle="Invalid Input" error="Must be an integer " promptTitle="Individual Non-Prod Environments" prompt="How many individual non production environments are required?  This adds required VPC + Memory + GB data as well as increases the base, prereq, misc capacity unit metric." sqref="J22:J25 J27:J28" xr:uid="{7D43E61E-9D95-DB42-A7C0-29A69E494598}">
      <formula1>0</formula1>
    </dataValidation>
    <dataValidation type="list" allowBlank="1" showInputMessage="1" showErrorMessage="1" sqref="E26:E28" xr:uid="{9E0F55A0-5530-5549-B83B-DCF471B17078}">
      <formula1>$B$78:$B$79</formula1>
    </dataValidation>
    <dataValidation allowBlank="1" showInputMessage="1" showErrorMessage="1" promptTitle="Individual Non-Prod Environments" prompt="How many individual non production environments are required?  This adds required VPC + Memory + GB data as well as increases the base, prereq, misc capacity unit metric." sqref="J26" xr:uid="{9DDF78A0-D48C-1243-B38C-94DD883F229C}"/>
    <dataValidation type="whole" operator="greaterThanOrEqual" allowBlank="1" showInputMessage="1" showErrorMessage="1" errorTitle="Invalid input" error="Must be an integer " promptTitle="Estimated Concurrent Users" prompt="Input the estimated number of concurrent users for Manage.  This determines the t-shirt size and subsequent resource requirements." sqref="G22" xr:uid="{C5D37DDF-9B6A-A741-A279-E55FBF11E27F}">
      <formula1>0</formula1>
    </dataValidation>
    <dataValidation type="whole" operator="greaterThanOrEqual" allowBlank="1" showInputMessage="1" showErrorMessage="1" errorTitle="Invalid input" error="Must be an integer " promptTitle="Estimated I/O Points" prompt="Input estimated number of I/O Points for Monitor.  This is the primary metric for determining t-shirt sizing and subsequent resource requirements._x000a__x000a_If secondary metric (Users) is also entered, t-shirt size will be the larger of the two resulting metrics." sqref="G23" xr:uid="{4E97058D-5B84-5941-A72A-03ABE86A233B}">
      <formula1>0</formula1>
    </dataValidation>
    <dataValidation type="whole" operator="greaterThanOrEqual" allowBlank="1" showInputMessage="1" showErrorMessage="1" errorTitle="Invalid input" error="Must be an integer " promptTitle="Estimated Concurrent Users" prompt="Input estimated number of concurrent users for Health. This is the primary metric for determining t-shirt sizing &amp; subsequent resource requirements._x000a__x000a_If secondary metric (assets) is also entered, t-shirt size is the larger of the two resulting metrics." sqref="G24" xr:uid="{CF0D8FFA-832C-F643-A97A-412ECDFBE782}">
      <formula1>0</formula1>
    </dataValidation>
    <dataValidation type="whole" operator="greaterThanOrEqual" allowBlank="1" showInputMessage="1" showErrorMessage="1" errorTitle="Invalid input" error="Must be an integer " promptTitle="Estimated I/O Points" prompt="Calculated from &quot;Predict I/O Points&quot; Tab. This is the primary metric for determining t-shirt sizing and subsequent resource requirements._x000a__x000a_If secondary metric is also entered, t-shirt size will be the larger of the two resulting metrics." sqref="G25" xr:uid="{3ABB6E57-58FF-9047-9830-F2B2C2F8972D}">
      <formula1>0</formula1>
    </dataValidation>
    <dataValidation allowBlank="1" showInputMessage="1" showErrorMessage="1" promptTitle="Estimated Concurrent Users" prompt="Input the estimated number of concurrent users for MVI.  This determines the t-shirt size and subsequent resource requirements." sqref="G26" xr:uid="{F4699D72-9F06-424F-AF64-2C9D200A2B6F}"/>
    <dataValidation type="whole" operator="greaterThanOrEqual" allowBlank="1" showInputMessage="1" showErrorMessage="1" errorTitle="Invalid input" error="Must be an integer " promptTitle="Estimated Concurrent Users" prompt="*Optional*  Input estimated number of concurrent users for Monitor. Secondary metric for determining t-shirt sizing and subsequent resource requirements._x000a__x000a_If primary metric is also entered, the t-shirt size will be the larger of the two resulting metrics." sqref="I23" xr:uid="{A5531491-F4B6-B14F-AD51-76290E0437C3}">
      <formula1>0</formula1>
    </dataValidation>
    <dataValidation type="whole" operator="greaterThanOrEqual" allowBlank="1" showInputMessage="1" showErrorMessage="1" errorTitle="Invalid input" error="Must be an integer " promptTitle="Estimated Number of Assets" prompt="*Optional* - Input estimated number of Assets for Health.  This is the secondary metric for determining t-shirt sizing and subsequent resource requirements._x000a__x000a_If primary metric is also entered, t-shirt size will be the larger of the two resulting metrics." sqref="I24" xr:uid="{D1FC4DB1-DC80-0D40-88DA-1AF2F95EE944}">
      <formula1>0</formula1>
    </dataValidation>
    <dataValidation type="whole" operator="greaterThanOrEqual" allowBlank="1" showInputMessage="1" showErrorMessage="1" errorTitle="Invalid input" error="Must be an integer " sqref="I25" xr:uid="{6D3927A9-10D3-1D4F-8633-AB538DB83C4B}">
      <formula1>0</formula1>
    </dataValidation>
    <dataValidation type="custom" allowBlank="1" showInputMessage="1" showErrorMessage="1" errorTitle="Must be at least 32GB" error="Maximo Worker Nodes require at least 32GB of memory per server." sqref="N91" xr:uid="{689A0AA7-FF0C-4B4A-BAA0-982F351B84E1}">
      <formula1>N91&gt;=32</formula1>
    </dataValidation>
    <dataValidation type="list" allowBlank="1" showInputMessage="1" showErrorMessage="1" promptTitle="OpenShift Configuration" prompt="If YES, a minimum of 3 servers are required for OpenShift Master nodes &amp; 2 servers are required for OpenShift worker nodes.  If NO, Master nodes are configured for 3 VMs on a single server, &amp; worker nodes are configured for 2 VMs on a single server." sqref="E13" xr:uid="{0CD782EF-E22D-E54B-BCCF-7B72BCFDD164}">
      <formula1>$B$78:$B$79</formula1>
    </dataValidation>
    <dataValidation type="list" allowBlank="1" showInputMessage="1" showErrorMessage="1" promptTitle="Existing OpenShift Deployment?" prompt="If YES, Control Plane Nodes are not required and set to zero.  The 2 node minimum requirement for OpenShift worker nodes is also not required.  It does NOT change the calculations for required VPCs, Memory, Storage, or GPUs of the selected configuration. " sqref="E14" xr:uid="{451A54F6-B6AD-1442-BE82-36583233FD2F}">
      <formula1>$B$78:$B$79</formula1>
    </dataValidation>
    <dataValidation type="list" allowBlank="1" showInputMessage="1" showErrorMessage="1" promptTitle="Share Health DB2 Instance?" prompt="Selecting &quot;N&quot; (Default) results in DB2 infrastructure requirements equal to the sum of all offerings selected.  Selecting &quot;W/Manage&quot; or &quot;W/Monitor&quot; will reduce the DB2 infrastructure requirements tied to Health. " sqref="E16" xr:uid="{62792E64-A9EA-E249-A2F7-4EAC3DE15748}">
      <formula1>$B$114:$B$116</formula1>
    </dataValidation>
    <dataValidation type="list" allowBlank="1" showInputMessage="1" showErrorMessage="1" promptTitle="Dev Environmennt Configuration" prompt="Selecting &quot;Individual&quot; allows for 1 or more independent dev environments to be created for each offering.  Selecting &quot;One for All&quot; will calculate 1 dev environment for each offering selected &amp; will use the largest offering database versus the sum of all." sqref="E17" xr:uid="{FC99AF06-AAD7-2746-8D34-5237659A9313}">
      <formula1>$B$111:$B$112</formula1>
    </dataValidation>
    <dataValidation type="list" allowBlank="1" showInputMessage="1" showErrorMessage="1" promptTitle="Isolate MVI GPU Nodes?" prompt=" If YES, GPU nodes will be calculated separately from Worker Node calculations._x000a_If NO, then GPU nodes will be included in the Worker Node calculations. " sqref="E18" xr:uid="{EC72E13F-B69E-204A-BB92-A88B60F74708}">
      <formula1>$B$78:$B$79</formula1>
    </dataValidation>
    <dataValidation type="custom" allowBlank="1" showInputMessage="1" showErrorMessage="1" errorTitle="Must be at least 64GB" error="Maximo Visual Inspection requires at least 64GB of memory per server." sqref="N98" xr:uid="{8071DA28-5C9E-6849-85BB-F8F1499F8984}">
      <formula1>N98&gt;=64</formula1>
    </dataValidation>
    <dataValidation type="list" allowBlank="1" showInputMessage="1" showErrorMessage="1" promptTitle="Existing Database?" prompt="If YES, DB2 and CP4D requirements will not be included in the calculations for Manage, Monitor, and Health.  If NO, both DB2 &amp; CP4D requirements will be included in the calculations." sqref="E15" xr:uid="{00D3C6B9-1D0E-43A6-B093-AF0A6B4E3EF5}">
      <formula1>$B$78:$B$79</formula1>
    </dataValidation>
    <dataValidation type="whole" operator="greaterThanOrEqual" allowBlank="1" showInputMessage="1" showErrorMessage="1" errorTitle="Invalid input" error="Must be an integer " promptTitle="Workers Monitored" prompt="Input estimated number of Monitored Workers for Safety.  This is the primary metric for determining t-shirt size &amp; subsequent resource requirements._x000a__x000a_If secondary metric (I/O Points) is also entered, t-shirt size is the larger of the two resulting metrics" sqref="G28" xr:uid="{D185307C-C3A1-6540-9DB1-B2962AC0D8D9}">
      <formula1>0</formula1>
    </dataValidation>
    <dataValidation type="whole" operator="greaterThanOrEqual" allowBlank="1" showInputMessage="1" showErrorMessage="1" errorTitle="Invalid input" error="Must be an integer " promptTitle="Estimated Concurrent Users" prompt="Input estimated number of concurrent users for Assist. This is the primary metric for determining t-shirt sizing &amp; subsequent resource requirements._x000a__x000a_If secondary metric (Documents) is also entered, t-shirt size is the larger of the two resulting metrics." sqref="G27" xr:uid="{810C0A04-0FD0-F443-833C-12476534039D}">
      <formula1>0</formula1>
    </dataValidation>
    <dataValidation type="whole" operator="greaterThanOrEqual" allowBlank="1" showInputMessage="1" showErrorMessage="1" errorTitle="Invalid input" error="Must be an integer " promptTitle="Estimated Concurrent Users" prompt="*Optional*  Input estimated number of I/O Points for Safety. Secondary metric for determining t-shirt sizing and subsequent resource requirements._x000a__x000a_If primary metric is also entered, the t-shirt size will be the larger of the two resulting metrics." sqref="I28" xr:uid="{E08FFAC7-68A9-5B48-B9AD-DE2B26B04C22}">
      <formula1>0</formula1>
    </dataValidation>
  </dataValidations>
  <pageMargins left="0.25" right="0.25" top="0.75" bottom="0.75" header="0.3" footer="0.3"/>
  <pageSetup scale="71" orientation="portrait" horizontalDpi="4294967293" verticalDpi="0" r:id="rId1"/>
  <ignoredErrors>
    <ignoredError sqref="AP49 AP55 AP61 AP67 W4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029-B46E-F947-A45C-07D7EC32CA30}">
  <sheetPr>
    <pageSetUpPr fitToPage="1"/>
  </sheetPr>
  <dimension ref="A1:I44"/>
  <sheetViews>
    <sheetView showGridLines="0" topLeftCell="A13" zoomScaleNormal="100" workbookViewId="0">
      <selection activeCell="G38" sqref="G38"/>
    </sheetView>
  </sheetViews>
  <sheetFormatPr baseColWidth="10" defaultColWidth="11" defaultRowHeight="16" x14ac:dyDescent="0.2"/>
  <cols>
    <col min="1" max="1" width="18.33203125" customWidth="1"/>
    <col min="2" max="5" width="10.6640625" customWidth="1"/>
    <col min="6" max="6" width="15" customWidth="1"/>
    <col min="7" max="9" width="10.6640625" customWidth="1"/>
  </cols>
  <sheetData>
    <row r="1" spans="1:9" x14ac:dyDescent="0.2">
      <c r="A1" s="721" t="s">
        <v>182</v>
      </c>
      <c r="B1" s="722"/>
      <c r="C1" s="722"/>
      <c r="D1" s="722"/>
      <c r="E1" s="722"/>
      <c r="F1" s="722"/>
      <c r="G1" s="722"/>
      <c r="H1" s="722"/>
      <c r="I1" s="723"/>
    </row>
    <row r="2" spans="1:9" ht="16" customHeight="1" thickBot="1" x14ac:dyDescent="0.25">
      <c r="A2" s="724"/>
      <c r="B2" s="725"/>
      <c r="C2" s="725"/>
      <c r="D2" s="725"/>
      <c r="E2" s="725"/>
      <c r="F2" s="725"/>
      <c r="G2" s="725"/>
      <c r="H2" s="725"/>
      <c r="I2" s="726"/>
    </row>
    <row r="3" spans="1:9" ht="12" customHeight="1" thickBot="1" x14ac:dyDescent="0.25"/>
    <row r="4" spans="1:9" ht="17" thickBot="1" x14ac:dyDescent="0.25">
      <c r="B4" s="318" t="str">
        <f>IF('V7 Calculator'!$K$22="None","",'V7 Calculator'!$K$22)</f>
        <v/>
      </c>
      <c r="C4" s="319" t="str">
        <f>IF('V7 Calculator'!$K$23="None","",'V7 Calculator'!$K$23)</f>
        <v/>
      </c>
      <c r="D4" s="319" t="str">
        <f>IF('V7 Calculator'!$K$24="None","",'V7 Calculator'!$K$24)</f>
        <v/>
      </c>
      <c r="E4" s="319" t="str">
        <f>IF('V7 Calculator'!$K$25="None","",'V7 Calculator'!$K$25)</f>
        <v/>
      </c>
      <c r="F4" s="319" t="str">
        <f>IF('V7 Calculator'!$K$26="None","",'V7 Calculator'!$K$26)</f>
        <v/>
      </c>
      <c r="G4" s="319" t="str">
        <f>IF('V7 Calculator'!$K$27="None","",'V7 Calculator'!$K$27)</f>
        <v/>
      </c>
      <c r="H4" s="319" t="str">
        <f>IF('V7 Calculator'!$K$28="None","",'V7 Calculator'!$K$28)</f>
        <v/>
      </c>
    </row>
    <row r="5" spans="1:9" ht="20" thickBot="1" x14ac:dyDescent="0.3">
      <c r="A5" s="225" t="s">
        <v>98</v>
      </c>
      <c r="B5" s="320" t="str">
        <f>'V7 Calculator'!S24</f>
        <v>Manage</v>
      </c>
      <c r="C5" s="320" t="str">
        <f>'V7 Calculator'!S25</f>
        <v>Monitor</v>
      </c>
      <c r="D5" s="320" t="str">
        <f>'V7 Calculator'!S27</f>
        <v>Health</v>
      </c>
      <c r="E5" s="320" t="str">
        <f>'V7 Calculator'!S29</f>
        <v>Predict</v>
      </c>
      <c r="F5" s="320" t="str">
        <f>'V7 Calculator'!S32</f>
        <v>Visual Inspection</v>
      </c>
      <c r="G5" s="320" t="str">
        <f>'V7 Calculator'!S33</f>
        <v>Assist</v>
      </c>
      <c r="H5" s="320" t="str">
        <f>'V7 Calculator'!S35</f>
        <v>Safety</v>
      </c>
      <c r="I5" s="223" t="s">
        <v>176</v>
      </c>
    </row>
    <row r="6" spans="1:9" ht="17" thickBot="1" x14ac:dyDescent="0.25">
      <c r="A6" s="221" t="s">
        <v>175</v>
      </c>
      <c r="B6" s="321">
        <f>'V7 Calculator'!M22</f>
        <v>0</v>
      </c>
      <c r="C6" s="322">
        <f>'V7 Calculator'!M23</f>
        <v>0</v>
      </c>
      <c r="D6" s="323">
        <f>'V7 Calculator'!M24</f>
        <v>0</v>
      </c>
      <c r="E6" s="324">
        <f>'V7 Calculator'!M25</f>
        <v>0</v>
      </c>
      <c r="F6" s="324">
        <f>'V7 Calculator'!M26</f>
        <v>0</v>
      </c>
      <c r="G6" s="474">
        <f>'V7 Calculator'!M27</f>
        <v>0</v>
      </c>
      <c r="H6" s="325">
        <f>'V7 Calculator'!M28</f>
        <v>0</v>
      </c>
      <c r="I6" s="326">
        <f>SUM(B6:H6)</f>
        <v>0</v>
      </c>
    </row>
    <row r="7" spans="1:9" ht="17" thickBot="1" x14ac:dyDescent="0.25">
      <c r="A7" s="221" t="s">
        <v>151</v>
      </c>
      <c r="B7" s="321">
        <f>SUM(B8:B11)</f>
        <v>0</v>
      </c>
      <c r="C7" s="322">
        <f t="shared" ref="C7:H7" si="0">SUM(C8:C11)</f>
        <v>0</v>
      </c>
      <c r="D7" s="323">
        <f t="shared" si="0"/>
        <v>0</v>
      </c>
      <c r="E7" s="324">
        <f t="shared" si="0"/>
        <v>0</v>
      </c>
      <c r="F7" s="324">
        <f t="shared" si="0"/>
        <v>0</v>
      </c>
      <c r="G7" s="474">
        <f t="shared" si="0"/>
        <v>0</v>
      </c>
      <c r="H7" s="325">
        <f t="shared" si="0"/>
        <v>0</v>
      </c>
      <c r="I7" s="326">
        <f>SUM(B7:H7)</f>
        <v>0</v>
      </c>
    </row>
    <row r="8" spans="1:9" x14ac:dyDescent="0.2">
      <c r="A8" s="352" t="str">
        <f>"   -"&amp;'V7 Calculator'!AC42&amp;" "&amp;'V7 Calculator'!AC43</f>
        <v xml:space="preserve">   -OpenShift Worker</v>
      </c>
      <c r="B8" s="490">
        <f>IF(B6=0,0,IF(B4="Xsmall/Min",'V7 Calculator'!AC$45,IF(B4="Small",'V7 Calculator'!AC$46,IF(B4="Medium",'V7 Calculator'!AC$47,IF(B4="Large",'V7 Calculator'!AC$48,'V7 Calculator'!AC49)))))</f>
        <v>0</v>
      </c>
      <c r="C8" s="491">
        <f>IF(B8&gt;0,0,IF(C6=0,0,IF(C$4="XSmall/Min",'V7 Calculator'!$AC$51,IF(C$4="Small",'V7 Calculator'!$AC$52,IF(C$4="Medium",'V7 Calculator'!$AC$53,IF(C$4="Large",'V7 Calculator'!$AC$54,'V7 Calculator'!AC$55))))))</f>
        <v>0</v>
      </c>
      <c r="D8" s="492">
        <f>IF(OR(B8&gt;0,C8&gt;0),0,IF(D6=0,0,IF(D$4="Xsmall/Min",'V7 Calculator'!$AC$57,IF(D$4="Small",'V7 Calculator'!$AC$58,IF(D$4="Medium",'V7 Calculator'!$AC$59,IF(D$4="Large",'V7 Calculator'!$AC$60,'V7 Calculator'!AC$61))))))</f>
        <v>0</v>
      </c>
      <c r="E8" s="493">
        <f>IF(OR(B8&gt;0,C8&gt;0,D8&gt;0),0,IF(E6=0,0,IF(E$4="Xsmall/Min",'V7 Calculator'!$AC$63,IF(E$4="Small",'V7 Calculator'!$AC$64,IF(E$4="Medium",'V7 Calculator'!$AC$65,IF(E$4="Large",'V7 Calculator'!$AC$66,'V7 Calculator'!AC$67))))))</f>
        <v>0</v>
      </c>
      <c r="F8" s="493">
        <f>IF(OR(B8&gt;0,C8&gt;0,D8&gt;0,E8&gt;0),0,IF(F6=0,0,IF(F$4="Xsmall/Min",'V7 Calculator'!$AC$69,IF(F$4="Small",'V7 Calculator'!$AC$70,IF(F$4="Medium",'V7 Calculator'!$AC$71,IF(F$4="Large",'V7 Calculator'!$AC$72,'V7 Calculator'!AC$73))))))</f>
        <v>0</v>
      </c>
      <c r="G8" s="493">
        <f>IF(OR(B8&gt;0,C8&gt;0,D8&gt;0,E8&gt;0,F8&gt;0),0,IF(G6=0,0,IF(G$4="Xsmall/Min",'V7 Calculator'!$AC$75,IF(G$4="Small",'V7 Calculator'!$AC$76,IF(G$4="Medium",'V7 Calculator'!$AC$77,IF(G$4="Large",'V7 Calculator'!$AC$78,'V7 Calculator'!AC$79))))))</f>
        <v>0</v>
      </c>
      <c r="H8" s="494">
        <f>IF(OR(B9&gt;0,C8&gt;0,D8&gt;0,E8&gt;0,F8&gt;0,G8&gt;0),0,IF(H6=0,0,IF(H$4="Xsmall/Min",'V7 Calculator'!$AC$81,IF(H$4="Small",'V7 Calculator'!$AC$82,IF(H$4="Medium",'V7 Calculator'!$AC$83,IF(H$4="Large",'V7 Calculator'!$AC$84,'V7 Calculator'!AD$85))))))</f>
        <v>0</v>
      </c>
      <c r="I8" s="331">
        <f>SUM(B8:H8)</f>
        <v>0</v>
      </c>
    </row>
    <row r="9" spans="1:9" x14ac:dyDescent="0.2">
      <c r="A9" s="352" t="str">
        <f>"   -"&amp;'V7 Calculator'!AD42&amp;" "&amp;'V7 Calculator'!AD43</f>
        <v xml:space="preserve">   -ICP4D Base</v>
      </c>
      <c r="B9" s="327">
        <f>IF(OR(B6=0,'V7 Calculator'!$E$15="Y"),0,IF(B$4="Xsmall/Min",'V7 Calculator'!AD$45,IF(B$4="Small",'V7 Calculator'!AD$46,IF(B$4="Medium",'V7 Calculator'!AD$47,IF(B$4="Large",'V7 Calculator'!AD$48,'V7 Calculator'!$AD$49)))))</f>
        <v>0</v>
      </c>
      <c r="C9" s="328">
        <f>IF(OR(B9&gt;0,'V7 Calculator'!$E$15="Y"),0,IF(C6=0,0,IF(C$4="Xsmall/Min",'V7 Calculator'!$AD$51,IF(C$4="Small",'V7 Calculator'!$AD$52,IF(C$4="Medium",'V7 Calculator'!$AD$53,IF(C$4="Large",'V7 Calculator'!$AD$54,'V7 Calculator'!$AD$55))))))</f>
        <v>0</v>
      </c>
      <c r="D9" s="329">
        <f>IF(OR(B9&gt;0,C9&gt;0,'V7 Calculator'!$E$15="Y"),0,IF(D6=0,0,IF(D$4="Xsmall/Min",'V7 Calculator'!$AD$57,IF(D$4="Small",'V7 Calculator'!$AD$58,IF(D$4="Medium",'V7 Calculator'!$AD$59,IF(D$4="Large",'V7 Calculator'!$AD$60,'V7 Calculator'!$AD$61))))))</f>
        <v>0</v>
      </c>
      <c r="E9" s="330">
        <f>IF(OR(B9&gt;0,C9&gt;0,D9&gt;0),0,IF(E6=0,0,IF(E$4="Xsmall/Min",'V7 Calculator'!$AD$63,IF(E$4="Small",'V7 Calculator'!$AD$64,IF(E$4="Medium",'V7 Calculator'!$AD$65,IF(E$4="Large",'V7 Calculator'!$AD$66,'V7 Calculator'!$AD$67))))))</f>
        <v>0</v>
      </c>
      <c r="F9" s="330">
        <f>IF(OR(B9&gt;0,C9&gt;0,D9&gt;0,E9&gt;0),0,IF(F6=0,0,IF(F$4="Xsmall/Min",'V7 Calculator'!$AD$69,IF(F$4="Small",'V7 Calculator'!$AD$70,IF(F$4="Medium",'V7 Calculator'!$AD$71,IF(F$4="Large",'V7 Calculator'!$AD$72,'V7 Calculator'!$AD$73))))))</f>
        <v>0</v>
      </c>
      <c r="G9" s="330">
        <f>IF(OR(B9&gt;0,C9&gt;0,D9&gt;0,E9&gt;0,F9&gt;0),0,IF(G6=0,0,IF(G$4="Xsmall/Min",'V7 Calculator'!$AD$75,IF(G$4="Small",'V7 Calculator'!$AD$76,IF(G$4="Medium",'V7 Calculator'!$AD$77,IF(G$4="Large",'V7 Calculator'!$AD$78,'V7 Calculator'!$AD$79))))))</f>
        <v>0</v>
      </c>
      <c r="H9" s="495">
        <f>IF(OR(B9&gt;0,C9&gt;0,D9&gt;0,E9&gt;0,F9&gt;0,G9&gt;0),0,IF(H6=0,0,IF(H$4="Xsmall/Min",'V7 Calculator'!$AD$81,IF(H$4="Small",'V7 Calculator'!$AD$82,IF(H$4="Medium",'V7 Calculator'!$AD$83,IF(H$4="Large",'V7 Calculator'!$AD$84,'V7 Calculator'!$AD$85))))))</f>
        <v>0</v>
      </c>
      <c r="I9" s="332">
        <f t="shared" ref="I9:I17" si="1">SUM(B9:H9)</f>
        <v>0</v>
      </c>
    </row>
    <row r="10" spans="1:9" x14ac:dyDescent="0.2">
      <c r="A10" s="352" t="str">
        <f>"   -"&amp;'V7 Calculator'!AF42&amp;" "&amp;'V7 Calculator'!AF43</f>
        <v xml:space="preserve">   -MAS Core</v>
      </c>
      <c r="B10" s="327">
        <f>IF(B6=0,0,IF($B$4="Xsmall/Min",'V7 Calculator'!$AF$45,IF($B$4="Small",'V7 Calculator'!$AF$46,IF($B$4="Medium",'V7 Calculator'!$AF$47,IF($B$4="Large",'V7 Calculator'!$AF$48,'V7 Calculator'!$AF$49)))))</f>
        <v>0</v>
      </c>
      <c r="C10" s="328">
        <f>IF(B10&gt;0,0,IF(C6=0,0,IF(C$4="Xsmall/Min",'V7 Calculator'!$AF$51,IF(C$4="Small",'V7 Calculator'!$AF$52,IF(C$4="Medium",'V7 Calculator'!$AF$53,IF(C$4="Large",'V7 Calculator'!$AF$54,'V7 Calculator'!$AF$55))))))</f>
        <v>0</v>
      </c>
      <c r="D10" s="329">
        <f>IF(OR(B10&gt;0,C10&gt;0),0,IF(D6=0,0,IF(D$4="Xsmall/Min",'V7 Calculator'!$AF$57,IF(D$4="Small",'V7 Calculator'!$AF$58,IF(D$4="Medium",'V7 Calculator'!$AF$59,IF(D$4="Large",'V7 Calculator'!$AF$60,'V7 Calculator'!$AF$61))))))</f>
        <v>0</v>
      </c>
      <c r="E10" s="330">
        <f>IF(OR(B10&gt;0,C10&gt;0,D10&gt;0),0,IF(E6=0,0,IF(E$4="Xsmall/Min",'V7 Calculator'!$AF$63,IF(E$4="Small",'V7 Calculator'!$AF$64,IF(E$4="Medium",'V7 Calculator'!$AF$65,IF(E$4="Large",'V7 Calculator'!$AF$66,'V7 Calculator'!$AF$67))))))</f>
        <v>0</v>
      </c>
      <c r="F10" s="330">
        <f>IF(OR(B10&gt;0,C10&gt;0,D10&gt;0,E10&gt;0),0,IF(F6=0,0,IF(F$4="Xsmall/Min",'V7 Calculator'!$AF$69,IF(F$4="Small",'V7 Calculator'!$AF$70,IF(F$4="Medium",'V7 Calculator'!$AF$71,IF(F$4="Large",'V7 Calculator'!$AF$72,'V7 Calculator'!$AF$73))))))</f>
        <v>0</v>
      </c>
      <c r="G10" s="330">
        <f>IF(OR(B10&gt;0,C10&gt;0,D10&gt;0,E10&gt;0,F10&gt;0),0,IF(G6=0,0,IF(G$4="Xsmall/Min",'V7 Calculator'!$AF$75,IF(G$4="Small",'V7 Calculator'!$AF$76,IF(G$4="Medium",'V7 Calculator'!$AF$77,IF(G$4="Large",'V7 Calculator'!$AF$78,'V7 Calculator'!$AF$79))))))</f>
        <v>0</v>
      </c>
      <c r="H10" s="495">
        <f>IF(OR(B10&gt;0,C10&gt;0,D10&gt;0,E10&gt;0,F10&gt;0,G10&gt;0),0,IF(H6=0,0,IF(H$4="Xsmall/Min",'V7 Calculator'!$AF$81,IF(H$4="Small",'V7 Calculator'!$AF$82,IF(H$4="Medium",'V7 Calculator'!$AF$83,IF(H$4="Large",'V7 Calculator'!$AF$84,'V7 Calculator'!$AF$85))))))</f>
        <v>0</v>
      </c>
      <c r="I10" s="332">
        <f t="shared" si="1"/>
        <v>0</v>
      </c>
    </row>
    <row r="11" spans="1:9" ht="17" thickBot="1" x14ac:dyDescent="0.25">
      <c r="A11" s="352" t="str">
        <f>"   -"&amp;'V7 Calculator'!AG$43</f>
        <v xml:space="preserve">   -MongoDB</v>
      </c>
      <c r="B11" s="333">
        <f>IF(B6=0,0,IF($B$4="Xsmall/Min",'V7 Calculator'!$AG$45,IF($B$4="Small",'V7 Calculator'!$AG$46,IF($B$4="Medium",'V7 Calculator'!$AG$47,IF($B$4="Large",'V7 Calculator'!$AG$48,'V7 Calculator'!$AG$49)))))</f>
        <v>0</v>
      </c>
      <c r="C11" s="334">
        <f>IF(B11&gt;0,0,IF(C6=0,0,IF(C$4="Xsmall/Min",'V7 Calculator'!$AG$51,IF(C$4="Small",'V7 Calculator'!$AG$52,IF(C$4="Medium",'V7 Calculator'!$AG$53,IF(C$4="Large",'V7 Calculator'!$AG$54,'V7 Calculator'!$AG$55))))))</f>
        <v>0</v>
      </c>
      <c r="D11" s="335">
        <f>IF(OR(B10&gt;0,C10&gt;0),0,IF(D6=0,0,IF(D$4="Xsmall/Min",'V7 Calculator'!$AG$57,IF(D$4="Small",'V7 Calculator'!$AG$58,IF(D$4="Medium",'V7 Calculator'!$AG$59,IF(D$4="Large",'V7 Calculator'!$AG$60,'V7 Calculator'!$AG$61))))))</f>
        <v>0</v>
      </c>
      <c r="E11" s="336">
        <f>IF(OR(B11&gt;0,C11&gt;0,D11&gt;0),0,IF(E6=0,0,IF(E$4="Xsmall/Min",'V7 Calculator'!$AG$63,IF(E$4="Small",'V7 Calculator'!$AG$64,IF(E$4="Medium",'V7 Calculator'!$AG$65,IF(E$4="Large",'V7 Calculator'!$AG$66,'V7 Calculator'!$AG$67))))))</f>
        <v>0</v>
      </c>
      <c r="F11" s="336">
        <f>IF(OR(B11&gt;0,C11&gt;0,D11&gt;0,E11&gt;0),0,IF(F6=0,0,IF(F$4="Xsmall/Min",'V7 Calculator'!$AG$69,IF(F$4="Small",'V7 Calculator'!$AG$70,IF(F$4="Medium",'V7 Calculator'!$AG$71,IF(F$4="Large",'V7 Calculator'!$AG$72,'V7 Calculator'!$AG$73))))))</f>
        <v>0</v>
      </c>
      <c r="G11" s="336">
        <f>IF(OR(B11&gt;0,C11&gt;0,D11&gt;0,E11&gt;0,F11&gt;0),0,IF(G6=0,0,IF(G$4="Xsmall/Min",'V7 Calculator'!$AG$75,IF(G$4="Small",'V7 Calculator'!$AG$76,IF(G$4="Medium",'V7 Calculator'!$AG$77,IF(G$4="Large",'V7 Calculator'!$AG$78,'V7 Calculator'!$AG$79))))))</f>
        <v>0</v>
      </c>
      <c r="H11" s="496">
        <f>IF(OR(B11&gt;0,C11&gt;0,D11&gt;0,E11&gt;0,F11&gt;0,G11&gt;0),0,IF(H6=0,0,IF(H$4="Xsmall/Min",'V7 Calculator'!$AG$81,IF(H$4="Small",'V7 Calculator'!$AG$82,IF(H$4="Medium",'V7 Calculator'!$AG$83,IF(H$4="Large",'V7 Calculator'!$AG$84,'V7 Calculator'!$AG$85))))))</f>
        <v>0</v>
      </c>
      <c r="I11" s="332">
        <f t="shared" si="1"/>
        <v>0</v>
      </c>
    </row>
    <row r="12" spans="1:9" x14ac:dyDescent="0.2">
      <c r="A12" s="478" t="s">
        <v>232</v>
      </c>
      <c r="B12" s="343">
        <f>IF(B6=0,0,IF(B$4="Xsmall/Min",'V7 Calculator'!$AK$45,IF(B$4="Small",'V7 Calculator'!$AK$46,IF(B$4="Medium",'V7 Calculator'!$AK$47,IF(B$4="Large",'V7 Calculator'!$AK$48,'V7 Calculator'!$AK49)))))</f>
        <v>0</v>
      </c>
      <c r="C12" s="343">
        <f>IF(C6=0,0,IF(C$4="Xsmall/Min",'V7 Calculator'!$AK$51,IF(C$4="Small",'V7 Calculator'!$AK$52,IF(C$4="Medium",'V7 Calculator'!$AK$53,IF(C$4="Large",'V7 Calculator'!$AK$54,'V7 Calculator'!$AK55)))))</f>
        <v>0</v>
      </c>
      <c r="D12" s="343">
        <f>IF(D6=0,0,IF(D$4="Xsmall/Min",'V7 Calculator'!$AK$57,IF(D$4="Small",'V7 Calculator'!$AK$58,IF(D$4="Medium",'V7 Calculator'!$AK$59,IF(D$4="Large",'V7 Calculator'!$AK$60,'V7 Calculator'!$AK61)))))</f>
        <v>0</v>
      </c>
      <c r="E12" s="343">
        <f>IF(E6=0,0,IF(E$4="Xsmall/Min",'V7 Calculator'!$AK$63,IF(E$4="Small",'V7 Calculator'!$AK$64,IF(E$4="Medium",'V7 Calculator'!$AK$65,IF(E$4="Large",'V7 Calculator'!$AK$66,'V7 Calculator'!$AK67)))))</f>
        <v>0</v>
      </c>
      <c r="F12" s="343">
        <f>IF(F6=0,0,IF(F$4="Xsmall/Min",'V7 Calculator'!$AK$69,IF(F$4="Small",'V7 Calculator'!$AK$70,IF(F$4="Medium",'V7 Calculator'!$AK$71,IF(F$4="Large",'V7 Calculator'!$AK$72,'V7 Calculator'!$AK73)))))</f>
        <v>0</v>
      </c>
      <c r="G12" s="343">
        <f>IF(G6=0,0,IF(G$4="Xsmall/Min",'V7 Calculator'!$AK$75,IF(G$4="Small",'V7 Calculator'!$AK$76,IF(G$4="Medium",'V7 Calculator'!$AK$77,IF(G$4="Large",'V7 Calculator'!$AK$78,'V7 Calculator'!$AK79)))))</f>
        <v>0</v>
      </c>
      <c r="H12" s="343">
        <f>IF(H6=0,0,IF(H$4="Xsmall/Min",'V7 Calculator'!$AK$81,IF(H$4="Small",'V7 Calculator'!$AK$82,IF(H$4="Medium",'V7 Calculator'!$AK$83,IF(H$4="Large",'V7 Calculator'!$AK$84,'V7 Calculator'!$AK85)))))</f>
        <v>0</v>
      </c>
      <c r="I12" s="477">
        <f t="shared" si="1"/>
        <v>0</v>
      </c>
    </row>
    <row r="13" spans="1:9" x14ac:dyDescent="0.2">
      <c r="A13" s="479" t="str">
        <f>'V7 Calculator'!AE$42&amp;" "&amp;'V7 Calculator'!AE$43</f>
        <v>DB2 Warehouse</v>
      </c>
      <c r="B13" s="340">
        <f>IF(OR(B6=0,'V7 Calculator'!$E$15="Y"),0,IF($B$4="Xsmall/Min",'V7 Calculator'!$AE$45,IF($B$4="Small",'V7 Calculator'!$AE$46,IF($B$4="Medium",'V7 Calculator'!$AE$47,IF($B$4="Large",'V7 Calculator'!$AE$48,'V7 Calculator'!$AE49)))))</f>
        <v>0</v>
      </c>
      <c r="C13" s="341">
        <f>IF(OR(C6=0,'V7 Calculator'!$E$15="Y"),0,IF(C$4="Xsmall/Min",'V7 Calculator'!$AE$51,IF(C$4="Small",'V7 Calculator'!$AE$52,IF(C$4="Medium",'V7 Calculator'!$AE$53,IF(C$4="Large",'V7 Calculator'!$AE$54,'V7 Calculator'!$AE55)))))</f>
        <v>0</v>
      </c>
      <c r="D13" s="342">
        <f>IF(OR('V7 Calculator'!E16="W/Manage",'V7 Calculator'!E16="W/Monitor",'V7 Calculator'!$E$15="Y"),0,IF(D6=0,0,IF(D$4="Xsmall/Min",'V7 Calculator'!$AE$57,IF(D$4="Small",'V7 Calculator'!$AE$58,IF(D$4="Medium",'V7 Calculator'!$AE$59,IF(D$4="Large",'V7 Calculator'!$AE$60,'V7 Calculator'!$AE61))))))</f>
        <v>0</v>
      </c>
      <c r="E13" s="343">
        <f>IF(E6=0,0,IF(E$4="Xsmall/Min",'V7 Calculator'!$AE$63,IF(E$4="Small",'V7 Calculator'!$AE$64,IF(E$4="Medium",'V7 Calculator'!$AE$65,IF(E$4="Large",'V7 Calculator'!$AE$66,'V7 Calculator'!$AE67)))))</f>
        <v>0</v>
      </c>
      <c r="F13" s="343">
        <f>IF(F6=0,0,IF(F$4="Xsmall/Min",'V7 Calculator'!$AE$69,IF(F$4="Small",'V7 Calculator'!$AE$70,IF(F$4="Medium",'V7 Calculator'!$AE$71,IF(F$4="Large",'V7 Calculator'!$AE$72,'V7 Calculator'!$AE73)))))</f>
        <v>0</v>
      </c>
      <c r="G13" s="343">
        <f>IF(G6=0,0,IF(G$4="Xsmall/Min",'V7 Calculator'!$AE$75,IF(G$4="Small",'V7 Calculator'!$AE$76,IF(G$4="Medium",'V7 Calculator'!$AE$77,IF(G$4="Large",'V7 Calculator'!$AE$78,'V7 Calculator'!$AE79)))))</f>
        <v>0</v>
      </c>
      <c r="H13" s="343">
        <f>IF(H6=0,0,IF(H$4="Xsmall/Min",'V7 Calculator'!$AE$81,IF(H$4="Small",'V7 Calculator'!$AE$82,IF(H$4="Medium",'V7 Calculator'!$AE$83,IF(H$4="Large",'V7 Calculator'!$AE$84,'V7 Calculator'!$AE85)))))</f>
        <v>0</v>
      </c>
      <c r="I13" s="345">
        <f t="shared" si="1"/>
        <v>0</v>
      </c>
    </row>
    <row r="14" spans="1:9" x14ac:dyDescent="0.2">
      <c r="A14" s="479" t="str">
        <f>'V7 Calculator'!AH$42&amp;" "&amp;'V7 Calculator'!AH$43</f>
        <v>Watson Studio</v>
      </c>
      <c r="B14" s="340">
        <f>IF(B6=0,0,IF($B$4="Xsmall/Min",'V7 Calculator'!$AH$45,IF($B$4="Small",'V7 Calculator'!$AH$46,IF($B$4="Medium",'V7 Calculator'!$AH$47,IF($B$4="Large",'V7 Calculator'!$AH$48,'V7 Calculator'!$AH$49)))))</f>
        <v>0</v>
      </c>
      <c r="C14" s="341">
        <f>IF(C6=0,0,IF(C$4="Xsmall/Min",'V7 Calculator'!$AH$51,IF(C$4="Small",'V7 Calculator'!$AH$52,IF(C$4="Medium",'V7 Calculator'!$AH$53,IF(C$4="Large",'V7 Calculator'!$AH$54,'V7 Calculator'!$AH$55)))))</f>
        <v>0</v>
      </c>
      <c r="D14" s="342">
        <f>IF(D6=0,0,IF(D$4="Xsmall/Min",'V7 Calculator'!$AH$57,IF(D$4="Small",'V7 Calculator'!$AH$58,IF(D$4="Medium",'V7 Calculator'!$AH$59,IF(D$4="Large",'V7 Calculator'!$AH$60,'V7 Calculator'!$AH$61)))))</f>
        <v>0</v>
      </c>
      <c r="E14" s="343">
        <f>IF(E6=0,0,IF(E$4="Xsmall/Min",'V7 Calculator'!$AH$63,IF(E$4="Small",'V7 Calculator'!$AH$64,IF(E$4="Medium",'V7 Calculator'!$AH$65,IF(E$4="Large",'V7 Calculator'!$AH$66,'V7 Calculator'!$AH$67)))))</f>
        <v>0</v>
      </c>
      <c r="F14" s="343">
        <f>IF(F6=0,0,IF(F$4="Xsmall/Min",'V7 Calculator'!$AH$69,IF(F$4="Small",'V7 Calculator'!$AH$70,IF(F$4="Medium",'V7 Calculator'!$AH$71,IF(F$4="Large",'V7 Calculator'!$AH$72,'V7 Calculator'!$AH$73)))))</f>
        <v>0</v>
      </c>
      <c r="G14" s="343">
        <f>IF(G6=0,0,IF(G$4="Xsmall/Min",'V7 Calculator'!$AH$75,IF(G$4="Small",'V7 Calculator'!$AH$76,IF(G$4="Medium",'V7 Calculator'!$AH$77,IF(G$4="Large",'V7 Calculator'!$AH$78,'V7 Calculator'!$AH$79)))))</f>
        <v>0</v>
      </c>
      <c r="H14" s="343">
        <f>IF(H6=0,0,IF(H$4="Xsmall/Min",'V7 Calculator'!$AH$81,IF(H$4="Small",'V7 Calculator'!$AH$82,IF(H$4="Medium",'V7 Calculator'!$AH$83,IF(H$4="Large",'V7 Calculator'!$AH$84,'V7 Calculator'!$AH$85)))))</f>
        <v>0</v>
      </c>
      <c r="I14" s="345">
        <f t="shared" si="1"/>
        <v>0</v>
      </c>
    </row>
    <row r="15" spans="1:9" x14ac:dyDescent="0.2">
      <c r="A15" s="479" t="str">
        <f>'V7 Calculator'!AI$42&amp;" "&amp;'V7 Calculator'!AI$43</f>
        <v>Watson ML</v>
      </c>
      <c r="B15" s="340">
        <f>IF(B6=0,0,IF($B$4="Xsmall/Min",'V7 Calculator'!$AI$45,IF($B$4="Small",'V7 Calculator'!$AI$46,IF($B$4="Medium",'V7 Calculator'!$AI$47,IF($B$4="Large",'V7 Calculator'!$AI$48,'V7 Calculator'!$AI$49)))))</f>
        <v>0</v>
      </c>
      <c r="C15" s="341">
        <f>IF(C6=0,0,IF(C$4="Xsmall/Min",'V7 Calculator'!$AI$51,IF(C$4="Small",'V7 Calculator'!$AI$52,IF(C$4="Medium",'V7 Calculator'!$AI$53,IF(C$4="Large",'V7 Calculator'!$AI$54,'V7 Calculator'!$AI$55)))))</f>
        <v>0</v>
      </c>
      <c r="D15" s="342">
        <f>IF(D6=0,0,IF(D$4="Xsmall/Min",'V7 Calculator'!$AI$57,IF(D$4="Small",'V7 Calculator'!$AI$58,IF(D$4="Medium",'V7 Calculator'!$AI$59,IF(D$4="Large",'V7 Calculator'!$AI$60,'V7 Calculator'!$AI$61)))))</f>
        <v>0</v>
      </c>
      <c r="E15" s="343">
        <f>IF(E6=0,0,IF(E$4="Xsmall/Min",'V7 Calculator'!$AI$63,IF(E$4="Small",'V7 Calculator'!$AI$64,IF(E$4="Medium",'V7 Calculator'!$AI$65,IF(E$4="Large",'V7 Calculator'!$AI$66,'V7 Calculator'!$AI$67)))))</f>
        <v>0</v>
      </c>
      <c r="F15" s="343">
        <f>IF(F6=0,0,IF(F$4="Xsmall/Min",'V7 Calculator'!$AI$69,IF(F$4="Small",'V7 Calculator'!$AI$70,IF(F$4="Medium",'V7 Calculator'!$AI$71,IF(F$4="Large",'V7 Calculator'!$AI$72,'V7 Calculator'!$AI$73)))))</f>
        <v>0</v>
      </c>
      <c r="G15" s="343">
        <f>IF(G6=0,0,IF(G$4="Xsmall/Min",'V7 Calculator'!$AI$75,IF(G$4="Small",'V7 Calculator'!$AI$76,IF(G$4="Medium",'V7 Calculator'!$AI$77,IF(G$4="Large",'V7 Calculator'!$AI$78,'V7 Calculator'!$AI$79)))))</f>
        <v>0</v>
      </c>
      <c r="H15" s="343">
        <f>IF(H6=0,0,IF(H$4="Xsmall/Min",'V7 Calculator'!$AI$81,IF(H$4="Small",'V7 Calculator'!$AI$82,IF(H$4="Medium",'V7 Calculator'!$AI$83,IF(H$4="Large",'V7 Calculator'!$AI$84,'V7 Calculator'!$AI$85)))))</f>
        <v>0</v>
      </c>
      <c r="I15" s="345">
        <f t="shared" si="1"/>
        <v>0</v>
      </c>
    </row>
    <row r="16" spans="1:9" x14ac:dyDescent="0.2">
      <c r="A16" s="479" t="s">
        <v>234</v>
      </c>
      <c r="B16" s="343">
        <f>IF(B6=0,0,IF(B$4="Xsmall/Min",'V7 Calculator'!$AL$45,IF(B$4="Small",'V7 Calculator'!$AL$46,IF(B$4="Medium",'V7 Calculator'!$AL$47,IF(B$4="Large",'V7 Calculator'!$AL$48,'V7 Calculator'!$AL$49)))))</f>
        <v>0</v>
      </c>
      <c r="C16" s="343">
        <f>IF(C6=0,0,IF(C$4="Xsmall/Min",'V7 Calculator'!$AL$51,IF(C$4="Small",'V7 Calculator'!$AL$52,IF(C$4="Medium",'V7 Calculator'!$AL$53,IF(C$4="Large",'V7 Calculator'!$AL$54,'V7 Calculator'!$AL$55)))))</f>
        <v>0</v>
      </c>
      <c r="D16" s="343">
        <f>IF(D6=0,0,IF(D$4="Xsmall/Min",'V7 Calculator'!$AL$57,IF(D$4="Small",'V7 Calculator'!$AL$58,IF(D$4="Medium",'V7 Calculator'!$AL$59,IF(D$4="Large",'V7 Calculator'!$AL$60,'V7 Calculator'!$AL$61)))))</f>
        <v>0</v>
      </c>
      <c r="E16" s="343">
        <f>IF(E6=0,0,IF(E$4="Xsmall/Min",'V7 Calculator'!$AL$63,IF(E$4="Small",'V7 Calculator'!$AL$64,IF(E$4="Medium",'V7 Calculator'!$AL$65,IF(E$4="Large",'V7 Calculator'!$AL$66,'V7 Calculator'!$AL$67)))))</f>
        <v>0</v>
      </c>
      <c r="F16" s="343">
        <f>IF(F6=0,0,IF(F$4="Xsmall/Min",'V7 Calculator'!$AL$69,IF(F$4="Small",'V7 Calculator'!$AL$70,IF(F$4="Medium",'V7 Calculator'!$AL$71,IF(F$4="Large",'V7 Calculator'!$AL$72,'V7 Calculator'!$AL$73)))))</f>
        <v>0</v>
      </c>
      <c r="G16" s="343">
        <f>IF(G6=0,0,IF(G$4="Xsmall/Min",'V7 Calculator'!$AL$75,IF(G$4="Small",'V7 Calculator'!$AL$76,IF(G$4="Medium",'V7 Calculator'!$AL$77,IF(G$4="Large",'V7 Calculator'!$AL$78,'V7 Calculator'!$AL$79)))))</f>
        <v>0</v>
      </c>
      <c r="H16" s="343">
        <f>IF(H6=0,0,IF(H$4="Xsmall/Min",'V7 Calculator'!$AL$81,IF(H$4="Small",'V7 Calculator'!$AL$82,IF(H$4="Medium",'V7 Calculator'!$AL$83,IF(H$4="Large",'V7 Calculator'!$AL$84,'V7 Calculator'!$AL$85)))))</f>
        <v>0</v>
      </c>
      <c r="I16" s="345">
        <f t="shared" si="1"/>
        <v>0</v>
      </c>
    </row>
    <row r="17" spans="1:9" ht="17" thickBot="1" x14ac:dyDescent="0.25">
      <c r="A17" s="480" t="str">
        <f>'V7 Calculator'!AJ$42&amp;" "&amp;'V7 Calculator'!AJ$43</f>
        <v>Kafka Streaming</v>
      </c>
      <c r="B17" s="346">
        <f>IF(B6=0,0,IF($B$4="Xsmall/Min",'V7 Calculator'!$AJ$45,IF($B$4="Small",'V7 Calculator'!$AJ$46,IF($B$4="Medium",'V7 Calculator'!$AJ$47,IF($B$4="Large",'V7 Calculator'!$AJ$48,'V7 Calculator'!$AJ$49)))))</f>
        <v>0</v>
      </c>
      <c r="C17" s="347">
        <f>IF(C6=0,0,IF(C$4="Xsmall/Min",'V7 Calculator'!$AJ$51,IF(C$4="Small",'V7 Calculator'!$AJ$52,IF(C$4="Medium",'V7 Calculator'!$AJ$53,IF(C$4="Large",'V7 Calculator'!$AJ$54,'V7 Calculator'!$AJ$55)))))</f>
        <v>0</v>
      </c>
      <c r="D17" s="348">
        <f>IF(D6=0,0,IF(D$4="Xsmall/Min",'V7 Calculator'!$AJ$57,IF(D$4="Small",'V7 Calculator'!$AJ$58,IF(D$4="Medium",'V7 Calculator'!$AJ$59,IF(D$4="Large",'V7 Calculator'!$AJ$60,'V7 Calculator'!$AJ$61)))))</f>
        <v>0</v>
      </c>
      <c r="E17" s="349">
        <f>IF(E6=0,0,IF(E$4="Xsmall/Min",'V7 Calculator'!$AJ$63,IF(E$4="Small",'V7 Calculator'!$AJ$64,IF(E$4="Medium",'V7 Calculator'!$AJ$65,IF(E$4="Large",'V7 Calculator'!$AJ$66,'V7 Calculator'!$AJ$67)))))</f>
        <v>0</v>
      </c>
      <c r="F17" s="349">
        <f>IF(F6=0,0,IF(F$4="Xsmall/Min",'V7 Calculator'!$AJ$69,IF(F$4="Small",'V7 Calculator'!$AJ$70,IF(F$4="Medium",'V7 Calculator'!$AJ$71,IF(F$4="Large",'V7 Calculator'!$AJ$72,'V7 Calculator'!$AJ$73)))))</f>
        <v>0</v>
      </c>
      <c r="G17" s="349">
        <f>IF(G6=0,0,IF(G$4="Xsmall/Min",'V7 Calculator'!$AJ$75,IF(G$4="Small",'V7 Calculator'!$AJ$76,IF(G$4="Medium",'V7 Calculator'!$AJ$77,IF(G$4="Large",'V7 Calculator'!$AJ$78,'V7 Calculator'!$AJ$79)))))</f>
        <v>0</v>
      </c>
      <c r="H17" s="349">
        <f>IF(H6=0,0,IF(H$4="Xsmall/Min",'V7 Calculator'!$AJ$81,IF(H$4="Small",'V7 Calculator'!$AJ$82,IF(H$4="Medium",'V7 Calculator'!$AJ$83,IF(H$4="Large",'V7 Calculator'!$AJ$84,'V7 Calculator'!$AJ$85)))))</f>
        <v>0</v>
      </c>
      <c r="I17" s="351">
        <f t="shared" si="1"/>
        <v>0</v>
      </c>
    </row>
    <row r="18" spans="1:9" ht="17" thickBot="1" x14ac:dyDescent="0.25">
      <c r="A18" s="222" t="s">
        <v>177</v>
      </c>
      <c r="B18" s="324">
        <f>SUM(B6:B17)-B7</f>
        <v>0</v>
      </c>
      <c r="C18" s="322">
        <f t="shared" ref="C18:I18" si="2">SUM(C6:C17)-C7</f>
        <v>0</v>
      </c>
      <c r="D18" s="323">
        <f t="shared" si="2"/>
        <v>0</v>
      </c>
      <c r="E18" s="324">
        <f t="shared" si="2"/>
        <v>0</v>
      </c>
      <c r="F18" s="324">
        <f t="shared" si="2"/>
        <v>0</v>
      </c>
      <c r="G18" s="474">
        <f t="shared" si="2"/>
        <v>0</v>
      </c>
      <c r="H18" s="325">
        <f t="shared" si="2"/>
        <v>0</v>
      </c>
      <c r="I18" s="249">
        <f t="shared" si="2"/>
        <v>0</v>
      </c>
    </row>
    <row r="19" spans="1:9" ht="17" thickBot="1" x14ac:dyDescent="0.25"/>
    <row r="20" spans="1:9" ht="20" thickBot="1" x14ac:dyDescent="0.3">
      <c r="A20" s="226" t="s">
        <v>41</v>
      </c>
      <c r="B20" s="355" t="str">
        <f t="shared" ref="B20:I20" si="3">B5</f>
        <v>Manage</v>
      </c>
      <c r="C20" s="356" t="str">
        <f t="shared" si="3"/>
        <v>Monitor</v>
      </c>
      <c r="D20" s="356" t="str">
        <f t="shared" si="3"/>
        <v>Health</v>
      </c>
      <c r="E20" s="356" t="str">
        <f t="shared" si="3"/>
        <v>Predict</v>
      </c>
      <c r="F20" s="475" t="str">
        <f t="shared" si="3"/>
        <v>Visual Inspection</v>
      </c>
      <c r="G20" s="475" t="str">
        <f t="shared" si="3"/>
        <v>Assist</v>
      </c>
      <c r="H20" s="362" t="str">
        <f t="shared" si="3"/>
        <v>Safety</v>
      </c>
      <c r="I20" s="357" t="str">
        <f t="shared" si="3"/>
        <v>TOTALS</v>
      </c>
    </row>
    <row r="21" spans="1:9" ht="17" thickBot="1" x14ac:dyDescent="0.25">
      <c r="A21" s="358" t="str">
        <f t="shared" ref="A21:A26" si="4">A6</f>
        <v>Application</v>
      </c>
      <c r="B21" s="359">
        <f>'V7 Calculator'!O22</f>
        <v>0</v>
      </c>
      <c r="C21" s="324">
        <f>'V7 Calculator'!O23</f>
        <v>0</v>
      </c>
      <c r="D21" s="322">
        <f>'V7 Calculator'!O24</f>
        <v>0</v>
      </c>
      <c r="E21" s="324">
        <f>'V7 Calculator'!O25</f>
        <v>0</v>
      </c>
      <c r="F21" s="474">
        <f>'V7 Calculator'!O26</f>
        <v>0</v>
      </c>
      <c r="G21" s="324">
        <f>'V7 Calculator'!O27</f>
        <v>0</v>
      </c>
      <c r="H21" s="325">
        <f>'V7 Calculator'!O28</f>
        <v>0</v>
      </c>
      <c r="I21" s="326">
        <f>SUM(B21:H21)</f>
        <v>0</v>
      </c>
    </row>
    <row r="22" spans="1:9" ht="17" thickBot="1" x14ac:dyDescent="0.25">
      <c r="A22" s="358" t="str">
        <f t="shared" si="4"/>
        <v>MAS Base</v>
      </c>
      <c r="B22" s="321">
        <f>SUM(B23:B26)</f>
        <v>0</v>
      </c>
      <c r="C22" s="324">
        <f t="shared" ref="C22:H22" si="5">SUM(C23:C26)</f>
        <v>0</v>
      </c>
      <c r="D22" s="324">
        <f t="shared" si="5"/>
        <v>0</v>
      </c>
      <c r="E22" s="324">
        <f t="shared" si="5"/>
        <v>0</v>
      </c>
      <c r="F22" s="474">
        <f t="shared" si="5"/>
        <v>0</v>
      </c>
      <c r="G22" s="324">
        <f t="shared" si="5"/>
        <v>0</v>
      </c>
      <c r="H22" s="322">
        <f t="shared" si="5"/>
        <v>0</v>
      </c>
      <c r="I22" s="326">
        <f t="shared" ref="I22:I32" si="6">SUM(B22:H22)</f>
        <v>0</v>
      </c>
    </row>
    <row r="23" spans="1:9" x14ac:dyDescent="0.2">
      <c r="A23" s="352" t="str">
        <f t="shared" si="4"/>
        <v xml:space="preserve">   -OpenShift Worker</v>
      </c>
      <c r="B23" s="727">
        <f>IF(B4="",0,IF(B4="Xsmall/Min",'V7 Calculator'!AP$45-B27-B28-B29-B31-B32,IF(B4="Small",'V7 Calculator'!AP$46-B27-B28-B29-B31-B32,IF(B4="Medium",'V7 Calculator'!AP$47-B27-B28-B29-B31-B32,IF(B4="Large",'V7 Calculator'!AP$48-B27-B28-B29-B31-B32,'V7 Calculator'!AP49-B27-B28-B29-B31-B32)))))</f>
        <v>0</v>
      </c>
      <c r="C23" s="730">
        <f>IF(OR(C4="",B23&gt;0),0,IF(C4="Xsmall/Min",'V7 Calculator'!AP$51-C27-C28-C29-C31-C32,IF(C4="Small",'V7 Calculator'!AP$52-C27-C28-C29-C31-C32,IF(C4="Medium",'V7 Calculator'!AP$53-C27-C28-C29-C31-C32,IF(C4="Large",'V7 Calculator'!AP$54-C27-C28-C29-C31-C32,'V7 Calculator'!AP55-C27-C28-C29-C31-C32)))))</f>
        <v>0</v>
      </c>
      <c r="D23" s="733">
        <f>IF(OR(D4="",B23&gt;0,C23&gt;0),0,IF(D4="Xsmall/Min",'V7 Calculator'!AP$57-D27-D28-D29-D31-D32,IF(D4="Small",'V7 Calculator'!AP$58-D27-D28-D29-D31-D32,IF(D4="Medium",'V7 Calculator'!AP$59-D27-D28-D29-D31-D32,IF(D4="Large",'V7 Calculator'!AP$60-D27-D28-D29-D31-D32,'V7 Calculator'!AP61-D27-D28-D29-D31-D32)))))</f>
        <v>0</v>
      </c>
      <c r="E23" s="733">
        <f>IF(OR(E4="",B23&gt;0,C23&gt;0,D23&gt;0),0,IF(E4="Xsmall/Min",'V7 Calculator'!AP$63-E27-E28-E29-E31-E32,IF(E4="Small",'V7 Calculator'!AP$64-E27-E28-E29-E31-E32,IF(E4="Medium",'V7 Calculator'!AP$65-E27-E28-E29-E31-E32,IF(E4="Large",'V7 Calculator'!AP$66-E27-E28-E29-E31-E32,'V7 Calculator'!AP67-E27-E28-E29-E31-E32)))))</f>
        <v>0</v>
      </c>
      <c r="F23" s="730">
        <f>IF(OR(F4="",B23&gt;0,C23&gt;0,D23&gt;0,E23&gt;0),0,IF(F4="Xsmall/Min",'V7 Calculator'!AP$69-F27-F28-F29-F31-F32,IF(F4="Small",'V7 Calculator'!AP$70-F27-F28-F29-F31-F32,IF(F4="Medium",'V7 Calculator'!AP$71-F27-F28-F29-F31-F32,IF(F4="Large",'V7 Calculator'!AP$72-F27-F28-F29-F31-F32,'V7 Calculator'!AP$73-F27-F28-F29-F31-F32)))))</f>
        <v>0</v>
      </c>
      <c r="G23" s="730">
        <f>IF(OR(G4="",B23&gt;0,C23&gt;0,D23&gt;0,E23&gt;0,F23&gt;0),0,IF(G4="Xsmall/Min",'V7 Calculator'!AP$75-G27-G28-G29-G31-G32,IF(G4="Small",'V7 Calculator'!AP$76-G27-G28-G29-G31-G32,IF(G4="Medium",'V7 Calculator'!AP$77-G27-G28-G29-G31-G32,IF(G4="Large",'V7 Calculator'!AP$78-G27-G28-G29-G31-G32,'V7 Calculator'!AP$79-G27-G28-G29-G31-G32)))))</f>
        <v>0</v>
      </c>
      <c r="H23" s="742">
        <f>IF(OR(H4="",C23&gt;0,D23&gt;0,E23&gt;0,F23&gt;0,G23&gt;0),0,IF(H4="Xsmall/Min",'V7 Calculator'!AP$81-H27-H28-H29-H31-H32,IF(H4="Small",'V7 Calculator'!AP$82-H27-H28-H29-H31-H32,IF(H4="Medium",'V7 Calculator'!AP$83-H27-H28-H29-H31-H32,IF(H4="Large",'V7 Calculator'!AP$84-H27-H28-H29-H31-H32,'V7 Calculator'!AP$85-H27-H28-H29-H31-H32)))))</f>
        <v>0</v>
      </c>
      <c r="I23" s="736">
        <f t="shared" si="6"/>
        <v>0</v>
      </c>
    </row>
    <row r="24" spans="1:9" x14ac:dyDescent="0.2">
      <c r="A24" s="352" t="str">
        <f t="shared" si="4"/>
        <v xml:space="preserve">   -ICP4D Base</v>
      </c>
      <c r="B24" s="728"/>
      <c r="C24" s="731"/>
      <c r="D24" s="734"/>
      <c r="E24" s="734"/>
      <c r="F24" s="731"/>
      <c r="G24" s="731"/>
      <c r="H24" s="743"/>
      <c r="I24" s="737">
        <f t="shared" si="6"/>
        <v>0</v>
      </c>
    </row>
    <row r="25" spans="1:9" x14ac:dyDescent="0.2">
      <c r="A25" s="352" t="str">
        <f t="shared" si="4"/>
        <v xml:space="preserve">   -MAS Core</v>
      </c>
      <c r="B25" s="728"/>
      <c r="C25" s="731"/>
      <c r="D25" s="734"/>
      <c r="E25" s="734"/>
      <c r="F25" s="731"/>
      <c r="G25" s="731"/>
      <c r="H25" s="743"/>
      <c r="I25" s="737">
        <f t="shared" si="6"/>
        <v>0</v>
      </c>
    </row>
    <row r="26" spans="1:9" ht="17" thickBot="1" x14ac:dyDescent="0.25">
      <c r="A26" s="352" t="str">
        <f t="shared" si="4"/>
        <v xml:space="preserve">   -MongoDB</v>
      </c>
      <c r="B26" s="729"/>
      <c r="C26" s="732"/>
      <c r="D26" s="735"/>
      <c r="E26" s="735"/>
      <c r="F26" s="732"/>
      <c r="G26" s="732"/>
      <c r="H26" s="744"/>
      <c r="I26" s="737">
        <f t="shared" si="6"/>
        <v>0</v>
      </c>
    </row>
    <row r="27" spans="1:9" x14ac:dyDescent="0.2">
      <c r="A27" s="354" t="s">
        <v>232</v>
      </c>
      <c r="B27" s="337">
        <f>IF($B$4="",0,IF($B$4="Xsmall/Min",'V7 Calculator'!$AV$45,IF($B$4="Small",'V7 Calculator'!$AV$46,IF($B$4="Medium",'V7 Calculator'!$AV$47,IF($B$4="Large",'V7 Calculator'!$AV$48,'V7 Calculator'!$AV$49)))))</f>
        <v>0</v>
      </c>
      <c r="C27" s="338">
        <f>IF($C$4="",0,IF($C$4="Xsmall/Min",'V7 Calculator'!$AV$51,IF($C$4="Small",'V7 Calculator'!$AV$52,IF($C$4="Medium",'V7 Calculator'!$AV$53,IF($C$4="Large",'V7 Calculator'!$AV$54,'V7 Calculator'!$AV$55)))))</f>
        <v>0</v>
      </c>
      <c r="D27" s="338">
        <f>IF($D$4="",0,IF($D$4="Xsmall/Min",'V7 Calculator'!$AV$57,IF($D$4="Small",'V7 Calculator'!$AV$58,IF($D$4="Medium",'V7 Calculator'!$AV$59,IF($D$4="Large",'V7 Calculator'!$AV$60,'V7 Calculator'!$AV$61)))))</f>
        <v>0</v>
      </c>
      <c r="E27" s="338">
        <f>IF($E$4="",0,IF($E$4="Xsmall/Min",'V7 Calculator'!$AV$63,IF($E$4="Small",'V7 Calculator'!$AV$64,IF($E$4="Medium",'V7 Calculator'!$AV$65,IF($E$4="Large",'V7 Calculator'!$AV$66,'V7 Calculator'!$AV$67)))))</f>
        <v>0</v>
      </c>
      <c r="F27" s="338">
        <f>IF($F$4="",0,IF($F$4="Xsmall/Min",'V7 Calculator'!$AV$69,IF($F$4="Small",'V7 Calculator'!$AV$70,IF($F$4="Medium",'V7 Calculator'!$AV$71,IF($F$4="Large",'V7 Calculator'!$AV$72,'V7 Calculator'!$AV$73)))))</f>
        <v>0</v>
      </c>
      <c r="G27" s="338">
        <f>IF($G$4="",0,IF($G$4="Xsmall/Min",'V7 Calculator'!$AV$75,IF($G$4="Small",'V7 Calculator'!$AV$76,IF($G$4="Medium",'V7 Calculator'!$AV$77,IF($G$4="Large",'V7 Calculator'!$AV$78,'V7 Calculator'!$AV$79)))))</f>
        <v>0</v>
      </c>
      <c r="H27" s="339">
        <f>IF($H$4="",0,IF($H$4="Xsmall/Min",'V7 Calculator'!$AV$81,IF($H$4="Small",'V7 Calculator'!$AV$82,IF($H$4="Medium",'V7 Calculator'!$AV$83,IF($H$4="Large",'V7 Calculator'!$AV$84,'V7 Calculator'!$AV$85)))))</f>
        <v>0</v>
      </c>
      <c r="I27" s="339">
        <f t="shared" si="6"/>
        <v>0</v>
      </c>
    </row>
    <row r="28" spans="1:9" x14ac:dyDescent="0.2">
      <c r="A28" s="352" t="str">
        <f>A13</f>
        <v>DB2 Warehouse</v>
      </c>
      <c r="B28" s="340">
        <f>IF(OR(B4="",'V7 Calculator'!$E$15="Y"),0,IF($B$4="Xsmall/Min",'V7 Calculator'!$AQ$45,IF($B$4="Small",'V7 Calculator'!$AQ$46,IF($B$4="Medium",'V7 Calculator'!$AQ$47,IF($B$4="Large",'V7 Calculator'!$AQ$48,'V7 Calculator'!$AQ$49)))))</f>
        <v>0</v>
      </c>
      <c r="C28" s="343">
        <f>IF(OR(C4="",'V7 Calculator'!$E$15="Y"),0,IF($C$4="Xsmall/Min",'V7 Calculator'!$AQ$51,IF($C$4="Small",'V7 Calculator'!$AQ$52,IF($C$4="Medium",'V7 Calculator'!$AQ$53,IF($C$4="Large",'V7 Calculator'!$AQ$54,'V7 Calculator'!$AQ$55)))))</f>
        <v>0</v>
      </c>
      <c r="D28" s="343">
        <f>IF(OR($D$4="",'V7 Calculator'!E16="W/Manage",'V7 Calculator'!E16="W/Monitor",'V7 Calculator'!$E$15="Y"),0,IF($D$4="Xsmall/Min",'V7 Calculator'!$AQ$57,IF($D$4="Small",'V7 Calculator'!$AQ$58,IF($D$4="Medium",'V7 Calculator'!$AQ$59,IF($D$4="Large",'V7 Calculator'!$AQ$60,'V7 Calculator'!$AQ$61)))))</f>
        <v>0</v>
      </c>
      <c r="E28" s="343">
        <f>IF(E4="",0,IF($E$4="Xsmall/Min",'V7 Calculator'!$AQ$63,IF($E$4="Small",'V7 Calculator'!$AQ$64,IF($E$4="Medium",'V7 Calculator'!$AQ$65,IF($E$4="Large",'V7 Calculator'!$AQ$66,'V7 Calculator'!$AQ$67)))))</f>
        <v>0</v>
      </c>
      <c r="F28" s="343">
        <f>IF(F4="",0,IF($F$4="Xsmall/Min",'V7 Calculator'!$AQ$69,IF($F$4="Small",'V7 Calculator'!$AQ$70,IF($F$4="Medium",'V7 Calculator'!$AQ$71,IF($F$4="Large",'V7 Calculator'!$AQ$72,'V7 Calculator'!$AQ$73)))))</f>
        <v>0</v>
      </c>
      <c r="G28" s="343">
        <f>IF($G$4="",0,IF($G$4="Xsmall/Min",'V7 Calculator'!$AQ$75,IF($G$4="Small",'V7 Calculator'!$AQ$76,IF($G$4="Medium",'V7 Calculator'!$AQ$77,IF($G$4="Large",'V7 Calculator'!$AQ$78,'V7 Calculator'!$AQ$79)))))</f>
        <v>0</v>
      </c>
      <c r="H28" s="344">
        <f>IF($H$4="",0,IF($H$4="Xsmall/Min",'V7 Calculator'!$AQ$81,IF($H$4="Small",'V7 Calculator'!$AQ$82,IF($H$4="Medium",'V7 Calculator'!$AQ$83,IF($H$4="Large",'V7 Calculator'!$AQ$84,'V7 Calculator'!$AQ$85)))))</f>
        <v>0</v>
      </c>
      <c r="I28" s="344">
        <f t="shared" si="6"/>
        <v>0</v>
      </c>
    </row>
    <row r="29" spans="1:9" x14ac:dyDescent="0.2">
      <c r="A29" s="352" t="str">
        <f>A14</f>
        <v>Watson Studio</v>
      </c>
      <c r="B29" s="738">
        <f>IF(B4="",0,IF($B$4="Xsmall/Min",'V7 Calculator'!$AS$45,IF($B$4="Small",'V7 Calculator'!$AS$46,IF($B$4="Medium",'V7 Calculator'!$AS$47,IF($B$4="Large",'V7 Calculator'!$AS$48,'V7 Calculator'!$AS$49)))))</f>
        <v>0</v>
      </c>
      <c r="C29" s="740">
        <f>IF(C4="",0,IF($C$4="Xsmall/Min",'V7 Calculator'!$AS$51,IF($C$4="Small",'V7 Calculator'!$AS$52,IF($C$4="Medium",'V7 Calculator'!$AS$53,IF($C$4="Large",'V7 Calculator'!$AS$54,'V7 Calculator'!$AS$55)))))</f>
        <v>0</v>
      </c>
      <c r="D29" s="740">
        <f>IF(D4="",0,IF($D$4="Xsmall/Min",'V7 Calculator'!$AS$57,IF($D$4="Small",'V7 Calculator'!$AS$58,IF($D$4="Medium",'V7 Calculator'!$AS$59,IF($D$4="Large",'V7 Calculator'!$AS$60,'V7 Calculator'!$AS$61)))))</f>
        <v>0</v>
      </c>
      <c r="E29" s="740">
        <f>IF(E4="",0,IF($E$4="Xsmall/Min",'V7 Calculator'!$AS$63,IF($E$4="Small",'V7 Calculator'!$AS$64,IF($E$4="Medium",'V7 Calculator'!$AS$65,IF($E$4="Large",'V7 Calculator'!$AS$66,'V7 Calculator'!$AS$67)))))</f>
        <v>0</v>
      </c>
      <c r="F29" s="740">
        <f>IF(F4="",0,IF($F$4="Xsmall/Min",'V7 Calculator'!$AS$69,IF($F$4="Small",'V7 Calculator'!$AS$70,IF($F$4="Medium",'V7 Calculator'!$AS$71,IF($F$4="Large",'V7 Calculator'!$AS$72,'V7 Calculator'!$AS$73)))))</f>
        <v>0</v>
      </c>
      <c r="G29" s="740">
        <f>IF($G$4="",0,IF($G$4="Xsmall/Min",'V7 Calculator'!$AS$75,IF($G$4="Small",'V7 Calculator'!$AS$76,IF($G$4="Medium",'V7 Calculator'!$AS$77,IF($G$4="Large",'V7 Calculator'!$AS$78,'V7 Calculator'!$AS$79)))))</f>
        <v>0</v>
      </c>
      <c r="H29" s="719">
        <f>IF($H$4="",0,IF($H$4="Xsmall/Min",'V7 Calculator'!$AS$81,IF($H$4="Small",'V7 Calculator'!$AS$82,IF($H$4="Medium",'V7 Calculator'!$AS$83,IF($H$4="Large",'V7 Calculator'!$AS$84,'V7 Calculator'!$AS$85)))))</f>
        <v>0</v>
      </c>
      <c r="I29" s="719">
        <f t="shared" si="6"/>
        <v>0</v>
      </c>
    </row>
    <row r="30" spans="1:9" x14ac:dyDescent="0.2">
      <c r="A30" s="352" t="str">
        <f>A15</f>
        <v>Watson ML</v>
      </c>
      <c r="B30" s="739"/>
      <c r="C30" s="741"/>
      <c r="D30" s="741"/>
      <c r="E30" s="741"/>
      <c r="F30" s="741"/>
      <c r="G30" s="741"/>
      <c r="H30" s="720"/>
      <c r="I30" s="720">
        <f t="shared" si="6"/>
        <v>0</v>
      </c>
    </row>
    <row r="31" spans="1:9" x14ac:dyDescent="0.2">
      <c r="A31" s="352" t="s">
        <v>234</v>
      </c>
      <c r="B31" s="340">
        <f>IF($B$4="",0,IF($B$4="Xsmall/Min",'V7 Calculator'!$AW$45,IF($B$4="Small",'V7 Calculator'!$AW$46,IF($B$4="Medium",'V7 Calculator'!$AW$47,IF($B$4="Large",'V7 Calculator'!$AW$48,'V7 Calculator'!$AW$49)))))</f>
        <v>0</v>
      </c>
      <c r="C31" s="343">
        <f>IF($C$4="",0,IF($C$4="Xsmall/Min",'V7 Calculator'!$AW$51,IF($C$4="Small",'V7 Calculator'!$AW$52,IF($C$4="Medium",'V7 Calculator'!$AW$53,IF($C$4="Large",'V7 Calculator'!$AW$54,'V7 Calculator'!$AW$55)))))</f>
        <v>0</v>
      </c>
      <c r="D31" s="343">
        <f>IF($D$4="",0,IF($D$4="Xsmall/Min",'V7 Calculator'!$AW$57,IF($D$4="Small",'V7 Calculator'!$AW$58,IF($D$4="Medium",'V7 Calculator'!$AW$59,IF($D$4="Large",'V7 Calculator'!$AW$60,'V7 Calculator'!$AW$61)))))</f>
        <v>0</v>
      </c>
      <c r="E31" s="343">
        <f>IF($E$4="",0,IF($E$4="Xsmall/Min",'V7 Calculator'!$AW$63,IF($E$4="Small",'V7 Calculator'!$AW$64,IF($E$4="Medium",'V7 Calculator'!$AW$65,IF($E$4="Large",'V7 Calculator'!$AW$66,'V7 Calculator'!$AW$67)))))</f>
        <v>0</v>
      </c>
      <c r="F31" s="343">
        <f>IF($F$4="",0,IF($F$4="Xsmall/Min",'V7 Calculator'!$AW$69,IF($F$4="Small",'V7 Calculator'!$AW$70,IF($F$4="Medium",'V7 Calculator'!$AW$71,IF($F$4="Large",'V7 Calculator'!$AW$72,'V7 Calculator'!$AW$73)))))</f>
        <v>0</v>
      </c>
      <c r="G31" s="343">
        <f>IF($G$4="",0,IF($G$4="Xsmall/Min",'V7 Calculator'!$AW$75,IF($G$4="Small",'V7 Calculator'!$AW$76,IF($G$4="Medium",'V7 Calculator'!$AW$77,IF($G$4="Large",'V7 Calculator'!$AW$78,'V7 Calculator'!$AW$79)))))</f>
        <v>0</v>
      </c>
      <c r="H31" s="344">
        <f>IF($H$4="",0,IF($H$4="Xsmall/Min",'V7 Calculator'!$AW$81,IF($H$4="Small",'V7 Calculator'!$AW$82,IF($H$4="Medium",'V7 Calculator'!$AW$83,IF($H$4="Large",'V7 Calculator'!$AW$84,'V7 Calculator'!$AW$85)))))</f>
        <v>0</v>
      </c>
      <c r="I31" s="344">
        <f t="shared" si="6"/>
        <v>0</v>
      </c>
    </row>
    <row r="32" spans="1:9" ht="17" thickBot="1" x14ac:dyDescent="0.25">
      <c r="A32" s="353" t="str">
        <f>A17</f>
        <v>Kafka Streaming</v>
      </c>
      <c r="B32" s="346">
        <f>IF($B$4="",0,IF($B$4="Xsmall/Min",'V7 Calculator'!$AR$45,IF($B$4="Small",'V7 Calculator'!$AR$46,IF($B$4="Medium",'V7 Calculator'!$AR$47,IF($B$4="Large",'V7 Calculator'!$AR$48,'V7 Calculator'!$AR$49)))))</f>
        <v>0</v>
      </c>
      <c r="C32" s="349">
        <f>IF($C$4="",0,IF($C$4="Xsmall/Min",'V7 Calculator'!$AR$51,IF($C$4="Small",'V7 Calculator'!$AR$52,IF($C$4="Medium",'V7 Calculator'!$AR$53,IF($C$4="Large",'V7 Calculator'!$AR$54,'V7 Calculator'!$AR$55)))))</f>
        <v>0</v>
      </c>
      <c r="D32" s="349">
        <f>IF($D$4="",0,IF($D$4="Xsmall/Min",'V7 Calculator'!$AR$57,IF($D$4="Small",'V7 Calculator'!$AR$58,IF($D$4="Medium",'V7 Calculator'!$AR$59,IF($D$4="Large",'V7 Calculator'!$AR$60,'V7 Calculator'!$AR$61)))))</f>
        <v>0</v>
      </c>
      <c r="E32" s="349">
        <f>IF($E$4="",0,IF($E$4="Xsmall/Min",'V7 Calculator'!$AR$63,IF($E$4="Small",'V7 Calculator'!$AR$64,IF($E$4="Medium",'V7 Calculator'!$AR$65,IF($E$4="Large",'V7 Calculator'!$AR$66,'V7 Calculator'!$AR$67)))))</f>
        <v>0</v>
      </c>
      <c r="F32" s="349">
        <f>IF($F$4="",0,IF($F$4="Xsmall/Min",'V7 Calculator'!$AR$69,IF($F$4="Small",'V7 Calculator'!$AR$70,IF($F$4="Medium",'V7 Calculator'!$AR$71,IF($F$4="Large",'V7 Calculator'!$AR$72,'V7 Calculator'!$AR$73)))))</f>
        <v>0</v>
      </c>
      <c r="G32" s="349">
        <f>IF($G$4="",0,IF($G$4="Xsmall/Min",'V7 Calculator'!$AR$75,IF($G$4="Small",'V7 Calculator'!$AR$76,IF($G$4="Medium",'V7 Calculator'!$AR$77,IF($G$4="Large",'V7 Calculator'!$AR$78,'V7 Calculator'!$AR$79)))))</f>
        <v>0</v>
      </c>
      <c r="H32" s="350">
        <f>IF($H$4="",0,IF($H$4="Xsmall/Min",'V7 Calculator'!$AR$81,IF($H$4="Small",'V7 Calculator'!$AR$82,IF($H$4="Medium",'V7 Calculator'!$AR$83,IF($H$4="Large",'V7 Calculator'!$AR$84,'V7 Calculator'!$AR$85)))))</f>
        <v>0</v>
      </c>
      <c r="I32" s="350">
        <f t="shared" si="6"/>
        <v>0</v>
      </c>
    </row>
    <row r="33" spans="1:9" ht="17" thickBot="1" x14ac:dyDescent="0.25">
      <c r="A33" s="360" t="str">
        <f>A18</f>
        <v>TOTALS:</v>
      </c>
      <c r="B33" s="349">
        <f>SUM(B21:B32)-B22</f>
        <v>0</v>
      </c>
      <c r="C33" s="349">
        <f>SUM(C21:C32)-C22</f>
        <v>0</v>
      </c>
      <c r="D33" s="349">
        <f>SUM(D21:D32)-D22</f>
        <v>0</v>
      </c>
      <c r="E33" s="349">
        <f>SUM(E21:E32)-E22</f>
        <v>0</v>
      </c>
      <c r="F33" s="349">
        <f>SUM(F21:F32)-F22</f>
        <v>0</v>
      </c>
      <c r="G33" s="349">
        <f t="shared" ref="G33:H33" si="7">SUM(G21:G32)-G22</f>
        <v>0</v>
      </c>
      <c r="H33" s="350">
        <f t="shared" si="7"/>
        <v>0</v>
      </c>
      <c r="I33" s="249">
        <f t="shared" ref="I33" si="8">SUM(I21:I32)-I22</f>
        <v>0</v>
      </c>
    </row>
    <row r="34" spans="1:9" ht="16" customHeight="1" thickBot="1" x14ac:dyDescent="0.25"/>
    <row r="35" spans="1:9" ht="20" thickBot="1" x14ac:dyDescent="0.3">
      <c r="A35" s="226" t="s">
        <v>68</v>
      </c>
      <c r="B35" s="476" t="str">
        <f t="shared" ref="B35:I35" si="9">B5</f>
        <v>Manage</v>
      </c>
      <c r="C35" s="475" t="str">
        <f t="shared" si="9"/>
        <v>Monitor</v>
      </c>
      <c r="D35" s="475" t="str">
        <f t="shared" si="9"/>
        <v>Health</v>
      </c>
      <c r="E35" s="475" t="str">
        <f t="shared" si="9"/>
        <v>Predict</v>
      </c>
      <c r="F35" s="475" t="str">
        <f t="shared" si="9"/>
        <v>Visual Inspection</v>
      </c>
      <c r="G35" s="475" t="str">
        <f t="shared" si="9"/>
        <v>Assist</v>
      </c>
      <c r="H35" s="362" t="str">
        <f t="shared" si="9"/>
        <v>Safety</v>
      </c>
      <c r="I35" s="357" t="str">
        <f t="shared" si="9"/>
        <v>TOTALS</v>
      </c>
    </row>
    <row r="36" spans="1:9" ht="17" thickBot="1" x14ac:dyDescent="0.25">
      <c r="A36" s="358" t="str">
        <f>A6</f>
        <v>Application</v>
      </c>
      <c r="B36" s="321">
        <f>'V7 Calculator'!$N$22</f>
        <v>0</v>
      </c>
      <c r="C36" s="324">
        <f>'V7 Calculator'!$N$23</f>
        <v>0</v>
      </c>
      <c r="D36" s="324">
        <f>'V7 Calculator'!$N$24</f>
        <v>0</v>
      </c>
      <c r="E36" s="324">
        <f>'V7 Calculator'!$N$25</f>
        <v>0</v>
      </c>
      <c r="F36" s="324">
        <f>'V7 Calculator'!$N$26</f>
        <v>0</v>
      </c>
      <c r="G36" s="324">
        <f>'V7 Calculator'!$N$27</f>
        <v>0</v>
      </c>
      <c r="H36" s="324">
        <f>'V7 Calculator'!$N$28</f>
        <v>0</v>
      </c>
      <c r="I36" s="394">
        <f>SUM(B36:H36)</f>
        <v>0</v>
      </c>
    </row>
    <row r="37" spans="1:9" ht="17" thickBot="1" x14ac:dyDescent="0.25">
      <c r="A37" s="358" t="s">
        <v>151</v>
      </c>
      <c r="B37" s="321">
        <f>'V7 Calculator'!$N$34</f>
        <v>0</v>
      </c>
      <c r="C37" s="324">
        <f>'V7 Calculator'!$N$35</f>
        <v>0</v>
      </c>
      <c r="D37" s="324">
        <f>'V7 Calculator'!$N$36</f>
        <v>0</v>
      </c>
      <c r="E37" s="324">
        <f>'V7 Calculator'!$N$37</f>
        <v>0</v>
      </c>
      <c r="F37" s="324">
        <f>'V7 Calculator'!$N$38</f>
        <v>0</v>
      </c>
      <c r="G37" s="324">
        <f>'V7 Calculator'!$N$39</f>
        <v>0</v>
      </c>
      <c r="H37" s="324">
        <f>'V7 Calculator'!$N$40</f>
        <v>0</v>
      </c>
      <c r="I37" s="394">
        <f>SUM(B37:H37)</f>
        <v>0</v>
      </c>
    </row>
    <row r="38" spans="1:9" ht="17" thickBot="1" x14ac:dyDescent="0.25">
      <c r="A38" s="384" t="s">
        <v>177</v>
      </c>
      <c r="B38" s="324">
        <f>SUM(B36:B37)</f>
        <v>0</v>
      </c>
      <c r="C38" s="324">
        <f t="shared" ref="C38:I38" si="10">SUM(C36:C37)</f>
        <v>0</v>
      </c>
      <c r="D38" s="324">
        <f t="shared" si="10"/>
        <v>0</v>
      </c>
      <c r="E38" s="324">
        <f t="shared" si="10"/>
        <v>0</v>
      </c>
      <c r="F38" s="324">
        <f t="shared" si="10"/>
        <v>0</v>
      </c>
      <c r="G38" s="324">
        <f t="shared" si="10"/>
        <v>0</v>
      </c>
      <c r="H38" s="325">
        <f t="shared" si="10"/>
        <v>0</v>
      </c>
      <c r="I38" s="249">
        <f t="shared" si="10"/>
        <v>0</v>
      </c>
    </row>
    <row r="39" spans="1:9" ht="16" customHeight="1" thickBot="1" x14ac:dyDescent="0.25"/>
    <row r="40" spans="1:9" ht="20" thickBot="1" x14ac:dyDescent="0.3">
      <c r="A40" s="226" t="s">
        <v>178</v>
      </c>
      <c r="B40" s="227"/>
      <c r="C40" s="227"/>
      <c r="D40" s="227"/>
      <c r="E40" s="227"/>
      <c r="F40" s="361">
        <f>'V7 Calculator'!P26</f>
        <v>0</v>
      </c>
      <c r="G40" s="227"/>
      <c r="H40" s="227"/>
      <c r="I40" s="249">
        <f>'V7 Calculator'!P29</f>
        <v>0</v>
      </c>
    </row>
    <row r="41" spans="1:9" ht="16" customHeight="1" thickBot="1" x14ac:dyDescent="0.25"/>
    <row r="42" spans="1:9" ht="19" x14ac:dyDescent="0.25">
      <c r="A42" s="363" t="str">
        <f>"OpenShift"</f>
        <v>OpenShift</v>
      </c>
      <c r="B42" s="233" t="s">
        <v>180</v>
      </c>
      <c r="C42" s="233" t="s">
        <v>181</v>
      </c>
      <c r="D42" s="232" t="s">
        <v>181</v>
      </c>
    </row>
    <row r="43" spans="1:9" ht="20" thickBot="1" x14ac:dyDescent="0.3">
      <c r="A43" s="237" t="s">
        <v>179</v>
      </c>
      <c r="B43" s="234" t="s">
        <v>98</v>
      </c>
      <c r="C43" s="234" t="s">
        <v>41</v>
      </c>
      <c r="D43" s="235" t="s">
        <v>68</v>
      </c>
    </row>
    <row r="44" spans="1:9" ht="19" customHeight="1" thickBot="1" x14ac:dyDescent="0.3">
      <c r="A44" s="236" t="s">
        <v>42</v>
      </c>
      <c r="B44" s="322">
        <f>'V7 Calculator'!G6</f>
        <v>12</v>
      </c>
      <c r="C44" s="324">
        <f>'V7 Calculator'!I6</f>
        <v>48</v>
      </c>
      <c r="D44" s="325">
        <f>'V7 Calculator'!K6</f>
        <v>360</v>
      </c>
    </row>
  </sheetData>
  <sheetProtection algorithmName="SHA-512" hashValue="b7YefNyz7fb8Hwcwu8ete5c5cROswrg3hapMvxtFAHHVaRAdno8RCji7oEYRIrzHqeIe2zB95IQ8ofWfHU7GDQ==" saltValue="wiXHXoVUZaDjyP1wkV/5kQ==" spinCount="100000" sheet="1" objects="1" scenarios="1"/>
  <mergeCells count="17">
    <mergeCell ref="G29:G30"/>
    <mergeCell ref="H29:H30"/>
    <mergeCell ref="I29:I30"/>
    <mergeCell ref="A1:I2"/>
    <mergeCell ref="B23:B26"/>
    <mergeCell ref="C23:C26"/>
    <mergeCell ref="D23:D26"/>
    <mergeCell ref="E23:E26"/>
    <mergeCell ref="F23:F26"/>
    <mergeCell ref="I23:I26"/>
    <mergeCell ref="B29:B30"/>
    <mergeCell ref="C29:C30"/>
    <mergeCell ref="D29:D30"/>
    <mergeCell ref="E29:E30"/>
    <mergeCell ref="F29:F30"/>
    <mergeCell ref="G23:G26"/>
    <mergeCell ref="H23:H26"/>
  </mergeCells>
  <pageMargins left="0" right="0" top="0.5" bottom="0.5" header="0.3" footer="0.3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CA20-74C3-4444-A496-65777A2FA44F}">
  <sheetPr codeName="Sheet2"/>
  <dimension ref="B1:O24"/>
  <sheetViews>
    <sheetView showGridLines="0" showRowColHeaders="0" workbookViewId="0">
      <selection activeCell="D7" sqref="D7"/>
    </sheetView>
  </sheetViews>
  <sheetFormatPr baseColWidth="10" defaultColWidth="11" defaultRowHeight="16" x14ac:dyDescent="0.2"/>
  <cols>
    <col min="1" max="1" width="7.5" customWidth="1"/>
    <col min="2" max="2" width="2.83203125" hidden="1" customWidth="1"/>
    <col min="3" max="3" width="27" customWidth="1"/>
    <col min="4" max="4" width="13.33203125" customWidth="1"/>
    <col min="5" max="5" width="34.1640625" customWidth="1"/>
    <col min="6" max="6" width="15.5" hidden="1" customWidth="1"/>
    <col min="7" max="11" width="10.83203125" hidden="1" customWidth="1"/>
    <col min="12" max="19" width="0" hidden="1" customWidth="1"/>
  </cols>
  <sheetData>
    <row r="1" spans="3:15" x14ac:dyDescent="0.2">
      <c r="C1" s="747" t="s">
        <v>152</v>
      </c>
      <c r="D1" s="748"/>
      <c r="E1" s="749"/>
      <c r="M1" s="747" t="s">
        <v>152</v>
      </c>
      <c r="N1" s="748"/>
      <c r="O1" s="749"/>
    </row>
    <row r="2" spans="3:15" ht="17" thickBot="1" x14ac:dyDescent="0.25">
      <c r="C2" s="750"/>
      <c r="D2" s="751"/>
      <c r="E2" s="752"/>
      <c r="M2" s="750"/>
      <c r="N2" s="751"/>
      <c r="O2" s="752"/>
    </row>
    <row r="3" spans="3:15" ht="17" thickBot="1" x14ac:dyDescent="0.25">
      <c r="C3" s="745" t="s">
        <v>149</v>
      </c>
      <c r="D3" s="745"/>
      <c r="E3" s="745"/>
      <c r="K3">
        <v>20</v>
      </c>
      <c r="L3" s="156"/>
      <c r="M3" s="745" t="s">
        <v>149</v>
      </c>
      <c r="N3" s="745"/>
      <c r="O3" s="745"/>
    </row>
    <row r="4" spans="3:15" x14ac:dyDescent="0.2">
      <c r="C4" s="198" t="s">
        <v>130</v>
      </c>
      <c r="D4" s="207">
        <v>5</v>
      </c>
      <c r="E4" s="198"/>
      <c r="K4">
        <v>5</v>
      </c>
      <c r="L4" s="157"/>
      <c r="M4" s="198" t="s">
        <v>130</v>
      </c>
      <c r="N4" s="207">
        <v>5</v>
      </c>
      <c r="O4" s="198" t="s">
        <v>156</v>
      </c>
    </row>
    <row r="5" spans="3:15" x14ac:dyDescent="0.2">
      <c r="C5" s="199" t="s">
        <v>138</v>
      </c>
      <c r="D5" s="208">
        <v>25</v>
      </c>
      <c r="E5" s="199"/>
      <c r="F5" t="s">
        <v>163</v>
      </c>
      <c r="K5">
        <v>750</v>
      </c>
      <c r="L5" s="157"/>
      <c r="M5" s="199" t="s">
        <v>138</v>
      </c>
      <c r="N5" s="208">
        <v>25</v>
      </c>
      <c r="O5" s="199"/>
    </row>
    <row r="6" spans="3:15" x14ac:dyDescent="0.2">
      <c r="C6" s="199" t="s">
        <v>131</v>
      </c>
      <c r="D6" s="208">
        <v>60</v>
      </c>
      <c r="E6" s="199"/>
      <c r="F6" t="s">
        <v>164</v>
      </c>
      <c r="G6" t="s">
        <v>153</v>
      </c>
      <c r="I6" t="s">
        <v>155</v>
      </c>
      <c r="K6">
        <v>50</v>
      </c>
      <c r="M6" s="199" t="s">
        <v>131</v>
      </c>
      <c r="N6" s="208">
        <v>60</v>
      </c>
      <c r="O6" s="199" t="s">
        <v>157</v>
      </c>
    </row>
    <row r="7" spans="3:15" x14ac:dyDescent="0.2">
      <c r="C7" s="216" t="s">
        <v>140</v>
      </c>
      <c r="D7" s="208">
        <v>10</v>
      </c>
      <c r="E7" s="216"/>
      <c r="F7" t="s">
        <v>165</v>
      </c>
      <c r="G7" s="316">
        <f>'V7 Calculator'!G23</f>
        <v>0</v>
      </c>
      <c r="I7" s="316">
        <f>G7/D7*D5</f>
        <v>0</v>
      </c>
      <c r="K7">
        <v>24</v>
      </c>
      <c r="L7" s="157"/>
      <c r="M7" s="216" t="s">
        <v>140</v>
      </c>
      <c r="N7" s="208">
        <v>10</v>
      </c>
      <c r="O7" s="216" t="s">
        <v>161</v>
      </c>
    </row>
    <row r="8" spans="3:15" x14ac:dyDescent="0.2">
      <c r="C8" s="216" t="s">
        <v>132</v>
      </c>
      <c r="D8" s="208">
        <v>24</v>
      </c>
      <c r="E8" s="216" t="s">
        <v>139</v>
      </c>
      <c r="F8" s="316">
        <f>D8*D6*D4</f>
        <v>7200</v>
      </c>
      <c r="G8" s="316">
        <f>D4*D6*D7</f>
        <v>3000</v>
      </c>
      <c r="K8">
        <v>1</v>
      </c>
      <c r="L8" s="157"/>
      <c r="M8" s="216" t="s">
        <v>132</v>
      </c>
      <c r="N8" s="208">
        <v>24</v>
      </c>
      <c r="O8" s="216" t="s">
        <v>139</v>
      </c>
    </row>
    <row r="9" spans="3:15" ht="17" thickBot="1" x14ac:dyDescent="0.25">
      <c r="C9" s="200" t="s">
        <v>133</v>
      </c>
      <c r="D9" s="209">
        <v>1</v>
      </c>
      <c r="E9" s="200" t="s">
        <v>139</v>
      </c>
      <c r="M9" s="200" t="s">
        <v>133</v>
      </c>
      <c r="N9" s="209">
        <v>1</v>
      </c>
      <c r="O9" s="200" t="s">
        <v>139</v>
      </c>
    </row>
    <row r="10" spans="3:15" x14ac:dyDescent="0.2">
      <c r="F10" s="316">
        <f>50*F8</f>
        <v>360000</v>
      </c>
      <c r="L10" s="157"/>
    </row>
    <row r="11" spans="3:15" x14ac:dyDescent="0.2">
      <c r="G11" t="s">
        <v>158</v>
      </c>
      <c r="H11" t="s">
        <v>159</v>
      </c>
    </row>
    <row r="12" spans="3:15" ht="17" thickBot="1" x14ac:dyDescent="0.25">
      <c r="C12" s="746" t="s">
        <v>129</v>
      </c>
      <c r="D12" s="746"/>
      <c r="E12" s="746"/>
      <c r="M12" s="746" t="s">
        <v>129</v>
      </c>
      <c r="N12" s="746"/>
      <c r="O12" s="746"/>
    </row>
    <row r="13" spans="3:15" x14ac:dyDescent="0.2">
      <c r="C13" s="201" t="s">
        <v>134</v>
      </c>
      <c r="D13" s="207">
        <v>1</v>
      </c>
      <c r="E13" s="204" t="s">
        <v>141</v>
      </c>
      <c r="K13">
        <v>1</v>
      </c>
      <c r="M13" s="201" t="s">
        <v>134</v>
      </c>
      <c r="N13" s="207">
        <v>1</v>
      </c>
      <c r="O13" s="204" t="s">
        <v>141</v>
      </c>
    </row>
    <row r="14" spans="3:15" x14ac:dyDescent="0.2">
      <c r="C14" s="202" t="s">
        <v>135</v>
      </c>
      <c r="D14" s="364">
        <f>D7</f>
        <v>10</v>
      </c>
      <c r="E14" s="205"/>
      <c r="M14" s="202" t="s">
        <v>135</v>
      </c>
      <c r="N14" s="364">
        <f>N7</f>
        <v>10</v>
      </c>
      <c r="O14" s="205"/>
    </row>
    <row r="15" spans="3:15" x14ac:dyDescent="0.2">
      <c r="C15" s="202" t="s">
        <v>136</v>
      </c>
      <c r="D15" s="364">
        <f>D6*D4</f>
        <v>300</v>
      </c>
      <c r="E15" s="205"/>
      <c r="M15" s="202" t="s">
        <v>136</v>
      </c>
      <c r="N15" s="364">
        <f>N6*N4</f>
        <v>300</v>
      </c>
      <c r="O15" s="205"/>
    </row>
    <row r="16" spans="3:15" x14ac:dyDescent="0.2">
      <c r="C16" s="202" t="s">
        <v>142</v>
      </c>
      <c r="D16" s="224" t="s">
        <v>38</v>
      </c>
      <c r="E16" s="205"/>
      <c r="K16" t="s">
        <v>38</v>
      </c>
      <c r="M16" s="202" t="s">
        <v>142</v>
      </c>
      <c r="N16" s="210" t="s">
        <v>38</v>
      </c>
      <c r="O16" s="205"/>
    </row>
    <row r="17" spans="2:15" ht="17" thickBot="1" x14ac:dyDescent="0.25">
      <c r="C17" s="203" t="s">
        <v>143</v>
      </c>
      <c r="D17" s="209">
        <v>3</v>
      </c>
      <c r="E17" s="206"/>
      <c r="K17">
        <v>3</v>
      </c>
      <c r="M17" s="203" t="s">
        <v>143</v>
      </c>
      <c r="N17" s="209">
        <v>3</v>
      </c>
      <c r="O17" s="206"/>
    </row>
    <row r="18" spans="2:15" x14ac:dyDescent="0.2">
      <c r="F18" s="316">
        <f>30*48000*50</f>
        <v>72000000</v>
      </c>
    </row>
    <row r="19" spans="2:15" ht="17" thickBot="1" x14ac:dyDescent="0.25">
      <c r="C19" s="746" t="s">
        <v>137</v>
      </c>
      <c r="D19" s="746"/>
      <c r="E19" s="746"/>
      <c r="M19" s="746" t="s">
        <v>137</v>
      </c>
      <c r="N19" s="746"/>
      <c r="O19" s="746"/>
    </row>
    <row r="20" spans="2:15" ht="17" thickBot="1" x14ac:dyDescent="0.25">
      <c r="C20" s="219" t="s">
        <v>154</v>
      </c>
      <c r="D20" s="365">
        <f>D4*D5*D6*D7*(D8)*D9</f>
        <v>1800000</v>
      </c>
      <c r="E20" s="220" t="s">
        <v>166</v>
      </c>
      <c r="G20" s="316">
        <f>D20/1440</f>
        <v>1250</v>
      </c>
      <c r="M20" s="219" t="s">
        <v>154</v>
      </c>
      <c r="N20" s="365">
        <f>N4*N5*N6*N7*(N8)*N9</f>
        <v>1800000</v>
      </c>
      <c r="O20" s="220" t="s">
        <v>166</v>
      </c>
    </row>
    <row r="21" spans="2:15" ht="17" thickBot="1" x14ac:dyDescent="0.25">
      <c r="C21" s="217" t="s">
        <v>150</v>
      </c>
      <c r="D21" s="366">
        <f>(D15*D17*365*D13*D14)/IF(D16="Y",24,1)</f>
        <v>3285000</v>
      </c>
      <c r="E21" s="218" t="s">
        <v>147</v>
      </c>
      <c r="I21" t="s">
        <v>170</v>
      </c>
      <c r="J21">
        <v>25</v>
      </c>
      <c r="M21" s="217" t="s">
        <v>150</v>
      </c>
      <c r="N21" s="367">
        <f>(N15*N17*365*N13*N14)/IF(N16="Y",24,1)</f>
        <v>3285000</v>
      </c>
      <c r="O21" s="218" t="s">
        <v>147</v>
      </c>
    </row>
    <row r="22" spans="2:15" ht="17" thickBot="1" x14ac:dyDescent="0.25">
      <c r="I22" t="s">
        <v>171</v>
      </c>
      <c r="J22">
        <v>5</v>
      </c>
    </row>
    <row r="23" spans="2:15" ht="17" thickBot="1" x14ac:dyDescent="0.25">
      <c r="B23" t="s">
        <v>37</v>
      </c>
      <c r="C23" s="217" t="s">
        <v>160</v>
      </c>
      <c r="D23" s="368">
        <f>D20+D21</f>
        <v>5085000</v>
      </c>
      <c r="E23" s="218"/>
      <c r="I23" t="s">
        <v>172</v>
      </c>
      <c r="J23">
        <v>60</v>
      </c>
      <c r="M23" t="s">
        <v>160</v>
      </c>
      <c r="N23" s="212"/>
    </row>
    <row r="24" spans="2:15" x14ac:dyDescent="0.2">
      <c r="B24" t="s">
        <v>38</v>
      </c>
      <c r="F24" t="s">
        <v>162</v>
      </c>
      <c r="I24" t="s">
        <v>173</v>
      </c>
      <c r="J24">
        <v>10</v>
      </c>
    </row>
  </sheetData>
  <sheetProtection algorithmName="SHA-512" hashValue="63QpvrLzKObdUqhP2OU2yA22P1h1cK2bYy8hlD3AsLebwNK/UR9J4dmECeLX3AQoQebrkVdpEqoE063Q7yFI4g==" saltValue="xxRiHivAYHadxvMLVXqTxg==" spinCount="100000" sheet="1" objects="1" scenarios="1"/>
  <mergeCells count="8">
    <mergeCell ref="C3:E3"/>
    <mergeCell ref="C12:E12"/>
    <mergeCell ref="C19:E19"/>
    <mergeCell ref="C1:E2"/>
    <mergeCell ref="M1:O2"/>
    <mergeCell ref="M3:O3"/>
    <mergeCell ref="M12:O12"/>
    <mergeCell ref="M19:O19"/>
  </mergeCells>
  <dataValidations count="1">
    <dataValidation type="list" allowBlank="1" showInputMessage="1" showErrorMessage="1" sqref="D16 N16" xr:uid="{5D7A090A-2B52-B840-AFF3-687873296EF3}">
      <formula1>$B$23:$B$24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5D5-B7BA-4661-A84E-93B4BDFEBFD1}">
  <dimension ref="A1:B30"/>
  <sheetViews>
    <sheetView showGridLines="0" topLeftCell="A13" workbookViewId="0">
      <selection activeCell="A28" sqref="A28"/>
    </sheetView>
  </sheetViews>
  <sheetFormatPr baseColWidth="10" defaultColWidth="8.83203125" defaultRowHeight="16" x14ac:dyDescent="0.2"/>
  <cols>
    <col min="2" max="2" width="76.1640625" customWidth="1"/>
  </cols>
  <sheetData>
    <row r="1" spans="1:2" ht="18" thickBot="1" x14ac:dyDescent="0.25">
      <c r="A1" s="431" t="s">
        <v>192</v>
      </c>
      <c r="B1" s="432" t="s">
        <v>193</v>
      </c>
    </row>
    <row r="2" spans="1:2" ht="17" x14ac:dyDescent="0.2">
      <c r="A2" s="433" t="s">
        <v>191</v>
      </c>
      <c r="B2" s="434" t="s">
        <v>194</v>
      </c>
    </row>
    <row r="3" spans="1:2" ht="17" x14ac:dyDescent="0.2">
      <c r="A3" s="264"/>
      <c r="B3" s="435" t="s">
        <v>195</v>
      </c>
    </row>
    <row r="4" spans="1:2" ht="17" x14ac:dyDescent="0.2">
      <c r="A4" s="264"/>
      <c r="B4" s="435" t="s">
        <v>196</v>
      </c>
    </row>
    <row r="5" spans="1:2" ht="17" x14ac:dyDescent="0.2">
      <c r="A5" s="264"/>
      <c r="B5" s="435" t="s">
        <v>197</v>
      </c>
    </row>
    <row r="6" spans="1:2" ht="17" x14ac:dyDescent="0.2">
      <c r="A6" s="264"/>
      <c r="B6" s="435" t="s">
        <v>198</v>
      </c>
    </row>
    <row r="7" spans="1:2" ht="34" x14ac:dyDescent="0.2">
      <c r="A7" s="264"/>
      <c r="B7" s="435" t="s">
        <v>206</v>
      </c>
    </row>
    <row r="8" spans="1:2" ht="18" thickBot="1" x14ac:dyDescent="0.25">
      <c r="A8" s="271"/>
      <c r="B8" s="436" t="s">
        <v>207</v>
      </c>
    </row>
    <row r="9" spans="1:2" ht="17" thickBot="1" x14ac:dyDescent="0.25">
      <c r="A9" s="437"/>
      <c r="B9" s="438"/>
    </row>
    <row r="10" spans="1:2" ht="17" x14ac:dyDescent="0.2">
      <c r="A10" s="433" t="s">
        <v>199</v>
      </c>
      <c r="B10" s="434" t="s">
        <v>200</v>
      </c>
    </row>
    <row r="11" spans="1:2" ht="17" x14ac:dyDescent="0.2">
      <c r="A11" s="264"/>
      <c r="B11" s="435" t="s">
        <v>201</v>
      </c>
    </row>
    <row r="12" spans="1:2" ht="17" x14ac:dyDescent="0.2">
      <c r="A12" s="264"/>
      <c r="B12" s="435" t="s">
        <v>195</v>
      </c>
    </row>
    <row r="13" spans="1:2" ht="17" x14ac:dyDescent="0.2">
      <c r="A13" s="264"/>
      <c r="B13" s="435" t="s">
        <v>212</v>
      </c>
    </row>
    <row r="14" spans="1:2" ht="34" x14ac:dyDescent="0.2">
      <c r="A14" s="264"/>
      <c r="B14" s="435" t="s">
        <v>213</v>
      </c>
    </row>
    <row r="15" spans="1:2" ht="34" x14ac:dyDescent="0.2">
      <c r="A15" s="264"/>
      <c r="B15" s="435" t="s">
        <v>202</v>
      </c>
    </row>
    <row r="16" spans="1:2" ht="17" x14ac:dyDescent="0.2">
      <c r="A16" s="264"/>
      <c r="B16" s="435" t="s">
        <v>203</v>
      </c>
    </row>
    <row r="17" spans="1:2" ht="34" x14ac:dyDescent="0.2">
      <c r="A17" s="264"/>
      <c r="B17" s="435" t="s">
        <v>204</v>
      </c>
    </row>
    <row r="18" spans="1:2" ht="34" x14ac:dyDescent="0.2">
      <c r="A18" s="264"/>
      <c r="B18" s="435" t="s">
        <v>205</v>
      </c>
    </row>
    <row r="19" spans="1:2" ht="39" customHeight="1" x14ac:dyDescent="0.2">
      <c r="A19" s="264"/>
      <c r="B19" s="435" t="s">
        <v>208</v>
      </c>
    </row>
    <row r="20" spans="1:2" ht="51" x14ac:dyDescent="0.2">
      <c r="A20" s="264"/>
      <c r="B20" s="435" t="s">
        <v>209</v>
      </c>
    </row>
    <row r="21" spans="1:2" ht="17" x14ac:dyDescent="0.2">
      <c r="A21" s="264"/>
      <c r="B21" s="435" t="s">
        <v>210</v>
      </c>
    </row>
    <row r="22" spans="1:2" ht="18" thickBot="1" x14ac:dyDescent="0.25">
      <c r="A22" s="271"/>
      <c r="B22" s="436" t="s">
        <v>224</v>
      </c>
    </row>
    <row r="23" spans="1:2" ht="17" thickBot="1" x14ac:dyDescent="0.25"/>
    <row r="24" spans="1:2" ht="24" customHeight="1" x14ac:dyDescent="0.2">
      <c r="A24" s="433" t="s">
        <v>225</v>
      </c>
      <c r="B24" s="434" t="s">
        <v>238</v>
      </c>
    </row>
    <row r="25" spans="1:2" ht="17" x14ac:dyDescent="0.2">
      <c r="A25" s="264"/>
      <c r="B25" s="435" t="s">
        <v>226</v>
      </c>
    </row>
    <row r="26" spans="1:2" ht="17" x14ac:dyDescent="0.2">
      <c r="A26" s="264"/>
      <c r="B26" s="435" t="s">
        <v>239</v>
      </c>
    </row>
    <row r="27" spans="1:2" ht="17" thickBot="1" x14ac:dyDescent="0.25"/>
    <row r="28" spans="1:2" ht="17" x14ac:dyDescent="0.2">
      <c r="A28" s="433" t="s">
        <v>240</v>
      </c>
      <c r="B28" s="434" t="s">
        <v>241</v>
      </c>
    </row>
    <row r="29" spans="1:2" x14ac:dyDescent="0.2">
      <c r="A29" s="264"/>
      <c r="B29" s="435"/>
    </row>
    <row r="30" spans="1:2" x14ac:dyDescent="0.2">
      <c r="A30" s="264"/>
      <c r="B30" s="435"/>
    </row>
  </sheetData>
  <sheetProtection algorithmName="SHA-512" hashValue="ovDcPoUO5/4O+AtaRTIMeiZ8L3sG3ZGebH+o8RenpWGDfNpPGZep+ZIbTbq+VeB3MlKizoftE7C9JwLmObAOhg==" saltValue="NJ8nDLmEHPCir92/lOIYuw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V7 Calculator</vt:lpstr>
      <vt:lpstr>Detailed Report</vt:lpstr>
      <vt:lpstr>Predict Data Points</vt:lpstr>
      <vt:lpstr>Versions</vt:lpstr>
      <vt:lpstr>EnvironmentSizes</vt:lpstr>
      <vt:lpstr>'Detailed Report'!Print_Area</vt:lpstr>
      <vt:lpstr>'Predict Data Points'!Print_Area</vt:lpstr>
      <vt:lpstr>'V7 Calculator'!Print_Area</vt:lpstr>
      <vt:lpstr>Versions!Print_Area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Campbell</dc:creator>
  <cp:lastModifiedBy>Scott Campbell</cp:lastModifiedBy>
  <cp:lastPrinted>2021-02-23T15:17:48Z</cp:lastPrinted>
  <dcterms:created xsi:type="dcterms:W3CDTF">2020-08-11T06:33:57Z</dcterms:created>
  <dcterms:modified xsi:type="dcterms:W3CDTF">2021-03-12T14:55:52Z</dcterms:modified>
</cp:coreProperties>
</file>