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illsBlender\QSG- Workshop\"/>
    </mc:Choice>
  </mc:AlternateContent>
  <xr:revisionPtr revIDLastSave="0" documentId="8_{E3DC11C4-765C-4A5F-994F-973FDC734AA8}" xr6:coauthVersionLast="45" xr6:coauthVersionMax="45" xr10:uidLastSave="{00000000-0000-0000-0000-000000000000}"/>
  <bookViews>
    <workbookView xWindow="-108" yWindow="-108" windowWidth="23256" windowHeight="12576" xr2:uid="{8C1EE743-33D3-4ED4-8439-75A77777002F}"/>
  </bookViews>
  <sheets>
    <sheet name="CF and SMDS" sheetId="1" r:id="rId1"/>
    <sheet name="Usable CF" sheetId="3" r:id="rId2"/>
    <sheet name="CF SCM and SMD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2" l="1"/>
  <c r="L20" i="2" s="1"/>
  <c r="M20" i="2" s="1"/>
  <c r="J21" i="2"/>
  <c r="J22" i="2"/>
  <c r="L22" i="2" s="1"/>
  <c r="M22" i="2" s="1"/>
  <c r="J23" i="2"/>
  <c r="J19" i="2"/>
  <c r="L19" i="2" s="1"/>
  <c r="M19" i="2" s="1"/>
  <c r="O23" i="2"/>
  <c r="K23" i="2"/>
  <c r="L23" i="2" s="1"/>
  <c r="M23" i="2" s="1"/>
  <c r="F23" i="2"/>
  <c r="G23" i="2" s="1"/>
  <c r="I23" i="2" s="1"/>
  <c r="C23" i="2"/>
  <c r="O22" i="2"/>
  <c r="K22" i="2"/>
  <c r="F22" i="2"/>
  <c r="G22" i="2" s="1"/>
  <c r="I22" i="2" s="1"/>
  <c r="C22" i="2"/>
  <c r="O21" i="2"/>
  <c r="K21" i="2"/>
  <c r="F21" i="2"/>
  <c r="G21" i="2" s="1"/>
  <c r="I21" i="2" s="1"/>
  <c r="C21" i="2"/>
  <c r="O20" i="2"/>
  <c r="K20" i="2"/>
  <c r="F20" i="2"/>
  <c r="G20" i="2" s="1"/>
  <c r="I20" i="2" s="1"/>
  <c r="C20" i="2"/>
  <c r="O19" i="2"/>
  <c r="K19" i="2"/>
  <c r="F19" i="2"/>
  <c r="G19" i="2" s="1"/>
  <c r="I19" i="2" s="1"/>
  <c r="C19" i="2"/>
  <c r="N19" i="1"/>
  <c r="P19" i="1" s="1"/>
  <c r="Q19" i="1" s="1"/>
  <c r="N20" i="1"/>
  <c r="N21" i="1"/>
  <c r="N22" i="1"/>
  <c r="N18" i="1"/>
  <c r="P18" i="1" s="1"/>
  <c r="Q18" i="1" s="1"/>
  <c r="J19" i="1"/>
  <c r="J20" i="1"/>
  <c r="J21" i="1"/>
  <c r="J22" i="1"/>
  <c r="L22" i="1" s="1"/>
  <c r="M22" i="1" s="1"/>
  <c r="J18" i="1"/>
  <c r="F22" i="1"/>
  <c r="G22" i="1" s="1"/>
  <c r="I22" i="1" s="1"/>
  <c r="C22" i="1"/>
  <c r="F21" i="1"/>
  <c r="G21" i="1" s="1"/>
  <c r="I21" i="1" s="1"/>
  <c r="C21" i="1"/>
  <c r="F20" i="1"/>
  <c r="G20" i="1" s="1"/>
  <c r="I20" i="1" s="1"/>
  <c r="C20" i="1"/>
  <c r="L19" i="1"/>
  <c r="M19" i="1" s="1"/>
  <c r="F19" i="1"/>
  <c r="G19" i="1" s="1"/>
  <c r="I19" i="1" s="1"/>
  <c r="C19" i="1"/>
  <c r="F18" i="1"/>
  <c r="G18" i="1" s="1"/>
  <c r="I18" i="1" s="1"/>
  <c r="C18" i="1"/>
  <c r="L21" i="2"/>
  <c r="M21" i="2" s="1"/>
  <c r="L21" i="1"/>
  <c r="M21" i="1" s="1"/>
  <c r="L20" i="1"/>
  <c r="M20" i="1" s="1"/>
  <c r="P20" i="1"/>
  <c r="Q20" i="1"/>
  <c r="P22" i="1"/>
  <c r="Q22" i="1"/>
  <c r="L18" i="1"/>
  <c r="M18" i="1" s="1"/>
  <c r="P21" i="1"/>
  <c r="Q21" i="1" s="1"/>
  <c r="J13" i="2"/>
  <c r="L13" i="2" s="1"/>
  <c r="M13" i="2" s="1"/>
  <c r="B5" i="3"/>
  <c r="A5" i="3"/>
  <c r="C5" i="3" s="1"/>
  <c r="C4" i="3"/>
  <c r="D4" i="3" s="1"/>
  <c r="B4" i="3"/>
  <c r="J12" i="2" s="1"/>
  <c r="L12" i="2" s="1"/>
  <c r="M12" i="2" s="1"/>
  <c r="O12" i="2"/>
  <c r="O13" i="2"/>
  <c r="O14" i="2"/>
  <c r="O15" i="2"/>
  <c r="O11" i="2"/>
  <c r="K12" i="2"/>
  <c r="K13" i="2"/>
  <c r="K14" i="2"/>
  <c r="K15" i="2"/>
  <c r="K11" i="2"/>
  <c r="G15" i="2"/>
  <c r="I15" i="2" s="1"/>
  <c r="F15" i="2"/>
  <c r="C15" i="2"/>
  <c r="F14" i="2"/>
  <c r="G14" i="2" s="1"/>
  <c r="C14" i="2"/>
  <c r="G13" i="2"/>
  <c r="I13" i="2"/>
  <c r="F13" i="2"/>
  <c r="C13" i="2"/>
  <c r="F12" i="2"/>
  <c r="G12" i="2"/>
  <c r="I12" i="2" s="1"/>
  <c r="C12" i="2"/>
  <c r="F11" i="2"/>
  <c r="G11" i="2" s="1"/>
  <c r="I11" i="2" s="1"/>
  <c r="C11" i="2"/>
  <c r="F6" i="2"/>
  <c r="G6" i="2" s="1"/>
  <c r="C6" i="2"/>
  <c r="F5" i="2"/>
  <c r="G5" i="2"/>
  <c r="I5" i="2" s="1"/>
  <c r="C5" i="2"/>
  <c r="F4" i="2"/>
  <c r="G4" i="2" s="1"/>
  <c r="C4" i="2"/>
  <c r="F3" i="2"/>
  <c r="G3" i="2"/>
  <c r="J3" i="2" s="1"/>
  <c r="L3" i="2" s="1"/>
  <c r="M3" i="2" s="1"/>
  <c r="C3" i="2"/>
  <c r="F2" i="2"/>
  <c r="G2" i="2" s="1"/>
  <c r="C2" i="2"/>
  <c r="J11" i="1"/>
  <c r="L11" i="1" s="1"/>
  <c r="M11" i="1" s="1"/>
  <c r="J2" i="1"/>
  <c r="L2" i="1" s="1"/>
  <c r="M2" i="1" s="1"/>
  <c r="G11" i="1"/>
  <c r="N11" i="1" s="1"/>
  <c r="P11" i="1" s="1"/>
  <c r="Q11" i="1" s="1"/>
  <c r="G12" i="1"/>
  <c r="I12" i="1" s="1"/>
  <c r="G6" i="1"/>
  <c r="J6" i="1" s="1"/>
  <c r="L6" i="1" s="1"/>
  <c r="M6" i="1" s="1"/>
  <c r="G2" i="1"/>
  <c r="N2" i="1" s="1"/>
  <c r="P2" i="1" s="1"/>
  <c r="Q2" i="1" s="1"/>
  <c r="O11" i="1"/>
  <c r="O12" i="1"/>
  <c r="O13" i="1"/>
  <c r="O14" i="1"/>
  <c r="O10" i="1"/>
  <c r="K11" i="1"/>
  <c r="K12" i="1"/>
  <c r="K13" i="1"/>
  <c r="K14" i="1"/>
  <c r="K10" i="1"/>
  <c r="F14" i="1"/>
  <c r="G14" i="1" s="1"/>
  <c r="C14" i="1"/>
  <c r="F13" i="1"/>
  <c r="G13" i="1" s="1"/>
  <c r="C13" i="1"/>
  <c r="F12" i="1"/>
  <c r="C12" i="1"/>
  <c r="F11" i="1"/>
  <c r="C11" i="1"/>
  <c r="F10" i="1"/>
  <c r="G10" i="1" s="1"/>
  <c r="C10" i="1"/>
  <c r="O3" i="1"/>
  <c r="O4" i="1"/>
  <c r="O5" i="1"/>
  <c r="O6" i="1"/>
  <c r="O2" i="1"/>
  <c r="K6" i="1"/>
  <c r="F6" i="1"/>
  <c r="C6" i="1"/>
  <c r="K5" i="1"/>
  <c r="F5" i="1"/>
  <c r="G5" i="1" s="1"/>
  <c r="C5" i="1"/>
  <c r="K4" i="1"/>
  <c r="F4" i="1"/>
  <c r="G4" i="1" s="1"/>
  <c r="C4" i="1"/>
  <c r="K3" i="1"/>
  <c r="F3" i="1"/>
  <c r="G3" i="1" s="1"/>
  <c r="K2" i="1"/>
  <c r="C3" i="1"/>
  <c r="F2" i="1"/>
  <c r="C2" i="1"/>
  <c r="I3" i="2"/>
  <c r="I5" i="1" l="1"/>
  <c r="N5" i="1"/>
  <c r="P5" i="1" s="1"/>
  <c r="Q5" i="1" s="1"/>
  <c r="J5" i="1"/>
  <c r="L5" i="1" s="1"/>
  <c r="M5" i="1" s="1"/>
  <c r="I4" i="2"/>
  <c r="J4" i="2"/>
  <c r="L4" i="2" s="1"/>
  <c r="M4" i="2" s="1"/>
  <c r="N13" i="1"/>
  <c r="P13" i="1" s="1"/>
  <c r="Q13" i="1" s="1"/>
  <c r="I13" i="1"/>
  <c r="J13" i="1"/>
  <c r="L13" i="1" s="1"/>
  <c r="M13" i="1" s="1"/>
  <c r="J10" i="1"/>
  <c r="L10" i="1" s="1"/>
  <c r="M10" i="1" s="1"/>
  <c r="N10" i="1"/>
  <c r="P10" i="1" s="1"/>
  <c r="Q10" i="1" s="1"/>
  <c r="I10" i="1"/>
  <c r="D5" i="3"/>
  <c r="N23" i="2"/>
  <c r="P23" i="2" s="1"/>
  <c r="Q23" i="2" s="1"/>
  <c r="N2" i="2"/>
  <c r="P2" i="2" s="1"/>
  <c r="Q2" i="2" s="1"/>
  <c r="N14" i="2"/>
  <c r="P14" i="2" s="1"/>
  <c r="Q14" i="2" s="1"/>
  <c r="N22" i="2"/>
  <c r="P22" i="2" s="1"/>
  <c r="Q22" i="2" s="1"/>
  <c r="N12" i="2"/>
  <c r="P12" i="2" s="1"/>
  <c r="Q12" i="2" s="1"/>
  <c r="N21" i="2"/>
  <c r="P21" i="2" s="1"/>
  <c r="Q21" i="2" s="1"/>
  <c r="N15" i="2"/>
  <c r="P15" i="2" s="1"/>
  <c r="Q15" i="2" s="1"/>
  <c r="N6" i="2"/>
  <c r="P6" i="2" s="1"/>
  <c r="Q6" i="2" s="1"/>
  <c r="N5" i="2"/>
  <c r="P5" i="2" s="1"/>
  <c r="Q5" i="2" s="1"/>
  <c r="N19" i="2"/>
  <c r="P19" i="2" s="1"/>
  <c r="Q19" i="2" s="1"/>
  <c r="N20" i="2"/>
  <c r="P20" i="2" s="1"/>
  <c r="Q20" i="2" s="1"/>
  <c r="N13" i="2"/>
  <c r="P13" i="2" s="1"/>
  <c r="Q13" i="2" s="1"/>
  <c r="N11" i="2"/>
  <c r="P11" i="2" s="1"/>
  <c r="Q11" i="2" s="1"/>
  <c r="N4" i="2"/>
  <c r="P4" i="2" s="1"/>
  <c r="Q4" i="2" s="1"/>
  <c r="N3" i="2"/>
  <c r="P3" i="2" s="1"/>
  <c r="Q3" i="2" s="1"/>
  <c r="N3" i="1"/>
  <c r="P3" i="1" s="1"/>
  <c r="Q3" i="1" s="1"/>
  <c r="J3" i="1"/>
  <c r="L3" i="1" s="1"/>
  <c r="M3" i="1" s="1"/>
  <c r="I3" i="1"/>
  <c r="J14" i="1"/>
  <c r="L14" i="1" s="1"/>
  <c r="M14" i="1" s="1"/>
  <c r="I14" i="1"/>
  <c r="N14" i="1"/>
  <c r="P14" i="1" s="1"/>
  <c r="Q14" i="1" s="1"/>
  <c r="N4" i="1"/>
  <c r="P4" i="1" s="1"/>
  <c r="Q4" i="1" s="1"/>
  <c r="I4" i="1"/>
  <c r="J4" i="1"/>
  <c r="L4" i="1" s="1"/>
  <c r="M4" i="1" s="1"/>
  <c r="I6" i="2"/>
  <c r="J6" i="2"/>
  <c r="L6" i="2" s="1"/>
  <c r="M6" i="2" s="1"/>
  <c r="I2" i="2"/>
  <c r="J2" i="2"/>
  <c r="L2" i="2" s="1"/>
  <c r="M2" i="2" s="1"/>
  <c r="J14" i="2"/>
  <c r="L14" i="2" s="1"/>
  <c r="M14" i="2" s="1"/>
  <c r="I14" i="2"/>
  <c r="N12" i="1"/>
  <c r="P12" i="1" s="1"/>
  <c r="Q12" i="1" s="1"/>
  <c r="I2" i="1"/>
  <c r="I6" i="1"/>
  <c r="J12" i="1"/>
  <c r="L12" i="1" s="1"/>
  <c r="M12" i="1" s="1"/>
  <c r="J15" i="2"/>
  <c r="L15" i="2" s="1"/>
  <c r="M15" i="2" s="1"/>
  <c r="J5" i="2"/>
  <c r="L5" i="2" s="1"/>
  <c r="M5" i="2" s="1"/>
  <c r="N6" i="1"/>
  <c r="P6" i="1" s="1"/>
  <c r="Q6" i="1" s="1"/>
  <c r="J11" i="2"/>
  <c r="L11" i="2" s="1"/>
  <c r="M11" i="2" s="1"/>
  <c r="I11" i="1"/>
</calcChain>
</file>

<file path=xl/sharedStrings.xml><?xml version="1.0" encoding="utf-8"?>
<sst xmlns="http://schemas.openxmlformats.org/spreadsheetml/2006/main" count="107" uniqueCount="33">
  <si>
    <t>Average Message Size</t>
  </si>
  <si>
    <t>Header Size</t>
  </si>
  <si>
    <t>Entry Size</t>
  </si>
  <si>
    <t xml:space="preserve">Nearest 256 bytes </t>
  </si>
  <si>
    <t>total</t>
  </si>
  <si>
    <t>Number of messages to be stored</t>
  </si>
  <si>
    <t>Message Size in Entries</t>
  </si>
  <si>
    <t>IF only CF storage were used (in GB)</t>
  </si>
  <si>
    <t>Messages in CF  - Offload Rule - 70% off load all, assuming 1GB of CF</t>
  </si>
  <si>
    <t xml:space="preserve">Messages in SMDS where 2K of control info is remaining CF </t>
  </si>
  <si>
    <t>Total messages</t>
  </si>
  <si>
    <t>Messages in CF  - Offload Rule - 70% off load all, assuming 2GB of CF</t>
  </si>
  <si>
    <t>Message Debt with 1G storage</t>
  </si>
  <si>
    <t>Message debt with 2G CF storage</t>
  </si>
  <si>
    <t>Messages in CF  - Offload Rule - 50% off load all, assuming 1GB of CF</t>
  </si>
  <si>
    <t>Total Messages</t>
  </si>
  <si>
    <t>Message Debt with 1G Storage</t>
  </si>
  <si>
    <t>Messages in CF  - Offload Rule - 50% off load all, assuming 2GB of CF</t>
  </si>
  <si>
    <t>32% Markup</t>
  </si>
  <si>
    <t>Messages in SMDS to get to 90% CF full (SCM point)</t>
  </si>
  <si>
    <t>total Messages</t>
  </si>
  <si>
    <t>Min. SCM required (if SCM offloading kicks in for all incoming messages)</t>
  </si>
  <si>
    <t>Min. SCM Required (if SCM kicks in for all incoming messages at 90%)</t>
  </si>
  <si>
    <t>Messages in SMDS to get to 90% CF full</t>
  </si>
  <si>
    <t>CF Size</t>
  </si>
  <si>
    <t>Usable</t>
  </si>
  <si>
    <t>CF Reduction for using SCM - this is approximate</t>
  </si>
  <si>
    <t>Messages in CF  - Offload Rule - 100% off load all, assuming 1GB of CF</t>
  </si>
  <si>
    <t>Messages in CF  - Offload Rule - 100% off load all, assuming 2GB of CF</t>
  </si>
  <si>
    <t xml:space="preserve"> </t>
  </si>
  <si>
    <t>Reduction - 61.5 MB</t>
  </si>
  <si>
    <t>Percentage</t>
  </si>
  <si>
    <t>IF only CF storage were used (in GB) - without 32% CFCC 'Markup'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</si>
</sst>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3" fontId="1" fillId="0" borderId="0" xfId="0" applyNumberFormat="1" applyFont="1"/>
    <xf numFmtId="0" fontId="1" fillId="0" borderId="0" xfId="0" applyFont="1"/>
    <xf numFmtId="3" fontId="2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A92C0-60D5-490C-B93D-9399B415DF62}">
  <dimension ref="A1:Q22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1.5546875" customWidth="1"/>
    <col min="2" max="2" width="7.6640625" customWidth="1"/>
    <col min="3" max="3" width="8.33203125" customWidth="1"/>
    <col min="4" max="4" width="7.44140625" customWidth="1"/>
    <col min="13" max="13" width="8.88671875" style="5"/>
    <col min="17" max="17" width="8.88671875" style="5"/>
  </cols>
  <sheetData>
    <row r="1" spans="1:17" s="2" customFormat="1" ht="129.6" x14ac:dyDescent="0.3">
      <c r="A1" s="2" t="s">
        <v>0</v>
      </c>
      <c r="B1" s="2" t="s">
        <v>1</v>
      </c>
      <c r="C1" s="2" t="s">
        <v>4</v>
      </c>
      <c r="D1" s="2" t="s">
        <v>3</v>
      </c>
      <c r="E1" s="2" t="s">
        <v>2</v>
      </c>
      <c r="F1" s="2" t="s">
        <v>6</v>
      </c>
      <c r="G1" s="2" t="s">
        <v>18</v>
      </c>
      <c r="H1" s="2" t="s">
        <v>5</v>
      </c>
      <c r="I1" s="2" t="s">
        <v>32</v>
      </c>
      <c r="J1" s="2" t="s">
        <v>8</v>
      </c>
      <c r="K1" s="2" t="s">
        <v>9</v>
      </c>
      <c r="L1" s="2" t="s">
        <v>10</v>
      </c>
      <c r="M1" s="3" t="s">
        <v>12</v>
      </c>
      <c r="N1" s="2" t="s">
        <v>11</v>
      </c>
      <c r="O1" s="2" t="s">
        <v>9</v>
      </c>
      <c r="P1" s="2" t="s">
        <v>10</v>
      </c>
      <c r="Q1" s="3" t="s">
        <v>13</v>
      </c>
    </row>
    <row r="2" spans="1:17" x14ac:dyDescent="0.3">
      <c r="A2" s="1">
        <v>25000</v>
      </c>
      <c r="B2">
        <v>372</v>
      </c>
      <c r="C2" s="1">
        <f>A2+B2</f>
        <v>25372</v>
      </c>
      <c r="D2" s="1">
        <v>25600</v>
      </c>
      <c r="E2" s="1">
        <v>256</v>
      </c>
      <c r="F2" s="1">
        <f>SUM(E2,D2)</f>
        <v>25856</v>
      </c>
      <c r="G2" s="1">
        <f>ROUNDUP((F2+(F2*0.32)),0)</f>
        <v>34130</v>
      </c>
      <c r="H2" s="1">
        <v>2000000</v>
      </c>
      <c r="I2">
        <f>ROUNDUP(((H2*G2)/1073741824),0)</f>
        <v>64</v>
      </c>
      <c r="J2">
        <f>ROUNDDOWN((1073741824*0.7)/G2,0)</f>
        <v>22022</v>
      </c>
      <c r="K2">
        <f>ROUNDDOWN((1073741824*0.3)/2048,0)</f>
        <v>157286</v>
      </c>
      <c r="L2">
        <f>SUM(J2:K2)</f>
        <v>179308</v>
      </c>
      <c r="M2" s="4">
        <f>H2-L2</f>
        <v>1820692</v>
      </c>
      <c r="N2">
        <f>ROUNDDOWN(((1073741824*2)*0.7)/G2,0)</f>
        <v>44044</v>
      </c>
      <c r="O2">
        <f>ROUNDDOWN(((1073741824*2)*0.3)/2048,0)</f>
        <v>314572</v>
      </c>
      <c r="P2">
        <f>SUM(N2:O2)</f>
        <v>358616</v>
      </c>
      <c r="Q2" s="4">
        <f>H2-P2</f>
        <v>1641384</v>
      </c>
    </row>
    <row r="3" spans="1:17" x14ac:dyDescent="0.3">
      <c r="A3" s="1">
        <v>15000</v>
      </c>
      <c r="B3">
        <v>372</v>
      </c>
      <c r="C3" s="1">
        <f>A3+B3</f>
        <v>15372</v>
      </c>
      <c r="D3">
        <v>15616</v>
      </c>
      <c r="E3">
        <v>256</v>
      </c>
      <c r="F3" s="1">
        <f>SUM(E3,D3)</f>
        <v>15872</v>
      </c>
      <c r="G3" s="1">
        <f t="shared" ref="G3:G6" si="0">ROUNDUP((F3+(F3*0.32)),0)</f>
        <v>20952</v>
      </c>
      <c r="H3" s="1">
        <v>2000000</v>
      </c>
      <c r="I3">
        <f t="shared" ref="I3:I6" si="1">ROUNDUP(((H3*G3)/1073741824),0)</f>
        <v>40</v>
      </c>
      <c r="J3">
        <f t="shared" ref="J3:J6" si="2">ROUNDDOWN((1073741824*0.7)/G3,0)</f>
        <v>35873</v>
      </c>
      <c r="K3">
        <f>ROUNDDOWN((1073741824*0.3)/2048,0)</f>
        <v>157286</v>
      </c>
      <c r="L3">
        <f>SUM(J3:K3)</f>
        <v>193159</v>
      </c>
      <c r="M3" s="4">
        <f>H3-L3</f>
        <v>1806841</v>
      </c>
      <c r="N3">
        <f t="shared" ref="N3:N6" si="3">ROUNDDOWN(((1073741824*2)*0.7)/G3,0)</f>
        <v>71746</v>
      </c>
      <c r="O3">
        <f t="shared" ref="O3:O6" si="4">ROUNDDOWN(((1073741824*2)*0.3)/2048,0)</f>
        <v>314572</v>
      </c>
      <c r="P3">
        <f t="shared" ref="P3:P6" si="5">SUM(N3:O3)</f>
        <v>386318</v>
      </c>
      <c r="Q3" s="4">
        <f>H3-P3</f>
        <v>1613682</v>
      </c>
    </row>
    <row r="4" spans="1:17" x14ac:dyDescent="0.3">
      <c r="A4" s="1">
        <v>10000</v>
      </c>
      <c r="B4">
        <v>372</v>
      </c>
      <c r="C4" s="1">
        <f>A4+B4</f>
        <v>10372</v>
      </c>
      <c r="D4">
        <v>10496</v>
      </c>
      <c r="E4">
        <v>256</v>
      </c>
      <c r="F4" s="1">
        <f>SUM(E4,D4)</f>
        <v>10752</v>
      </c>
      <c r="G4" s="1">
        <f t="shared" si="0"/>
        <v>14193</v>
      </c>
      <c r="H4" s="1">
        <v>2000000</v>
      </c>
      <c r="I4">
        <f t="shared" si="1"/>
        <v>27</v>
      </c>
      <c r="J4">
        <f t="shared" si="2"/>
        <v>52957</v>
      </c>
      <c r="K4">
        <f>ROUNDDOWN((1073741824*0.3)/2048,0)</f>
        <v>157286</v>
      </c>
      <c r="L4">
        <f>SUM(J4:K4)</f>
        <v>210243</v>
      </c>
      <c r="M4" s="4">
        <f>H4-L4</f>
        <v>1789757</v>
      </c>
      <c r="N4">
        <f t="shared" si="3"/>
        <v>105914</v>
      </c>
      <c r="O4">
        <f t="shared" si="4"/>
        <v>314572</v>
      </c>
      <c r="P4">
        <f t="shared" si="5"/>
        <v>420486</v>
      </c>
      <c r="Q4" s="4">
        <f>H4-P4</f>
        <v>1579514</v>
      </c>
    </row>
    <row r="5" spans="1:17" x14ac:dyDescent="0.3">
      <c r="A5" s="1">
        <v>5000</v>
      </c>
      <c r="B5">
        <v>372</v>
      </c>
      <c r="C5" s="1">
        <f>A5+B5</f>
        <v>5372</v>
      </c>
      <c r="D5">
        <v>5376</v>
      </c>
      <c r="E5">
        <v>256</v>
      </c>
      <c r="F5" s="1">
        <f>SUM(E5,D5)</f>
        <v>5632</v>
      </c>
      <c r="G5" s="1">
        <f t="shared" si="0"/>
        <v>7435</v>
      </c>
      <c r="H5" s="1">
        <v>2000000</v>
      </c>
      <c r="I5">
        <f t="shared" si="1"/>
        <v>14</v>
      </c>
      <c r="J5">
        <f t="shared" si="2"/>
        <v>101092</v>
      </c>
      <c r="K5">
        <f>ROUNDDOWN((1073741824*0.3)/2048,0)</f>
        <v>157286</v>
      </c>
      <c r="L5">
        <f>SUM(J5:K5)</f>
        <v>258378</v>
      </c>
      <c r="M5" s="4">
        <f>H5-L5</f>
        <v>1741622</v>
      </c>
      <c r="N5">
        <f t="shared" si="3"/>
        <v>202184</v>
      </c>
      <c r="O5">
        <f t="shared" si="4"/>
        <v>314572</v>
      </c>
      <c r="P5">
        <f t="shared" si="5"/>
        <v>516756</v>
      </c>
      <c r="Q5" s="4">
        <f>H5-P5</f>
        <v>1483244</v>
      </c>
    </row>
    <row r="6" spans="1:17" x14ac:dyDescent="0.3">
      <c r="A6" s="1">
        <v>2500</v>
      </c>
      <c r="B6">
        <v>372</v>
      </c>
      <c r="C6" s="1">
        <f>A6+B6</f>
        <v>2872</v>
      </c>
      <c r="D6">
        <v>3072</v>
      </c>
      <c r="E6">
        <v>256</v>
      </c>
      <c r="F6" s="1">
        <f>SUM(E6,D6)</f>
        <v>3328</v>
      </c>
      <c r="G6" s="1">
        <f t="shared" si="0"/>
        <v>4393</v>
      </c>
      <c r="H6" s="1">
        <v>2000000</v>
      </c>
      <c r="I6">
        <f t="shared" si="1"/>
        <v>9</v>
      </c>
      <c r="J6">
        <f t="shared" si="2"/>
        <v>171094</v>
      </c>
      <c r="K6">
        <f>ROUNDDOWN((1073741824*0.3)/2048,0)</f>
        <v>157286</v>
      </c>
      <c r="L6">
        <f>SUM(J6:K6)</f>
        <v>328380</v>
      </c>
      <c r="M6" s="4">
        <f>H6-L6</f>
        <v>1671620</v>
      </c>
      <c r="N6">
        <f t="shared" si="3"/>
        <v>342189</v>
      </c>
      <c r="O6">
        <f t="shared" si="4"/>
        <v>314572</v>
      </c>
      <c r="P6">
        <f t="shared" si="5"/>
        <v>656761</v>
      </c>
      <c r="Q6" s="4">
        <f>H6-P6</f>
        <v>1343239</v>
      </c>
    </row>
    <row r="9" spans="1:17" ht="129.6" x14ac:dyDescent="0.3">
      <c r="A9" s="2" t="s">
        <v>0</v>
      </c>
      <c r="B9" s="2" t="s">
        <v>1</v>
      </c>
      <c r="C9" s="2" t="s">
        <v>4</v>
      </c>
      <c r="D9" s="2" t="s">
        <v>3</v>
      </c>
      <c r="E9" s="2" t="s">
        <v>2</v>
      </c>
      <c r="F9" s="2" t="s">
        <v>6</v>
      </c>
      <c r="G9" s="2" t="s">
        <v>18</v>
      </c>
      <c r="H9" s="2" t="s">
        <v>5</v>
      </c>
      <c r="I9" s="2" t="s">
        <v>7</v>
      </c>
      <c r="J9" s="2" t="s">
        <v>14</v>
      </c>
      <c r="K9" s="2" t="s">
        <v>9</v>
      </c>
      <c r="L9" s="2" t="s">
        <v>15</v>
      </c>
      <c r="M9" s="3" t="s">
        <v>16</v>
      </c>
      <c r="N9" s="2" t="s">
        <v>17</v>
      </c>
      <c r="O9" s="2" t="s">
        <v>9</v>
      </c>
      <c r="P9" s="2" t="s">
        <v>10</v>
      </c>
      <c r="Q9" s="3" t="s">
        <v>13</v>
      </c>
    </row>
    <row r="10" spans="1:17" x14ac:dyDescent="0.3">
      <c r="A10" s="1">
        <v>25000</v>
      </c>
      <c r="B10">
        <v>372</v>
      </c>
      <c r="C10" s="1">
        <f>A10+B10</f>
        <v>25372</v>
      </c>
      <c r="D10" s="1">
        <v>25600</v>
      </c>
      <c r="E10" s="1">
        <v>256</v>
      </c>
      <c r="F10" s="1">
        <f>SUM(E10,D10)</f>
        <v>25856</v>
      </c>
      <c r="G10" s="1">
        <f>ROUNDUP((F10+(F10*0.32)),0)</f>
        <v>34130</v>
      </c>
      <c r="H10" s="1">
        <v>2000000</v>
      </c>
      <c r="I10">
        <f>ROUNDUP(((H10*G10)/1073741824),0)</f>
        <v>64</v>
      </c>
      <c r="J10">
        <f>ROUNDDOWN((1073741824*0.5)/G10,0)</f>
        <v>15730</v>
      </c>
      <c r="K10">
        <f>ROUNDDOWN((1073741824*0.5)/2048,0)</f>
        <v>262144</v>
      </c>
      <c r="L10">
        <f>SUM(J10:K10)</f>
        <v>277874</v>
      </c>
      <c r="M10" s="4">
        <f>H10-L10</f>
        <v>1722126</v>
      </c>
      <c r="N10">
        <f>ROUNDDOWN(((1073741824*2)*0.5)/G10,0)</f>
        <v>31460</v>
      </c>
      <c r="O10">
        <f>ROUNDDOWN(((1073741824*2)*0.5)/2048,0)</f>
        <v>524288</v>
      </c>
      <c r="P10">
        <f>SUM(N10:O10)</f>
        <v>555748</v>
      </c>
      <c r="Q10" s="4">
        <f>H10-P10</f>
        <v>1444252</v>
      </c>
    </row>
    <row r="11" spans="1:17" x14ac:dyDescent="0.3">
      <c r="A11" s="1">
        <v>15000</v>
      </c>
      <c r="B11">
        <v>372</v>
      </c>
      <c r="C11" s="1">
        <f>A11+B11</f>
        <v>15372</v>
      </c>
      <c r="D11">
        <v>15616</v>
      </c>
      <c r="E11">
        <v>256</v>
      </c>
      <c r="F11" s="1">
        <f>SUM(E11,D11)</f>
        <v>15872</v>
      </c>
      <c r="G11" s="1">
        <f t="shared" ref="G11:G14" si="6">ROUNDUP((F11+(F11*0.32)),0)</f>
        <v>20952</v>
      </c>
      <c r="H11" s="1">
        <v>2000000</v>
      </c>
      <c r="I11">
        <f t="shared" ref="I11:I14" si="7">ROUNDUP(((H11*G11)/1073741824),0)</f>
        <v>40</v>
      </c>
      <c r="J11">
        <f t="shared" ref="J11:J14" si="8">ROUNDDOWN((1073741824*0.5)/G11,0)</f>
        <v>25623</v>
      </c>
      <c r="K11">
        <f t="shared" ref="K11:K14" si="9">ROUNDDOWN((1073741824*0.5)/2048,0)</f>
        <v>262144</v>
      </c>
      <c r="L11">
        <f t="shared" ref="L11:L14" si="10">SUM(J11:K11)</f>
        <v>287767</v>
      </c>
      <c r="M11" s="4">
        <f>H11-L11</f>
        <v>1712233</v>
      </c>
      <c r="N11">
        <f t="shared" ref="N11:N14" si="11">ROUNDDOWN(((1073741824*2)*0.5)/G11,0)</f>
        <v>51247</v>
      </c>
      <c r="O11">
        <f t="shared" ref="O11:O14" si="12">ROUNDDOWN(((1073741824*2)*0.5)/2048,0)</f>
        <v>524288</v>
      </c>
      <c r="P11">
        <f t="shared" ref="P11:P14" si="13">SUM(N11:O11)</f>
        <v>575535</v>
      </c>
      <c r="Q11" s="4">
        <f>H11-P11</f>
        <v>1424465</v>
      </c>
    </row>
    <row r="12" spans="1:17" x14ac:dyDescent="0.3">
      <c r="A12" s="1">
        <v>10000</v>
      </c>
      <c r="B12">
        <v>372</v>
      </c>
      <c r="C12" s="1">
        <f>A12+B12</f>
        <v>10372</v>
      </c>
      <c r="D12">
        <v>10496</v>
      </c>
      <c r="E12">
        <v>256</v>
      </c>
      <c r="F12" s="1">
        <f>SUM(E12,D12)</f>
        <v>10752</v>
      </c>
      <c r="G12" s="1">
        <f t="shared" si="6"/>
        <v>14193</v>
      </c>
      <c r="H12" s="1">
        <v>2000000</v>
      </c>
      <c r="I12">
        <f t="shared" si="7"/>
        <v>27</v>
      </c>
      <c r="J12">
        <f t="shared" si="8"/>
        <v>37826</v>
      </c>
      <c r="K12">
        <f t="shared" si="9"/>
        <v>262144</v>
      </c>
      <c r="L12">
        <f t="shared" si="10"/>
        <v>299970</v>
      </c>
      <c r="M12" s="4">
        <f>H12-L12</f>
        <v>1700030</v>
      </c>
      <c r="N12">
        <f t="shared" si="11"/>
        <v>75652</v>
      </c>
      <c r="O12">
        <f t="shared" si="12"/>
        <v>524288</v>
      </c>
      <c r="P12">
        <f t="shared" si="13"/>
        <v>599940</v>
      </c>
      <c r="Q12" s="4">
        <f>H12-P12</f>
        <v>1400060</v>
      </c>
    </row>
    <row r="13" spans="1:17" x14ac:dyDescent="0.3">
      <c r="A13" s="1">
        <v>5000</v>
      </c>
      <c r="B13">
        <v>372</v>
      </c>
      <c r="C13" s="1">
        <f>A13+B13</f>
        <v>5372</v>
      </c>
      <c r="D13">
        <v>5376</v>
      </c>
      <c r="E13">
        <v>256</v>
      </c>
      <c r="F13" s="1">
        <f>SUM(E13,D13)</f>
        <v>5632</v>
      </c>
      <c r="G13" s="1">
        <f t="shared" si="6"/>
        <v>7435</v>
      </c>
      <c r="H13" s="1">
        <v>2000000</v>
      </c>
      <c r="I13">
        <f t="shared" si="7"/>
        <v>14</v>
      </c>
      <c r="J13">
        <f t="shared" si="8"/>
        <v>72208</v>
      </c>
      <c r="K13">
        <f t="shared" si="9"/>
        <v>262144</v>
      </c>
      <c r="L13">
        <f t="shared" si="10"/>
        <v>334352</v>
      </c>
      <c r="M13" s="4">
        <f>H13-L13</f>
        <v>1665648</v>
      </c>
      <c r="N13">
        <f t="shared" si="11"/>
        <v>144417</v>
      </c>
      <c r="O13">
        <f t="shared" si="12"/>
        <v>524288</v>
      </c>
      <c r="P13">
        <f t="shared" si="13"/>
        <v>668705</v>
      </c>
      <c r="Q13" s="4">
        <f>H13-P13</f>
        <v>1331295</v>
      </c>
    </row>
    <row r="14" spans="1:17" x14ac:dyDescent="0.3">
      <c r="A14" s="1">
        <v>2500</v>
      </c>
      <c r="B14">
        <v>372</v>
      </c>
      <c r="C14" s="1">
        <f>A14+B14</f>
        <v>2872</v>
      </c>
      <c r="D14">
        <v>3072</v>
      </c>
      <c r="E14">
        <v>256</v>
      </c>
      <c r="F14" s="1">
        <f>SUM(E14,D14)</f>
        <v>3328</v>
      </c>
      <c r="G14" s="1">
        <f t="shared" si="6"/>
        <v>4393</v>
      </c>
      <c r="H14" s="1">
        <v>2000000</v>
      </c>
      <c r="I14">
        <f t="shared" si="7"/>
        <v>9</v>
      </c>
      <c r="J14">
        <f t="shared" si="8"/>
        <v>122210</v>
      </c>
      <c r="K14">
        <f t="shared" si="9"/>
        <v>262144</v>
      </c>
      <c r="L14">
        <f t="shared" si="10"/>
        <v>384354</v>
      </c>
      <c r="M14" s="4">
        <f>H14-L14</f>
        <v>1615646</v>
      </c>
      <c r="N14">
        <f t="shared" si="11"/>
        <v>244421</v>
      </c>
      <c r="O14">
        <f t="shared" si="12"/>
        <v>524288</v>
      </c>
      <c r="P14">
        <f t="shared" si="13"/>
        <v>768709</v>
      </c>
      <c r="Q14" s="4">
        <f>H14-P14</f>
        <v>1231291</v>
      </c>
    </row>
    <row r="17" spans="1:17" ht="129.6" x14ac:dyDescent="0.3">
      <c r="A17" s="2" t="s">
        <v>0</v>
      </c>
      <c r="B17" s="2" t="s">
        <v>1</v>
      </c>
      <c r="C17" s="2" t="s">
        <v>4</v>
      </c>
      <c r="D17" s="2" t="s">
        <v>3</v>
      </c>
      <c r="E17" s="2" t="s">
        <v>2</v>
      </c>
      <c r="F17" s="2" t="s">
        <v>6</v>
      </c>
      <c r="G17" s="2" t="s">
        <v>18</v>
      </c>
      <c r="H17" s="2" t="s">
        <v>5</v>
      </c>
      <c r="I17" s="2" t="s">
        <v>7</v>
      </c>
      <c r="J17" s="2" t="s">
        <v>27</v>
      </c>
      <c r="K17" s="2" t="s">
        <v>29</v>
      </c>
      <c r="L17" s="2" t="s">
        <v>15</v>
      </c>
      <c r="M17" s="3" t="s">
        <v>16</v>
      </c>
      <c r="N17" s="2" t="s">
        <v>28</v>
      </c>
      <c r="O17" s="2" t="s">
        <v>29</v>
      </c>
      <c r="P17" s="2" t="s">
        <v>10</v>
      </c>
      <c r="Q17" s="3" t="s">
        <v>13</v>
      </c>
    </row>
    <row r="18" spans="1:17" x14ac:dyDescent="0.3">
      <c r="A18" s="1">
        <v>25000</v>
      </c>
      <c r="B18">
        <v>372</v>
      </c>
      <c r="C18" s="1">
        <f>A18+B18</f>
        <v>25372</v>
      </c>
      <c r="D18" s="1">
        <v>25600</v>
      </c>
      <c r="E18" s="1">
        <v>256</v>
      </c>
      <c r="F18" s="1">
        <f>SUM(E18,D18)</f>
        <v>25856</v>
      </c>
      <c r="G18" s="1">
        <f>ROUNDUP((F18+(F18*0.32)),0)</f>
        <v>34130</v>
      </c>
      <c r="H18" s="1">
        <v>2000000</v>
      </c>
      <c r="I18">
        <f>ROUNDUP(((H18*G18)/1073741824),0)</f>
        <v>64</v>
      </c>
      <c r="J18">
        <f>ROUNDDOWN((1073741824)/2048,0)</f>
        <v>524288</v>
      </c>
      <c r="K18">
        <v>0</v>
      </c>
      <c r="L18">
        <f>SUM(J18:K18)</f>
        <v>524288</v>
      </c>
      <c r="M18" s="4">
        <f>H18-L18</f>
        <v>1475712</v>
      </c>
      <c r="N18">
        <f>ROUNDDOWN(((1073741824*2))/2048,0)</f>
        <v>1048576</v>
      </c>
      <c r="O18">
        <v>0</v>
      </c>
      <c r="P18">
        <f>SUM(N18:O18)</f>
        <v>1048576</v>
      </c>
      <c r="Q18" s="4">
        <f>H18-P18</f>
        <v>951424</v>
      </c>
    </row>
    <row r="19" spans="1:17" x14ac:dyDescent="0.3">
      <c r="A19" s="1">
        <v>15000</v>
      </c>
      <c r="B19">
        <v>372</v>
      </c>
      <c r="C19" s="1">
        <f>A19+B19</f>
        <v>15372</v>
      </c>
      <c r="D19">
        <v>15616</v>
      </c>
      <c r="E19">
        <v>256</v>
      </c>
      <c r="F19" s="1">
        <f>SUM(E19,D19)</f>
        <v>15872</v>
      </c>
      <c r="G19" s="1">
        <f t="shared" ref="G19:G22" si="14">ROUNDUP((F19+(F19*0.32)),0)</f>
        <v>20952</v>
      </c>
      <c r="H19" s="1">
        <v>2000000</v>
      </c>
      <c r="I19">
        <f t="shared" ref="I19:I22" si="15">ROUNDUP(((H19*G19)/1073741824),0)</f>
        <v>40</v>
      </c>
      <c r="J19">
        <f t="shared" ref="J19:J22" si="16">ROUNDDOWN((1073741824)/2048,0)</f>
        <v>524288</v>
      </c>
      <c r="K19">
        <v>0</v>
      </c>
      <c r="L19">
        <f t="shared" ref="L19:L22" si="17">SUM(J19:K19)</f>
        <v>524288</v>
      </c>
      <c r="M19" s="4">
        <f>H19-L19</f>
        <v>1475712</v>
      </c>
      <c r="N19">
        <f t="shared" ref="N19:N22" si="18">ROUNDDOWN(((1073741824*2))/2048,0)</f>
        <v>1048576</v>
      </c>
      <c r="O19">
        <v>0</v>
      </c>
      <c r="P19">
        <f t="shared" ref="P19:P22" si="19">SUM(N19:O19)</f>
        <v>1048576</v>
      </c>
      <c r="Q19" s="4">
        <f>H19-P19</f>
        <v>951424</v>
      </c>
    </row>
    <row r="20" spans="1:17" x14ac:dyDescent="0.3">
      <c r="A20" s="1">
        <v>10000</v>
      </c>
      <c r="B20">
        <v>372</v>
      </c>
      <c r="C20" s="1">
        <f>A20+B20</f>
        <v>10372</v>
      </c>
      <c r="D20">
        <v>10496</v>
      </c>
      <c r="E20">
        <v>256</v>
      </c>
      <c r="F20" s="1">
        <f>SUM(E20,D20)</f>
        <v>10752</v>
      </c>
      <c r="G20" s="1">
        <f t="shared" si="14"/>
        <v>14193</v>
      </c>
      <c r="H20" s="1">
        <v>2000000</v>
      </c>
      <c r="I20">
        <f t="shared" si="15"/>
        <v>27</v>
      </c>
      <c r="J20">
        <f t="shared" si="16"/>
        <v>524288</v>
      </c>
      <c r="K20">
        <v>0</v>
      </c>
      <c r="L20">
        <f t="shared" si="17"/>
        <v>524288</v>
      </c>
      <c r="M20" s="4">
        <f>H20-L20</f>
        <v>1475712</v>
      </c>
      <c r="N20">
        <f t="shared" si="18"/>
        <v>1048576</v>
      </c>
      <c r="O20">
        <v>0</v>
      </c>
      <c r="P20">
        <f t="shared" si="19"/>
        <v>1048576</v>
      </c>
      <c r="Q20" s="4">
        <f>H20-P20</f>
        <v>951424</v>
      </c>
    </row>
    <row r="21" spans="1:17" x14ac:dyDescent="0.3">
      <c r="A21" s="1">
        <v>5000</v>
      </c>
      <c r="B21">
        <v>372</v>
      </c>
      <c r="C21" s="1">
        <f>A21+B21</f>
        <v>5372</v>
      </c>
      <c r="D21">
        <v>5376</v>
      </c>
      <c r="E21">
        <v>256</v>
      </c>
      <c r="F21" s="1">
        <f>SUM(E21,D21)</f>
        <v>5632</v>
      </c>
      <c r="G21" s="1">
        <f t="shared" si="14"/>
        <v>7435</v>
      </c>
      <c r="H21" s="1">
        <v>2000000</v>
      </c>
      <c r="I21">
        <f t="shared" si="15"/>
        <v>14</v>
      </c>
      <c r="J21">
        <f t="shared" si="16"/>
        <v>524288</v>
      </c>
      <c r="K21">
        <v>0</v>
      </c>
      <c r="L21">
        <f t="shared" si="17"/>
        <v>524288</v>
      </c>
      <c r="M21" s="4">
        <f>H21-L21</f>
        <v>1475712</v>
      </c>
      <c r="N21">
        <f t="shared" si="18"/>
        <v>1048576</v>
      </c>
      <c r="O21">
        <v>0</v>
      </c>
      <c r="P21">
        <f t="shared" si="19"/>
        <v>1048576</v>
      </c>
      <c r="Q21" s="4">
        <f>H21-P21</f>
        <v>951424</v>
      </c>
    </row>
    <row r="22" spans="1:17" x14ac:dyDescent="0.3">
      <c r="A22" s="1">
        <v>2500</v>
      </c>
      <c r="B22">
        <v>372</v>
      </c>
      <c r="C22" s="1">
        <f>A22+B22</f>
        <v>2872</v>
      </c>
      <c r="D22">
        <v>3072</v>
      </c>
      <c r="E22">
        <v>256</v>
      </c>
      <c r="F22" s="1">
        <f>SUM(E22,D22)</f>
        <v>3328</v>
      </c>
      <c r="G22" s="1">
        <f t="shared" si="14"/>
        <v>4393</v>
      </c>
      <c r="H22" s="1">
        <v>2000000</v>
      </c>
      <c r="I22">
        <f t="shared" si="15"/>
        <v>9</v>
      </c>
      <c r="J22">
        <f t="shared" si="16"/>
        <v>524288</v>
      </c>
      <c r="K22">
        <v>0</v>
      </c>
      <c r="L22">
        <f t="shared" si="17"/>
        <v>524288</v>
      </c>
      <c r="M22" s="4">
        <f>H22-L22</f>
        <v>1475712</v>
      </c>
      <c r="N22">
        <f t="shared" si="18"/>
        <v>1048576</v>
      </c>
      <c r="O22">
        <v>0</v>
      </c>
      <c r="P22">
        <f t="shared" si="19"/>
        <v>1048576</v>
      </c>
      <c r="Q22" s="4">
        <f>H22-P22</f>
        <v>951424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CB386-825A-45BD-93BC-959F84B04F05}">
  <dimension ref="A1:D5"/>
  <sheetViews>
    <sheetView workbookViewId="0">
      <selection activeCell="D5" sqref="D5"/>
    </sheetView>
  </sheetViews>
  <sheetFormatPr defaultRowHeight="14.4" x14ac:dyDescent="0.3"/>
  <cols>
    <col min="1" max="1" width="12.88671875" customWidth="1"/>
    <col min="3" max="3" width="11" bestFit="1" customWidth="1"/>
    <col min="4" max="4" width="8.88671875" style="7"/>
  </cols>
  <sheetData>
    <row r="1" spans="1:4" x14ac:dyDescent="0.3">
      <c r="A1" t="s">
        <v>26</v>
      </c>
    </row>
    <row r="3" spans="1:4" x14ac:dyDescent="0.3">
      <c r="A3" t="s">
        <v>24</v>
      </c>
      <c r="B3" t="s">
        <v>30</v>
      </c>
      <c r="C3" t="s">
        <v>25</v>
      </c>
      <c r="D3" s="7" t="s">
        <v>31</v>
      </c>
    </row>
    <row r="4" spans="1:4" x14ac:dyDescent="0.3">
      <c r="A4">
        <v>1073741824</v>
      </c>
      <c r="B4">
        <f>(1048576*61.5)</f>
        <v>64487424</v>
      </c>
      <c r="C4">
        <f>A4-B4</f>
        <v>1009254400</v>
      </c>
      <c r="D4" s="7">
        <f>(C4/A4)</f>
        <v>0.93994140625</v>
      </c>
    </row>
    <row r="5" spans="1:4" x14ac:dyDescent="0.3">
      <c r="A5">
        <f>A4*2</f>
        <v>2147483648</v>
      </c>
      <c r="B5">
        <f>(1048576*61.5)</f>
        <v>64487424</v>
      </c>
      <c r="C5">
        <f>A5-B5</f>
        <v>2082996224</v>
      </c>
      <c r="D5" s="7">
        <f>(C5/A5)</f>
        <v>0.969970703125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23E9-EC3D-4E59-B27C-4F8E67EBB907}">
  <dimension ref="A1:S23"/>
  <sheetViews>
    <sheetView topLeftCell="A6" workbookViewId="0">
      <selection activeCell="Q2" sqref="Q2"/>
    </sheetView>
  </sheetViews>
  <sheetFormatPr defaultRowHeight="14.4" x14ac:dyDescent="0.3"/>
  <cols>
    <col min="13" max="13" width="11" bestFit="1" customWidth="1"/>
  </cols>
  <sheetData>
    <row r="1" spans="1:19" s="2" customFormat="1" ht="129.6" x14ac:dyDescent="0.3">
      <c r="A1" s="2" t="s">
        <v>0</v>
      </c>
      <c r="B1" s="2" t="s">
        <v>1</v>
      </c>
      <c r="C1" s="2" t="s">
        <v>4</v>
      </c>
      <c r="D1" s="2" t="s">
        <v>3</v>
      </c>
      <c r="E1" s="2" t="s">
        <v>2</v>
      </c>
      <c r="F1" s="2" t="s">
        <v>6</v>
      </c>
      <c r="G1" s="2" t="s">
        <v>18</v>
      </c>
      <c r="H1" s="2" t="s">
        <v>5</v>
      </c>
      <c r="I1" s="2" t="s">
        <v>7</v>
      </c>
      <c r="J1" s="2" t="s">
        <v>8</v>
      </c>
      <c r="K1" s="2" t="s">
        <v>19</v>
      </c>
      <c r="L1" s="2" t="s">
        <v>15</v>
      </c>
      <c r="M1" s="2" t="s">
        <v>21</v>
      </c>
      <c r="N1" s="2" t="s">
        <v>11</v>
      </c>
      <c r="O1" s="2" t="s">
        <v>19</v>
      </c>
      <c r="P1" s="2" t="s">
        <v>20</v>
      </c>
      <c r="Q1" s="2" t="s">
        <v>22</v>
      </c>
      <c r="S1" s="3"/>
    </row>
    <row r="2" spans="1:19" x14ac:dyDescent="0.3">
      <c r="A2" s="1">
        <v>25000</v>
      </c>
      <c r="B2">
        <v>372</v>
      </c>
      <c r="C2" s="1">
        <f>A2+B2</f>
        <v>25372</v>
      </c>
      <c r="D2" s="1">
        <v>25600</v>
      </c>
      <c r="E2" s="1">
        <v>256</v>
      </c>
      <c r="F2" s="1">
        <f>SUM(E2,D2)</f>
        <v>25856</v>
      </c>
      <c r="G2" s="1">
        <f>ROUNDUP((F2+(F2*0.32)),0)</f>
        <v>34130</v>
      </c>
      <c r="H2" s="1">
        <v>2000000</v>
      </c>
      <c r="I2">
        <f>ROUNDUP(((H2*G2)/1073741824),0)</f>
        <v>64</v>
      </c>
      <c r="J2">
        <f>ROUNDDOWN(((1073741824-'Usable CF'!B4)*0.7)/G2,0)</f>
        <v>20699</v>
      </c>
      <c r="K2">
        <v>104856</v>
      </c>
      <c r="L2">
        <f>SUM(J2:K2)</f>
        <v>125555</v>
      </c>
      <c r="M2">
        <f>ROUNDUP((((H2-L2)*2048)/1073741824)*1.2,0)</f>
        <v>5</v>
      </c>
      <c r="N2" s="6">
        <f>ROUNDDOWN((('Usable CF'!C5)*0.7)/G2,0)</f>
        <v>42721</v>
      </c>
      <c r="O2">
        <v>209710</v>
      </c>
      <c r="P2">
        <f>SUM(N2:O2)</f>
        <v>252431</v>
      </c>
      <c r="Q2">
        <f>ROUNDUP((((H2-P2)*2048)/1073741824)*1.2,0)</f>
        <v>4</v>
      </c>
      <c r="S2" s="4"/>
    </row>
    <row r="3" spans="1:19" x14ac:dyDescent="0.3">
      <c r="A3" s="1">
        <v>15000</v>
      </c>
      <c r="B3">
        <v>372</v>
      </c>
      <c r="C3" s="1">
        <f>A3+B3</f>
        <v>15372</v>
      </c>
      <c r="D3">
        <v>15616</v>
      </c>
      <c r="E3">
        <v>256</v>
      </c>
      <c r="F3" s="1">
        <f>SUM(E3,D3)</f>
        <v>15872</v>
      </c>
      <c r="G3" s="1">
        <f t="shared" ref="G3:G6" si="0">ROUNDUP((F3+(F3*0.32)),0)</f>
        <v>20952</v>
      </c>
      <c r="H3" s="1">
        <v>2000000</v>
      </c>
      <c r="I3">
        <f t="shared" ref="I3:I6" si="1">ROUNDUP(((H3*G3)/1073741824),0)</f>
        <v>40</v>
      </c>
      <c r="J3">
        <f>ROUNDDOWN(((1073741824-'Usable CF'!B4)*0.7)/G3,0)</f>
        <v>33718</v>
      </c>
      <c r="K3">
        <v>104856</v>
      </c>
      <c r="L3">
        <f t="shared" ref="L3:L6" si="2">SUM(J3:K3)</f>
        <v>138574</v>
      </c>
      <c r="M3">
        <f t="shared" ref="M3:M6" si="3">ROUNDUP((((H3-L3)*2048)/1073741824)*1.2,0)</f>
        <v>5</v>
      </c>
      <c r="N3" s="6">
        <f>ROUNDDOWN((('Usable CF'!C5)*0.7)/G3,0)</f>
        <v>69592</v>
      </c>
      <c r="O3">
        <v>209710</v>
      </c>
      <c r="P3">
        <f t="shared" ref="P3:P6" si="4">SUM(N3:O3)</f>
        <v>279302</v>
      </c>
      <c r="Q3">
        <f t="shared" ref="Q3:Q6" si="5">ROUNDUP((((H3-P3)*2048)/1073741824)*1.2,0)</f>
        <v>4</v>
      </c>
      <c r="S3" s="4"/>
    </row>
    <row r="4" spans="1:19" x14ac:dyDescent="0.3">
      <c r="A4" s="1">
        <v>10000</v>
      </c>
      <c r="B4">
        <v>372</v>
      </c>
      <c r="C4" s="1">
        <f>A4+B4</f>
        <v>10372</v>
      </c>
      <c r="D4">
        <v>10496</v>
      </c>
      <c r="E4">
        <v>256</v>
      </c>
      <c r="F4" s="1">
        <f>SUM(E4,D4)</f>
        <v>10752</v>
      </c>
      <c r="G4" s="1">
        <f t="shared" si="0"/>
        <v>14193</v>
      </c>
      <c r="H4" s="1">
        <v>2000000</v>
      </c>
      <c r="I4">
        <f t="shared" si="1"/>
        <v>27</v>
      </c>
      <c r="J4">
        <f>ROUNDDOWN(((1073741824-'Usable CF'!B4)*0.7)/G4,0)</f>
        <v>49776</v>
      </c>
      <c r="K4">
        <v>104856</v>
      </c>
      <c r="L4">
        <f t="shared" si="2"/>
        <v>154632</v>
      </c>
      <c r="M4">
        <f t="shared" si="3"/>
        <v>5</v>
      </c>
      <c r="N4" s="6">
        <f>ROUNDDOWN((('Usable CF'!C5)*0.7)/G4,0)</f>
        <v>102733</v>
      </c>
      <c r="O4">
        <v>209710</v>
      </c>
      <c r="P4">
        <f t="shared" si="4"/>
        <v>312443</v>
      </c>
      <c r="Q4">
        <f t="shared" si="5"/>
        <v>4</v>
      </c>
      <c r="S4" s="4"/>
    </row>
    <row r="5" spans="1:19" x14ac:dyDescent="0.3">
      <c r="A5" s="1">
        <v>5000</v>
      </c>
      <c r="B5">
        <v>372</v>
      </c>
      <c r="C5" s="1">
        <f>A5+B5</f>
        <v>5372</v>
      </c>
      <c r="D5">
        <v>5376</v>
      </c>
      <c r="E5">
        <v>256</v>
      </c>
      <c r="F5" s="1">
        <f>SUM(E5,D5)</f>
        <v>5632</v>
      </c>
      <c r="G5" s="1">
        <f t="shared" si="0"/>
        <v>7435</v>
      </c>
      <c r="H5" s="1">
        <v>2000000</v>
      </c>
      <c r="I5">
        <f t="shared" si="1"/>
        <v>14</v>
      </c>
      <c r="J5">
        <f>ROUNDDOWN(((1073741824-'Usable CF'!B4)*0.7)/G5,0)</f>
        <v>95020</v>
      </c>
      <c r="K5">
        <v>104856</v>
      </c>
      <c r="L5">
        <f t="shared" si="2"/>
        <v>199876</v>
      </c>
      <c r="M5">
        <f t="shared" si="3"/>
        <v>5</v>
      </c>
      <c r="N5" s="6">
        <f>ROUNDDOWN((('Usable CF'!C5)*0.7)/G5,0)</f>
        <v>196112</v>
      </c>
      <c r="O5">
        <v>209710</v>
      </c>
      <c r="P5">
        <f t="shared" si="4"/>
        <v>405822</v>
      </c>
      <c r="Q5">
        <f t="shared" si="5"/>
        <v>4</v>
      </c>
      <c r="S5" s="4"/>
    </row>
    <row r="6" spans="1:19" x14ac:dyDescent="0.3">
      <c r="A6" s="1">
        <v>2500</v>
      </c>
      <c r="B6">
        <v>372</v>
      </c>
      <c r="C6" s="1">
        <f>A6+B6</f>
        <v>2872</v>
      </c>
      <c r="D6">
        <v>3072</v>
      </c>
      <c r="E6">
        <v>256</v>
      </c>
      <c r="F6" s="1">
        <f>SUM(E6,D6)</f>
        <v>3328</v>
      </c>
      <c r="G6" s="1">
        <f t="shared" si="0"/>
        <v>4393</v>
      </c>
      <c r="H6" s="1">
        <v>2000000</v>
      </c>
      <c r="I6">
        <f t="shared" si="1"/>
        <v>9</v>
      </c>
      <c r="J6">
        <f>ROUNDDOWN(((1073741824-'Usable CF'!B4)*0.7)/G6,0)</f>
        <v>160819</v>
      </c>
      <c r="K6">
        <v>104856</v>
      </c>
      <c r="L6">
        <f t="shared" si="2"/>
        <v>265675</v>
      </c>
      <c r="M6">
        <f t="shared" si="3"/>
        <v>4</v>
      </c>
      <c r="N6" s="6">
        <f>ROUNDDOWN((('Usable CF'!C5)*0.7)/G6,0)</f>
        <v>331913</v>
      </c>
      <c r="O6">
        <v>209710</v>
      </c>
      <c r="P6">
        <f t="shared" si="4"/>
        <v>541623</v>
      </c>
      <c r="Q6">
        <f t="shared" si="5"/>
        <v>4</v>
      </c>
      <c r="S6" s="4"/>
    </row>
    <row r="7" spans="1:19" x14ac:dyDescent="0.3">
      <c r="S7" s="5"/>
    </row>
    <row r="8" spans="1:19" x14ac:dyDescent="0.3">
      <c r="S8" s="5"/>
    </row>
    <row r="10" spans="1:19" ht="129.6" x14ac:dyDescent="0.3">
      <c r="A10" s="2" t="s">
        <v>0</v>
      </c>
      <c r="B10" s="2" t="s">
        <v>1</v>
      </c>
      <c r="C10" s="2" t="s">
        <v>4</v>
      </c>
      <c r="D10" s="2" t="s">
        <v>3</v>
      </c>
      <c r="E10" s="2" t="s">
        <v>2</v>
      </c>
      <c r="F10" s="2" t="s">
        <v>6</v>
      </c>
      <c r="G10" s="2" t="s">
        <v>18</v>
      </c>
      <c r="H10" s="2" t="s">
        <v>5</v>
      </c>
      <c r="I10" s="2" t="s">
        <v>7</v>
      </c>
      <c r="J10" s="2" t="s">
        <v>14</v>
      </c>
      <c r="K10" s="2" t="s">
        <v>23</v>
      </c>
      <c r="L10" s="2" t="s">
        <v>15</v>
      </c>
      <c r="M10" s="2" t="s">
        <v>21</v>
      </c>
      <c r="N10" s="2" t="s">
        <v>17</v>
      </c>
      <c r="O10" s="2" t="s">
        <v>19</v>
      </c>
      <c r="P10" s="2" t="s">
        <v>10</v>
      </c>
      <c r="Q10" s="2" t="s">
        <v>22</v>
      </c>
    </row>
    <row r="11" spans="1:19" x14ac:dyDescent="0.3">
      <c r="A11" s="1">
        <v>25000</v>
      </c>
      <c r="B11">
        <v>372</v>
      </c>
      <c r="C11" s="1">
        <f>A11+B11</f>
        <v>25372</v>
      </c>
      <c r="D11" s="1">
        <v>25600</v>
      </c>
      <c r="E11" s="1">
        <v>256</v>
      </c>
      <c r="F11" s="1">
        <f>SUM(E11,D11)</f>
        <v>25856</v>
      </c>
      <c r="G11" s="1">
        <f>ROUNDUP((F11+(F11*0.32)),0)</f>
        <v>34130</v>
      </c>
      <c r="H11" s="1">
        <v>2000000</v>
      </c>
      <c r="I11">
        <f>ROUNDUP(((H11*G11)/1073741824),0)</f>
        <v>64</v>
      </c>
      <c r="J11">
        <f>ROUNDDOWN(((1073741824-'Usable CF'!B4)*0.5)/G11,0)</f>
        <v>14785</v>
      </c>
      <c r="K11">
        <f>ROUNDDOWN((1073741824*0.4)/2048,0)</f>
        <v>209715</v>
      </c>
      <c r="L11">
        <f>SUM(J11:K11)</f>
        <v>224500</v>
      </c>
      <c r="M11" s="4">
        <f>ROUNDUP((((H11-L11)*2048)/1073741824)*1.2,0)</f>
        <v>5</v>
      </c>
      <c r="N11">
        <f>ROUNDDOWN((('Usable CF'!C5)*0.5)/G11,0)</f>
        <v>30515</v>
      </c>
      <c r="O11">
        <f>ROUNDDOWN(((1073741824*2)*0.4)/2048,0)</f>
        <v>419430</v>
      </c>
      <c r="P11">
        <f>SUM(N11:O11)</f>
        <v>449945</v>
      </c>
      <c r="Q11" s="4">
        <f>ROUNDUP((((H11-P11)*2048)/1073741824)*1.2,0)</f>
        <v>4</v>
      </c>
    </row>
    <row r="12" spans="1:19" x14ac:dyDescent="0.3">
      <c r="A12" s="1">
        <v>15000</v>
      </c>
      <c r="B12">
        <v>372</v>
      </c>
      <c r="C12" s="1">
        <f>A12+B12</f>
        <v>15372</v>
      </c>
      <c r="D12">
        <v>15616</v>
      </c>
      <c r="E12">
        <v>256</v>
      </c>
      <c r="F12" s="1">
        <f>SUM(E12,D12)</f>
        <v>15872</v>
      </c>
      <c r="G12" s="1">
        <f t="shared" ref="G12:G15" si="6">ROUNDUP((F12+(F12*0.32)),0)</f>
        <v>20952</v>
      </c>
      <c r="H12" s="1">
        <v>2000000</v>
      </c>
      <c r="I12">
        <f t="shared" ref="I12:I15" si="7">ROUNDUP(((H12*G12)/1073741824),0)</f>
        <v>40</v>
      </c>
      <c r="J12">
        <f>ROUNDDOWN(((1073741824-'Usable CF'!B4)*0.5)/G12,0)</f>
        <v>24084</v>
      </c>
      <c r="K12">
        <f t="shared" ref="K12:K15" si="8">ROUNDDOWN((1073741824*0.4)/2048,0)</f>
        <v>209715</v>
      </c>
      <c r="L12">
        <f t="shared" ref="L12:L15" si="9">SUM(J12:K12)</f>
        <v>233799</v>
      </c>
      <c r="M12" s="4">
        <f t="shared" ref="M12:M15" si="10">ROUNDUP((((H12-L12)*2048)/1073741824)*1.2,0)</f>
        <v>5</v>
      </c>
      <c r="N12">
        <f>ROUNDDOWN((('Usable CF'!C5)*0.5)/G12,0)</f>
        <v>49708</v>
      </c>
      <c r="O12">
        <f t="shared" ref="O12:O15" si="11">ROUNDDOWN(((1073741824*2)*0.4)/2048,0)</f>
        <v>419430</v>
      </c>
      <c r="P12">
        <f t="shared" ref="P12:P15" si="12">SUM(N12:O12)</f>
        <v>469138</v>
      </c>
      <c r="Q12" s="4">
        <f t="shared" ref="Q12:Q15" si="13">ROUNDUP((((H12-P12)*2048)/1073741824)*1.2,0)</f>
        <v>4</v>
      </c>
    </row>
    <row r="13" spans="1:19" x14ac:dyDescent="0.3">
      <c r="A13" s="1">
        <v>10000</v>
      </c>
      <c r="B13">
        <v>372</v>
      </c>
      <c r="C13" s="1">
        <f>A13+B13</f>
        <v>10372</v>
      </c>
      <c r="D13">
        <v>10496</v>
      </c>
      <c r="E13">
        <v>256</v>
      </c>
      <c r="F13" s="1">
        <f>SUM(E13,D13)</f>
        <v>10752</v>
      </c>
      <c r="G13" s="1">
        <f t="shared" si="6"/>
        <v>14193</v>
      </c>
      <c r="H13" s="1">
        <v>2000000</v>
      </c>
      <c r="I13">
        <f t="shared" si="7"/>
        <v>27</v>
      </c>
      <c r="J13">
        <f>ROUNDDOWN(((1073741824-'Usable CF'!B4)*0.5)/G13,0)</f>
        <v>35554</v>
      </c>
      <c r="K13">
        <f t="shared" si="8"/>
        <v>209715</v>
      </c>
      <c r="L13">
        <f t="shared" si="9"/>
        <v>245269</v>
      </c>
      <c r="M13" s="4">
        <f t="shared" si="10"/>
        <v>5</v>
      </c>
      <c r="N13">
        <f>ROUNDDOWN((('Usable CF'!C5)*0.5)/G13,0)</f>
        <v>73381</v>
      </c>
      <c r="O13">
        <f t="shared" si="11"/>
        <v>419430</v>
      </c>
      <c r="P13">
        <f t="shared" si="12"/>
        <v>492811</v>
      </c>
      <c r="Q13" s="4">
        <f t="shared" si="13"/>
        <v>4</v>
      </c>
    </row>
    <row r="14" spans="1:19" x14ac:dyDescent="0.3">
      <c r="A14" s="1">
        <v>5000</v>
      </c>
      <c r="B14">
        <v>372</v>
      </c>
      <c r="C14" s="1">
        <f>A14+B14</f>
        <v>5372</v>
      </c>
      <c r="D14">
        <v>5376</v>
      </c>
      <c r="E14">
        <v>256</v>
      </c>
      <c r="F14" s="1">
        <f>SUM(E14,D14)</f>
        <v>5632</v>
      </c>
      <c r="G14" s="1">
        <f t="shared" si="6"/>
        <v>7435</v>
      </c>
      <c r="H14" s="1">
        <v>2000000</v>
      </c>
      <c r="I14">
        <f t="shared" si="7"/>
        <v>14</v>
      </c>
      <c r="J14">
        <f>ROUNDDOWN(((1073741824-'Usable CF'!B4)*0.5)/G14,0)</f>
        <v>67871</v>
      </c>
      <c r="K14">
        <f t="shared" si="8"/>
        <v>209715</v>
      </c>
      <c r="L14">
        <f t="shared" si="9"/>
        <v>277586</v>
      </c>
      <c r="M14" s="4">
        <f t="shared" si="10"/>
        <v>4</v>
      </c>
      <c r="N14">
        <f>ROUNDDOWN((('Usable CF'!C5)*0.5)/G14,0)</f>
        <v>140080</v>
      </c>
      <c r="O14">
        <f t="shared" si="11"/>
        <v>419430</v>
      </c>
      <c r="P14">
        <f t="shared" si="12"/>
        <v>559510</v>
      </c>
      <c r="Q14" s="4">
        <f t="shared" si="13"/>
        <v>4</v>
      </c>
    </row>
    <row r="15" spans="1:19" x14ac:dyDescent="0.3">
      <c r="A15" s="1">
        <v>2500</v>
      </c>
      <c r="B15">
        <v>372</v>
      </c>
      <c r="C15" s="1">
        <f>A15+B15</f>
        <v>2872</v>
      </c>
      <c r="D15">
        <v>3072</v>
      </c>
      <c r="E15">
        <v>256</v>
      </c>
      <c r="F15" s="1">
        <f>SUM(E15,D15)</f>
        <v>3328</v>
      </c>
      <c r="G15" s="1">
        <f t="shared" si="6"/>
        <v>4393</v>
      </c>
      <c r="H15" s="1">
        <v>2000000</v>
      </c>
      <c r="I15">
        <f t="shared" si="7"/>
        <v>9</v>
      </c>
      <c r="J15">
        <f>ROUNDDOWN(((1073741824-'Usable CF'!B4)*0.5)/G15,0)</f>
        <v>114870</v>
      </c>
      <c r="K15">
        <f t="shared" si="8"/>
        <v>209715</v>
      </c>
      <c r="L15">
        <f t="shared" si="9"/>
        <v>324585</v>
      </c>
      <c r="M15" s="4">
        <f t="shared" si="10"/>
        <v>4</v>
      </c>
      <c r="N15">
        <f>ROUNDDOWN((('Usable CF'!C5)*0.5)/G15,0)</f>
        <v>237081</v>
      </c>
      <c r="O15">
        <f t="shared" si="11"/>
        <v>419430</v>
      </c>
      <c r="P15">
        <f t="shared" si="12"/>
        <v>656511</v>
      </c>
      <c r="Q15" s="4">
        <f t="shared" si="13"/>
        <v>4</v>
      </c>
    </row>
    <row r="18" spans="1:17" ht="129.6" x14ac:dyDescent="0.3">
      <c r="A18" s="2" t="s">
        <v>0</v>
      </c>
      <c r="B18" s="2" t="s">
        <v>1</v>
      </c>
      <c r="C18" s="2" t="s">
        <v>4</v>
      </c>
      <c r="D18" s="2" t="s">
        <v>3</v>
      </c>
      <c r="E18" s="2" t="s">
        <v>2</v>
      </c>
      <c r="F18" s="2" t="s">
        <v>6</v>
      </c>
      <c r="G18" s="2" t="s">
        <v>18</v>
      </c>
      <c r="H18" s="2" t="s">
        <v>5</v>
      </c>
      <c r="I18" s="2" t="s">
        <v>7</v>
      </c>
      <c r="J18" s="2" t="s">
        <v>27</v>
      </c>
      <c r="K18" s="2" t="s">
        <v>23</v>
      </c>
      <c r="L18" s="2" t="s">
        <v>15</v>
      </c>
      <c r="M18" s="2" t="s">
        <v>21</v>
      </c>
      <c r="N18" s="2" t="s">
        <v>28</v>
      </c>
      <c r="O18" s="2" t="s">
        <v>19</v>
      </c>
      <c r="P18" s="2" t="s">
        <v>10</v>
      </c>
      <c r="Q18" s="2" t="s">
        <v>22</v>
      </c>
    </row>
    <row r="19" spans="1:17" x14ac:dyDescent="0.3">
      <c r="A19" s="1">
        <v>25000</v>
      </c>
      <c r="B19">
        <v>372</v>
      </c>
      <c r="C19" s="1">
        <f>A19+B19</f>
        <v>25372</v>
      </c>
      <c r="D19" s="1">
        <v>25600</v>
      </c>
      <c r="E19" s="1">
        <v>256</v>
      </c>
      <c r="F19" s="1">
        <f>SUM(E19,D19)</f>
        <v>25856</v>
      </c>
      <c r="G19" s="1">
        <f>ROUNDUP((F19+(F19*0.32)),0)</f>
        <v>34130</v>
      </c>
      <c r="H19" s="1">
        <v>2000000</v>
      </c>
      <c r="I19">
        <f>ROUNDUP(((H19*G19)/1073741824),0)</f>
        <v>64</v>
      </c>
      <c r="J19">
        <f>ROUNDDOWN(((1073741824-'Usable CF'!B12))/2048,0)</f>
        <v>524288</v>
      </c>
      <c r="K19">
        <f>ROUNDDOWN((1073741824*0.4)/2048,0)</f>
        <v>209715</v>
      </c>
      <c r="L19">
        <f>SUM(J19:K19)</f>
        <v>734003</v>
      </c>
      <c r="M19" s="4">
        <f>ROUNDUP((((H19-L19)*2048)/1073741824)*1.2,0)</f>
        <v>3</v>
      </c>
      <c r="N19">
        <f>ROUNDDOWN((('Usable CF'!C5))/2048,0)</f>
        <v>1017088</v>
      </c>
      <c r="O19">
        <f>ROUNDDOWN(((1073741824*2)*0.4)/2048,0)</f>
        <v>419430</v>
      </c>
      <c r="P19">
        <f>SUM(N19:O19)</f>
        <v>1436518</v>
      </c>
      <c r="Q19" s="4">
        <f>ROUNDUP((((H19-P19)*2048)/1073741824)*1.2,0)</f>
        <v>2</v>
      </c>
    </row>
    <row r="20" spans="1:17" x14ac:dyDescent="0.3">
      <c r="A20" s="1">
        <v>15000</v>
      </c>
      <c r="B20">
        <v>372</v>
      </c>
      <c r="C20" s="1">
        <f>A20+B20</f>
        <v>15372</v>
      </c>
      <c r="D20">
        <v>15616</v>
      </c>
      <c r="E20">
        <v>256</v>
      </c>
      <c r="F20" s="1">
        <f>SUM(E20,D20)</f>
        <v>15872</v>
      </c>
      <c r="G20" s="1">
        <f t="shared" ref="G20:G23" si="14">ROUNDUP((F20+(F20*0.32)),0)</f>
        <v>20952</v>
      </c>
      <c r="H20" s="1">
        <v>2000000</v>
      </c>
      <c r="I20">
        <f t="shared" ref="I20:I23" si="15">ROUNDUP(((H20*G20)/1073741824),0)</f>
        <v>40</v>
      </c>
      <c r="J20">
        <f>ROUNDDOWN(((1073741824-'Usable CF'!B13))/2048,0)</f>
        <v>524288</v>
      </c>
      <c r="K20">
        <f t="shared" ref="K20:K23" si="16">ROUNDDOWN((1073741824*0.4)/2048,0)</f>
        <v>209715</v>
      </c>
      <c r="L20">
        <f t="shared" ref="L20:L23" si="17">SUM(J20:K20)</f>
        <v>734003</v>
      </c>
      <c r="M20" s="4">
        <f t="shared" ref="M20:M23" si="18">ROUNDUP((((H20-L20)*2048)/1073741824)*1.2,0)</f>
        <v>3</v>
      </c>
      <c r="N20">
        <f>ROUNDDOWN((('Usable CF'!C5))/2048,0)</f>
        <v>1017088</v>
      </c>
      <c r="O20">
        <f t="shared" ref="O20:O23" si="19">ROUNDDOWN(((1073741824*2)*0.4)/2048,0)</f>
        <v>419430</v>
      </c>
      <c r="P20">
        <f t="shared" ref="P20:P23" si="20">SUM(N20:O20)</f>
        <v>1436518</v>
      </c>
      <c r="Q20" s="4">
        <f t="shared" ref="Q20:Q23" si="21">ROUNDUP((((H20-P20)*2048)/1073741824)*1.2,0)</f>
        <v>2</v>
      </c>
    </row>
    <row r="21" spans="1:17" x14ac:dyDescent="0.3">
      <c r="A21" s="1">
        <v>10000</v>
      </c>
      <c r="B21">
        <v>372</v>
      </c>
      <c r="C21" s="1">
        <f>A21+B21</f>
        <v>10372</v>
      </c>
      <c r="D21">
        <v>10496</v>
      </c>
      <c r="E21">
        <v>256</v>
      </c>
      <c r="F21" s="1">
        <f>SUM(E21,D21)</f>
        <v>10752</v>
      </c>
      <c r="G21" s="1">
        <f t="shared" si="14"/>
        <v>14193</v>
      </c>
      <c r="H21" s="1">
        <v>2000000</v>
      </c>
      <c r="I21">
        <f t="shared" si="15"/>
        <v>27</v>
      </c>
      <c r="J21">
        <f>ROUNDDOWN(((1073741824-'Usable CF'!B14))/2048,0)</f>
        <v>524288</v>
      </c>
      <c r="K21">
        <f t="shared" si="16"/>
        <v>209715</v>
      </c>
      <c r="L21">
        <f t="shared" si="17"/>
        <v>734003</v>
      </c>
      <c r="M21" s="4">
        <f t="shared" si="18"/>
        <v>3</v>
      </c>
      <c r="N21">
        <f>ROUNDDOWN((('Usable CF'!C5))/2048,0)</f>
        <v>1017088</v>
      </c>
      <c r="O21">
        <f t="shared" si="19"/>
        <v>419430</v>
      </c>
      <c r="P21">
        <f t="shared" si="20"/>
        <v>1436518</v>
      </c>
      <c r="Q21" s="4">
        <f t="shared" si="21"/>
        <v>2</v>
      </c>
    </row>
    <row r="22" spans="1:17" x14ac:dyDescent="0.3">
      <c r="A22" s="1">
        <v>5000</v>
      </c>
      <c r="B22">
        <v>372</v>
      </c>
      <c r="C22" s="1">
        <f>A22+B22</f>
        <v>5372</v>
      </c>
      <c r="D22">
        <v>5376</v>
      </c>
      <c r="E22">
        <v>256</v>
      </c>
      <c r="F22" s="1">
        <f>SUM(E22,D22)</f>
        <v>5632</v>
      </c>
      <c r="G22" s="1">
        <f t="shared" si="14"/>
        <v>7435</v>
      </c>
      <c r="H22" s="1">
        <v>2000000</v>
      </c>
      <c r="I22">
        <f t="shared" si="15"/>
        <v>14</v>
      </c>
      <c r="J22">
        <f>ROUNDDOWN(((1073741824-'Usable CF'!B15))/2048,0)</f>
        <v>524288</v>
      </c>
      <c r="K22">
        <f t="shared" si="16"/>
        <v>209715</v>
      </c>
      <c r="L22">
        <f t="shared" si="17"/>
        <v>734003</v>
      </c>
      <c r="M22" s="4">
        <f t="shared" si="18"/>
        <v>3</v>
      </c>
      <c r="N22">
        <f>ROUNDDOWN((('Usable CF'!C5))/2048,0)</f>
        <v>1017088</v>
      </c>
      <c r="O22">
        <f t="shared" si="19"/>
        <v>419430</v>
      </c>
      <c r="P22">
        <f t="shared" si="20"/>
        <v>1436518</v>
      </c>
      <c r="Q22" s="4">
        <f t="shared" si="21"/>
        <v>2</v>
      </c>
    </row>
    <row r="23" spans="1:17" x14ac:dyDescent="0.3">
      <c r="A23" s="1">
        <v>2500</v>
      </c>
      <c r="B23">
        <v>372</v>
      </c>
      <c r="C23" s="1">
        <f>A23+B23</f>
        <v>2872</v>
      </c>
      <c r="D23">
        <v>3072</v>
      </c>
      <c r="E23">
        <v>256</v>
      </c>
      <c r="F23" s="1">
        <f>SUM(E23,D23)</f>
        <v>3328</v>
      </c>
      <c r="G23" s="1">
        <f t="shared" si="14"/>
        <v>4393</v>
      </c>
      <c r="H23" s="1">
        <v>2000000</v>
      </c>
      <c r="I23">
        <f t="shared" si="15"/>
        <v>9</v>
      </c>
      <c r="J23">
        <f>ROUNDDOWN(((1073741824-'Usable CF'!B16))/2048,0)</f>
        <v>524288</v>
      </c>
      <c r="K23">
        <f t="shared" si="16"/>
        <v>209715</v>
      </c>
      <c r="L23">
        <f t="shared" si="17"/>
        <v>734003</v>
      </c>
      <c r="M23" s="4">
        <f t="shared" si="18"/>
        <v>3</v>
      </c>
      <c r="N23">
        <f>ROUNDDOWN((('Usable CF'!C5))/2048,0)</f>
        <v>1017088</v>
      </c>
      <c r="O23">
        <f t="shared" si="19"/>
        <v>419430</v>
      </c>
      <c r="P23">
        <f t="shared" si="20"/>
        <v>1436518</v>
      </c>
      <c r="Q23" s="4">
        <f t="shared" si="2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CF and SMDS</vt:lpstr>
      <vt:lpstr>Usable CF</vt:lpstr>
      <vt:lpstr>CF SCM and SMDS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elkinsc</dc:creator>
  <cp:lastModifiedBy>Lyn Elkins</cp:lastModifiedBy>
  <dcterms:created xsi:type="dcterms:W3CDTF">2018-10-01T13:43:57Z</dcterms:created>
  <dcterms:modified xsi:type="dcterms:W3CDTF">2020-11-03T21:24:12Z</dcterms:modified>
</cp:coreProperties>
</file>