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5" yWindow="285" windowWidth="7650" windowHeight="8040" tabRatio="794" activeTab="1"/>
  </bookViews>
  <sheets>
    <sheet name="Colleges FYES" sheetId="22" r:id="rId1"/>
    <sheet name="SCH" sheetId="34" r:id="rId2"/>
    <sheet name="FYES per" sheetId="26" r:id="rId3"/>
    <sheet name="combined" sheetId="10" r:id="rId4"/>
    <sheet name="GF Expend" sheetId="23" r:id="rId5"/>
    <sheet name="MPU 15 FYES" sheetId="20" r:id="rId6"/>
    <sheet name="ProfAdmin per FYES Chart" sheetId="27" r:id="rId7"/>
    <sheet name="Service per FYES Chart" sheetId="28" r:id="rId8"/>
    <sheet name="Faculty per FYES Chart" sheetId="29" r:id="rId9"/>
    <sheet name="FTE All Categories" sheetId="30" r:id="rId10"/>
    <sheet name="CPI Adjusted Salaries" sheetId="32" r:id="rId11"/>
    <sheet name="CPI Adjusted Monthly Salaries " sheetId="33" r:id="rId12"/>
    <sheet name="FacStaff $" sheetId="24" r:id="rId13"/>
    <sheet name="2002-2003" sheetId="17" r:id="rId14"/>
    <sheet name="2003-2004" sheetId="18" r:id="rId15"/>
    <sheet name="2004-2005" sheetId="19" r:id="rId16"/>
    <sheet name="2005-2006" sheetId="16" r:id="rId17"/>
    <sheet name="2006-2007" sheetId="2" r:id="rId18"/>
    <sheet name="2007-2008" sheetId="3" r:id="rId19"/>
    <sheet name="2008-2009" sheetId="4" r:id="rId20"/>
    <sheet name="2009-2010" sheetId="5" r:id="rId21"/>
    <sheet name="2010-2011" sheetId="6" r:id="rId22"/>
    <sheet name="2011-2012" sheetId="7" r:id="rId23"/>
    <sheet name="2012-2013" sheetId="14" r:id="rId24"/>
    <sheet name="2013-2014" sheetId="15" r:id="rId25"/>
    <sheet name="2014-2015" sheetId="11" r:id="rId26"/>
  </sheets>
  <externalReferences>
    <externalReference r:id="rId27"/>
    <externalReference r:id="rId28"/>
  </externalReferences>
  <definedNames>
    <definedName name="IDX" localSheetId="1">SCH!$A$1</definedName>
    <definedName name="_xlnm.Print_Area" localSheetId="17">'2006-2007'!$A$1:$H$104</definedName>
    <definedName name="_xlnm.Print_Area" localSheetId="18">'2007-2008'!$A$1:$H$104</definedName>
    <definedName name="_xlnm.Print_Area" localSheetId="19">'2008-2009'!$A$1:$H$99</definedName>
    <definedName name="_xlnm.Print_Area" localSheetId="20">'2009-2010'!$A$1:$H$97</definedName>
    <definedName name="_xlnm.Print_Area" localSheetId="21">'2010-2011'!$A$1:$H$97</definedName>
    <definedName name="_xlnm.Print_Area" localSheetId="22">'2011-2012'!$A$1:$G$102</definedName>
    <definedName name="_xlnm.Print_Area" localSheetId="25">'2014-2015'!$A$1:$G$101</definedName>
    <definedName name="_xlnm.Print_Titles" localSheetId="19">'2008-2009'!$1:$1</definedName>
    <definedName name="_xlnm.Print_Titles" localSheetId="20">'2009-2010'!$1:$2</definedName>
    <definedName name="_xlnm.Print_Titles" localSheetId="21">'2010-2011'!$1:$2</definedName>
    <definedName name="_xlnm.Print_Titles" localSheetId="22">'2011-2012'!$1:$2</definedName>
    <definedName name="_xlnm.Print_Titles" localSheetId="25">'2014-2015'!$1:$2</definedName>
  </definedNames>
  <calcPr calcId="144525"/>
</workbook>
</file>

<file path=xl/calcChain.xml><?xml version="1.0" encoding="utf-8"?>
<calcChain xmlns="http://schemas.openxmlformats.org/spreadsheetml/2006/main">
  <c r="J67" i="34" l="1"/>
  <c r="O66" i="34"/>
  <c r="N66" i="34"/>
  <c r="M66" i="34"/>
  <c r="L66" i="34"/>
  <c r="K66" i="34"/>
  <c r="J66" i="34"/>
  <c r="O65" i="34"/>
  <c r="N65" i="34"/>
  <c r="M65" i="34"/>
  <c r="L65" i="34"/>
  <c r="K65" i="34"/>
  <c r="J65" i="34"/>
  <c r="O64" i="34"/>
  <c r="N64" i="34"/>
  <c r="M64" i="34"/>
  <c r="O63" i="34"/>
  <c r="N63" i="34"/>
  <c r="M63" i="34"/>
  <c r="L63" i="34"/>
  <c r="K63" i="34"/>
  <c r="J63" i="34"/>
  <c r="O62" i="34"/>
  <c r="N62" i="34"/>
  <c r="M62" i="34"/>
  <c r="L62" i="34"/>
  <c r="O61" i="34"/>
  <c r="N61" i="34"/>
  <c r="M61" i="34"/>
  <c r="L61" i="34"/>
  <c r="K61" i="34"/>
  <c r="J61" i="34"/>
  <c r="O60" i="34"/>
  <c r="N60" i="34"/>
  <c r="M60" i="34"/>
  <c r="L60" i="34"/>
  <c r="K60" i="34"/>
  <c r="J60" i="34"/>
  <c r="O59" i="34"/>
  <c r="N59" i="34"/>
  <c r="M59" i="34"/>
  <c r="L59" i="34"/>
  <c r="K59" i="34"/>
  <c r="J59" i="34"/>
  <c r="O58" i="34"/>
  <c r="N58" i="34"/>
  <c r="M58" i="34"/>
  <c r="L58" i="34"/>
  <c r="K58" i="34"/>
  <c r="J58" i="34"/>
  <c r="O57" i="34"/>
  <c r="N57" i="34"/>
  <c r="M57" i="34"/>
  <c r="L57" i="34"/>
  <c r="K57" i="34"/>
  <c r="J57" i="34"/>
  <c r="O56" i="34"/>
  <c r="N56" i="34"/>
  <c r="M56" i="34"/>
  <c r="L56" i="34"/>
  <c r="K56" i="34"/>
  <c r="J56" i="34"/>
  <c r="O55" i="34"/>
  <c r="N55" i="34"/>
  <c r="M55" i="34"/>
  <c r="L55" i="34"/>
  <c r="K55" i="34"/>
  <c r="J55" i="34"/>
  <c r="O54" i="34"/>
  <c r="N54" i="34"/>
  <c r="M54" i="34"/>
  <c r="L54" i="34"/>
  <c r="K54" i="34"/>
  <c r="J54" i="34"/>
  <c r="O53" i="34"/>
  <c r="N53" i="34"/>
  <c r="M53" i="34"/>
  <c r="L53" i="34"/>
  <c r="K53" i="34"/>
  <c r="J53" i="34"/>
  <c r="O52" i="34"/>
  <c r="N52" i="34"/>
  <c r="M52" i="34"/>
  <c r="L52" i="34"/>
  <c r="O51" i="34"/>
  <c r="N51" i="34"/>
  <c r="M51" i="34"/>
  <c r="L51" i="34"/>
  <c r="K51" i="34"/>
  <c r="J51" i="34"/>
  <c r="O50" i="34"/>
  <c r="N50" i="34"/>
  <c r="M50" i="34"/>
  <c r="L50" i="34"/>
  <c r="K50" i="34"/>
  <c r="J50" i="34"/>
  <c r="O49" i="34"/>
  <c r="N49" i="34"/>
  <c r="M49" i="34"/>
  <c r="L49" i="34"/>
  <c r="K49" i="34"/>
  <c r="J49" i="34"/>
  <c r="O48" i="34"/>
  <c r="N48" i="34"/>
  <c r="M48" i="34"/>
  <c r="L48" i="34"/>
  <c r="K48" i="34"/>
  <c r="J48" i="34"/>
  <c r="O47" i="34"/>
  <c r="N47" i="34"/>
  <c r="M47" i="34"/>
  <c r="L47" i="34"/>
  <c r="K47" i="34"/>
  <c r="J47" i="34"/>
  <c r="O46" i="34"/>
  <c r="N46" i="34"/>
  <c r="M46" i="34"/>
  <c r="L46" i="34"/>
  <c r="K46" i="34"/>
  <c r="J46" i="34"/>
  <c r="O45" i="34"/>
  <c r="N45" i="34"/>
  <c r="M45" i="34"/>
  <c r="L45" i="34"/>
  <c r="K45" i="34"/>
  <c r="J45" i="34"/>
  <c r="O44" i="34"/>
  <c r="N44" i="34"/>
  <c r="M44" i="34"/>
  <c r="L44" i="34"/>
  <c r="K44" i="34"/>
  <c r="J44" i="34"/>
  <c r="O43" i="34"/>
  <c r="N43" i="34"/>
  <c r="M43" i="34"/>
  <c r="L43" i="34"/>
  <c r="K43" i="34"/>
  <c r="J43" i="34"/>
  <c r="O42" i="34"/>
  <c r="N42" i="34"/>
  <c r="M42" i="34"/>
  <c r="L42" i="34"/>
  <c r="K42" i="34"/>
  <c r="J42" i="34"/>
  <c r="O41" i="34"/>
  <c r="N41" i="34"/>
  <c r="M41" i="34"/>
  <c r="L41" i="34"/>
  <c r="K41" i="34"/>
  <c r="J41" i="34"/>
  <c r="O40" i="34"/>
  <c r="N40" i="34"/>
  <c r="M40" i="34"/>
  <c r="L40" i="34"/>
  <c r="K40" i="34"/>
  <c r="J40" i="34"/>
  <c r="O39" i="34"/>
  <c r="N39" i="34"/>
  <c r="M39" i="34"/>
  <c r="L39" i="34"/>
  <c r="K39" i="34"/>
  <c r="J39" i="34"/>
  <c r="O38" i="34"/>
  <c r="N38" i="34"/>
  <c r="M38" i="34"/>
  <c r="L38" i="34"/>
  <c r="K38" i="34"/>
  <c r="J38" i="34"/>
  <c r="O37" i="34"/>
  <c r="N37" i="34"/>
  <c r="M37" i="34"/>
  <c r="L37" i="34"/>
  <c r="K37" i="34"/>
  <c r="J37" i="34"/>
  <c r="O36" i="34"/>
  <c r="O35" i="34"/>
  <c r="N35" i="34"/>
  <c r="M35" i="34"/>
  <c r="L35" i="34"/>
  <c r="K35" i="34"/>
  <c r="J35" i="34"/>
  <c r="O34" i="34"/>
  <c r="N34" i="34"/>
  <c r="M34" i="34"/>
  <c r="L34" i="34"/>
  <c r="K34" i="34"/>
  <c r="O33" i="34"/>
  <c r="N33" i="34"/>
  <c r="M33" i="34"/>
  <c r="L33" i="34"/>
  <c r="K33" i="34"/>
  <c r="J33" i="34"/>
  <c r="O32" i="34"/>
  <c r="N32" i="34"/>
  <c r="M32" i="34"/>
  <c r="L32" i="34"/>
  <c r="K32" i="34"/>
  <c r="J32" i="34"/>
  <c r="O31" i="34"/>
  <c r="N31" i="34"/>
  <c r="M31" i="34"/>
  <c r="L31" i="34"/>
  <c r="O30" i="34"/>
  <c r="N30" i="34"/>
  <c r="M30" i="34"/>
  <c r="L30" i="34"/>
  <c r="K30" i="34"/>
  <c r="J30" i="34"/>
  <c r="O29" i="34"/>
  <c r="N29" i="34"/>
  <c r="M29" i="34"/>
  <c r="L29" i="34"/>
  <c r="K29" i="34"/>
  <c r="J29" i="34"/>
  <c r="O28" i="34"/>
  <c r="N28" i="34"/>
  <c r="M28" i="34"/>
  <c r="L28" i="34"/>
  <c r="O27" i="34"/>
  <c r="N27" i="34"/>
  <c r="M27" i="34"/>
  <c r="L27" i="34"/>
  <c r="K27" i="34"/>
  <c r="J27" i="34"/>
  <c r="O26" i="34"/>
  <c r="N26" i="34"/>
  <c r="M26" i="34"/>
  <c r="O25" i="34"/>
  <c r="N25" i="34"/>
  <c r="M25" i="34"/>
  <c r="L25" i="34"/>
  <c r="K25" i="34"/>
  <c r="J25" i="34"/>
  <c r="O24" i="34"/>
  <c r="N24" i="34"/>
  <c r="M24" i="34"/>
  <c r="L24" i="34"/>
  <c r="K24" i="34"/>
  <c r="J24" i="34"/>
  <c r="O23" i="34"/>
  <c r="N23" i="34"/>
  <c r="M23" i="34"/>
  <c r="L23" i="34"/>
  <c r="K23" i="34"/>
  <c r="J23" i="34"/>
  <c r="O22" i="34"/>
  <c r="O21" i="34"/>
  <c r="N21" i="34"/>
  <c r="M21" i="34"/>
  <c r="L21" i="34"/>
  <c r="K21" i="34"/>
  <c r="J21" i="34"/>
  <c r="O20" i="34"/>
  <c r="N20" i="34"/>
  <c r="M20" i="34"/>
  <c r="L20" i="34"/>
  <c r="K20" i="34"/>
  <c r="J20" i="34"/>
  <c r="O19" i="34"/>
  <c r="N19" i="34"/>
  <c r="M19" i="34"/>
  <c r="L19" i="34"/>
  <c r="K19" i="34"/>
  <c r="J19" i="34"/>
  <c r="O18" i="34"/>
  <c r="N18" i="34"/>
  <c r="M18" i="34"/>
  <c r="L18" i="34"/>
  <c r="K18" i="34"/>
  <c r="J18" i="34"/>
  <c r="O17" i="34"/>
  <c r="N17" i="34"/>
  <c r="M17" i="34"/>
  <c r="L17" i="34"/>
  <c r="K17" i="34"/>
  <c r="J17" i="34"/>
  <c r="O16" i="34"/>
  <c r="N16" i="34"/>
  <c r="M16" i="34"/>
  <c r="L16" i="34"/>
  <c r="K16" i="34"/>
  <c r="J16" i="34"/>
  <c r="O15" i="34"/>
  <c r="N15" i="34"/>
  <c r="M15" i="34"/>
  <c r="L15" i="34"/>
  <c r="K15" i="34"/>
  <c r="J15" i="34"/>
  <c r="O14" i="34"/>
  <c r="N14" i="34"/>
  <c r="M14" i="34"/>
  <c r="L14" i="34"/>
  <c r="K14" i="34"/>
  <c r="J14" i="34"/>
  <c r="O13" i="34"/>
  <c r="N13" i="34"/>
  <c r="M13" i="34"/>
  <c r="L13" i="34"/>
  <c r="K13" i="34"/>
  <c r="J13" i="34"/>
  <c r="O12" i="34"/>
  <c r="N12" i="34"/>
  <c r="O11" i="34"/>
  <c r="O10" i="34"/>
  <c r="N10" i="34"/>
  <c r="M10" i="34"/>
  <c r="L10" i="34"/>
  <c r="K10" i="34"/>
  <c r="J10" i="34"/>
  <c r="O9" i="34"/>
  <c r="N9" i="34"/>
  <c r="M9" i="34"/>
  <c r="L9" i="34"/>
  <c r="K9" i="34"/>
  <c r="J9" i="34"/>
  <c r="O8" i="34"/>
  <c r="N8" i="34"/>
  <c r="M8" i="34"/>
  <c r="L8" i="34"/>
  <c r="K8" i="34"/>
  <c r="J8" i="34"/>
  <c r="O7" i="34"/>
  <c r="N7" i="34"/>
  <c r="O6" i="34"/>
  <c r="N6" i="34"/>
  <c r="M6" i="34"/>
  <c r="L6" i="34"/>
  <c r="K6" i="34"/>
  <c r="J6" i="34"/>
  <c r="O5" i="34"/>
  <c r="N5" i="34"/>
  <c r="M5" i="34"/>
  <c r="L5" i="34"/>
  <c r="K5" i="34"/>
  <c r="J5" i="34"/>
  <c r="O4" i="34"/>
  <c r="N4" i="34"/>
  <c r="M4" i="34"/>
  <c r="L4" i="34"/>
  <c r="O3" i="34"/>
  <c r="N3" i="34"/>
  <c r="N67" i="34" s="1"/>
  <c r="M3" i="34"/>
  <c r="M67" i="34" s="1"/>
  <c r="L3" i="34"/>
  <c r="L67" i="34" s="1"/>
  <c r="K3" i="34"/>
  <c r="K67" i="34" s="1"/>
  <c r="J3" i="34"/>
  <c r="O2" i="34"/>
  <c r="O67" i="34" s="1"/>
  <c r="N2" i="34"/>
  <c r="M2" i="34"/>
  <c r="L2" i="34"/>
  <c r="K2" i="34"/>
  <c r="J2" i="34"/>
  <c r="F203" i="10" l="1"/>
  <c r="G203" i="10"/>
  <c r="H203" i="10"/>
  <c r="I203" i="10"/>
  <c r="J203" i="10"/>
  <c r="K203" i="10"/>
  <c r="L203" i="10"/>
  <c r="M203" i="10"/>
  <c r="N203" i="10"/>
  <c r="O203" i="10"/>
  <c r="F204" i="10"/>
  <c r="G204" i="10"/>
  <c r="H204" i="10"/>
  <c r="I204" i="10"/>
  <c r="J204" i="10"/>
  <c r="K204" i="10"/>
  <c r="L204" i="10"/>
  <c r="M204" i="10"/>
  <c r="N204" i="10"/>
  <c r="O204" i="10"/>
  <c r="F205" i="10"/>
  <c r="G205" i="10"/>
  <c r="H205" i="10"/>
  <c r="I205" i="10"/>
  <c r="J205" i="10"/>
  <c r="K205" i="10"/>
  <c r="L205" i="10"/>
  <c r="M205" i="10"/>
  <c r="N205" i="10"/>
  <c r="O205" i="10"/>
  <c r="F206" i="10"/>
  <c r="G206" i="10"/>
  <c r="H206" i="10"/>
  <c r="I206" i="10"/>
  <c r="J206" i="10"/>
  <c r="K206" i="10"/>
  <c r="L206" i="10"/>
  <c r="M206" i="10"/>
  <c r="N206" i="10"/>
  <c r="O206" i="10"/>
  <c r="F207" i="10"/>
  <c r="G207" i="10"/>
  <c r="H207" i="10"/>
  <c r="I207" i="10"/>
  <c r="J207" i="10"/>
  <c r="K207" i="10"/>
  <c r="L207" i="10"/>
  <c r="M207" i="10"/>
  <c r="N207" i="10"/>
  <c r="O207" i="10"/>
  <c r="F208" i="10"/>
  <c r="G208" i="10"/>
  <c r="H208" i="10"/>
  <c r="I208" i="10"/>
  <c r="J208" i="10"/>
  <c r="K208" i="10"/>
  <c r="L208" i="10"/>
  <c r="M208" i="10"/>
  <c r="N208" i="10"/>
  <c r="O208" i="10"/>
  <c r="F209" i="10"/>
  <c r="G209" i="10"/>
  <c r="H209" i="10"/>
  <c r="I209" i="10"/>
  <c r="J209" i="10"/>
  <c r="K209" i="10"/>
  <c r="L209" i="10"/>
  <c r="M209" i="10"/>
  <c r="N209" i="10"/>
  <c r="O209" i="10"/>
  <c r="F210" i="10"/>
  <c r="G210" i="10"/>
  <c r="H210" i="10"/>
  <c r="I210" i="10"/>
  <c r="J210" i="10"/>
  <c r="K210" i="10"/>
  <c r="L210" i="10"/>
  <c r="M210" i="10"/>
  <c r="N210" i="10"/>
  <c r="O210" i="10"/>
  <c r="E204" i="10"/>
  <c r="E205" i="10"/>
  <c r="E206" i="10"/>
  <c r="E207" i="10"/>
  <c r="E208" i="10"/>
  <c r="E209" i="10"/>
  <c r="E210" i="10"/>
  <c r="E203" i="10"/>
  <c r="X25" i="24" l="1"/>
  <c r="X26" i="24" s="1"/>
  <c r="X32" i="24" s="1"/>
  <c r="Y25" i="24"/>
  <c r="Y26" i="24" s="1"/>
  <c r="Y32" i="24" s="1"/>
  <c r="Z25" i="24"/>
  <c r="Z26" i="24" s="1"/>
  <c r="Z32" i="24" s="1"/>
  <c r="AA25" i="24"/>
  <c r="AB25" i="24"/>
  <c r="AC25" i="24"/>
  <c r="AD25" i="24"/>
  <c r="AD26" i="24" s="1"/>
  <c r="AD32" i="24" s="1"/>
  <c r="AE25" i="24"/>
  <c r="AE26" i="24" s="1"/>
  <c r="AE32" i="24" s="1"/>
  <c r="AF25" i="24"/>
  <c r="AF26" i="24" s="1"/>
  <c r="AF32" i="24" s="1"/>
  <c r="AG25" i="24"/>
  <c r="AH25" i="24"/>
  <c r="AH26" i="24" s="1"/>
  <c r="AH32" i="24" s="1"/>
  <c r="AI25" i="24"/>
  <c r="AJ25" i="24"/>
  <c r="AK25" i="24"/>
  <c r="AA26" i="24"/>
  <c r="AA32" i="24" s="1"/>
  <c r="AB26" i="24"/>
  <c r="AB32" i="24" s="1"/>
  <c r="AC26" i="24"/>
  <c r="AC32" i="24" s="1"/>
  <c r="AG26" i="24"/>
  <c r="AG32" i="24" s="1"/>
  <c r="AI26" i="24"/>
  <c r="AI32" i="24" s="1"/>
  <c r="AJ26" i="24"/>
  <c r="AJ32" i="24" s="1"/>
  <c r="AK26" i="24"/>
  <c r="AK32" i="24" s="1"/>
  <c r="X27" i="24"/>
  <c r="X28" i="24" s="1"/>
  <c r="X33" i="24" s="1"/>
  <c r="Y27" i="24"/>
  <c r="Y28" i="24" s="1"/>
  <c r="Y33" i="24" s="1"/>
  <c r="Z27" i="24"/>
  <c r="Z28" i="24" s="1"/>
  <c r="Z33" i="24" s="1"/>
  <c r="AA27" i="24"/>
  <c r="AA28" i="24" s="1"/>
  <c r="AA33" i="24" s="1"/>
  <c r="AB27" i="24"/>
  <c r="AB28" i="24" s="1"/>
  <c r="AB33" i="24" s="1"/>
  <c r="AC27" i="24"/>
  <c r="AC28" i="24" s="1"/>
  <c r="AC33" i="24" s="1"/>
  <c r="AD27" i="24"/>
  <c r="AE27" i="24"/>
  <c r="AF27" i="24"/>
  <c r="AF28" i="24" s="1"/>
  <c r="AF33" i="24" s="1"/>
  <c r="AG27" i="24"/>
  <c r="AG28" i="24" s="1"/>
  <c r="AG33" i="24" s="1"/>
  <c r="AH27" i="24"/>
  <c r="AH28" i="24" s="1"/>
  <c r="AH33" i="24" s="1"/>
  <c r="AI27" i="24"/>
  <c r="AI28" i="24" s="1"/>
  <c r="AI33" i="24" s="1"/>
  <c r="AJ27" i="24"/>
  <c r="AJ28" i="24" s="1"/>
  <c r="AJ33" i="24" s="1"/>
  <c r="AK27" i="24"/>
  <c r="AD28" i="24"/>
  <c r="AD33" i="24" s="1"/>
  <c r="AE28" i="24"/>
  <c r="AE33" i="24" s="1"/>
  <c r="AK28" i="24"/>
  <c r="AK33" i="24" s="1"/>
  <c r="X29" i="24"/>
  <c r="X30" i="24" s="1"/>
  <c r="X34" i="24" s="1"/>
  <c r="Y29" i="24"/>
  <c r="Y30" i="24" s="1"/>
  <c r="Y34" i="24" s="1"/>
  <c r="Z29" i="24"/>
  <c r="Z30" i="24" s="1"/>
  <c r="Z34" i="24" s="1"/>
  <c r="AA29" i="24"/>
  <c r="AA30" i="24" s="1"/>
  <c r="AA34" i="24" s="1"/>
  <c r="AB29" i="24"/>
  <c r="AB30" i="24" s="1"/>
  <c r="AB34" i="24" s="1"/>
  <c r="AC29" i="24"/>
  <c r="AD29" i="24"/>
  <c r="AD30" i="24" s="1"/>
  <c r="AD34" i="24" s="1"/>
  <c r="AE29" i="24"/>
  <c r="AF29" i="24"/>
  <c r="AG29" i="24"/>
  <c r="AH29" i="24"/>
  <c r="AH30" i="24" s="1"/>
  <c r="AH34" i="24" s="1"/>
  <c r="AI29" i="24"/>
  <c r="AI30" i="24" s="1"/>
  <c r="AI34" i="24" s="1"/>
  <c r="AJ29" i="24"/>
  <c r="AJ30" i="24" s="1"/>
  <c r="AJ34" i="24" s="1"/>
  <c r="AK29" i="24"/>
  <c r="AC30" i="24"/>
  <c r="AC34" i="24" s="1"/>
  <c r="AE30" i="24"/>
  <c r="AE34" i="24" s="1"/>
  <c r="AF30" i="24"/>
  <c r="AF34" i="24" s="1"/>
  <c r="AG30" i="24"/>
  <c r="AG34" i="24" s="1"/>
  <c r="AK30" i="24"/>
  <c r="AK34" i="24" s="1"/>
  <c r="X23" i="23"/>
  <c r="Y23" i="23"/>
  <c r="Z23" i="23"/>
  <c r="AA23" i="23"/>
  <c r="AB23" i="23"/>
  <c r="AC23" i="23"/>
  <c r="AD23" i="23"/>
  <c r="AE23" i="23"/>
  <c r="AF23" i="23"/>
  <c r="AG23" i="23"/>
  <c r="AH23" i="23"/>
  <c r="AI23" i="23"/>
  <c r="AJ23" i="23"/>
  <c r="AK23" i="23"/>
  <c r="AL23" i="23"/>
  <c r="X24" i="23"/>
  <c r="Y24" i="23"/>
  <c r="Z24" i="23"/>
  <c r="AA24" i="23"/>
  <c r="AB24" i="23"/>
  <c r="AC24" i="23"/>
  <c r="AD24" i="23"/>
  <c r="AE24" i="23"/>
  <c r="AF24" i="23"/>
  <c r="AG24" i="23"/>
  <c r="AH24" i="23"/>
  <c r="AI24" i="23"/>
  <c r="AJ24" i="23"/>
  <c r="AK24" i="23"/>
  <c r="AL24" i="23"/>
  <c r="X25" i="23"/>
  <c r="Y25" i="23"/>
  <c r="Z25" i="23"/>
  <c r="AA25" i="23"/>
  <c r="AB25" i="23"/>
  <c r="AC25" i="23"/>
  <c r="AD25" i="23"/>
  <c r="AE25" i="23"/>
  <c r="AF25" i="23"/>
  <c r="AG25" i="23"/>
  <c r="AH25" i="23"/>
  <c r="AI25" i="23"/>
  <c r="AJ25" i="23"/>
  <c r="AK25" i="23"/>
  <c r="AL25" i="23"/>
  <c r="X26" i="23"/>
  <c r="Y26" i="23"/>
  <c r="Z26" i="23"/>
  <c r="AA26" i="23"/>
  <c r="AB26" i="23"/>
  <c r="AC26" i="23"/>
  <c r="AD26" i="23"/>
  <c r="AE26" i="23"/>
  <c r="AF26" i="23"/>
  <c r="AG26" i="23"/>
  <c r="AH26" i="23"/>
  <c r="AI26" i="23"/>
  <c r="AJ26" i="23"/>
  <c r="AK26" i="23"/>
  <c r="AL26" i="23"/>
  <c r="X27" i="23"/>
  <c r="Y27" i="23"/>
  <c r="Z27" i="23"/>
  <c r="AA27" i="23"/>
  <c r="AB27" i="23"/>
  <c r="AC27" i="23"/>
  <c r="AD27" i="23"/>
  <c r="AE27" i="23"/>
  <c r="AF27" i="23"/>
  <c r="AG27" i="23"/>
  <c r="AH27" i="23"/>
  <c r="AI27" i="23"/>
  <c r="AJ27" i="23"/>
  <c r="AK27" i="23"/>
  <c r="AL27" i="23"/>
  <c r="X28" i="23"/>
  <c r="Y28" i="23"/>
  <c r="Z28" i="23"/>
  <c r="AA28" i="23"/>
  <c r="AB28" i="23"/>
  <c r="AC28" i="23"/>
  <c r="AD28" i="23"/>
  <c r="AE28" i="23"/>
  <c r="AF28" i="23"/>
  <c r="AG28" i="23"/>
  <c r="AH28" i="23"/>
  <c r="AI28" i="23"/>
  <c r="AJ28" i="23"/>
  <c r="AK28" i="23"/>
  <c r="AL28" i="23"/>
  <c r="X29" i="23"/>
  <c r="Y29" i="23"/>
  <c r="Z29" i="23"/>
  <c r="AA29" i="23"/>
  <c r="AB29" i="23"/>
  <c r="AC29" i="23"/>
  <c r="AD29" i="23"/>
  <c r="AE29" i="23"/>
  <c r="AF29" i="23"/>
  <c r="AG29" i="23"/>
  <c r="AH29" i="23"/>
  <c r="AI29" i="23"/>
  <c r="AJ29" i="23"/>
  <c r="AK29" i="23"/>
  <c r="AL29" i="23"/>
  <c r="X30" i="23"/>
  <c r="Y30" i="23"/>
  <c r="Z30" i="23"/>
  <c r="AA30" i="23"/>
  <c r="AB30" i="23"/>
  <c r="AC30" i="23"/>
  <c r="AD30" i="23"/>
  <c r="AE30" i="23"/>
  <c r="AF30" i="23"/>
  <c r="AG30" i="23"/>
  <c r="AH30" i="23"/>
  <c r="AI30" i="23"/>
  <c r="AJ30" i="23"/>
  <c r="AK30" i="23"/>
  <c r="AL30" i="23"/>
  <c r="X31" i="23"/>
  <c r="Y31" i="23"/>
  <c r="Z31" i="23"/>
  <c r="AA31" i="23"/>
  <c r="AB31" i="23"/>
  <c r="AC31" i="23"/>
  <c r="AD31" i="23"/>
  <c r="AE31" i="23"/>
  <c r="AF31" i="23"/>
  <c r="AG31" i="23"/>
  <c r="AH31" i="23"/>
  <c r="AI31" i="23"/>
  <c r="AJ31" i="23"/>
  <c r="AK31" i="23"/>
  <c r="AL31" i="23"/>
  <c r="X32" i="23"/>
  <c r="Y32" i="23"/>
  <c r="Z32" i="23"/>
  <c r="AA32" i="23"/>
  <c r="AB32" i="23"/>
  <c r="AC32" i="23"/>
  <c r="AD32" i="23"/>
  <c r="AE32" i="23"/>
  <c r="AF32" i="23"/>
  <c r="AG32" i="23"/>
  <c r="AH32" i="23"/>
  <c r="AI32" i="23"/>
  <c r="AJ32" i="23"/>
  <c r="AK32" i="23"/>
  <c r="AL32" i="23"/>
  <c r="X33" i="23"/>
  <c r="Y33" i="23"/>
  <c r="Z33" i="23"/>
  <c r="AA33" i="23"/>
  <c r="AB33" i="23"/>
  <c r="AC33" i="23"/>
  <c r="AD33" i="23"/>
  <c r="AE33" i="23"/>
  <c r="AF33" i="23"/>
  <c r="AG33" i="23"/>
  <c r="AH33" i="23"/>
  <c r="AI33" i="23"/>
  <c r="AJ33" i="23"/>
  <c r="AK33" i="23"/>
  <c r="AL33" i="23"/>
  <c r="Y5" i="26"/>
  <c r="Z5" i="26"/>
  <c r="AA5" i="26"/>
  <c r="AB5" i="26"/>
  <c r="AC5" i="26"/>
  <c r="AD5" i="26"/>
  <c r="AE5" i="26"/>
  <c r="AF5" i="26"/>
  <c r="AG5" i="26"/>
  <c r="AH5" i="26"/>
  <c r="AI5" i="26"/>
  <c r="AJ5" i="26"/>
  <c r="AK5" i="26"/>
  <c r="AL5" i="26"/>
  <c r="D6" i="26"/>
  <c r="E6" i="26"/>
  <c r="F6" i="26"/>
  <c r="G6" i="26"/>
  <c r="H6" i="26"/>
  <c r="I6" i="26"/>
  <c r="J6" i="26"/>
  <c r="K6" i="26"/>
  <c r="L6" i="26"/>
  <c r="M6" i="26"/>
  <c r="N6" i="26"/>
  <c r="O6" i="26"/>
  <c r="P6" i="26"/>
  <c r="Q6" i="26"/>
  <c r="R6" i="26"/>
  <c r="S6" i="26"/>
  <c r="T6" i="26"/>
  <c r="U6" i="26"/>
  <c r="V6" i="26"/>
  <c r="W6" i="26"/>
  <c r="X6" i="26"/>
  <c r="Y6" i="26"/>
  <c r="Z6" i="26"/>
  <c r="AA6" i="26"/>
  <c r="AB6" i="26"/>
  <c r="AC6" i="26"/>
  <c r="AD6" i="26"/>
  <c r="AE6" i="26"/>
  <c r="AF6" i="26"/>
  <c r="AG6" i="26"/>
  <c r="AH6" i="26"/>
  <c r="AI6" i="26"/>
  <c r="AJ6" i="26"/>
  <c r="AK6" i="26"/>
  <c r="AL6" i="26"/>
  <c r="D7" i="26"/>
  <c r="E7" i="26"/>
  <c r="F7" i="26"/>
  <c r="G7" i="26"/>
  <c r="H7" i="26"/>
  <c r="I7" i="26"/>
  <c r="J7" i="26"/>
  <c r="K7" i="26"/>
  <c r="L7" i="26"/>
  <c r="M7" i="26"/>
  <c r="N7" i="26"/>
  <c r="O7" i="26"/>
  <c r="P7" i="26"/>
  <c r="Q7" i="26"/>
  <c r="R7" i="26"/>
  <c r="S7" i="26"/>
  <c r="T7" i="26"/>
  <c r="U7" i="26"/>
  <c r="V7" i="26"/>
  <c r="W7" i="26"/>
  <c r="X7" i="26"/>
  <c r="Y7" i="26"/>
  <c r="Z7" i="26"/>
  <c r="AA7" i="26"/>
  <c r="AB7" i="26"/>
  <c r="AC7" i="26"/>
  <c r="AD7" i="26"/>
  <c r="AE7" i="26"/>
  <c r="AF7" i="26"/>
  <c r="AG7" i="26"/>
  <c r="AH7" i="26"/>
  <c r="AI7" i="26"/>
  <c r="AJ7" i="26"/>
  <c r="AK7" i="26"/>
  <c r="AL7" i="26"/>
  <c r="Y10" i="26"/>
  <c r="Z10" i="26"/>
  <c r="AA10" i="26"/>
  <c r="AB10" i="26"/>
  <c r="AC10" i="26"/>
  <c r="AD10" i="26"/>
  <c r="AE10" i="26"/>
  <c r="AF10" i="26"/>
  <c r="AG10" i="26"/>
  <c r="AH10" i="26"/>
  <c r="AI10" i="26"/>
  <c r="AJ10" i="26"/>
  <c r="AK10" i="26"/>
  <c r="AL10" i="26"/>
  <c r="D11" i="26"/>
  <c r="E11" i="26"/>
  <c r="F11" i="26"/>
  <c r="G11" i="26"/>
  <c r="H11" i="26"/>
  <c r="I11" i="26"/>
  <c r="J11" i="26"/>
  <c r="K11" i="26"/>
  <c r="L11" i="26"/>
  <c r="M11" i="26"/>
  <c r="N11" i="26"/>
  <c r="O11" i="26"/>
  <c r="P11" i="26"/>
  <c r="Q11" i="26"/>
  <c r="R11" i="26"/>
  <c r="S11" i="26"/>
  <c r="T11" i="26"/>
  <c r="U11" i="26"/>
  <c r="V11" i="26"/>
  <c r="W11" i="26"/>
  <c r="X11" i="26"/>
  <c r="Y11" i="26"/>
  <c r="Z11" i="26"/>
  <c r="AA11" i="26"/>
  <c r="AB11" i="26"/>
  <c r="AC11" i="26"/>
  <c r="AD11" i="26"/>
  <c r="AE11" i="26"/>
  <c r="AF11" i="26"/>
  <c r="AG11" i="26"/>
  <c r="AH11" i="26"/>
  <c r="AI11" i="26"/>
  <c r="AJ11" i="26"/>
  <c r="AK11" i="26"/>
  <c r="AL11" i="26"/>
  <c r="D12" i="26"/>
  <c r="E12" i="26"/>
  <c r="F12" i="26"/>
  <c r="G12" i="26"/>
  <c r="H12" i="26"/>
  <c r="I12" i="26"/>
  <c r="J12" i="26"/>
  <c r="K12" i="26"/>
  <c r="L12" i="26"/>
  <c r="M12" i="26"/>
  <c r="N12" i="26"/>
  <c r="O12" i="26"/>
  <c r="P12" i="26"/>
  <c r="Q12" i="26"/>
  <c r="R12" i="26"/>
  <c r="S12" i="26"/>
  <c r="T12" i="26"/>
  <c r="U12" i="26"/>
  <c r="V12" i="26"/>
  <c r="W12" i="26"/>
  <c r="X12" i="26"/>
  <c r="Y12" i="26"/>
  <c r="Z12" i="26"/>
  <c r="AA12" i="26"/>
  <c r="AB12" i="26"/>
  <c r="AC12" i="26"/>
  <c r="AD12" i="26"/>
  <c r="AE12" i="26"/>
  <c r="AF12" i="26"/>
  <c r="AG12" i="26"/>
  <c r="AH12" i="26"/>
  <c r="AI12" i="26"/>
  <c r="AJ12" i="26"/>
  <c r="AK12" i="26"/>
  <c r="AL12" i="26"/>
  <c r="D16" i="26"/>
  <c r="E16" i="26"/>
  <c r="F16" i="26"/>
  <c r="G16" i="26"/>
  <c r="H16" i="26"/>
  <c r="I16" i="26"/>
  <c r="J16" i="26"/>
  <c r="K16" i="26"/>
  <c r="L16" i="26"/>
  <c r="M16" i="26"/>
  <c r="N16" i="26"/>
  <c r="O16" i="26"/>
  <c r="P16" i="26"/>
  <c r="Q16" i="26"/>
  <c r="R16" i="26"/>
  <c r="S16" i="26"/>
  <c r="T16" i="26"/>
  <c r="U16" i="26"/>
  <c r="V16" i="26"/>
  <c r="W16" i="26"/>
  <c r="X16" i="26"/>
  <c r="Y16" i="26"/>
  <c r="Z16" i="26"/>
  <c r="AA16" i="26"/>
  <c r="AB16" i="26"/>
  <c r="AC16" i="26"/>
  <c r="AD16" i="26"/>
  <c r="AE16" i="26"/>
  <c r="AF16" i="26"/>
  <c r="AG16" i="26"/>
  <c r="AH16" i="26"/>
  <c r="AI16" i="26"/>
  <c r="AJ16" i="26"/>
  <c r="AK16" i="26"/>
  <c r="AL16" i="26"/>
  <c r="D17" i="26"/>
  <c r="E17" i="26"/>
  <c r="F17" i="26"/>
  <c r="G17" i="26"/>
  <c r="H17" i="26"/>
  <c r="I17" i="26"/>
  <c r="J17" i="26"/>
  <c r="K17" i="26"/>
  <c r="L17" i="26"/>
  <c r="M17" i="26"/>
  <c r="N17" i="26"/>
  <c r="O17" i="26"/>
  <c r="P17" i="26"/>
  <c r="Q17" i="26"/>
  <c r="R17" i="26"/>
  <c r="S17" i="26"/>
  <c r="T17" i="26"/>
  <c r="U17" i="26"/>
  <c r="V17" i="26"/>
  <c r="W17" i="26"/>
  <c r="X17" i="26"/>
  <c r="Y17" i="26"/>
  <c r="Z17" i="26"/>
  <c r="AA17" i="26"/>
  <c r="AB17" i="26"/>
  <c r="AC17" i="26"/>
  <c r="AD17" i="26"/>
  <c r="AE17" i="26"/>
  <c r="AF17" i="26"/>
  <c r="AG17" i="26"/>
  <c r="AH17" i="26"/>
  <c r="AI17" i="26"/>
  <c r="AJ17" i="26"/>
  <c r="AK17" i="26"/>
  <c r="AL17" i="26"/>
  <c r="D21" i="26"/>
  <c r="E21" i="26"/>
  <c r="F21" i="26"/>
  <c r="G21" i="26"/>
  <c r="H21" i="26"/>
  <c r="I21" i="26"/>
  <c r="J21" i="26"/>
  <c r="K21" i="26"/>
  <c r="L21" i="26"/>
  <c r="M21" i="26"/>
  <c r="N21" i="26"/>
  <c r="O21" i="26"/>
  <c r="P21" i="26"/>
  <c r="Q21" i="26"/>
  <c r="R21" i="26"/>
  <c r="S21" i="26"/>
  <c r="T21" i="26"/>
  <c r="U21" i="26"/>
  <c r="V21" i="26"/>
  <c r="W21" i="26"/>
  <c r="X21" i="26"/>
  <c r="Y21" i="26"/>
  <c r="Z21" i="26"/>
  <c r="AA21" i="26"/>
  <c r="AB21" i="26"/>
  <c r="AC21" i="26"/>
  <c r="AD21" i="26"/>
  <c r="AE21" i="26"/>
  <c r="AF21" i="26"/>
  <c r="AG21" i="26"/>
  <c r="AH21" i="26"/>
  <c r="AI21" i="26"/>
  <c r="AJ21" i="26"/>
  <c r="AK21" i="26"/>
  <c r="AL21" i="26"/>
  <c r="D22" i="26"/>
  <c r="E22" i="26"/>
  <c r="F22" i="26"/>
  <c r="G22" i="26"/>
  <c r="H22" i="26"/>
  <c r="I22" i="26"/>
  <c r="J22" i="26"/>
  <c r="K22" i="26"/>
  <c r="L22" i="26"/>
  <c r="M22" i="26"/>
  <c r="N22" i="26"/>
  <c r="O22" i="26"/>
  <c r="P22" i="26"/>
  <c r="Q22" i="26"/>
  <c r="R22" i="26"/>
  <c r="S22" i="26"/>
  <c r="T22" i="26"/>
  <c r="U22" i="26"/>
  <c r="V22" i="26"/>
  <c r="W22" i="26"/>
  <c r="X22" i="26"/>
  <c r="Y22" i="26"/>
  <c r="Z22" i="26"/>
  <c r="AA22" i="26"/>
  <c r="AB22" i="26"/>
  <c r="AC22" i="26"/>
  <c r="AD22" i="26"/>
  <c r="AE22" i="26"/>
  <c r="AF22" i="26"/>
  <c r="AG22" i="26"/>
  <c r="AH22" i="26"/>
  <c r="AI22" i="26"/>
  <c r="AJ22" i="26"/>
  <c r="AK22" i="26"/>
  <c r="AL22" i="26"/>
  <c r="C22" i="26"/>
  <c r="C21" i="26"/>
  <c r="C17" i="26"/>
  <c r="C16" i="26"/>
  <c r="C12" i="26"/>
  <c r="C11" i="26"/>
  <c r="C7" i="26"/>
  <c r="C6" i="26"/>
  <c r="C21" i="24"/>
  <c r="D21" i="24"/>
  <c r="E21" i="24"/>
  <c r="F21" i="24"/>
  <c r="G21" i="24"/>
  <c r="H21" i="24"/>
  <c r="I21" i="24"/>
  <c r="J21" i="24"/>
  <c r="K21" i="24"/>
  <c r="L21" i="24"/>
  <c r="M21" i="24"/>
  <c r="N21" i="24"/>
  <c r="O21" i="24"/>
  <c r="P21" i="24"/>
  <c r="Q21" i="24"/>
  <c r="R21" i="24"/>
  <c r="S21" i="24"/>
  <c r="T21" i="24"/>
  <c r="U21" i="24"/>
  <c r="V21" i="24"/>
  <c r="W21" i="24"/>
  <c r="X21" i="24"/>
  <c r="Y21" i="24"/>
  <c r="Z21" i="24"/>
  <c r="AA21" i="24"/>
  <c r="AB21" i="24"/>
  <c r="AC21" i="24"/>
  <c r="AD21" i="24"/>
  <c r="AE21" i="24"/>
  <c r="AF21" i="24"/>
  <c r="AG21" i="24"/>
  <c r="AH21" i="24"/>
  <c r="AI21" i="24"/>
  <c r="AJ21" i="24"/>
  <c r="AK21" i="24"/>
  <c r="B21" i="24"/>
  <c r="X17" i="24"/>
  <c r="Y17" i="24"/>
  <c r="Z17" i="24"/>
  <c r="AA20" i="26" s="1"/>
  <c r="AA17" i="24"/>
  <c r="AB17" i="24"/>
  <c r="AC20" i="26" s="1"/>
  <c r="AC17" i="24"/>
  <c r="AD20" i="26" s="1"/>
  <c r="AD17" i="24"/>
  <c r="AE20" i="26" s="1"/>
  <c r="AE17" i="24"/>
  <c r="AF17" i="24"/>
  <c r="AG20" i="26" s="1"/>
  <c r="AG17" i="24"/>
  <c r="AH17" i="24"/>
  <c r="AI17" i="24"/>
  <c r="AJ17" i="24"/>
  <c r="AK20" i="26" s="1"/>
  <c r="AK17" i="24"/>
  <c r="AL20" i="26" s="1"/>
  <c r="X18" i="24"/>
  <c r="Y15" i="26" s="1"/>
  <c r="Y18" i="24"/>
  <c r="Z15" i="26" s="1"/>
  <c r="Z18" i="24"/>
  <c r="AA15" i="26" s="1"/>
  <c r="AA18" i="24"/>
  <c r="AB15" i="26" s="1"/>
  <c r="AB18" i="24"/>
  <c r="AC15" i="26" s="1"/>
  <c r="AC18" i="24"/>
  <c r="AD15" i="26" s="1"/>
  <c r="AD18" i="24"/>
  <c r="AE15" i="26" s="1"/>
  <c r="AE18" i="24"/>
  <c r="AF15" i="26" s="1"/>
  <c r="AF18" i="24"/>
  <c r="AG15" i="26" s="1"/>
  <c r="AG18" i="24"/>
  <c r="AH15" i="26" s="1"/>
  <c r="AH18" i="24"/>
  <c r="AI15" i="26" s="1"/>
  <c r="AI18" i="24"/>
  <c r="AJ15" i="26" s="1"/>
  <c r="AJ18" i="24"/>
  <c r="AK15" i="26" s="1"/>
  <c r="AK18" i="24"/>
  <c r="AL15" i="26" s="1"/>
  <c r="C7" i="24"/>
  <c r="C17" i="24" s="1"/>
  <c r="D20" i="26" s="1"/>
  <c r="D7" i="24"/>
  <c r="D17" i="24" s="1"/>
  <c r="E20" i="26" s="1"/>
  <c r="E7" i="24"/>
  <c r="F7" i="24"/>
  <c r="F17" i="24" s="1"/>
  <c r="G20" i="26" s="1"/>
  <c r="G7" i="24"/>
  <c r="G17" i="24" s="1"/>
  <c r="H20" i="26" s="1"/>
  <c r="H7" i="24"/>
  <c r="H17" i="24" s="1"/>
  <c r="I20" i="26" s="1"/>
  <c r="I7" i="24"/>
  <c r="I17" i="24" s="1"/>
  <c r="J20" i="26" s="1"/>
  <c r="J7" i="24"/>
  <c r="J17" i="24" s="1"/>
  <c r="K20" i="26" s="1"/>
  <c r="K7" i="24"/>
  <c r="K17" i="24" s="1"/>
  <c r="L20" i="26" s="1"/>
  <c r="L7" i="24"/>
  <c r="L17" i="24" s="1"/>
  <c r="M20" i="26" s="1"/>
  <c r="M7" i="24"/>
  <c r="N7" i="24"/>
  <c r="N17" i="24" s="1"/>
  <c r="O20" i="26" s="1"/>
  <c r="O7" i="24"/>
  <c r="O17" i="24" s="1"/>
  <c r="P20" i="26" s="1"/>
  <c r="P7" i="24"/>
  <c r="P17" i="24" s="1"/>
  <c r="Q20" i="26" s="1"/>
  <c r="Q7" i="24"/>
  <c r="Q17" i="24" s="1"/>
  <c r="R20" i="26" s="1"/>
  <c r="R7" i="24"/>
  <c r="R17" i="24" s="1"/>
  <c r="S20" i="26" s="1"/>
  <c r="S7" i="24"/>
  <c r="S17" i="24" s="1"/>
  <c r="T20" i="26" s="1"/>
  <c r="T7" i="24"/>
  <c r="T17" i="24" s="1"/>
  <c r="U20" i="26" s="1"/>
  <c r="U7" i="24"/>
  <c r="U17" i="24" s="1"/>
  <c r="V20" i="26" s="1"/>
  <c r="V7" i="24"/>
  <c r="V17" i="24" s="1"/>
  <c r="W20" i="26" s="1"/>
  <c r="W7" i="24"/>
  <c r="W17" i="24" s="1"/>
  <c r="X20" i="26" s="1"/>
  <c r="C8" i="24"/>
  <c r="C25" i="24" s="1"/>
  <c r="D8" i="24"/>
  <c r="D25" i="24" s="1"/>
  <c r="E8" i="24"/>
  <c r="E25" i="24" s="1"/>
  <c r="F8" i="24"/>
  <c r="F25" i="24" s="1"/>
  <c r="G8" i="24"/>
  <c r="G25" i="24" s="1"/>
  <c r="H8" i="24"/>
  <c r="H25" i="24" s="1"/>
  <c r="I8" i="24"/>
  <c r="I25" i="24" s="1"/>
  <c r="J8" i="24"/>
  <c r="J25" i="24" s="1"/>
  <c r="K8" i="24"/>
  <c r="K25" i="24" s="1"/>
  <c r="L8" i="24"/>
  <c r="L25" i="24" s="1"/>
  <c r="M8" i="24"/>
  <c r="M25" i="24" s="1"/>
  <c r="N8" i="24"/>
  <c r="N25" i="24" s="1"/>
  <c r="O8" i="24"/>
  <c r="O25" i="24" s="1"/>
  <c r="P8" i="24"/>
  <c r="P25" i="24" s="1"/>
  <c r="Q8" i="24"/>
  <c r="Q25" i="24" s="1"/>
  <c r="R8" i="24"/>
  <c r="R25" i="24" s="1"/>
  <c r="S8" i="24"/>
  <c r="S25" i="24" s="1"/>
  <c r="T8" i="24"/>
  <c r="T25" i="24" s="1"/>
  <c r="U8" i="24"/>
  <c r="U25" i="24" s="1"/>
  <c r="V8" i="24"/>
  <c r="V25" i="24" s="1"/>
  <c r="W8" i="24"/>
  <c r="W25" i="24" s="1"/>
  <c r="C10" i="24"/>
  <c r="D5" i="26" s="1"/>
  <c r="D10" i="24"/>
  <c r="E5" i="26" s="1"/>
  <c r="E10" i="24"/>
  <c r="F5" i="26" s="1"/>
  <c r="F10" i="24"/>
  <c r="G5" i="26" s="1"/>
  <c r="G10" i="24"/>
  <c r="H5" i="26" s="1"/>
  <c r="H10" i="24"/>
  <c r="I5" i="26" s="1"/>
  <c r="I10" i="24"/>
  <c r="J10" i="24"/>
  <c r="K5" i="26" s="1"/>
  <c r="K10" i="24"/>
  <c r="L5" i="26" s="1"/>
  <c r="L10" i="24"/>
  <c r="M5" i="26" s="1"/>
  <c r="M10" i="24"/>
  <c r="N5" i="26" s="1"/>
  <c r="N10" i="24"/>
  <c r="O5" i="26" s="1"/>
  <c r="O10" i="24"/>
  <c r="P5" i="26" s="1"/>
  <c r="P10" i="24"/>
  <c r="Q5" i="26" s="1"/>
  <c r="Q10" i="24"/>
  <c r="R10" i="24"/>
  <c r="S5" i="26" s="1"/>
  <c r="S10" i="24"/>
  <c r="T5" i="26" s="1"/>
  <c r="T10" i="24"/>
  <c r="U5" i="26" s="1"/>
  <c r="U10" i="24"/>
  <c r="V5" i="26" s="1"/>
  <c r="V10" i="24"/>
  <c r="W5" i="26" s="1"/>
  <c r="W10" i="24"/>
  <c r="X5" i="26" s="1"/>
  <c r="C11" i="24"/>
  <c r="C27" i="24" s="1"/>
  <c r="D11" i="24"/>
  <c r="D27" i="24" s="1"/>
  <c r="E11" i="24"/>
  <c r="E27" i="24" s="1"/>
  <c r="F11" i="24"/>
  <c r="F27" i="24" s="1"/>
  <c r="G11" i="24"/>
  <c r="G27" i="24" s="1"/>
  <c r="H11" i="24"/>
  <c r="H27" i="24" s="1"/>
  <c r="I11" i="24"/>
  <c r="I27" i="24" s="1"/>
  <c r="J11" i="24"/>
  <c r="J27" i="24" s="1"/>
  <c r="K11" i="24"/>
  <c r="K27" i="24" s="1"/>
  <c r="L11" i="24"/>
  <c r="L27" i="24" s="1"/>
  <c r="M11" i="24"/>
  <c r="M27" i="24" s="1"/>
  <c r="N11" i="24"/>
  <c r="N27" i="24" s="1"/>
  <c r="O11" i="24"/>
  <c r="O27" i="24" s="1"/>
  <c r="P11" i="24"/>
  <c r="P27" i="24" s="1"/>
  <c r="Q11" i="24"/>
  <c r="Q27" i="24" s="1"/>
  <c r="R11" i="24"/>
  <c r="R27" i="24" s="1"/>
  <c r="S11" i="24"/>
  <c r="S27" i="24" s="1"/>
  <c r="T11" i="24"/>
  <c r="T27" i="24" s="1"/>
  <c r="U11" i="24"/>
  <c r="U27" i="24" s="1"/>
  <c r="V11" i="24"/>
  <c r="V27" i="24" s="1"/>
  <c r="W11" i="24"/>
  <c r="W27" i="24" s="1"/>
  <c r="C13" i="24"/>
  <c r="D10" i="26" s="1"/>
  <c r="D13" i="24"/>
  <c r="E10" i="26" s="1"/>
  <c r="E13" i="24"/>
  <c r="F10" i="26" s="1"/>
  <c r="F13" i="24"/>
  <c r="G10" i="26" s="1"/>
  <c r="G13" i="24"/>
  <c r="H10" i="26" s="1"/>
  <c r="H13" i="24"/>
  <c r="I10" i="26" s="1"/>
  <c r="I13" i="24"/>
  <c r="J10" i="26" s="1"/>
  <c r="J13" i="24"/>
  <c r="K10" i="26" s="1"/>
  <c r="K13" i="24"/>
  <c r="L10" i="26" s="1"/>
  <c r="L13" i="24"/>
  <c r="M10" i="26" s="1"/>
  <c r="M13" i="24"/>
  <c r="N10" i="26" s="1"/>
  <c r="N13" i="24"/>
  <c r="O10" i="26" s="1"/>
  <c r="O13" i="24"/>
  <c r="P10" i="26" s="1"/>
  <c r="P13" i="24"/>
  <c r="Q10" i="26" s="1"/>
  <c r="Q13" i="24"/>
  <c r="R10" i="26" s="1"/>
  <c r="R13" i="24"/>
  <c r="S10" i="26" s="1"/>
  <c r="S13" i="24"/>
  <c r="T10" i="26" s="1"/>
  <c r="T13" i="24"/>
  <c r="U10" i="26" s="1"/>
  <c r="U13" i="24"/>
  <c r="V10" i="26" s="1"/>
  <c r="V13" i="24"/>
  <c r="W10" i="26" s="1"/>
  <c r="W13" i="24"/>
  <c r="X10" i="26" s="1"/>
  <c r="C14" i="24"/>
  <c r="C29" i="24" s="1"/>
  <c r="D14" i="24"/>
  <c r="D29" i="24" s="1"/>
  <c r="E14" i="24"/>
  <c r="E29" i="24" s="1"/>
  <c r="F14" i="24"/>
  <c r="F29" i="24" s="1"/>
  <c r="G14" i="24"/>
  <c r="G29" i="24" s="1"/>
  <c r="H14" i="24"/>
  <c r="H29" i="24" s="1"/>
  <c r="I14" i="24"/>
  <c r="I29" i="24" s="1"/>
  <c r="J14" i="24"/>
  <c r="J29" i="24" s="1"/>
  <c r="K14" i="24"/>
  <c r="K29" i="24" s="1"/>
  <c r="L14" i="24"/>
  <c r="L29" i="24" s="1"/>
  <c r="M14" i="24"/>
  <c r="M29" i="24" s="1"/>
  <c r="N14" i="24"/>
  <c r="N29" i="24" s="1"/>
  <c r="O14" i="24"/>
  <c r="O29" i="24" s="1"/>
  <c r="P14" i="24"/>
  <c r="P29" i="24" s="1"/>
  <c r="Q14" i="24"/>
  <c r="Q29" i="24" s="1"/>
  <c r="R14" i="24"/>
  <c r="R29" i="24" s="1"/>
  <c r="S14" i="24"/>
  <c r="S29" i="24" s="1"/>
  <c r="T14" i="24"/>
  <c r="T29" i="24" s="1"/>
  <c r="U14" i="24"/>
  <c r="U29" i="24" s="1"/>
  <c r="V14" i="24"/>
  <c r="V29" i="24" s="1"/>
  <c r="W14" i="24"/>
  <c r="W29" i="24" s="1"/>
  <c r="B14" i="24"/>
  <c r="B29" i="24" s="1"/>
  <c r="B13" i="24"/>
  <c r="C10" i="26" s="1"/>
  <c r="B11" i="24"/>
  <c r="B27" i="24" s="1"/>
  <c r="B10" i="24"/>
  <c r="C5" i="26" s="1"/>
  <c r="B8" i="24"/>
  <c r="B25" i="24" s="1"/>
  <c r="B7" i="24"/>
  <c r="B17" i="24" s="1"/>
  <c r="C20" i="26" s="1"/>
  <c r="N26" i="24" l="1"/>
  <c r="N32" i="24" s="1"/>
  <c r="T26" i="24"/>
  <c r="T32" i="24" s="1"/>
  <c r="H30" i="24"/>
  <c r="H34" i="24" s="1"/>
  <c r="R28" i="24"/>
  <c r="R33" i="24" s="1"/>
  <c r="D26" i="24"/>
  <c r="D32" i="24" s="1"/>
  <c r="P30" i="24"/>
  <c r="P34" i="24" s="1"/>
  <c r="J28" i="24"/>
  <c r="J33" i="24" s="1"/>
  <c r="L26" i="24"/>
  <c r="L32" i="24" s="1"/>
  <c r="W30" i="24"/>
  <c r="W34" i="24" s="1"/>
  <c r="O30" i="24"/>
  <c r="O34" i="24" s="1"/>
  <c r="G30" i="24"/>
  <c r="G34" i="24" s="1"/>
  <c r="Q28" i="24"/>
  <c r="Q33" i="24" s="1"/>
  <c r="I28" i="24"/>
  <c r="I33" i="24" s="1"/>
  <c r="S26" i="24"/>
  <c r="S32" i="24" s="1"/>
  <c r="K26" i="24"/>
  <c r="K32" i="24" s="1"/>
  <c r="C26" i="24"/>
  <c r="C32" i="24" s="1"/>
  <c r="N30" i="24"/>
  <c r="N34" i="24" s="1"/>
  <c r="F30" i="24"/>
  <c r="F34" i="24" s="1"/>
  <c r="P28" i="24"/>
  <c r="P33" i="24" s="1"/>
  <c r="H28" i="24"/>
  <c r="H33" i="24" s="1"/>
  <c r="R26" i="24"/>
  <c r="R32" i="24" s="1"/>
  <c r="J26" i="24"/>
  <c r="J32" i="24" s="1"/>
  <c r="V30" i="24"/>
  <c r="V34" i="24" s="1"/>
  <c r="D30" i="24"/>
  <c r="D34" i="24" s="1"/>
  <c r="F26" i="24"/>
  <c r="F32" i="24" s="1"/>
  <c r="T30" i="24"/>
  <c r="T34" i="24" s="1"/>
  <c r="Q30" i="24"/>
  <c r="Q34" i="24" s="1"/>
  <c r="S28" i="24"/>
  <c r="S33" i="24" s="1"/>
  <c r="K28" i="24"/>
  <c r="K33" i="24" s="1"/>
  <c r="C28" i="24"/>
  <c r="C33" i="24" s="1"/>
  <c r="U26" i="24"/>
  <c r="U32" i="24" s="1"/>
  <c r="M26" i="24"/>
  <c r="M32" i="24" s="1"/>
  <c r="E26" i="24"/>
  <c r="E32" i="24" s="1"/>
  <c r="I26" i="24"/>
  <c r="I32" i="24" s="1"/>
  <c r="G26" i="24"/>
  <c r="G32" i="24" s="1"/>
  <c r="L30" i="24"/>
  <c r="L34" i="24" s="1"/>
  <c r="K30" i="24"/>
  <c r="K34" i="24" s="1"/>
  <c r="V28" i="24"/>
  <c r="V33" i="24" s="1"/>
  <c r="N28" i="24"/>
  <c r="N33" i="24" s="1"/>
  <c r="F28" i="24"/>
  <c r="F33" i="24" s="1"/>
  <c r="P26" i="24"/>
  <c r="P32" i="24" s="1"/>
  <c r="H26" i="24"/>
  <c r="H32" i="24" s="1"/>
  <c r="U28" i="24"/>
  <c r="U33" i="24" s="1"/>
  <c r="M28" i="24"/>
  <c r="M33" i="24" s="1"/>
  <c r="E28" i="24"/>
  <c r="E33" i="24" s="1"/>
  <c r="T28" i="24"/>
  <c r="T33" i="24" s="1"/>
  <c r="L28" i="24"/>
  <c r="L33" i="24" s="1"/>
  <c r="D28" i="24"/>
  <c r="D33" i="24" s="1"/>
  <c r="S30" i="24"/>
  <c r="S34" i="24" s="1"/>
  <c r="C30" i="24"/>
  <c r="C34" i="24" s="1"/>
  <c r="V26" i="24"/>
  <c r="V32" i="24" s="1"/>
  <c r="G28" i="24"/>
  <c r="G33" i="24" s="1"/>
  <c r="U30" i="24"/>
  <c r="U34" i="24" s="1"/>
  <c r="M30" i="24"/>
  <c r="M34" i="24" s="1"/>
  <c r="E30" i="24"/>
  <c r="E34" i="24" s="1"/>
  <c r="O28" i="24"/>
  <c r="O33" i="24" s="1"/>
  <c r="Q26" i="24"/>
  <c r="Q32" i="24" s="1"/>
  <c r="O26" i="24"/>
  <c r="O32" i="24" s="1"/>
  <c r="W28" i="24"/>
  <c r="W33" i="24" s="1"/>
  <c r="W26" i="24"/>
  <c r="W32" i="24" s="1"/>
  <c r="J30" i="24"/>
  <c r="J34" i="24" s="1"/>
  <c r="I30" i="24"/>
  <c r="I34" i="24" s="1"/>
  <c r="R30" i="24"/>
  <c r="R34" i="24" s="1"/>
  <c r="B28" i="24"/>
  <c r="B33" i="24" s="1"/>
  <c r="AH19" i="24"/>
  <c r="B26" i="24"/>
  <c r="B32" i="24" s="1"/>
  <c r="B30" i="24"/>
  <c r="B34" i="24" s="1"/>
  <c r="K9" i="24"/>
  <c r="AG19" i="24"/>
  <c r="Y19" i="24"/>
  <c r="R9" i="24"/>
  <c r="J9" i="24"/>
  <c r="X19" i="24"/>
  <c r="Z20" i="26"/>
  <c r="Y20" i="26"/>
  <c r="AI20" i="26"/>
  <c r="AF19" i="24"/>
  <c r="AH20" i="26"/>
  <c r="B12" i="24"/>
  <c r="D9" i="24"/>
  <c r="AI19" i="24"/>
  <c r="AA19" i="24"/>
  <c r="AC19" i="24"/>
  <c r="B9" i="24"/>
  <c r="F12" i="24"/>
  <c r="Q18" i="24"/>
  <c r="R15" i="26" s="1"/>
  <c r="I18" i="24"/>
  <c r="J15" i="26" s="1"/>
  <c r="AE19" i="24"/>
  <c r="P18" i="24"/>
  <c r="Q15" i="26" s="1"/>
  <c r="H18" i="24"/>
  <c r="I15" i="26" s="1"/>
  <c r="AK19" i="24"/>
  <c r="AD19" i="24"/>
  <c r="AJ20" i="26"/>
  <c r="AB20" i="26"/>
  <c r="T18" i="24"/>
  <c r="L18" i="24"/>
  <c r="D18" i="24"/>
  <c r="Q9" i="24"/>
  <c r="I9" i="24"/>
  <c r="AJ19" i="24"/>
  <c r="AB19" i="24"/>
  <c r="Z19" i="24"/>
  <c r="AF20" i="26"/>
  <c r="V12" i="24"/>
  <c r="S18" i="24"/>
  <c r="T15" i="26" s="1"/>
  <c r="K18" i="24"/>
  <c r="L15" i="26" s="1"/>
  <c r="C18" i="24"/>
  <c r="D15" i="26" s="1"/>
  <c r="R5" i="26"/>
  <c r="J5" i="26"/>
  <c r="N12" i="24"/>
  <c r="B18" i="24"/>
  <c r="C15" i="26" s="1"/>
  <c r="R18" i="24"/>
  <c r="S15" i="26" s="1"/>
  <c r="J18" i="24"/>
  <c r="M9" i="24"/>
  <c r="E9" i="24"/>
  <c r="T12" i="24"/>
  <c r="D12" i="24"/>
  <c r="Q19" i="24"/>
  <c r="O18" i="24"/>
  <c r="W15" i="24"/>
  <c r="O15" i="24"/>
  <c r="G15" i="24"/>
  <c r="V18" i="24"/>
  <c r="W15" i="26" s="1"/>
  <c r="N18" i="24"/>
  <c r="O15" i="26" s="1"/>
  <c r="F18" i="24"/>
  <c r="G15" i="26" s="1"/>
  <c r="L12" i="24"/>
  <c r="W18" i="24"/>
  <c r="G18" i="24"/>
  <c r="H15" i="26" s="1"/>
  <c r="U18" i="24"/>
  <c r="V15" i="26" s="1"/>
  <c r="M18" i="24"/>
  <c r="N15" i="26" s="1"/>
  <c r="E18" i="24"/>
  <c r="F15" i="26" s="1"/>
  <c r="V15" i="24"/>
  <c r="N15" i="24"/>
  <c r="F15" i="24"/>
  <c r="U9" i="24"/>
  <c r="U15" i="24"/>
  <c r="M15" i="24"/>
  <c r="E15" i="24"/>
  <c r="T9" i="24"/>
  <c r="E17" i="24"/>
  <c r="F20" i="26" s="1"/>
  <c r="L9" i="24"/>
  <c r="M17" i="24"/>
  <c r="N20" i="26" s="1"/>
  <c r="S15" i="24"/>
  <c r="C15" i="24"/>
  <c r="P12" i="24"/>
  <c r="B15" i="24"/>
  <c r="K15" i="24"/>
  <c r="H12" i="24"/>
  <c r="U12" i="24"/>
  <c r="M12" i="24"/>
  <c r="E12" i="24"/>
  <c r="S9" i="24"/>
  <c r="C9" i="24"/>
  <c r="Q12" i="24"/>
  <c r="I12" i="24"/>
  <c r="P15" i="24"/>
  <c r="V9" i="24"/>
  <c r="H15" i="24"/>
  <c r="S12" i="24"/>
  <c r="K12" i="24"/>
  <c r="C12" i="24"/>
  <c r="N9" i="24"/>
  <c r="R12" i="24"/>
  <c r="J12" i="24"/>
  <c r="T15" i="24"/>
  <c r="L15" i="24"/>
  <c r="D15" i="24"/>
  <c r="W12" i="24"/>
  <c r="O12" i="24"/>
  <c r="G12" i="24"/>
  <c r="R15" i="24"/>
  <c r="J15" i="24"/>
  <c r="P9" i="24"/>
  <c r="H9" i="24"/>
  <c r="Q15" i="24"/>
  <c r="I15" i="24"/>
  <c r="W9" i="24"/>
  <c r="O9" i="24"/>
  <c r="G9" i="24"/>
  <c r="F9" i="24"/>
  <c r="N19" i="24" l="1"/>
  <c r="AN34" i="24"/>
  <c r="AM34" i="24"/>
  <c r="AN33" i="24"/>
  <c r="AM33" i="24"/>
  <c r="AN32" i="24"/>
  <c r="AM32" i="24"/>
  <c r="S19" i="24"/>
  <c r="G19" i="24"/>
  <c r="V19" i="24"/>
  <c r="K19" i="24"/>
  <c r="P19" i="24"/>
  <c r="B19" i="24"/>
  <c r="L19" i="24"/>
  <c r="M15" i="26"/>
  <c r="T19" i="24"/>
  <c r="U15" i="26"/>
  <c r="R19" i="24"/>
  <c r="C19" i="24"/>
  <c r="W19" i="24"/>
  <c r="X15" i="26"/>
  <c r="U19" i="24"/>
  <c r="F19" i="24"/>
  <c r="H19" i="24"/>
  <c r="I19" i="24"/>
  <c r="O19" i="24"/>
  <c r="P15" i="26"/>
  <c r="J19" i="24"/>
  <c r="K15" i="26"/>
  <c r="D19" i="24"/>
  <c r="E15" i="26"/>
  <c r="E19" i="24"/>
  <c r="M19" i="24"/>
  <c r="X20" i="23" l="1"/>
  <c r="Y25" i="26" s="1"/>
  <c r="Y20" i="23"/>
  <c r="Z25" i="26" s="1"/>
  <c r="Z20" i="23"/>
  <c r="AA25" i="26" s="1"/>
  <c r="AA20" i="23"/>
  <c r="AB25" i="26" s="1"/>
  <c r="AB20" i="23"/>
  <c r="AC25" i="26" s="1"/>
  <c r="AC20" i="23"/>
  <c r="AD25" i="26" s="1"/>
  <c r="AD20" i="23"/>
  <c r="AE25" i="26" s="1"/>
  <c r="AE20" i="23"/>
  <c r="AF25" i="26" s="1"/>
  <c r="AF20" i="23"/>
  <c r="AG25" i="26" s="1"/>
  <c r="AG20" i="23"/>
  <c r="AH25" i="26" s="1"/>
  <c r="AH20" i="23"/>
  <c r="AI25" i="26" s="1"/>
  <c r="AI20" i="23"/>
  <c r="AJ25" i="26" s="1"/>
  <c r="AJ20" i="23"/>
  <c r="AK25" i="26" s="1"/>
  <c r="AK20" i="23"/>
  <c r="AL25" i="26" s="1"/>
  <c r="AL20" i="23"/>
  <c r="E6" i="23"/>
  <c r="F6" i="23"/>
  <c r="G6" i="23"/>
  <c r="H6" i="23"/>
  <c r="I6" i="23"/>
  <c r="J6" i="23"/>
  <c r="K6" i="23"/>
  <c r="L6" i="23"/>
  <c r="M6" i="23"/>
  <c r="N6" i="23"/>
  <c r="O6" i="23"/>
  <c r="P6" i="23"/>
  <c r="Q6" i="23"/>
  <c r="R6" i="23"/>
  <c r="S6" i="23"/>
  <c r="T6" i="23"/>
  <c r="U6" i="23"/>
  <c r="V6" i="23"/>
  <c r="W6" i="23"/>
  <c r="E7" i="23"/>
  <c r="F7" i="23"/>
  <c r="G7" i="23"/>
  <c r="H7" i="23"/>
  <c r="I7" i="23"/>
  <c r="J7" i="23"/>
  <c r="K7" i="23"/>
  <c r="L7" i="23"/>
  <c r="M7" i="23"/>
  <c r="N7" i="23"/>
  <c r="O7" i="23"/>
  <c r="P7" i="23"/>
  <c r="Q7" i="23"/>
  <c r="R7" i="23"/>
  <c r="S7" i="23"/>
  <c r="T7" i="23"/>
  <c r="U7" i="23"/>
  <c r="V7" i="23"/>
  <c r="W7" i="23"/>
  <c r="E8" i="23"/>
  <c r="F8" i="23"/>
  <c r="G8" i="23"/>
  <c r="H8" i="23"/>
  <c r="I8" i="23"/>
  <c r="J8" i="23"/>
  <c r="K8" i="23"/>
  <c r="L8" i="23"/>
  <c r="M8" i="23"/>
  <c r="N8" i="23"/>
  <c r="O8" i="23"/>
  <c r="P8" i="23"/>
  <c r="Q8" i="23"/>
  <c r="R8" i="23"/>
  <c r="S8" i="23"/>
  <c r="T8" i="23"/>
  <c r="U8" i="23"/>
  <c r="V8" i="23"/>
  <c r="W8" i="23"/>
  <c r="E9" i="23"/>
  <c r="F9" i="23"/>
  <c r="G9" i="23"/>
  <c r="H9" i="23"/>
  <c r="I9" i="23"/>
  <c r="J9" i="23"/>
  <c r="K9" i="23"/>
  <c r="L9" i="23"/>
  <c r="M9" i="23"/>
  <c r="N9" i="23"/>
  <c r="O9" i="23"/>
  <c r="P9" i="23"/>
  <c r="Q9" i="23"/>
  <c r="R9" i="23"/>
  <c r="S9" i="23"/>
  <c r="T9" i="23"/>
  <c r="U9" i="23"/>
  <c r="V9" i="23"/>
  <c r="W9" i="23"/>
  <c r="E10" i="23"/>
  <c r="F10" i="23"/>
  <c r="G10" i="23"/>
  <c r="H10" i="23"/>
  <c r="I10" i="23"/>
  <c r="J10" i="23"/>
  <c r="K10" i="23"/>
  <c r="L10" i="23"/>
  <c r="M10" i="23"/>
  <c r="N10" i="23"/>
  <c r="O10" i="23"/>
  <c r="P10" i="23"/>
  <c r="Q10" i="23"/>
  <c r="R10" i="23"/>
  <c r="S10" i="23"/>
  <c r="T10" i="23"/>
  <c r="U10" i="23"/>
  <c r="V10" i="23"/>
  <c r="W10" i="23"/>
  <c r="E11" i="23"/>
  <c r="F11" i="23"/>
  <c r="G11" i="23"/>
  <c r="H11" i="23"/>
  <c r="I11" i="23"/>
  <c r="J11" i="23"/>
  <c r="K11" i="23"/>
  <c r="L11" i="23"/>
  <c r="M11" i="23"/>
  <c r="N11" i="23"/>
  <c r="O11" i="23"/>
  <c r="P11" i="23"/>
  <c r="Q11" i="23"/>
  <c r="R11" i="23"/>
  <c r="S11" i="23"/>
  <c r="T11" i="23"/>
  <c r="U11" i="23"/>
  <c r="V11" i="23"/>
  <c r="W11" i="23"/>
  <c r="E12" i="23"/>
  <c r="F12" i="23"/>
  <c r="G12" i="23"/>
  <c r="H12" i="23"/>
  <c r="I12" i="23"/>
  <c r="J12" i="23"/>
  <c r="K12" i="23"/>
  <c r="L12" i="23"/>
  <c r="M12" i="23"/>
  <c r="N12" i="23"/>
  <c r="O12" i="23"/>
  <c r="P12" i="23"/>
  <c r="Q12" i="23"/>
  <c r="R12" i="23"/>
  <c r="S12" i="23"/>
  <c r="T12" i="23"/>
  <c r="U12" i="23"/>
  <c r="V12" i="23"/>
  <c r="W12" i="23"/>
  <c r="E13" i="23"/>
  <c r="F13" i="23"/>
  <c r="G13" i="23"/>
  <c r="H13" i="23"/>
  <c r="I13" i="23"/>
  <c r="J13" i="23"/>
  <c r="K13" i="23"/>
  <c r="L13" i="23"/>
  <c r="M13" i="23"/>
  <c r="N13" i="23"/>
  <c r="O13" i="23"/>
  <c r="P13" i="23"/>
  <c r="Q13" i="23"/>
  <c r="R13" i="23"/>
  <c r="S13" i="23"/>
  <c r="T13" i="23"/>
  <c r="U13" i="23"/>
  <c r="V13" i="23"/>
  <c r="W13" i="23"/>
  <c r="E14" i="23"/>
  <c r="F14" i="23"/>
  <c r="G14" i="23"/>
  <c r="H14" i="23"/>
  <c r="I14" i="23"/>
  <c r="J14" i="23"/>
  <c r="K14" i="23"/>
  <c r="L14" i="23"/>
  <c r="M14" i="23"/>
  <c r="N14" i="23"/>
  <c r="O14" i="23"/>
  <c r="P14" i="23"/>
  <c r="Q14" i="23"/>
  <c r="R14" i="23"/>
  <c r="S14" i="23"/>
  <c r="T14" i="23"/>
  <c r="U14" i="23"/>
  <c r="V14" i="23"/>
  <c r="W14" i="23"/>
  <c r="E15" i="23"/>
  <c r="F15" i="23"/>
  <c r="G15" i="23"/>
  <c r="H15" i="23"/>
  <c r="I15" i="23"/>
  <c r="J15" i="23"/>
  <c r="K15" i="23"/>
  <c r="L15" i="23"/>
  <c r="M15" i="23"/>
  <c r="N15" i="23"/>
  <c r="O15" i="23"/>
  <c r="P15" i="23"/>
  <c r="Q15" i="23"/>
  <c r="R15" i="23"/>
  <c r="S15" i="23"/>
  <c r="T15" i="23"/>
  <c r="U15" i="23"/>
  <c r="V15" i="23"/>
  <c r="W15" i="23"/>
  <c r="E16" i="23"/>
  <c r="F16" i="23"/>
  <c r="G16" i="23"/>
  <c r="H16" i="23"/>
  <c r="I16" i="23"/>
  <c r="J16" i="23"/>
  <c r="K16" i="23"/>
  <c r="L16" i="23"/>
  <c r="M16" i="23"/>
  <c r="N16" i="23"/>
  <c r="O16" i="23"/>
  <c r="P16" i="23"/>
  <c r="Q16" i="23"/>
  <c r="R16" i="23"/>
  <c r="S16" i="23"/>
  <c r="T16" i="23"/>
  <c r="U16" i="23"/>
  <c r="V16" i="23"/>
  <c r="W16" i="23"/>
  <c r="E20" i="23"/>
  <c r="F25" i="26" s="1"/>
  <c r="F20" i="23"/>
  <c r="G25" i="26" s="1"/>
  <c r="G20" i="23"/>
  <c r="H25" i="26" s="1"/>
  <c r="H20" i="23"/>
  <c r="I25" i="26" s="1"/>
  <c r="I20" i="23"/>
  <c r="J25" i="26" s="1"/>
  <c r="J20" i="23"/>
  <c r="K25" i="26" s="1"/>
  <c r="K20" i="23"/>
  <c r="L25" i="26" s="1"/>
  <c r="L20" i="23"/>
  <c r="M25" i="26" s="1"/>
  <c r="M20" i="23"/>
  <c r="N25" i="26" s="1"/>
  <c r="N20" i="23"/>
  <c r="O25" i="26" s="1"/>
  <c r="O20" i="23"/>
  <c r="P25" i="26" s="1"/>
  <c r="P20" i="23"/>
  <c r="Q25" i="26" s="1"/>
  <c r="Q20" i="23"/>
  <c r="R25" i="26" s="1"/>
  <c r="R20" i="23"/>
  <c r="S25" i="26" s="1"/>
  <c r="S20" i="23"/>
  <c r="T25" i="26" s="1"/>
  <c r="T20" i="23"/>
  <c r="U25" i="26" s="1"/>
  <c r="U20" i="23"/>
  <c r="V25" i="26" s="1"/>
  <c r="V20" i="23"/>
  <c r="W25" i="26" s="1"/>
  <c r="W20" i="23"/>
  <c r="X25" i="26" s="1"/>
  <c r="C6" i="23"/>
  <c r="D6" i="23"/>
  <c r="C7" i="23"/>
  <c r="D7" i="23"/>
  <c r="C8" i="23"/>
  <c r="D8" i="23"/>
  <c r="C9" i="23"/>
  <c r="D9" i="23"/>
  <c r="C10" i="23"/>
  <c r="D10" i="23"/>
  <c r="C11" i="23"/>
  <c r="D11" i="23"/>
  <c r="C12" i="23"/>
  <c r="D12" i="23"/>
  <c r="C13" i="23"/>
  <c r="D13" i="23"/>
  <c r="C14" i="23"/>
  <c r="D14" i="23"/>
  <c r="C15" i="23"/>
  <c r="D15" i="23"/>
  <c r="C16" i="23"/>
  <c r="D16" i="23"/>
  <c r="C20" i="23"/>
  <c r="D25" i="26" s="1"/>
  <c r="D20" i="23"/>
  <c r="E25" i="26" s="1"/>
  <c r="B20" i="23"/>
  <c r="C25" i="26" s="1"/>
  <c r="B16" i="23"/>
  <c r="B15" i="23"/>
  <c r="B14" i="23"/>
  <c r="B13" i="23"/>
  <c r="B12" i="23"/>
  <c r="B11" i="23"/>
  <c r="B10" i="23"/>
  <c r="B9" i="23"/>
  <c r="B8" i="23"/>
  <c r="B7" i="23"/>
  <c r="B6" i="23"/>
  <c r="AN10" i="23" l="1"/>
  <c r="AO10" i="23"/>
  <c r="P17" i="23"/>
  <c r="P31" i="23" s="1"/>
  <c r="AN11" i="23"/>
  <c r="AO11" i="23"/>
  <c r="O17" i="23"/>
  <c r="O25" i="23" s="1"/>
  <c r="V17" i="23"/>
  <c r="V23" i="23" s="1"/>
  <c r="N17" i="23"/>
  <c r="N23" i="23" s="1"/>
  <c r="F17" i="23"/>
  <c r="F33" i="23" s="1"/>
  <c r="AO13" i="23"/>
  <c r="AN13" i="23"/>
  <c r="U17" i="23"/>
  <c r="U25" i="23" s="1"/>
  <c r="M17" i="23"/>
  <c r="M29" i="23" s="1"/>
  <c r="E17" i="23"/>
  <c r="E26" i="23" s="1"/>
  <c r="H17" i="23"/>
  <c r="H33" i="23" s="1"/>
  <c r="W17" i="23"/>
  <c r="W26" i="23" s="1"/>
  <c r="G17" i="23"/>
  <c r="G26" i="23" s="1"/>
  <c r="AN12" i="23"/>
  <c r="AO12" i="23"/>
  <c r="AO6" i="23"/>
  <c r="AN6" i="23"/>
  <c r="B17" i="23"/>
  <c r="B24" i="23" s="1"/>
  <c r="AN24" i="23" s="1"/>
  <c r="AN14" i="23"/>
  <c r="AO14" i="23"/>
  <c r="T17" i="23"/>
  <c r="T24" i="23" s="1"/>
  <c r="L17" i="23"/>
  <c r="L23" i="23" s="1"/>
  <c r="AO20" i="23"/>
  <c r="AN20" i="23"/>
  <c r="AO7" i="23"/>
  <c r="AN7" i="23"/>
  <c r="AO15" i="23"/>
  <c r="AN15" i="23"/>
  <c r="S17" i="23"/>
  <c r="S26" i="23" s="1"/>
  <c r="K17" i="23"/>
  <c r="K23" i="23" s="1"/>
  <c r="AN8" i="23"/>
  <c r="AO8" i="23"/>
  <c r="D17" i="23"/>
  <c r="D25" i="23" s="1"/>
  <c r="R17" i="23"/>
  <c r="R30" i="23" s="1"/>
  <c r="J17" i="23"/>
  <c r="J33" i="23" s="1"/>
  <c r="AO9" i="23"/>
  <c r="AN9" i="23"/>
  <c r="C17" i="23"/>
  <c r="C33" i="23" s="1"/>
  <c r="Q17" i="23"/>
  <c r="Q30" i="23" s="1"/>
  <c r="I17" i="23"/>
  <c r="I30" i="23" s="1"/>
  <c r="C59" i="22"/>
  <c r="D59" i="22"/>
  <c r="E59" i="22"/>
  <c r="F59" i="22"/>
  <c r="G59" i="22"/>
  <c r="H59" i="22"/>
  <c r="I59" i="22"/>
  <c r="J59" i="22"/>
  <c r="K59" i="22"/>
  <c r="L59" i="22"/>
  <c r="M59" i="22"/>
  <c r="N59" i="22"/>
  <c r="O59" i="22"/>
  <c r="P59" i="22"/>
  <c r="B59" i="22"/>
  <c r="V26" i="23" l="1"/>
  <c r="E32" i="23"/>
  <c r="E23" i="23"/>
  <c r="V30" i="23"/>
  <c r="E33" i="23"/>
  <c r="V29" i="23"/>
  <c r="V25" i="23"/>
  <c r="V31" i="23"/>
  <c r="N33" i="23"/>
  <c r="V24" i="23"/>
  <c r="V27" i="23"/>
  <c r="O27" i="23"/>
  <c r="V33" i="23"/>
  <c r="E31" i="23"/>
  <c r="U27" i="23"/>
  <c r="V32" i="23"/>
  <c r="L28" i="23"/>
  <c r="N29" i="23"/>
  <c r="G31" i="23"/>
  <c r="L30" i="23"/>
  <c r="L31" i="23"/>
  <c r="L33" i="23"/>
  <c r="G29" i="23"/>
  <c r="W29" i="23"/>
  <c r="N27" i="23"/>
  <c r="O30" i="23"/>
  <c r="R23" i="23"/>
  <c r="H31" i="23"/>
  <c r="O31" i="23"/>
  <c r="R26" i="23"/>
  <c r="O32" i="23"/>
  <c r="T32" i="23"/>
  <c r="G28" i="23"/>
  <c r="J30" i="23"/>
  <c r="H29" i="23"/>
  <c r="J23" i="23"/>
  <c r="H32" i="23"/>
  <c r="H23" i="23"/>
  <c r="H30" i="23"/>
  <c r="N31" i="23"/>
  <c r="T25" i="23"/>
  <c r="I23" i="23"/>
  <c r="I26" i="23"/>
  <c r="T33" i="23"/>
  <c r="G27" i="23"/>
  <c r="P32" i="23"/>
  <c r="T31" i="23"/>
  <c r="T26" i="23"/>
  <c r="T29" i="23"/>
  <c r="I28" i="23"/>
  <c r="T23" i="23"/>
  <c r="N28" i="23"/>
  <c r="N25" i="23"/>
  <c r="U24" i="23"/>
  <c r="N24" i="23"/>
  <c r="I31" i="23"/>
  <c r="P29" i="23"/>
  <c r="I25" i="23"/>
  <c r="F30" i="23"/>
  <c r="T27" i="23"/>
  <c r="T30" i="23"/>
  <c r="D33" i="23"/>
  <c r="N32" i="23"/>
  <c r="G32" i="23"/>
  <c r="N30" i="23"/>
  <c r="H27" i="23"/>
  <c r="N26" i="23"/>
  <c r="G33" i="23"/>
  <c r="K24" i="23"/>
  <c r="P28" i="23"/>
  <c r="I32" i="23"/>
  <c r="I27" i="23"/>
  <c r="F24" i="23"/>
  <c r="T28" i="23"/>
  <c r="H26" i="23"/>
  <c r="G24" i="23"/>
  <c r="H28" i="23"/>
  <c r="H24" i="23"/>
  <c r="I33" i="23"/>
  <c r="O33" i="23"/>
  <c r="H25" i="23"/>
  <c r="U29" i="23"/>
  <c r="K33" i="23"/>
  <c r="L25" i="23"/>
  <c r="E30" i="23"/>
  <c r="K31" i="23"/>
  <c r="I24" i="23"/>
  <c r="L24" i="23"/>
  <c r="L26" i="23"/>
  <c r="R32" i="23"/>
  <c r="F31" i="23"/>
  <c r="P23" i="23"/>
  <c r="P25" i="23"/>
  <c r="K30" i="23"/>
  <c r="E29" i="23"/>
  <c r="I29" i="23"/>
  <c r="M33" i="23"/>
  <c r="P27" i="23"/>
  <c r="D24" i="23"/>
  <c r="M23" i="23"/>
  <c r="K29" i="23"/>
  <c r="R27" i="23"/>
  <c r="L32" i="23"/>
  <c r="D26" i="23"/>
  <c r="S28" i="23"/>
  <c r="E28" i="23"/>
  <c r="D28" i="23"/>
  <c r="E24" i="23"/>
  <c r="P33" i="23"/>
  <c r="K25" i="23"/>
  <c r="K32" i="23"/>
  <c r="P26" i="23"/>
  <c r="P24" i="23"/>
  <c r="U33" i="23"/>
  <c r="E27" i="23"/>
  <c r="D31" i="23"/>
  <c r="E25" i="23"/>
  <c r="D32" i="23"/>
  <c r="L27" i="23"/>
  <c r="U23" i="23"/>
  <c r="P30" i="23"/>
  <c r="O28" i="23"/>
  <c r="D29" i="23"/>
  <c r="AO17" i="23"/>
  <c r="AN17" i="23"/>
  <c r="Q23" i="23"/>
  <c r="S33" i="23"/>
  <c r="B27" i="23"/>
  <c r="AN27" i="23" s="1"/>
  <c r="W32" i="23"/>
  <c r="F23" i="23"/>
  <c r="W28" i="23"/>
  <c r="Q31" i="23"/>
  <c r="F27" i="23"/>
  <c r="C30" i="23"/>
  <c r="C32" i="23"/>
  <c r="M32" i="23"/>
  <c r="J24" i="23"/>
  <c r="Q27" i="23"/>
  <c r="C25" i="23"/>
  <c r="L29" i="23"/>
  <c r="S32" i="23"/>
  <c r="B28" i="23"/>
  <c r="AN28" i="23" s="1"/>
  <c r="F29" i="23"/>
  <c r="W31" i="23"/>
  <c r="W25" i="23"/>
  <c r="B30" i="23"/>
  <c r="AN30" i="23" s="1"/>
  <c r="M27" i="23"/>
  <c r="C24" i="23"/>
  <c r="Q33" i="23"/>
  <c r="O26" i="23"/>
  <c r="W27" i="23"/>
  <c r="C28" i="23"/>
  <c r="F25" i="23"/>
  <c r="Q25" i="23"/>
  <c r="W33" i="23"/>
  <c r="O23" i="23"/>
  <c r="C26" i="23"/>
  <c r="J28" i="23"/>
  <c r="C27" i="23"/>
  <c r="M30" i="23"/>
  <c r="B25" i="23"/>
  <c r="AN25" i="23" s="1"/>
  <c r="U32" i="23"/>
  <c r="S31" i="23"/>
  <c r="U28" i="23"/>
  <c r="R28" i="23"/>
  <c r="F32" i="23"/>
  <c r="C31" i="23"/>
  <c r="U30" i="23"/>
  <c r="M24" i="23"/>
  <c r="D30" i="23"/>
  <c r="M25" i="23"/>
  <c r="J29" i="23"/>
  <c r="Q32" i="23"/>
  <c r="B31" i="23"/>
  <c r="AN31" i="23" s="1"/>
  <c r="B29" i="23"/>
  <c r="AN29" i="23" s="1"/>
  <c r="S27" i="23"/>
  <c r="R33" i="23"/>
  <c r="R24" i="23"/>
  <c r="F28" i="23"/>
  <c r="M31" i="23"/>
  <c r="C29" i="23"/>
  <c r="M26" i="23"/>
  <c r="F26" i="23"/>
  <c r="Q28" i="23"/>
  <c r="B33" i="23"/>
  <c r="S23" i="23"/>
  <c r="W30" i="23"/>
  <c r="W23" i="23"/>
  <c r="S29" i="23"/>
  <c r="S24" i="23"/>
  <c r="S30" i="23"/>
  <c r="Q24" i="23"/>
  <c r="C23" i="23"/>
  <c r="Q26" i="23"/>
  <c r="M28" i="23"/>
  <c r="K26" i="23"/>
  <c r="R29" i="23"/>
  <c r="J25" i="23"/>
  <c r="G25" i="23"/>
  <c r="U31" i="23"/>
  <c r="U26" i="23"/>
  <c r="K27" i="23"/>
  <c r="S25" i="23"/>
  <c r="O24" i="23"/>
  <c r="J31" i="23"/>
  <c r="D23" i="23"/>
  <c r="R25" i="23"/>
  <c r="O29" i="23"/>
  <c r="B26" i="23"/>
  <c r="AN26" i="23" s="1"/>
  <c r="W24" i="23"/>
  <c r="K28" i="23"/>
  <c r="R31" i="23"/>
  <c r="D27" i="23"/>
  <c r="J26" i="23"/>
  <c r="Q29" i="23"/>
  <c r="B32" i="23"/>
  <c r="AN32" i="23" s="1"/>
  <c r="G30" i="23"/>
  <c r="B23" i="23"/>
  <c r="AN23" i="23" s="1"/>
  <c r="G23" i="23"/>
  <c r="V28" i="23"/>
  <c r="J32" i="23"/>
  <c r="J27" i="23"/>
  <c r="E227" i="10"/>
  <c r="F227" i="10"/>
  <c r="G227" i="10"/>
  <c r="H227" i="10"/>
  <c r="I227" i="10"/>
  <c r="J227" i="10"/>
  <c r="K227" i="10"/>
  <c r="L227" i="10"/>
  <c r="M227" i="10"/>
  <c r="N227" i="10"/>
  <c r="O227" i="10"/>
  <c r="E228" i="10"/>
  <c r="F228" i="10"/>
  <c r="G228" i="10"/>
  <c r="H228" i="10"/>
  <c r="I228" i="10"/>
  <c r="J228" i="10"/>
  <c r="K228" i="10"/>
  <c r="L228" i="10"/>
  <c r="M228" i="10"/>
  <c r="N228" i="10"/>
  <c r="O228" i="10"/>
  <c r="E230" i="10"/>
  <c r="F230" i="10"/>
  <c r="G230" i="10"/>
  <c r="E231" i="10"/>
  <c r="F231" i="10"/>
  <c r="G231" i="10"/>
  <c r="E234" i="10"/>
  <c r="F234" i="10"/>
  <c r="G234" i="10"/>
  <c r="H234" i="10"/>
  <c r="I234" i="10"/>
  <c r="J234" i="10"/>
  <c r="K234" i="10"/>
  <c r="L234" i="10"/>
  <c r="M234" i="10"/>
  <c r="N234" i="10"/>
  <c r="O234" i="10"/>
  <c r="E235" i="10"/>
  <c r="F235" i="10"/>
  <c r="G235" i="10"/>
  <c r="H235" i="10"/>
  <c r="I235" i="10"/>
  <c r="J235" i="10"/>
  <c r="K235" i="10"/>
  <c r="L235" i="10"/>
  <c r="M235" i="10"/>
  <c r="N235" i="10"/>
  <c r="O235" i="10"/>
  <c r="O241" i="10"/>
  <c r="E244" i="10"/>
  <c r="F244" i="10"/>
  <c r="G244" i="10"/>
  <c r="H244" i="10"/>
  <c r="I244" i="10"/>
  <c r="J244" i="10"/>
  <c r="K244" i="10"/>
  <c r="L244" i="10"/>
  <c r="M244" i="10"/>
  <c r="N244" i="10"/>
  <c r="O244" i="10"/>
  <c r="E245" i="10"/>
  <c r="F245" i="10"/>
  <c r="G245" i="10"/>
  <c r="H245" i="10"/>
  <c r="I245" i="10"/>
  <c r="J245" i="10"/>
  <c r="K245" i="10"/>
  <c r="L245" i="10"/>
  <c r="M245" i="10"/>
  <c r="N245" i="10"/>
  <c r="O245" i="10"/>
  <c r="E252" i="10"/>
  <c r="F252" i="10"/>
  <c r="G252" i="10"/>
  <c r="H252" i="10"/>
  <c r="I252" i="10"/>
  <c r="J252" i="10"/>
  <c r="K252" i="10"/>
  <c r="L252" i="10"/>
  <c r="M252" i="10"/>
  <c r="N252" i="10"/>
  <c r="O252" i="10"/>
  <c r="E253" i="10"/>
  <c r="F253" i="10"/>
  <c r="G253" i="10"/>
  <c r="H253" i="10"/>
  <c r="I253" i="10"/>
  <c r="J253" i="10"/>
  <c r="K253" i="10"/>
  <c r="L253" i="10"/>
  <c r="M253" i="10"/>
  <c r="N253" i="10"/>
  <c r="O253" i="10"/>
  <c r="E255" i="10"/>
  <c r="F255" i="10"/>
  <c r="G255" i="10"/>
  <c r="H255" i="10"/>
  <c r="I255" i="10"/>
  <c r="J255" i="10"/>
  <c r="K255" i="10"/>
  <c r="E258" i="10"/>
  <c r="F258" i="10"/>
  <c r="G258" i="10"/>
  <c r="H258" i="10"/>
  <c r="I258" i="10"/>
  <c r="J258" i="10"/>
  <c r="K258" i="10"/>
  <c r="L258" i="10"/>
  <c r="M258" i="10"/>
  <c r="N258" i="10"/>
  <c r="O258" i="10"/>
  <c r="E259" i="10"/>
  <c r="F259" i="10"/>
  <c r="G259" i="10"/>
  <c r="H259" i="10"/>
  <c r="I259" i="10"/>
  <c r="J259" i="10"/>
  <c r="K259" i="10"/>
  <c r="L259" i="10"/>
  <c r="M259" i="10"/>
  <c r="N259" i="10"/>
  <c r="O259" i="10"/>
  <c r="E263" i="10"/>
  <c r="F263" i="10"/>
  <c r="G263" i="10"/>
  <c r="H263" i="10"/>
  <c r="I263" i="10"/>
  <c r="J263" i="10"/>
  <c r="K263" i="10"/>
  <c r="L263" i="10"/>
  <c r="M263" i="10"/>
  <c r="N263" i="10"/>
  <c r="O263" i="10"/>
  <c r="E264" i="10"/>
  <c r="F264" i="10"/>
  <c r="G264" i="10"/>
  <c r="H264" i="10"/>
  <c r="I264" i="10"/>
  <c r="J264" i="10"/>
  <c r="K264" i="10"/>
  <c r="L264" i="10"/>
  <c r="M264" i="10"/>
  <c r="N264" i="10"/>
  <c r="O264" i="10"/>
  <c r="E267" i="10"/>
  <c r="F267" i="10"/>
  <c r="E270" i="10"/>
  <c r="F270" i="10"/>
  <c r="E274" i="10"/>
  <c r="F274" i="10"/>
  <c r="G274" i="10"/>
  <c r="H274" i="10"/>
  <c r="I274" i="10"/>
  <c r="J274" i="10"/>
  <c r="K274" i="10"/>
  <c r="L274" i="10"/>
  <c r="M274" i="10"/>
  <c r="N274" i="10"/>
  <c r="O274" i="10"/>
  <c r="E277" i="10"/>
  <c r="F277" i="10"/>
  <c r="G277" i="10"/>
  <c r="H277" i="10"/>
  <c r="I277" i="10"/>
  <c r="J277" i="10"/>
  <c r="K277" i="10"/>
  <c r="L277" i="10"/>
  <c r="M277" i="10"/>
  <c r="N277" i="10"/>
  <c r="O277" i="10"/>
  <c r="D214" i="10"/>
  <c r="D227" i="10"/>
  <c r="D228" i="10"/>
  <c r="D230" i="10"/>
  <c r="D231" i="10"/>
  <c r="D234" i="10"/>
  <c r="D235" i="10"/>
  <c r="D241" i="10"/>
  <c r="D244" i="10"/>
  <c r="D245" i="10"/>
  <c r="D252" i="10"/>
  <c r="D253" i="10"/>
  <c r="D255" i="10"/>
  <c r="D258" i="10"/>
  <c r="D259" i="10"/>
  <c r="D263" i="10"/>
  <c r="D264" i="10"/>
  <c r="D267" i="10"/>
  <c r="D270" i="10"/>
  <c r="D274" i="10"/>
  <c r="D277" i="10"/>
  <c r="B54" i="22"/>
  <c r="B55" i="22" s="1"/>
  <c r="I33" i="22"/>
  <c r="H33" i="22"/>
  <c r="G33" i="22"/>
  <c r="F33" i="22"/>
  <c r="E33" i="22"/>
  <c r="D33" i="22"/>
  <c r="C33" i="22"/>
  <c r="B33" i="22"/>
  <c r="I32" i="22"/>
  <c r="H32" i="22"/>
  <c r="G32" i="22"/>
  <c r="F32" i="22"/>
  <c r="E32" i="22"/>
  <c r="D32" i="22"/>
  <c r="C32" i="22"/>
  <c r="B32" i="22"/>
  <c r="L29" i="22"/>
  <c r="K29" i="22"/>
  <c r="J29" i="22"/>
  <c r="I29" i="22"/>
  <c r="H29" i="22"/>
  <c r="G29" i="22"/>
  <c r="F29" i="22"/>
  <c r="E29" i="22"/>
  <c r="D29" i="22"/>
  <c r="C29" i="22"/>
  <c r="K27" i="22"/>
  <c r="J27" i="22"/>
  <c r="I27" i="22"/>
  <c r="H27" i="22"/>
  <c r="H28" i="22" s="1"/>
  <c r="G27" i="22"/>
  <c r="F27" i="22"/>
  <c r="E27" i="22"/>
  <c r="D27" i="22"/>
  <c r="C27" i="22"/>
  <c r="K26" i="22"/>
  <c r="J26" i="22"/>
  <c r="I26" i="22"/>
  <c r="H26" i="22"/>
  <c r="G26" i="22"/>
  <c r="F26" i="22"/>
  <c r="E26" i="22"/>
  <c r="D26" i="22"/>
  <c r="C26" i="22"/>
  <c r="F28" i="22" l="1"/>
  <c r="E34" i="22"/>
  <c r="G34" i="22"/>
  <c r="I28" i="22"/>
  <c r="D34" i="22"/>
  <c r="C34" i="22"/>
  <c r="C28" i="22"/>
  <c r="E28" i="22"/>
  <c r="B34" i="22"/>
  <c r="J28" i="22"/>
  <c r="K28" i="22"/>
  <c r="D28" i="22"/>
  <c r="F34" i="22"/>
  <c r="H34" i="22"/>
  <c r="G28" i="22"/>
  <c r="I34" i="22"/>
  <c r="R91" i="10" l="1"/>
  <c r="O94" i="10" s="1"/>
  <c r="E95" i="10" l="1"/>
  <c r="M95" i="10"/>
  <c r="K95" i="10"/>
  <c r="N95" i="10"/>
  <c r="O95" i="10"/>
  <c r="G95" i="10"/>
  <c r="I95" i="10"/>
  <c r="D95" i="10"/>
  <c r="J95" i="10"/>
  <c r="L95" i="10"/>
  <c r="F95" i="10"/>
  <c r="H95" i="10"/>
  <c r="N91" i="10"/>
  <c r="O91" i="10" s="1"/>
  <c r="D22" i="10"/>
  <c r="D121" i="10" s="1"/>
  <c r="D211" i="10" s="1"/>
  <c r="D14" i="10"/>
  <c r="C14" i="10"/>
  <c r="E18" i="18"/>
  <c r="E18" i="17"/>
  <c r="D8" i="10"/>
  <c r="D106" i="10" s="1"/>
  <c r="D198" i="10" s="1"/>
  <c r="D7" i="10"/>
  <c r="D105" i="10" s="1"/>
  <c r="D197" i="10" s="1"/>
  <c r="D6" i="10"/>
  <c r="D104" i="10" s="1"/>
  <c r="D196" i="10" s="1"/>
  <c r="D5" i="10"/>
  <c r="D103" i="10" s="1"/>
  <c r="D195" i="10" s="1"/>
  <c r="D4" i="10"/>
  <c r="D102" i="10" s="1"/>
  <c r="D194" i="10" s="1"/>
  <c r="D3" i="10"/>
  <c r="D101" i="10" s="1"/>
  <c r="D193" i="10" s="1"/>
  <c r="E4" i="10"/>
  <c r="E102" i="10" s="1"/>
  <c r="E194" i="10" s="1"/>
  <c r="E8" i="10"/>
  <c r="E106" i="10" s="1"/>
  <c r="E198" i="10" s="1"/>
  <c r="E7" i="10"/>
  <c r="E105" i="10" s="1"/>
  <c r="E197" i="10" s="1"/>
  <c r="E6" i="10"/>
  <c r="E104" i="10" s="1"/>
  <c r="E196" i="10" s="1"/>
  <c r="E5" i="10"/>
  <c r="E103" i="10" s="1"/>
  <c r="E195" i="10" s="1"/>
  <c r="E3" i="10"/>
  <c r="E101" i="10" s="1"/>
  <c r="E193" i="10" s="1"/>
  <c r="D29" i="10"/>
  <c r="D128" i="10" s="1"/>
  <c r="D218" i="10" s="1"/>
  <c r="D35" i="10"/>
  <c r="D134" i="10" s="1"/>
  <c r="D224" i="10" s="1"/>
  <c r="D34" i="10"/>
  <c r="D33" i="10"/>
  <c r="D132" i="10" s="1"/>
  <c r="D222" i="10" s="1"/>
  <c r="D32" i="10"/>
  <c r="D131" i="10" s="1"/>
  <c r="D221" i="10" s="1"/>
  <c r="D31" i="10"/>
  <c r="D130" i="10" s="1"/>
  <c r="D220" i="10" s="1"/>
  <c r="D30" i="10"/>
  <c r="D129" i="10" s="1"/>
  <c r="D219" i="10" s="1"/>
  <c r="D28" i="10"/>
  <c r="D127" i="10" s="1"/>
  <c r="D217" i="10" s="1"/>
  <c r="D27" i="10"/>
  <c r="D26" i="10"/>
  <c r="D125" i="10" s="1"/>
  <c r="D215" i="10" s="1"/>
  <c r="D24" i="10"/>
  <c r="D123" i="10" s="1"/>
  <c r="D213" i="10" s="1"/>
  <c r="D23" i="10"/>
  <c r="D122" i="10" s="1"/>
  <c r="D212" i="10" s="1"/>
  <c r="D19" i="10"/>
  <c r="D116" i="10" s="1"/>
  <c r="D16" i="10"/>
  <c r="D113" i="10" s="1"/>
  <c r="D15" i="10"/>
  <c r="D112" i="10" s="1"/>
  <c r="D40" i="10"/>
  <c r="D139" i="10" s="1"/>
  <c r="D229" i="10" s="1"/>
  <c r="E40" i="10"/>
  <c r="E139" i="10" s="1"/>
  <c r="E229" i="10" s="1"/>
  <c r="C47" i="10"/>
  <c r="C48" i="10"/>
  <c r="C49" i="10"/>
  <c r="C50" i="10"/>
  <c r="C51" i="10"/>
  <c r="C53" i="10"/>
  <c r="D47" i="10"/>
  <c r="D146" i="10" s="1"/>
  <c r="D236" i="10" s="1"/>
  <c r="D48" i="10"/>
  <c r="D147" i="10" s="1"/>
  <c r="D237" i="10" s="1"/>
  <c r="D49" i="10"/>
  <c r="D148" i="10" s="1"/>
  <c r="D238" i="10" s="1"/>
  <c r="D50" i="10"/>
  <c r="D149" i="10" s="1"/>
  <c r="D239" i="10" s="1"/>
  <c r="D51" i="10"/>
  <c r="D150" i="10" s="1"/>
  <c r="D240" i="10" s="1"/>
  <c r="D53" i="10"/>
  <c r="D152" i="10" s="1"/>
  <c r="D242" i="10" s="1"/>
  <c r="E47" i="10"/>
  <c r="E146" i="10" s="1"/>
  <c r="E236" i="10" s="1"/>
  <c r="E48" i="10"/>
  <c r="E147" i="10" s="1"/>
  <c r="E237" i="10" s="1"/>
  <c r="E49" i="10"/>
  <c r="E148" i="10" s="1"/>
  <c r="E238" i="10" s="1"/>
  <c r="E50" i="10"/>
  <c r="E149" i="10" s="1"/>
  <c r="E239" i="10" s="1"/>
  <c r="E51" i="10"/>
  <c r="E52" i="10"/>
  <c r="E151" i="10" s="1"/>
  <c r="E241" i="10" s="1"/>
  <c r="E53" i="10"/>
  <c r="E152" i="10" s="1"/>
  <c r="E242" i="10" s="1"/>
  <c r="C57" i="10"/>
  <c r="C58" i="10"/>
  <c r="C59" i="10"/>
  <c r="C60" i="10"/>
  <c r="D57" i="10"/>
  <c r="D156" i="10" s="1"/>
  <c r="D246" i="10" s="1"/>
  <c r="D58" i="10"/>
  <c r="D157" i="10" s="1"/>
  <c r="D247" i="10" s="1"/>
  <c r="D60" i="10"/>
  <c r="D159" i="10" s="1"/>
  <c r="D249" i="10" s="1"/>
  <c r="D59" i="10"/>
  <c r="D158" i="10" s="1"/>
  <c r="D248" i="10" s="1"/>
  <c r="E57" i="10"/>
  <c r="E156" i="10" s="1"/>
  <c r="E246" i="10" s="1"/>
  <c r="E58" i="10"/>
  <c r="E157" i="10" s="1"/>
  <c r="E247" i="10" s="1"/>
  <c r="E59" i="10"/>
  <c r="E158" i="10" s="1"/>
  <c r="E248" i="10" s="1"/>
  <c r="E60" i="10"/>
  <c r="E159" i="10" s="1"/>
  <c r="E249" i="10" s="1"/>
  <c r="C61" i="10"/>
  <c r="D61" i="10"/>
  <c r="D160" i="10" s="1"/>
  <c r="D250" i="10" s="1"/>
  <c r="E61" i="10"/>
  <c r="E160" i="10" s="1"/>
  <c r="E250" i="10" s="1"/>
  <c r="C43" i="10"/>
  <c r="D43" i="10"/>
  <c r="E43" i="10"/>
  <c r="E142" i="10" s="1"/>
  <c r="E232" i="10" s="1"/>
  <c r="C65" i="10"/>
  <c r="C68" i="10" s="1"/>
  <c r="D65" i="10"/>
  <c r="D164" i="10" s="1"/>
  <c r="D254" i="10" s="1"/>
  <c r="D67" i="10"/>
  <c r="D166" i="10" s="1"/>
  <c r="D256" i="10" s="1"/>
  <c r="E65" i="10"/>
  <c r="E67" i="10"/>
  <c r="C72" i="10"/>
  <c r="C71" i="10"/>
  <c r="D71" i="10"/>
  <c r="D170" i="10" s="1"/>
  <c r="D260" i="10" s="1"/>
  <c r="D72" i="10"/>
  <c r="D171" i="10" s="1"/>
  <c r="D261" i="10" s="1"/>
  <c r="E71" i="10"/>
  <c r="E170" i="10" s="1"/>
  <c r="E260" i="10" s="1"/>
  <c r="E72" i="10"/>
  <c r="E171" i="10" s="1"/>
  <c r="E261" i="10" s="1"/>
  <c r="C76" i="10"/>
  <c r="D76" i="10"/>
  <c r="D175" i="10" s="1"/>
  <c r="D265" i="10" s="1"/>
  <c r="C77" i="10"/>
  <c r="D77" i="10"/>
  <c r="D176" i="10" s="1"/>
  <c r="D266" i="10" s="1"/>
  <c r="C79" i="10"/>
  <c r="D79" i="10"/>
  <c r="D178" i="10" s="1"/>
  <c r="D268" i="10" s="1"/>
  <c r="C80" i="10"/>
  <c r="D80" i="10"/>
  <c r="D179" i="10" s="1"/>
  <c r="D269" i="10" s="1"/>
  <c r="C82" i="10"/>
  <c r="D82" i="10"/>
  <c r="D181" i="10" s="1"/>
  <c r="D271" i="10" s="1"/>
  <c r="C83" i="10"/>
  <c r="D83" i="10"/>
  <c r="D182" i="10" s="1"/>
  <c r="D272" i="10" s="1"/>
  <c r="O87" i="10"/>
  <c r="N87" i="10"/>
  <c r="N186" i="10" s="1"/>
  <c r="N276" i="10" s="1"/>
  <c r="M87" i="10"/>
  <c r="M186" i="10" s="1"/>
  <c r="M276" i="10" s="1"/>
  <c r="L87" i="10"/>
  <c r="L186" i="10" s="1"/>
  <c r="L276" i="10" s="1"/>
  <c r="K87" i="10"/>
  <c r="J87" i="10"/>
  <c r="J186" i="10" s="1"/>
  <c r="J276" i="10" s="1"/>
  <c r="I87" i="10"/>
  <c r="I186" i="10" s="1"/>
  <c r="I276" i="10" s="1"/>
  <c r="H87" i="10"/>
  <c r="G87" i="10"/>
  <c r="F87" i="10"/>
  <c r="F186" i="10" s="1"/>
  <c r="F276" i="10" s="1"/>
  <c r="E87" i="10"/>
  <c r="E186" i="10" s="1"/>
  <c r="E276" i="10" s="1"/>
  <c r="D87" i="10"/>
  <c r="D186" i="10" s="1"/>
  <c r="D276" i="10" s="1"/>
  <c r="C87" i="10"/>
  <c r="C86" i="10"/>
  <c r="D86" i="10"/>
  <c r="D185" i="10" s="1"/>
  <c r="D275" i="10" s="1"/>
  <c r="E76" i="10"/>
  <c r="E175" i="10" s="1"/>
  <c r="E265" i="10" s="1"/>
  <c r="E83" i="10"/>
  <c r="E182" i="10" s="1"/>
  <c r="E272" i="10" s="1"/>
  <c r="E82" i="10"/>
  <c r="E181" i="10" s="1"/>
  <c r="E271" i="10" s="1"/>
  <c r="E80" i="10"/>
  <c r="E179" i="10" s="1"/>
  <c r="E269" i="10" s="1"/>
  <c r="E79" i="10"/>
  <c r="E178" i="10" s="1"/>
  <c r="E268" i="10" s="1"/>
  <c r="E77" i="10"/>
  <c r="E86" i="10"/>
  <c r="E185" i="10" s="1"/>
  <c r="E275" i="10" s="1"/>
  <c r="C40" i="10"/>
  <c r="C35" i="10"/>
  <c r="C34" i="10"/>
  <c r="C36" i="10" s="1"/>
  <c r="C33" i="10"/>
  <c r="C31" i="10"/>
  <c r="C29" i="10"/>
  <c r="C27" i="10"/>
  <c r="C21" i="10" s="1"/>
  <c r="C23" i="10"/>
  <c r="C26" i="10"/>
  <c r="C24" i="10"/>
  <c r="C22" i="10"/>
  <c r="C19" i="10"/>
  <c r="C16" i="10"/>
  <c r="C15" i="10"/>
  <c r="E13" i="10"/>
  <c r="E35" i="10"/>
  <c r="E134" i="10" s="1"/>
  <c r="E224" i="10" s="1"/>
  <c r="E34" i="10"/>
  <c r="E30" i="10"/>
  <c r="E129" i="10" s="1"/>
  <c r="E219" i="10" s="1"/>
  <c r="E31" i="10"/>
  <c r="E130" i="10" s="1"/>
  <c r="E220" i="10" s="1"/>
  <c r="E32" i="10"/>
  <c r="E131" i="10" s="1"/>
  <c r="E221" i="10" s="1"/>
  <c r="E29" i="10"/>
  <c r="E128" i="10" s="1"/>
  <c r="E218" i="10" s="1"/>
  <c r="E28" i="10"/>
  <c r="E127" i="10" s="1"/>
  <c r="E217" i="10" s="1"/>
  <c r="E27" i="10"/>
  <c r="E26" i="10"/>
  <c r="E125" i="10" s="1"/>
  <c r="E215" i="10" s="1"/>
  <c r="E24" i="10"/>
  <c r="E123" i="10" s="1"/>
  <c r="E213" i="10" s="1"/>
  <c r="E23" i="10"/>
  <c r="E122" i="10" s="1"/>
  <c r="E212" i="10" s="1"/>
  <c r="E15" i="10"/>
  <c r="E112" i="10" s="1"/>
  <c r="E16" i="10"/>
  <c r="E113" i="10" s="1"/>
  <c r="E17" i="10"/>
  <c r="E114" i="10" s="1"/>
  <c r="E18" i="10"/>
  <c r="E115" i="10" s="1"/>
  <c r="E19" i="10"/>
  <c r="E20" i="10"/>
  <c r="E117" i="10" s="1"/>
  <c r="E22" i="10"/>
  <c r="E121" i="10" s="1"/>
  <c r="E211" i="10" s="1"/>
  <c r="C28" i="10"/>
  <c r="C30" i="10"/>
  <c r="C32" i="10"/>
  <c r="C4" i="10"/>
  <c r="C8" i="10"/>
  <c r="C5" i="10"/>
  <c r="C6" i="10"/>
  <c r="C7" i="10"/>
  <c r="C3" i="10"/>
  <c r="E116" i="10" l="1"/>
  <c r="G110" i="10"/>
  <c r="G138" i="10"/>
  <c r="G154" i="10"/>
  <c r="G162" i="10"/>
  <c r="G137" i="10"/>
  <c r="G145" i="10"/>
  <c r="G124" i="10"/>
  <c r="G214" i="10" s="1"/>
  <c r="G132" i="10"/>
  <c r="G222" i="10" s="1"/>
  <c r="G140" i="10"/>
  <c r="G108" i="10"/>
  <c r="G144" i="10"/>
  <c r="G184" i="10"/>
  <c r="G169" i="10"/>
  <c r="G109" i="10"/>
  <c r="G163" i="10"/>
  <c r="G168" i="10"/>
  <c r="G173" i="10"/>
  <c r="G174" i="10"/>
  <c r="G155" i="10"/>
  <c r="G165" i="10"/>
  <c r="G187" i="10"/>
  <c r="G141" i="10"/>
  <c r="O186" i="10"/>
  <c r="O276" i="10" s="1"/>
  <c r="K101" i="10"/>
  <c r="K193" i="10" s="1"/>
  <c r="K109" i="10"/>
  <c r="K126" i="10"/>
  <c r="K216" i="10" s="1"/>
  <c r="K174" i="10"/>
  <c r="K108" i="10"/>
  <c r="K133" i="10"/>
  <c r="K223" i="10" s="1"/>
  <c r="K103" i="10"/>
  <c r="K195" i="10" s="1"/>
  <c r="K144" i="10"/>
  <c r="K168" i="10"/>
  <c r="K184" i="10"/>
  <c r="K155" i="10"/>
  <c r="K163" i="10"/>
  <c r="K173" i="10"/>
  <c r="K138" i="10"/>
  <c r="K132" i="10"/>
  <c r="K222" i="10" s="1"/>
  <c r="K187" i="10"/>
  <c r="K137" i="10"/>
  <c r="K169" i="10"/>
  <c r="K154" i="10"/>
  <c r="K110" i="10"/>
  <c r="K162" i="10"/>
  <c r="K145" i="10"/>
  <c r="K165" i="10"/>
  <c r="E36" i="10"/>
  <c r="E135" i="10" s="1"/>
  <c r="E225" i="10" s="1"/>
  <c r="E133" i="10"/>
  <c r="E223" i="10" s="1"/>
  <c r="D36" i="10"/>
  <c r="D135" i="10" s="1"/>
  <c r="D225" i="10" s="1"/>
  <c r="D133" i="10"/>
  <c r="D223" i="10" s="1"/>
  <c r="E21" i="10"/>
  <c r="E118" i="10" s="1"/>
  <c r="E126" i="10"/>
  <c r="E216" i="10" s="1"/>
  <c r="E111" i="10"/>
  <c r="E176" i="10"/>
  <c r="E266" i="10" s="1"/>
  <c r="K186" i="10"/>
  <c r="K276" i="10" s="1"/>
  <c r="E164" i="10"/>
  <c r="E254" i="10" s="1"/>
  <c r="E150" i="10"/>
  <c r="E240" i="10" s="1"/>
  <c r="D110" i="10"/>
  <c r="D117" i="10"/>
  <c r="D151" i="10"/>
  <c r="D108" i="10"/>
  <c r="D115" i="10"/>
  <c r="D141" i="10"/>
  <c r="D165" i="10"/>
  <c r="D173" i="10"/>
  <c r="D114" i="10"/>
  <c r="D162" i="10"/>
  <c r="D137" i="10"/>
  <c r="D169" i="10"/>
  <c r="D140" i="10"/>
  <c r="D109" i="10"/>
  <c r="D163" i="10"/>
  <c r="D174" i="10"/>
  <c r="D138" i="10"/>
  <c r="D184" i="10"/>
  <c r="D111" i="10"/>
  <c r="D144" i="10"/>
  <c r="D154" i="10"/>
  <c r="D145" i="10"/>
  <c r="D155" i="10"/>
  <c r="D177" i="10"/>
  <c r="D187" i="10"/>
  <c r="D124" i="10"/>
  <c r="D168" i="10"/>
  <c r="D180" i="10"/>
  <c r="G186" i="10"/>
  <c r="G276" i="10" s="1"/>
  <c r="N154" i="10"/>
  <c r="N162" i="10"/>
  <c r="N108" i="10"/>
  <c r="N133" i="10"/>
  <c r="N223" i="10" s="1"/>
  <c r="N173" i="10"/>
  <c r="N132" i="10"/>
  <c r="N222" i="10" s="1"/>
  <c r="N110" i="10"/>
  <c r="N138" i="10"/>
  <c r="N145" i="10"/>
  <c r="N144" i="10"/>
  <c r="N187" i="10"/>
  <c r="N163" i="10"/>
  <c r="N184" i="10"/>
  <c r="N137" i="10"/>
  <c r="N168" i="10"/>
  <c r="N169" i="10"/>
  <c r="N155" i="10"/>
  <c r="N174" i="10"/>
  <c r="N109" i="10"/>
  <c r="N126" i="10"/>
  <c r="N216" i="10" s="1"/>
  <c r="D21" i="10"/>
  <c r="D118" i="10" s="1"/>
  <c r="D126" i="10"/>
  <c r="D216" i="10" s="1"/>
  <c r="I124" i="10"/>
  <c r="I214" i="10" s="1"/>
  <c r="I132" i="10"/>
  <c r="I222" i="10" s="1"/>
  <c r="I155" i="10"/>
  <c r="I163" i="10"/>
  <c r="I109" i="10"/>
  <c r="I126" i="10"/>
  <c r="I216" i="10" s="1"/>
  <c r="I174" i="10"/>
  <c r="I137" i="10"/>
  <c r="I145" i="10"/>
  <c r="I169" i="10"/>
  <c r="I154" i="10"/>
  <c r="I165" i="10"/>
  <c r="I110" i="10"/>
  <c r="I187" i="10"/>
  <c r="I162" i="10"/>
  <c r="I168" i="10"/>
  <c r="I133" i="10"/>
  <c r="I223" i="10" s="1"/>
  <c r="I173" i="10"/>
  <c r="I138" i="10"/>
  <c r="I108" i="10"/>
  <c r="I144" i="10"/>
  <c r="I184" i="10"/>
  <c r="O110" i="10"/>
  <c r="O151" i="10"/>
  <c r="O138" i="10"/>
  <c r="O154" i="10"/>
  <c r="O162" i="10"/>
  <c r="O137" i="10"/>
  <c r="O145" i="10"/>
  <c r="O132" i="10"/>
  <c r="O222" i="10" s="1"/>
  <c r="O173" i="10"/>
  <c r="O126" i="10"/>
  <c r="O216" i="10" s="1"/>
  <c r="O133" i="10"/>
  <c r="O223" i="10" s="1"/>
  <c r="O169" i="10"/>
  <c r="O155" i="10"/>
  <c r="O108" i="10"/>
  <c r="O144" i="10"/>
  <c r="O187" i="10"/>
  <c r="O163" i="10"/>
  <c r="O184" i="10"/>
  <c r="O168" i="10"/>
  <c r="O174" i="10"/>
  <c r="O109" i="10"/>
  <c r="H186" i="10"/>
  <c r="H276" i="10" s="1"/>
  <c r="L144" i="10"/>
  <c r="L168" i="10"/>
  <c r="L184" i="10"/>
  <c r="L155" i="10"/>
  <c r="L163" i="10"/>
  <c r="L187" i="10"/>
  <c r="L138" i="10"/>
  <c r="L154" i="10"/>
  <c r="L162" i="10"/>
  <c r="L108" i="10"/>
  <c r="L133" i="10"/>
  <c r="L223" i="10" s="1"/>
  <c r="L173" i="10"/>
  <c r="L110" i="10"/>
  <c r="L137" i="10"/>
  <c r="L169" i="10"/>
  <c r="L174" i="10"/>
  <c r="L109" i="10"/>
  <c r="L126" i="10"/>
  <c r="L216" i="10" s="1"/>
  <c r="L145" i="10"/>
  <c r="L132" i="10"/>
  <c r="L222" i="10" s="1"/>
  <c r="M108" i="10"/>
  <c r="M173" i="10"/>
  <c r="M144" i="10"/>
  <c r="M168" i="10"/>
  <c r="M184" i="10"/>
  <c r="M110" i="10"/>
  <c r="M138" i="10"/>
  <c r="M154" i="10"/>
  <c r="M162" i="10"/>
  <c r="M133" i="10"/>
  <c r="M223" i="10" s="1"/>
  <c r="M145" i="10"/>
  <c r="M132" i="10"/>
  <c r="M222" i="10" s="1"/>
  <c r="M155" i="10"/>
  <c r="M126" i="10"/>
  <c r="M216" i="10" s="1"/>
  <c r="M187" i="10"/>
  <c r="M163" i="10"/>
  <c r="M137" i="10"/>
  <c r="M169" i="10"/>
  <c r="M174" i="10"/>
  <c r="M109" i="10"/>
  <c r="H110" i="10"/>
  <c r="H109" i="10"/>
  <c r="H137" i="10"/>
  <c r="H145" i="10"/>
  <c r="H169" i="10"/>
  <c r="H124" i="10"/>
  <c r="H214" i="10" s="1"/>
  <c r="H132" i="10"/>
  <c r="H222" i="10" s="1"/>
  <c r="H184" i="10"/>
  <c r="H187" i="10"/>
  <c r="H162" i="10"/>
  <c r="H168" i="10"/>
  <c r="H103" i="10"/>
  <c r="H195" i="10" s="1"/>
  <c r="H173" i="10"/>
  <c r="H174" i="10"/>
  <c r="H155" i="10"/>
  <c r="H165" i="10"/>
  <c r="H138" i="10"/>
  <c r="H154" i="10"/>
  <c r="H108" i="10"/>
  <c r="H144" i="10"/>
  <c r="H163" i="10"/>
  <c r="D44" i="10"/>
  <c r="D143" i="10" s="1"/>
  <c r="D233" i="10" s="1"/>
  <c r="D142" i="10"/>
  <c r="D232" i="10" s="1"/>
  <c r="F138" i="10"/>
  <c r="F108" i="10"/>
  <c r="F141" i="10"/>
  <c r="F165" i="10"/>
  <c r="F173" i="10"/>
  <c r="F124" i="10"/>
  <c r="F214" i="10" s="1"/>
  <c r="F132" i="10"/>
  <c r="F222" i="10" s="1"/>
  <c r="F140" i="10"/>
  <c r="F110" i="10"/>
  <c r="F154" i="10"/>
  <c r="F162" i="10"/>
  <c r="F184" i="10"/>
  <c r="F169" i="10"/>
  <c r="F145" i="10"/>
  <c r="F144" i="10"/>
  <c r="F137" i="10"/>
  <c r="F174" i="10"/>
  <c r="F155" i="10"/>
  <c r="F109" i="10"/>
  <c r="F180" i="10"/>
  <c r="F187" i="10"/>
  <c r="F163" i="10"/>
  <c r="F177" i="10"/>
  <c r="F168" i="10"/>
  <c r="E68" i="10"/>
  <c r="E167" i="10" s="1"/>
  <c r="E257" i="10" s="1"/>
  <c r="E166" i="10"/>
  <c r="E256" i="10" s="1"/>
  <c r="J109" i="10"/>
  <c r="J126" i="10"/>
  <c r="J216" i="10" s="1"/>
  <c r="J137" i="10"/>
  <c r="J145" i="10"/>
  <c r="J169" i="10"/>
  <c r="J144" i="10"/>
  <c r="J155" i="10"/>
  <c r="J163" i="10"/>
  <c r="J187" i="10"/>
  <c r="J174" i="10"/>
  <c r="J138" i="10"/>
  <c r="J133" i="10"/>
  <c r="J223" i="10" s="1"/>
  <c r="J173" i="10"/>
  <c r="J165" i="10"/>
  <c r="J124" i="10"/>
  <c r="J214" i="10" s="1"/>
  <c r="J184" i="10"/>
  <c r="J110" i="10"/>
  <c r="J162" i="10"/>
  <c r="J168" i="10"/>
  <c r="J132" i="10"/>
  <c r="J222" i="10" s="1"/>
  <c r="J154" i="10"/>
  <c r="J108" i="10"/>
  <c r="E108" i="10"/>
  <c r="E141" i="10"/>
  <c r="E144" i="10"/>
  <c r="E168" i="10"/>
  <c r="E184" i="10"/>
  <c r="E110" i="10"/>
  <c r="E138" i="10"/>
  <c r="E154" i="10"/>
  <c r="E162" i="10"/>
  <c r="E165" i="10"/>
  <c r="E173" i="10"/>
  <c r="E169" i="10"/>
  <c r="E132" i="10"/>
  <c r="E222" i="10" s="1"/>
  <c r="E163" i="10"/>
  <c r="E137" i="10"/>
  <c r="E155" i="10"/>
  <c r="E140" i="10"/>
  <c r="E174" i="10"/>
  <c r="E109" i="10"/>
  <c r="E180" i="10"/>
  <c r="E187" i="10"/>
  <c r="E145" i="10"/>
  <c r="E177" i="10"/>
  <c r="E124" i="10"/>
  <c r="E214" i="10" s="1"/>
  <c r="I92" i="10"/>
  <c r="J92" i="10"/>
  <c r="K92" i="10"/>
  <c r="D92" i="10"/>
  <c r="L92" i="10"/>
  <c r="E92" i="10"/>
  <c r="M92" i="10"/>
  <c r="F92" i="10"/>
  <c r="N92" i="10"/>
  <c r="G92" i="10"/>
  <c r="O92" i="10"/>
  <c r="H92" i="10"/>
  <c r="C92" i="10"/>
  <c r="C44" i="10"/>
  <c r="C73" i="10"/>
  <c r="D68" i="10"/>
  <c r="D167" i="10" s="1"/>
  <c r="D257" i="10" s="1"/>
  <c r="C37" i="10"/>
  <c r="D9" i="10"/>
  <c r="D107" i="10" s="1"/>
  <c r="D199" i="10" s="1"/>
  <c r="C9" i="10"/>
  <c r="E44" i="10"/>
  <c r="E143" i="10" s="1"/>
  <c r="E233" i="10" s="1"/>
  <c r="E62" i="10"/>
  <c r="E161" i="10" s="1"/>
  <c r="E251" i="10" s="1"/>
  <c r="C62" i="10"/>
  <c r="E54" i="10"/>
  <c r="E153" i="10" s="1"/>
  <c r="E243" i="10" s="1"/>
  <c r="E9" i="10"/>
  <c r="E107" i="10" s="1"/>
  <c r="E199" i="10" s="1"/>
  <c r="C54" i="10"/>
  <c r="D62" i="10"/>
  <c r="D161" i="10" s="1"/>
  <c r="D251" i="10" s="1"/>
  <c r="D54" i="10"/>
  <c r="D153" i="10" s="1"/>
  <c r="D243" i="10" s="1"/>
  <c r="D84" i="10"/>
  <c r="D183" i="10" s="1"/>
  <c r="D273" i="10" s="1"/>
  <c r="C84" i="10"/>
  <c r="E73" i="10"/>
  <c r="E172" i="10" s="1"/>
  <c r="E262" i="10" s="1"/>
  <c r="D73" i="10"/>
  <c r="D172" i="10" s="1"/>
  <c r="D262" i="10" s="1"/>
  <c r="E84" i="10"/>
  <c r="E183" i="10" s="1"/>
  <c r="E273" i="10" s="1"/>
  <c r="E119" i="10" l="1"/>
  <c r="D37" i="10"/>
  <c r="E37" i="10"/>
  <c r="C105" i="19"/>
  <c r="C101" i="19"/>
  <c r="C90" i="19"/>
  <c r="C85" i="19"/>
  <c r="C79" i="19"/>
  <c r="C65" i="19"/>
  <c r="C62" i="19"/>
  <c r="C51" i="19"/>
  <c r="C46" i="19"/>
  <c r="C39" i="19"/>
  <c r="C34" i="19"/>
  <c r="C12" i="19"/>
  <c r="D8" i="19" s="1"/>
  <c r="C106" i="17"/>
  <c r="C102" i="17"/>
  <c r="C91" i="17"/>
  <c r="D91" i="17" s="1"/>
  <c r="C86" i="17"/>
  <c r="D86" i="17" s="1"/>
  <c r="C80" i="17"/>
  <c r="D80" i="17" s="1"/>
  <c r="C72" i="17"/>
  <c r="C64" i="17"/>
  <c r="C54" i="17"/>
  <c r="C51" i="17"/>
  <c r="C108" i="17" s="1"/>
  <c r="C49" i="17"/>
  <c r="C42" i="17"/>
  <c r="D42" i="17" s="1"/>
  <c r="C37" i="17"/>
  <c r="D37" i="17" s="1"/>
  <c r="C12" i="17"/>
  <c r="D12" i="17" s="1"/>
  <c r="C107" i="18"/>
  <c r="C105" i="18"/>
  <c r="C103" i="18"/>
  <c r="C90" i="18"/>
  <c r="C92" i="18" s="1"/>
  <c r="C87" i="18"/>
  <c r="C79" i="18"/>
  <c r="C72" i="18"/>
  <c r="C64" i="18"/>
  <c r="C54" i="18"/>
  <c r="C49" i="18"/>
  <c r="C51" i="18" s="1"/>
  <c r="C42" i="18"/>
  <c r="C37" i="18"/>
  <c r="C12" i="18"/>
  <c r="D8" i="18" s="1"/>
  <c r="D10" i="18"/>
  <c r="D9" i="18"/>
  <c r="D89" i="10" l="1"/>
  <c r="D188" i="10" s="1"/>
  <c r="D278" i="10" s="1"/>
  <c r="D136" i="10"/>
  <c r="D226" i="10" s="1"/>
  <c r="E136" i="10"/>
  <c r="E226" i="10" s="1"/>
  <c r="E89" i="10"/>
  <c r="E188" i="10" s="1"/>
  <c r="E278" i="10" s="1"/>
  <c r="D12" i="19"/>
  <c r="D9" i="19"/>
  <c r="C48" i="19"/>
  <c r="D10" i="19"/>
  <c r="C70" i="19"/>
  <c r="D6" i="19"/>
  <c r="D7" i="19"/>
  <c r="D108" i="17"/>
  <c r="D84" i="17"/>
  <c r="D95" i="17"/>
  <c r="D49" i="17"/>
  <c r="D99" i="17"/>
  <c r="D89" i="17"/>
  <c r="D67" i="17"/>
  <c r="D36" i="17"/>
  <c r="D20" i="17"/>
  <c r="D27" i="17"/>
  <c r="D97" i="17"/>
  <c r="D98" i="17"/>
  <c r="D76" i="17"/>
  <c r="D19" i="17"/>
  <c r="D75" i="17"/>
  <c r="D26" i="17"/>
  <c r="D104" i="17"/>
  <c r="D33" i="17"/>
  <c r="D83" i="17"/>
  <c r="D61" i="17"/>
  <c r="D32" i="17"/>
  <c r="D94" i="17"/>
  <c r="D70" i="17"/>
  <c r="D60" i="17"/>
  <c r="D40" i="17"/>
  <c r="D31" i="17"/>
  <c r="D23" i="17"/>
  <c r="D101" i="17"/>
  <c r="D69" i="17"/>
  <c r="D59" i="17"/>
  <c r="D48" i="17"/>
  <c r="D30" i="17"/>
  <c r="D22" i="17"/>
  <c r="D100" i="17"/>
  <c r="D78" i="17"/>
  <c r="D68" i="17"/>
  <c r="D58" i="17"/>
  <c r="D47" i="17"/>
  <c r="D29" i="17"/>
  <c r="D21" i="17"/>
  <c r="D77" i="17"/>
  <c r="D57" i="17"/>
  <c r="D46" i="17"/>
  <c r="D28" i="17"/>
  <c r="D45" i="17"/>
  <c r="D35" i="17"/>
  <c r="D34" i="17"/>
  <c r="D18" i="17"/>
  <c r="D96" i="17"/>
  <c r="D62" i="17"/>
  <c r="D25" i="17"/>
  <c r="D102" i="17"/>
  <c r="D41" i="17"/>
  <c r="D24" i="17"/>
  <c r="D106" i="17"/>
  <c r="D64" i="17"/>
  <c r="D72" i="17"/>
  <c r="D51" i="17"/>
  <c r="D6" i="17"/>
  <c r="D7" i="17"/>
  <c r="D8" i="17"/>
  <c r="D9" i="17"/>
  <c r="D10" i="17"/>
  <c r="C109" i="18"/>
  <c r="C81" i="18"/>
  <c r="D12" i="18"/>
  <c r="D6" i="18"/>
  <c r="D7" i="18"/>
  <c r="O86" i="10"/>
  <c r="O185" i="10" s="1"/>
  <c r="O275" i="10" s="1"/>
  <c r="O83" i="10"/>
  <c r="O182" i="10" s="1"/>
  <c r="O272" i="10" s="1"/>
  <c r="O82" i="10"/>
  <c r="O181" i="10" s="1"/>
  <c r="O271" i="10" s="1"/>
  <c r="O81" i="10"/>
  <c r="O180" i="10" s="1"/>
  <c r="O270" i="10" s="1"/>
  <c r="O80" i="10"/>
  <c r="O179" i="10" s="1"/>
  <c r="O269" i="10" s="1"/>
  <c r="O79" i="10"/>
  <c r="O178" i="10" s="1"/>
  <c r="O268" i="10" s="1"/>
  <c r="O78" i="10"/>
  <c r="O177" i="10" s="1"/>
  <c r="O267" i="10" s="1"/>
  <c r="O77" i="10"/>
  <c r="O176" i="10" s="1"/>
  <c r="O266" i="10" s="1"/>
  <c r="O76" i="10"/>
  <c r="O175" i="10" s="1"/>
  <c r="O265" i="10" s="1"/>
  <c r="O72" i="10"/>
  <c r="O171" i="10" s="1"/>
  <c r="O261" i="10" s="1"/>
  <c r="O71" i="10"/>
  <c r="O170" i="10" s="1"/>
  <c r="O260" i="10" s="1"/>
  <c r="O67" i="10"/>
  <c r="O166" i="10" s="1"/>
  <c r="O256" i="10" s="1"/>
  <c r="O66" i="10"/>
  <c r="O165" i="10" s="1"/>
  <c r="O255" i="10" s="1"/>
  <c r="O65" i="10"/>
  <c r="O164" i="10" s="1"/>
  <c r="O254" i="10" s="1"/>
  <c r="O61" i="10"/>
  <c r="O160" i="10" s="1"/>
  <c r="O250" i="10" s="1"/>
  <c r="O60" i="10"/>
  <c r="O159" i="10" s="1"/>
  <c r="O249" i="10" s="1"/>
  <c r="O59" i="10"/>
  <c r="O158" i="10" s="1"/>
  <c r="O248" i="10" s="1"/>
  <c r="O58" i="10"/>
  <c r="O157" i="10" s="1"/>
  <c r="O247" i="10" s="1"/>
  <c r="O57" i="10"/>
  <c r="O156" i="10" s="1"/>
  <c r="O246" i="10" s="1"/>
  <c r="O53" i="10"/>
  <c r="O152" i="10" s="1"/>
  <c r="O242" i="10" s="1"/>
  <c r="O51" i="10"/>
  <c r="O150" i="10" s="1"/>
  <c r="O240" i="10" s="1"/>
  <c r="O50" i="10"/>
  <c r="O149" i="10" s="1"/>
  <c r="O239" i="10" s="1"/>
  <c r="O49" i="10"/>
  <c r="O148" i="10" s="1"/>
  <c r="O238" i="10" s="1"/>
  <c r="O48" i="10"/>
  <c r="O147" i="10" s="1"/>
  <c r="O237" i="10" s="1"/>
  <c r="O47" i="10"/>
  <c r="O146" i="10" s="1"/>
  <c r="O236" i="10" s="1"/>
  <c r="O43" i="10"/>
  <c r="O142" i="10" s="1"/>
  <c r="O232" i="10" s="1"/>
  <c r="O42" i="10"/>
  <c r="O141" i="10" s="1"/>
  <c r="O231" i="10" s="1"/>
  <c r="O41" i="10"/>
  <c r="O140" i="10" s="1"/>
  <c r="O230" i="10" s="1"/>
  <c r="O40" i="10"/>
  <c r="O36" i="10"/>
  <c r="O135" i="10" s="1"/>
  <c r="O225" i="10" s="1"/>
  <c r="O35" i="10"/>
  <c r="O134" i="10" s="1"/>
  <c r="O224" i="10" s="1"/>
  <c r="O32" i="10"/>
  <c r="O131" i="10" s="1"/>
  <c r="O221" i="10" s="1"/>
  <c r="O31" i="10"/>
  <c r="O130" i="10" s="1"/>
  <c r="O220" i="10" s="1"/>
  <c r="O30" i="10"/>
  <c r="O129" i="10" s="1"/>
  <c r="O219" i="10" s="1"/>
  <c r="O29" i="10"/>
  <c r="O128" i="10" s="1"/>
  <c r="O218" i="10" s="1"/>
  <c r="O28" i="10"/>
  <c r="O127" i="10" s="1"/>
  <c r="O217" i="10" s="1"/>
  <c r="O26" i="10"/>
  <c r="O125" i="10" s="1"/>
  <c r="O215" i="10" s="1"/>
  <c r="O25" i="10"/>
  <c r="O124" i="10" s="1"/>
  <c r="O214" i="10" s="1"/>
  <c r="O24" i="10"/>
  <c r="O123" i="10" s="1"/>
  <c r="O213" i="10" s="1"/>
  <c r="O23" i="10"/>
  <c r="O122" i="10" s="1"/>
  <c r="O212" i="10" s="1"/>
  <c r="O22" i="10"/>
  <c r="O121" i="10" s="1"/>
  <c r="O211" i="10" s="1"/>
  <c r="O21" i="10"/>
  <c r="O118" i="10" s="1"/>
  <c r="O20" i="10"/>
  <c r="O117" i="10" s="1"/>
  <c r="O19" i="10"/>
  <c r="O116" i="10" s="1"/>
  <c r="O18" i="10"/>
  <c r="O115" i="10" s="1"/>
  <c r="O17" i="10"/>
  <c r="O114" i="10" s="1"/>
  <c r="O16" i="10"/>
  <c r="O113" i="10" s="1"/>
  <c r="O15" i="10"/>
  <c r="O112" i="10" s="1"/>
  <c r="O13" i="10"/>
  <c r="O111" i="10" s="1"/>
  <c r="N86" i="10"/>
  <c r="N185" i="10" s="1"/>
  <c r="N275" i="10" s="1"/>
  <c r="N83" i="10"/>
  <c r="N182" i="10" s="1"/>
  <c r="N272" i="10" s="1"/>
  <c r="N82" i="10"/>
  <c r="N181" i="10" s="1"/>
  <c r="N271" i="10" s="1"/>
  <c r="N81" i="10"/>
  <c r="N180" i="10" s="1"/>
  <c r="N270" i="10" s="1"/>
  <c r="N80" i="10"/>
  <c r="N179" i="10" s="1"/>
  <c r="N269" i="10" s="1"/>
  <c r="N79" i="10"/>
  <c r="N178" i="10" s="1"/>
  <c r="N268" i="10" s="1"/>
  <c r="N78" i="10"/>
  <c r="N177" i="10" s="1"/>
  <c r="N267" i="10" s="1"/>
  <c r="N77" i="10"/>
  <c r="N176" i="10" s="1"/>
  <c r="N266" i="10" s="1"/>
  <c r="N76" i="10"/>
  <c r="N175" i="10" s="1"/>
  <c r="N265" i="10" s="1"/>
  <c r="N72" i="10"/>
  <c r="N171" i="10" s="1"/>
  <c r="N261" i="10" s="1"/>
  <c r="N71" i="10"/>
  <c r="N170" i="10" s="1"/>
  <c r="N260" i="10" s="1"/>
  <c r="N67" i="10"/>
  <c r="N166" i="10" s="1"/>
  <c r="N256" i="10" s="1"/>
  <c r="N66" i="10"/>
  <c r="N165" i="10" s="1"/>
  <c r="N255" i="10" s="1"/>
  <c r="N65" i="10"/>
  <c r="N164" i="10" s="1"/>
  <c r="N254" i="10" s="1"/>
  <c r="N61" i="10"/>
  <c r="N160" i="10" s="1"/>
  <c r="N250" i="10" s="1"/>
  <c r="N60" i="10"/>
  <c r="N159" i="10" s="1"/>
  <c r="N249" i="10" s="1"/>
  <c r="N59" i="10"/>
  <c r="N158" i="10" s="1"/>
  <c r="N248" i="10" s="1"/>
  <c r="N58" i="10"/>
  <c r="N157" i="10" s="1"/>
  <c r="N247" i="10" s="1"/>
  <c r="N57" i="10"/>
  <c r="N53" i="10"/>
  <c r="N152" i="10" s="1"/>
  <c r="N242" i="10" s="1"/>
  <c r="N52" i="10"/>
  <c r="N151" i="10" s="1"/>
  <c r="N241" i="10" s="1"/>
  <c r="N51" i="10"/>
  <c r="N150" i="10" s="1"/>
  <c r="N240" i="10" s="1"/>
  <c r="N50" i="10"/>
  <c r="N149" i="10" s="1"/>
  <c r="N239" i="10" s="1"/>
  <c r="N49" i="10"/>
  <c r="N148" i="10" s="1"/>
  <c r="N238" i="10" s="1"/>
  <c r="N48" i="10"/>
  <c r="N147" i="10" s="1"/>
  <c r="N237" i="10" s="1"/>
  <c r="N47" i="10"/>
  <c r="N146" i="10" s="1"/>
  <c r="N236" i="10" s="1"/>
  <c r="N43" i="10"/>
  <c r="N142" i="10" s="1"/>
  <c r="N232" i="10" s="1"/>
  <c r="N42" i="10"/>
  <c r="N141" i="10" s="1"/>
  <c r="N231" i="10" s="1"/>
  <c r="N41" i="10"/>
  <c r="N140" i="10" s="1"/>
  <c r="N230" i="10" s="1"/>
  <c r="N40" i="10"/>
  <c r="N139" i="10" s="1"/>
  <c r="N229" i="10" s="1"/>
  <c r="N36" i="10"/>
  <c r="N135" i="10" s="1"/>
  <c r="N225" i="10" s="1"/>
  <c r="N35" i="10"/>
  <c r="N134" i="10" s="1"/>
  <c r="N224" i="10" s="1"/>
  <c r="N32" i="10"/>
  <c r="N131" i="10" s="1"/>
  <c r="N221" i="10" s="1"/>
  <c r="N31" i="10"/>
  <c r="N130" i="10" s="1"/>
  <c r="N220" i="10" s="1"/>
  <c r="N30" i="10"/>
  <c r="N129" i="10" s="1"/>
  <c r="N219" i="10" s="1"/>
  <c r="N29" i="10"/>
  <c r="N128" i="10" s="1"/>
  <c r="N218" i="10" s="1"/>
  <c r="N28" i="10"/>
  <c r="N127" i="10" s="1"/>
  <c r="N217" i="10" s="1"/>
  <c r="N26" i="10"/>
  <c r="N125" i="10" s="1"/>
  <c r="N215" i="10" s="1"/>
  <c r="N25" i="10"/>
  <c r="N124" i="10" s="1"/>
  <c r="N214" i="10" s="1"/>
  <c r="N24" i="10"/>
  <c r="N123" i="10" s="1"/>
  <c r="N213" i="10" s="1"/>
  <c r="N23" i="10"/>
  <c r="N122" i="10" s="1"/>
  <c r="N212" i="10" s="1"/>
  <c r="N22" i="10"/>
  <c r="N121" i="10" s="1"/>
  <c r="N211" i="10" s="1"/>
  <c r="N21" i="10"/>
  <c r="N118" i="10" s="1"/>
  <c r="N20" i="10"/>
  <c r="N117" i="10" s="1"/>
  <c r="N19" i="10"/>
  <c r="N116" i="10" s="1"/>
  <c r="N18" i="10"/>
  <c r="N115" i="10" s="1"/>
  <c r="N17" i="10"/>
  <c r="N114" i="10" s="1"/>
  <c r="N16" i="10"/>
  <c r="N113" i="10" s="1"/>
  <c r="N15" i="10"/>
  <c r="N112" i="10" s="1"/>
  <c r="N13" i="10"/>
  <c r="N111" i="10" s="1"/>
  <c r="M86" i="10"/>
  <c r="M185" i="10" s="1"/>
  <c r="M275" i="10" s="1"/>
  <c r="M83" i="10"/>
  <c r="M182" i="10" s="1"/>
  <c r="M272" i="10" s="1"/>
  <c r="M82" i="10"/>
  <c r="M181" i="10" s="1"/>
  <c r="M271" i="10" s="1"/>
  <c r="M81" i="10"/>
  <c r="M180" i="10" s="1"/>
  <c r="M270" i="10" s="1"/>
  <c r="M80" i="10"/>
  <c r="M179" i="10" s="1"/>
  <c r="M269" i="10" s="1"/>
  <c r="M79" i="10"/>
  <c r="M178" i="10" s="1"/>
  <c r="M268" i="10" s="1"/>
  <c r="M78" i="10"/>
  <c r="M177" i="10" s="1"/>
  <c r="M267" i="10" s="1"/>
  <c r="M77" i="10"/>
  <c r="M176" i="10" s="1"/>
  <c r="M266" i="10" s="1"/>
  <c r="M76" i="10"/>
  <c r="M175" i="10" s="1"/>
  <c r="M265" i="10" s="1"/>
  <c r="M72" i="10"/>
  <c r="M171" i="10" s="1"/>
  <c r="M261" i="10" s="1"/>
  <c r="M71" i="10"/>
  <c r="M170" i="10" s="1"/>
  <c r="M260" i="10" s="1"/>
  <c r="M67" i="10"/>
  <c r="M166" i="10" s="1"/>
  <c r="M256" i="10" s="1"/>
  <c r="M66" i="10"/>
  <c r="M165" i="10" s="1"/>
  <c r="M255" i="10" s="1"/>
  <c r="M65" i="10"/>
  <c r="M164" i="10" s="1"/>
  <c r="M254" i="10" s="1"/>
  <c r="M61" i="10"/>
  <c r="M160" i="10" s="1"/>
  <c r="M250" i="10" s="1"/>
  <c r="M60" i="10"/>
  <c r="M159" i="10" s="1"/>
  <c r="M249" i="10" s="1"/>
  <c r="M59" i="10"/>
  <c r="M158" i="10" s="1"/>
  <c r="M248" i="10" s="1"/>
  <c r="M58" i="10"/>
  <c r="M157" i="10" s="1"/>
  <c r="M247" i="10" s="1"/>
  <c r="M57" i="10"/>
  <c r="M156" i="10" s="1"/>
  <c r="M246" i="10" s="1"/>
  <c r="M53" i="10"/>
  <c r="M152" i="10" s="1"/>
  <c r="M242" i="10" s="1"/>
  <c r="M52" i="10"/>
  <c r="M151" i="10" s="1"/>
  <c r="M241" i="10" s="1"/>
  <c r="M51" i="10"/>
  <c r="M150" i="10" s="1"/>
  <c r="M240" i="10" s="1"/>
  <c r="M50" i="10"/>
  <c r="M149" i="10" s="1"/>
  <c r="M239" i="10" s="1"/>
  <c r="M49" i="10"/>
  <c r="M148" i="10" s="1"/>
  <c r="M238" i="10" s="1"/>
  <c r="M48" i="10"/>
  <c r="M147" i="10" s="1"/>
  <c r="M237" i="10" s="1"/>
  <c r="M47" i="10"/>
  <c r="M146" i="10" s="1"/>
  <c r="M236" i="10" s="1"/>
  <c r="M43" i="10"/>
  <c r="M142" i="10" s="1"/>
  <c r="M232" i="10" s="1"/>
  <c r="M42" i="10"/>
  <c r="M141" i="10" s="1"/>
  <c r="M231" i="10" s="1"/>
  <c r="M41" i="10"/>
  <c r="M140" i="10" s="1"/>
  <c r="M230" i="10" s="1"/>
  <c r="M40" i="10"/>
  <c r="M139" i="10" s="1"/>
  <c r="M229" i="10" s="1"/>
  <c r="M36" i="10"/>
  <c r="M135" i="10" s="1"/>
  <c r="M225" i="10" s="1"/>
  <c r="M35" i="10"/>
  <c r="M134" i="10" s="1"/>
  <c r="M224" i="10" s="1"/>
  <c r="M32" i="10"/>
  <c r="M131" i="10" s="1"/>
  <c r="M221" i="10" s="1"/>
  <c r="M31" i="10"/>
  <c r="M130" i="10" s="1"/>
  <c r="M220" i="10" s="1"/>
  <c r="M30" i="10"/>
  <c r="M129" i="10" s="1"/>
  <c r="M219" i="10" s="1"/>
  <c r="M29" i="10"/>
  <c r="M128" i="10" s="1"/>
  <c r="M218" i="10" s="1"/>
  <c r="M28" i="10"/>
  <c r="M127" i="10" s="1"/>
  <c r="M217" i="10" s="1"/>
  <c r="M26" i="10"/>
  <c r="M125" i="10" s="1"/>
  <c r="M215" i="10" s="1"/>
  <c r="M25" i="10"/>
  <c r="M124" i="10" s="1"/>
  <c r="M214" i="10" s="1"/>
  <c r="M24" i="10"/>
  <c r="M123" i="10" s="1"/>
  <c r="M213" i="10" s="1"/>
  <c r="M23" i="10"/>
  <c r="M122" i="10" s="1"/>
  <c r="M212" i="10" s="1"/>
  <c r="M22" i="10"/>
  <c r="M121" i="10" s="1"/>
  <c r="M211" i="10" s="1"/>
  <c r="M21" i="10"/>
  <c r="M118" i="10" s="1"/>
  <c r="M20" i="10"/>
  <c r="M117" i="10" s="1"/>
  <c r="M19" i="10"/>
  <c r="M116" i="10" s="1"/>
  <c r="M18" i="10"/>
  <c r="M115" i="10" s="1"/>
  <c r="M17" i="10"/>
  <c r="M114" i="10" s="1"/>
  <c r="M16" i="10"/>
  <c r="M113" i="10" s="1"/>
  <c r="M15" i="10"/>
  <c r="M112" i="10" s="1"/>
  <c r="M13" i="10"/>
  <c r="M111" i="10" s="1"/>
  <c r="L86" i="10"/>
  <c r="L185" i="10" s="1"/>
  <c r="L275" i="10" s="1"/>
  <c r="L77" i="10"/>
  <c r="L176" i="10" s="1"/>
  <c r="L266" i="10" s="1"/>
  <c r="L78" i="10"/>
  <c r="L177" i="10" s="1"/>
  <c r="L267" i="10" s="1"/>
  <c r="L79" i="10"/>
  <c r="L178" i="10" s="1"/>
  <c r="L268" i="10" s="1"/>
  <c r="L80" i="10"/>
  <c r="L179" i="10" s="1"/>
  <c r="L269" i="10" s="1"/>
  <c r="L81" i="10"/>
  <c r="L180" i="10" s="1"/>
  <c r="L270" i="10" s="1"/>
  <c r="L82" i="10"/>
  <c r="L181" i="10" s="1"/>
  <c r="L271" i="10" s="1"/>
  <c r="L83" i="10"/>
  <c r="L182" i="10" s="1"/>
  <c r="L272" i="10" s="1"/>
  <c r="L76" i="10"/>
  <c r="L175" i="10" s="1"/>
  <c r="L265" i="10" s="1"/>
  <c r="L72" i="10"/>
  <c r="L171" i="10" s="1"/>
  <c r="L261" i="10" s="1"/>
  <c r="L71" i="10"/>
  <c r="L170" i="10" s="1"/>
  <c r="L260" i="10" s="1"/>
  <c r="L67" i="10"/>
  <c r="L166" i="10" s="1"/>
  <c r="L256" i="10" s="1"/>
  <c r="L66" i="10"/>
  <c r="L165" i="10" s="1"/>
  <c r="L255" i="10" s="1"/>
  <c r="L65" i="10"/>
  <c r="L61" i="10"/>
  <c r="L160" i="10" s="1"/>
  <c r="L250" i="10" s="1"/>
  <c r="L60" i="10"/>
  <c r="L159" i="10" s="1"/>
  <c r="L249" i="10" s="1"/>
  <c r="L59" i="10"/>
  <c r="L158" i="10" s="1"/>
  <c r="L248" i="10" s="1"/>
  <c r="L58" i="10"/>
  <c r="L157" i="10" s="1"/>
  <c r="L247" i="10" s="1"/>
  <c r="L57" i="10"/>
  <c r="L156" i="10" s="1"/>
  <c r="L246" i="10" s="1"/>
  <c r="L53" i="10"/>
  <c r="L152" i="10" s="1"/>
  <c r="L242" i="10" s="1"/>
  <c r="L52" i="10"/>
  <c r="L151" i="10" s="1"/>
  <c r="L241" i="10" s="1"/>
  <c r="L51" i="10"/>
  <c r="L150" i="10" s="1"/>
  <c r="L240" i="10" s="1"/>
  <c r="L50" i="10"/>
  <c r="L149" i="10" s="1"/>
  <c r="L239" i="10" s="1"/>
  <c r="L49" i="10"/>
  <c r="L148" i="10" s="1"/>
  <c r="L238" i="10" s="1"/>
  <c r="L48" i="10"/>
  <c r="L147" i="10" s="1"/>
  <c r="L237" i="10" s="1"/>
  <c r="L47" i="10"/>
  <c r="L146" i="10" s="1"/>
  <c r="L236" i="10" s="1"/>
  <c r="L43" i="10"/>
  <c r="L142" i="10" s="1"/>
  <c r="L232" i="10" s="1"/>
  <c r="L42" i="10"/>
  <c r="L141" i="10" s="1"/>
  <c r="L231" i="10" s="1"/>
  <c r="L41" i="10"/>
  <c r="L140" i="10" s="1"/>
  <c r="L230" i="10" s="1"/>
  <c r="L40" i="10"/>
  <c r="L139" i="10" s="1"/>
  <c r="L229" i="10" s="1"/>
  <c r="L36" i="10"/>
  <c r="L135" i="10" s="1"/>
  <c r="L225" i="10" s="1"/>
  <c r="L35" i="10"/>
  <c r="L134" i="10" s="1"/>
  <c r="L224" i="10" s="1"/>
  <c r="L32" i="10"/>
  <c r="L131" i="10" s="1"/>
  <c r="L221" i="10" s="1"/>
  <c r="L31" i="10"/>
  <c r="L130" i="10" s="1"/>
  <c r="L220" i="10" s="1"/>
  <c r="L30" i="10"/>
  <c r="L129" i="10" s="1"/>
  <c r="L219" i="10" s="1"/>
  <c r="L29" i="10"/>
  <c r="L128" i="10" s="1"/>
  <c r="L218" i="10" s="1"/>
  <c r="L28" i="10"/>
  <c r="L127" i="10" s="1"/>
  <c r="L217" i="10" s="1"/>
  <c r="L26" i="10"/>
  <c r="L125" i="10" s="1"/>
  <c r="L215" i="10" s="1"/>
  <c r="L25" i="10"/>
  <c r="L124" i="10" s="1"/>
  <c r="L214" i="10" s="1"/>
  <c r="L24" i="10"/>
  <c r="L123" i="10" s="1"/>
  <c r="L213" i="10" s="1"/>
  <c r="L23" i="10"/>
  <c r="L122" i="10" s="1"/>
  <c r="L212" i="10" s="1"/>
  <c r="L22" i="10"/>
  <c r="L121" i="10" s="1"/>
  <c r="L211" i="10" s="1"/>
  <c r="L21" i="10"/>
  <c r="L118" i="10" s="1"/>
  <c r="L20" i="10"/>
  <c r="L117" i="10" s="1"/>
  <c r="L19" i="10"/>
  <c r="L116" i="10" s="1"/>
  <c r="L18" i="10"/>
  <c r="L115" i="10" s="1"/>
  <c r="L17" i="10"/>
  <c r="L114" i="10" s="1"/>
  <c r="L16" i="10"/>
  <c r="L113" i="10" s="1"/>
  <c r="L15" i="10"/>
  <c r="L112" i="10" s="1"/>
  <c r="L13" i="10"/>
  <c r="L111" i="10" s="1"/>
  <c r="M119" i="10" l="1"/>
  <c r="L119" i="10"/>
  <c r="N119" i="10"/>
  <c r="O119" i="10"/>
  <c r="O44" i="10"/>
  <c r="O143" i="10" s="1"/>
  <c r="O233" i="10" s="1"/>
  <c r="O139" i="10"/>
  <c r="O229" i="10" s="1"/>
  <c r="N62" i="10"/>
  <c r="N161" i="10" s="1"/>
  <c r="N251" i="10" s="1"/>
  <c r="N156" i="10"/>
  <c r="N246" i="10" s="1"/>
  <c r="L68" i="10"/>
  <c r="L167" i="10" s="1"/>
  <c r="L257" i="10" s="1"/>
  <c r="L164" i="10"/>
  <c r="L254" i="10" s="1"/>
  <c r="M54" i="10"/>
  <c r="M153" i="10" s="1"/>
  <c r="M243" i="10" s="1"/>
  <c r="N44" i="10"/>
  <c r="N143" i="10" s="1"/>
  <c r="N233" i="10" s="1"/>
  <c r="N68" i="10"/>
  <c r="N167" i="10" s="1"/>
  <c r="N257" i="10" s="1"/>
  <c r="O37" i="10"/>
  <c r="O136" i="10" s="1"/>
  <c r="O226" i="10" s="1"/>
  <c r="L44" i="10"/>
  <c r="L143" i="10" s="1"/>
  <c r="L233" i="10" s="1"/>
  <c r="C107" i="19"/>
  <c r="D48" i="19" s="1"/>
  <c r="D98" i="18"/>
  <c r="D78" i="18"/>
  <c r="D68" i="18"/>
  <c r="D58" i="18"/>
  <c r="D47" i="18"/>
  <c r="D29" i="18"/>
  <c r="D21" i="18"/>
  <c r="D97" i="18"/>
  <c r="D77" i="18"/>
  <c r="D67" i="18"/>
  <c r="D57" i="18"/>
  <c r="D46" i="18"/>
  <c r="D36" i="18"/>
  <c r="D28" i="18"/>
  <c r="D20" i="18"/>
  <c r="D96" i="18"/>
  <c r="D76" i="18"/>
  <c r="D19" i="18"/>
  <c r="D75" i="18"/>
  <c r="D34" i="18"/>
  <c r="D26" i="18"/>
  <c r="D109" i="18"/>
  <c r="D31" i="18"/>
  <c r="D69" i="18"/>
  <c r="D30" i="18"/>
  <c r="D35" i="18"/>
  <c r="D84" i="18"/>
  <c r="D18" i="18"/>
  <c r="D102" i="18"/>
  <c r="D33" i="18"/>
  <c r="D25" i="18"/>
  <c r="D32" i="18"/>
  <c r="D24" i="18"/>
  <c r="D100" i="18"/>
  <c r="D60" i="18"/>
  <c r="D40" i="18"/>
  <c r="D48" i="18"/>
  <c r="D22" i="18"/>
  <c r="D85" i="18"/>
  <c r="D45" i="18"/>
  <c r="D27" i="18"/>
  <c r="D95" i="18"/>
  <c r="D62" i="18"/>
  <c r="D101" i="18"/>
  <c r="D61" i="18"/>
  <c r="D41" i="18"/>
  <c r="D23" i="18"/>
  <c r="D99" i="18"/>
  <c r="D59" i="18"/>
  <c r="D37" i="18"/>
  <c r="D70" i="18"/>
  <c r="D81" i="18"/>
  <c r="D51" i="18"/>
  <c r="D90" i="18"/>
  <c r="D103" i="18"/>
  <c r="D79" i="18"/>
  <c r="D42" i="18"/>
  <c r="D72" i="18"/>
  <c r="D92" i="18"/>
  <c r="D64" i="18"/>
  <c r="D87" i="18"/>
  <c r="D49" i="18"/>
  <c r="D107" i="18"/>
  <c r="D105" i="18"/>
  <c r="O68" i="10"/>
  <c r="O167" i="10" s="1"/>
  <c r="O257" i="10" s="1"/>
  <c r="L54" i="10"/>
  <c r="L153" i="10" s="1"/>
  <c r="L243" i="10" s="1"/>
  <c r="M44" i="10"/>
  <c r="M143" i="10" s="1"/>
  <c r="M233" i="10" s="1"/>
  <c r="M62" i="10"/>
  <c r="M161" i="10" s="1"/>
  <c r="M251" i="10" s="1"/>
  <c r="M73" i="10"/>
  <c r="M172" i="10" s="1"/>
  <c r="M262" i="10" s="1"/>
  <c r="L84" i="10"/>
  <c r="N54" i="10"/>
  <c r="N153" i="10" s="1"/>
  <c r="N243" i="10" s="1"/>
  <c r="N84" i="10"/>
  <c r="N183" i="10" s="1"/>
  <c r="N273" i="10" s="1"/>
  <c r="O62" i="10"/>
  <c r="O161" i="10" s="1"/>
  <c r="O251" i="10" s="1"/>
  <c r="O73" i="10"/>
  <c r="O172" i="10" s="1"/>
  <c r="O262" i="10" s="1"/>
  <c r="L37" i="10"/>
  <c r="L136" i="10" s="1"/>
  <c r="L226" i="10" s="1"/>
  <c r="M84" i="10"/>
  <c r="M183" i="10" s="1"/>
  <c r="M273" i="10" s="1"/>
  <c r="M68" i="10"/>
  <c r="M167" i="10" s="1"/>
  <c r="M257" i="10" s="1"/>
  <c r="O54" i="10"/>
  <c r="M37" i="10"/>
  <c r="M136" i="10" s="1"/>
  <c r="M226" i="10" s="1"/>
  <c r="N37" i="10"/>
  <c r="N136" i="10" s="1"/>
  <c r="N226" i="10" s="1"/>
  <c r="N73" i="10"/>
  <c r="N172" i="10" s="1"/>
  <c r="N262" i="10" s="1"/>
  <c r="L62" i="10"/>
  <c r="L161" i="10" s="1"/>
  <c r="L251" i="10" s="1"/>
  <c r="L73" i="10"/>
  <c r="L172" i="10" s="1"/>
  <c r="L262" i="10" s="1"/>
  <c r="O84" i="10"/>
  <c r="O183" i="10" s="1"/>
  <c r="O273" i="10" s="1"/>
  <c r="K86" i="10"/>
  <c r="K185" i="10" s="1"/>
  <c r="K275" i="10" s="1"/>
  <c r="K83" i="10"/>
  <c r="K182" i="10" s="1"/>
  <c r="K272" i="10" s="1"/>
  <c r="K82" i="10"/>
  <c r="K181" i="10" s="1"/>
  <c r="K271" i="10" s="1"/>
  <c r="K81" i="10"/>
  <c r="K180" i="10" s="1"/>
  <c r="K270" i="10" s="1"/>
  <c r="K80" i="10"/>
  <c r="K179" i="10" s="1"/>
  <c r="K269" i="10" s="1"/>
  <c r="K79" i="10"/>
  <c r="K178" i="10" s="1"/>
  <c r="K268" i="10" s="1"/>
  <c r="K78" i="10"/>
  <c r="K177" i="10" s="1"/>
  <c r="K267" i="10" s="1"/>
  <c r="K77" i="10"/>
  <c r="K176" i="10" s="1"/>
  <c r="K266" i="10" s="1"/>
  <c r="K76" i="10"/>
  <c r="K175" i="10" s="1"/>
  <c r="K265" i="10" s="1"/>
  <c r="K72" i="10"/>
  <c r="K171" i="10" s="1"/>
  <c r="K261" i="10" s="1"/>
  <c r="K71" i="10"/>
  <c r="K170" i="10" s="1"/>
  <c r="K260" i="10" s="1"/>
  <c r="K67" i="10"/>
  <c r="K166" i="10" s="1"/>
  <c r="K256" i="10" s="1"/>
  <c r="K65" i="10"/>
  <c r="K164" i="10" s="1"/>
  <c r="K254" i="10" s="1"/>
  <c r="K61" i="10"/>
  <c r="K160" i="10" s="1"/>
  <c r="K250" i="10" s="1"/>
  <c r="K60" i="10"/>
  <c r="K159" i="10" s="1"/>
  <c r="K249" i="10" s="1"/>
  <c r="K59" i="10"/>
  <c r="K158" i="10" s="1"/>
  <c r="K248" i="10" s="1"/>
  <c r="K58" i="10"/>
  <c r="K157" i="10" s="1"/>
  <c r="K247" i="10" s="1"/>
  <c r="K57" i="10"/>
  <c r="K156" i="10" s="1"/>
  <c r="K246" i="10" s="1"/>
  <c r="K53" i="10"/>
  <c r="K152" i="10" s="1"/>
  <c r="K242" i="10" s="1"/>
  <c r="K52" i="10"/>
  <c r="K151" i="10" s="1"/>
  <c r="K241" i="10" s="1"/>
  <c r="K51" i="10"/>
  <c r="K150" i="10" s="1"/>
  <c r="K240" i="10" s="1"/>
  <c r="K50" i="10"/>
  <c r="K149" i="10" s="1"/>
  <c r="K239" i="10" s="1"/>
  <c r="K49" i="10"/>
  <c r="K148" i="10" s="1"/>
  <c r="K238" i="10" s="1"/>
  <c r="K48" i="10"/>
  <c r="K147" i="10" s="1"/>
  <c r="K237" i="10" s="1"/>
  <c r="K47" i="10"/>
  <c r="K43" i="10"/>
  <c r="K142" i="10" s="1"/>
  <c r="K232" i="10" s="1"/>
  <c r="K42" i="10"/>
  <c r="K141" i="10" s="1"/>
  <c r="K231" i="10" s="1"/>
  <c r="K41" i="10"/>
  <c r="K140" i="10" s="1"/>
  <c r="K230" i="10" s="1"/>
  <c r="K40" i="10"/>
  <c r="K139" i="10" s="1"/>
  <c r="K229" i="10" s="1"/>
  <c r="K36" i="10"/>
  <c r="K135" i="10" s="1"/>
  <c r="K225" i="10" s="1"/>
  <c r="K35" i="10"/>
  <c r="K134" i="10" s="1"/>
  <c r="K224" i="10" s="1"/>
  <c r="K32" i="10"/>
  <c r="K131" i="10" s="1"/>
  <c r="K221" i="10" s="1"/>
  <c r="K31" i="10"/>
  <c r="K130" i="10" s="1"/>
  <c r="K220" i="10" s="1"/>
  <c r="K30" i="10"/>
  <c r="K129" i="10" s="1"/>
  <c r="K219" i="10" s="1"/>
  <c r="K29" i="10"/>
  <c r="K128" i="10" s="1"/>
  <c r="K218" i="10" s="1"/>
  <c r="K28" i="10"/>
  <c r="K127" i="10" s="1"/>
  <c r="K217" i="10" s="1"/>
  <c r="K25" i="10"/>
  <c r="K124" i="10" s="1"/>
  <c r="K214" i="10" s="1"/>
  <c r="K26" i="10"/>
  <c r="K125" i="10" s="1"/>
  <c r="K215" i="10" s="1"/>
  <c r="K23" i="10"/>
  <c r="K122" i="10" s="1"/>
  <c r="K212" i="10" s="1"/>
  <c r="K24" i="10"/>
  <c r="K123" i="10" s="1"/>
  <c r="K213" i="10" s="1"/>
  <c r="K22" i="10"/>
  <c r="K121" i="10" s="1"/>
  <c r="K211" i="10" s="1"/>
  <c r="K21" i="10"/>
  <c r="K118" i="10" s="1"/>
  <c r="K20" i="10"/>
  <c r="K117" i="10" s="1"/>
  <c r="K19" i="10"/>
  <c r="K116" i="10" s="1"/>
  <c r="K18" i="10"/>
  <c r="K115" i="10" s="1"/>
  <c r="K17" i="10"/>
  <c r="K114" i="10" s="1"/>
  <c r="K16" i="10"/>
  <c r="K113" i="10" s="1"/>
  <c r="K15" i="10"/>
  <c r="K112" i="10" s="1"/>
  <c r="K13" i="10"/>
  <c r="K111" i="10" s="1"/>
  <c r="J86" i="10"/>
  <c r="J185" i="10" s="1"/>
  <c r="J275" i="10" s="1"/>
  <c r="J83" i="10"/>
  <c r="J182" i="10" s="1"/>
  <c r="J272" i="10" s="1"/>
  <c r="J82" i="10"/>
  <c r="J181" i="10" s="1"/>
  <c r="J271" i="10" s="1"/>
  <c r="J81" i="10"/>
  <c r="J180" i="10" s="1"/>
  <c r="J270" i="10" s="1"/>
  <c r="J80" i="10"/>
  <c r="J179" i="10" s="1"/>
  <c r="J269" i="10" s="1"/>
  <c r="J79" i="10"/>
  <c r="J178" i="10" s="1"/>
  <c r="J268" i="10" s="1"/>
  <c r="J78" i="10"/>
  <c r="J177" i="10" s="1"/>
  <c r="J267" i="10" s="1"/>
  <c r="J77" i="10"/>
  <c r="J176" i="10" s="1"/>
  <c r="J266" i="10" s="1"/>
  <c r="J76" i="10"/>
  <c r="J175" i="10" s="1"/>
  <c r="J265" i="10" s="1"/>
  <c r="J72" i="10"/>
  <c r="J171" i="10" s="1"/>
  <c r="J261" i="10" s="1"/>
  <c r="J71" i="10"/>
  <c r="J170" i="10" s="1"/>
  <c r="J260" i="10" s="1"/>
  <c r="J67" i="10"/>
  <c r="J166" i="10" s="1"/>
  <c r="J256" i="10" s="1"/>
  <c r="J65" i="10"/>
  <c r="J164" i="10" s="1"/>
  <c r="J254" i="10" s="1"/>
  <c r="J61" i="10"/>
  <c r="J160" i="10" s="1"/>
  <c r="J250" i="10" s="1"/>
  <c r="J60" i="10"/>
  <c r="J159" i="10" s="1"/>
  <c r="J249" i="10" s="1"/>
  <c r="J59" i="10"/>
  <c r="J158" i="10" s="1"/>
  <c r="J248" i="10" s="1"/>
  <c r="J58" i="10"/>
  <c r="J157" i="10" s="1"/>
  <c r="J247" i="10" s="1"/>
  <c r="J57" i="10"/>
  <c r="J156" i="10" s="1"/>
  <c r="J246" i="10" s="1"/>
  <c r="J53" i="10"/>
  <c r="J152" i="10" s="1"/>
  <c r="J242" i="10" s="1"/>
  <c r="J52" i="10"/>
  <c r="J151" i="10" s="1"/>
  <c r="J241" i="10" s="1"/>
  <c r="J51" i="10"/>
  <c r="J150" i="10" s="1"/>
  <c r="J240" i="10" s="1"/>
  <c r="J50" i="10"/>
  <c r="J149" i="10" s="1"/>
  <c r="J239" i="10" s="1"/>
  <c r="J49" i="10"/>
  <c r="J148" i="10" s="1"/>
  <c r="J238" i="10" s="1"/>
  <c r="J48" i="10"/>
  <c r="J147" i="10" s="1"/>
  <c r="J237" i="10" s="1"/>
  <c r="J47" i="10"/>
  <c r="J146" i="10" s="1"/>
  <c r="J236" i="10" s="1"/>
  <c r="J43" i="10"/>
  <c r="J142" i="10" s="1"/>
  <c r="J232" i="10" s="1"/>
  <c r="J42" i="10"/>
  <c r="J141" i="10" s="1"/>
  <c r="J231" i="10" s="1"/>
  <c r="J41" i="10"/>
  <c r="J140" i="10" s="1"/>
  <c r="J230" i="10" s="1"/>
  <c r="J40" i="10"/>
  <c r="J139" i="10" s="1"/>
  <c r="J229" i="10" s="1"/>
  <c r="J36" i="10"/>
  <c r="J135" i="10" s="1"/>
  <c r="J225" i="10" s="1"/>
  <c r="J35" i="10"/>
  <c r="J134" i="10" s="1"/>
  <c r="J224" i="10" s="1"/>
  <c r="J32" i="10"/>
  <c r="J131" i="10" s="1"/>
  <c r="J221" i="10" s="1"/>
  <c r="J31" i="10"/>
  <c r="J130" i="10" s="1"/>
  <c r="J220" i="10" s="1"/>
  <c r="J30" i="10"/>
  <c r="J129" i="10" s="1"/>
  <c r="J219" i="10" s="1"/>
  <c r="J29" i="10"/>
  <c r="J128" i="10" s="1"/>
  <c r="J218" i="10" s="1"/>
  <c r="J28" i="10"/>
  <c r="J127" i="10" s="1"/>
  <c r="J217" i="10" s="1"/>
  <c r="J26" i="10"/>
  <c r="J125" i="10" s="1"/>
  <c r="J215" i="10" s="1"/>
  <c r="J24" i="10"/>
  <c r="J123" i="10" s="1"/>
  <c r="J213" i="10" s="1"/>
  <c r="J23" i="10"/>
  <c r="J122" i="10" s="1"/>
  <c r="J212" i="10" s="1"/>
  <c r="J22" i="10"/>
  <c r="J121" i="10" s="1"/>
  <c r="J211" i="10" s="1"/>
  <c r="J21" i="10"/>
  <c r="J118" i="10" s="1"/>
  <c r="J20" i="10"/>
  <c r="J117" i="10" s="1"/>
  <c r="J19" i="10"/>
  <c r="J116" i="10" s="1"/>
  <c r="J18" i="10"/>
  <c r="J115" i="10" s="1"/>
  <c r="J17" i="10"/>
  <c r="J114" i="10" s="1"/>
  <c r="J16" i="10"/>
  <c r="J113" i="10" s="1"/>
  <c r="J15" i="10"/>
  <c r="J112" i="10" s="1"/>
  <c r="J13" i="10"/>
  <c r="J111" i="10" s="1"/>
  <c r="I86" i="10"/>
  <c r="I185" i="10" s="1"/>
  <c r="I275" i="10" s="1"/>
  <c r="I78" i="10"/>
  <c r="I177" i="10" s="1"/>
  <c r="I267" i="10" s="1"/>
  <c r="I79" i="10"/>
  <c r="I178" i="10" s="1"/>
  <c r="I268" i="10" s="1"/>
  <c r="I80" i="10"/>
  <c r="I179" i="10" s="1"/>
  <c r="I269" i="10" s="1"/>
  <c r="I81" i="10"/>
  <c r="I180" i="10" s="1"/>
  <c r="I270" i="10" s="1"/>
  <c r="I82" i="10"/>
  <c r="I181" i="10" s="1"/>
  <c r="I271" i="10" s="1"/>
  <c r="I83" i="10"/>
  <c r="I182" i="10" s="1"/>
  <c r="I272" i="10" s="1"/>
  <c r="I77" i="10"/>
  <c r="I176" i="10" s="1"/>
  <c r="I266" i="10" s="1"/>
  <c r="I76" i="10"/>
  <c r="I175" i="10" s="1"/>
  <c r="I265" i="10" s="1"/>
  <c r="I72" i="10"/>
  <c r="I171" i="10" s="1"/>
  <c r="I261" i="10" s="1"/>
  <c r="I71" i="10"/>
  <c r="I170" i="10" s="1"/>
  <c r="I260" i="10" s="1"/>
  <c r="I67" i="10"/>
  <c r="I166" i="10" s="1"/>
  <c r="I256" i="10" s="1"/>
  <c r="I65" i="10"/>
  <c r="I61" i="10"/>
  <c r="I160" i="10" s="1"/>
  <c r="I250" i="10" s="1"/>
  <c r="I60" i="10"/>
  <c r="I159" i="10" s="1"/>
  <c r="I249" i="10" s="1"/>
  <c r="I59" i="10"/>
  <c r="I158" i="10" s="1"/>
  <c r="I248" i="10" s="1"/>
  <c r="I58" i="10"/>
  <c r="I157" i="10" s="1"/>
  <c r="I247" i="10" s="1"/>
  <c r="I57" i="10"/>
  <c r="I156" i="10" s="1"/>
  <c r="I246" i="10" s="1"/>
  <c r="I48" i="10"/>
  <c r="I147" i="10" s="1"/>
  <c r="I237" i="10" s="1"/>
  <c r="I49" i="10"/>
  <c r="I148" i="10" s="1"/>
  <c r="I238" i="10" s="1"/>
  <c r="I50" i="10"/>
  <c r="I149" i="10" s="1"/>
  <c r="I239" i="10" s="1"/>
  <c r="I51" i="10"/>
  <c r="I150" i="10" s="1"/>
  <c r="I240" i="10" s="1"/>
  <c r="I52" i="10"/>
  <c r="I151" i="10" s="1"/>
  <c r="I241" i="10" s="1"/>
  <c r="I53" i="10"/>
  <c r="I152" i="10" s="1"/>
  <c r="I242" i="10" s="1"/>
  <c r="I47" i="10"/>
  <c r="I146" i="10" s="1"/>
  <c r="I236" i="10" s="1"/>
  <c r="I43" i="10"/>
  <c r="I142" i="10" s="1"/>
  <c r="I232" i="10" s="1"/>
  <c r="I42" i="10"/>
  <c r="I141" i="10" s="1"/>
  <c r="I231" i="10" s="1"/>
  <c r="I41" i="10"/>
  <c r="I140" i="10" s="1"/>
  <c r="I230" i="10" s="1"/>
  <c r="I40" i="10"/>
  <c r="I139" i="10" s="1"/>
  <c r="I229" i="10" s="1"/>
  <c r="I36" i="10"/>
  <c r="I135" i="10" s="1"/>
  <c r="I225" i="10" s="1"/>
  <c r="I35" i="10"/>
  <c r="I134" i="10" s="1"/>
  <c r="I224" i="10" s="1"/>
  <c r="I32" i="10"/>
  <c r="I131" i="10" s="1"/>
  <c r="I221" i="10" s="1"/>
  <c r="I31" i="10"/>
  <c r="I130" i="10" s="1"/>
  <c r="I220" i="10" s="1"/>
  <c r="I30" i="10"/>
  <c r="I129" i="10" s="1"/>
  <c r="I219" i="10" s="1"/>
  <c r="I29" i="10"/>
  <c r="I128" i="10" s="1"/>
  <c r="I218" i="10" s="1"/>
  <c r="I28" i="10"/>
  <c r="I127" i="10" s="1"/>
  <c r="I217" i="10" s="1"/>
  <c r="I26" i="10"/>
  <c r="I125" i="10" s="1"/>
  <c r="I215" i="10" s="1"/>
  <c r="I24" i="10"/>
  <c r="I123" i="10" s="1"/>
  <c r="I213" i="10" s="1"/>
  <c r="I23" i="10"/>
  <c r="I122" i="10" s="1"/>
  <c r="I212" i="10" s="1"/>
  <c r="I15" i="10"/>
  <c r="I112" i="10" s="1"/>
  <c r="I16" i="10"/>
  <c r="I113" i="10" s="1"/>
  <c r="I17" i="10"/>
  <c r="I114" i="10" s="1"/>
  <c r="I18" i="10"/>
  <c r="I115" i="10" s="1"/>
  <c r="I19" i="10"/>
  <c r="I116" i="10" s="1"/>
  <c r="I20" i="10"/>
  <c r="I117" i="10" s="1"/>
  <c r="I21" i="10"/>
  <c r="I118" i="10" s="1"/>
  <c r="I22" i="10"/>
  <c r="I121" i="10" s="1"/>
  <c r="I211" i="10" s="1"/>
  <c r="I13" i="10"/>
  <c r="I111" i="10" s="1"/>
  <c r="H86" i="10"/>
  <c r="H185" i="10" s="1"/>
  <c r="H275" i="10" s="1"/>
  <c r="H83" i="10"/>
  <c r="H182" i="10" s="1"/>
  <c r="H272" i="10" s="1"/>
  <c r="H82" i="10"/>
  <c r="H181" i="10" s="1"/>
  <c r="H271" i="10" s="1"/>
  <c r="H81" i="10"/>
  <c r="H180" i="10" s="1"/>
  <c r="H270" i="10" s="1"/>
  <c r="H80" i="10"/>
  <c r="H179" i="10" s="1"/>
  <c r="H269" i="10" s="1"/>
  <c r="H79" i="10"/>
  <c r="H178" i="10" s="1"/>
  <c r="H268" i="10" s="1"/>
  <c r="H78" i="10"/>
  <c r="H177" i="10" s="1"/>
  <c r="H267" i="10" s="1"/>
  <c r="H77" i="10"/>
  <c r="H176" i="10" s="1"/>
  <c r="H266" i="10" s="1"/>
  <c r="H76" i="10"/>
  <c r="H175" i="10" s="1"/>
  <c r="H265" i="10" s="1"/>
  <c r="H72" i="10"/>
  <c r="H171" i="10" s="1"/>
  <c r="H261" i="10" s="1"/>
  <c r="H71" i="10"/>
  <c r="H170" i="10" s="1"/>
  <c r="H260" i="10" s="1"/>
  <c r="H67" i="10"/>
  <c r="H166" i="10" s="1"/>
  <c r="H256" i="10" s="1"/>
  <c r="H65" i="10"/>
  <c r="H61" i="10"/>
  <c r="H160" i="10" s="1"/>
  <c r="H250" i="10" s="1"/>
  <c r="H60" i="10"/>
  <c r="H159" i="10" s="1"/>
  <c r="H249" i="10" s="1"/>
  <c r="H59" i="10"/>
  <c r="H158" i="10" s="1"/>
  <c r="H248" i="10" s="1"/>
  <c r="H58" i="10"/>
  <c r="H157" i="10" s="1"/>
  <c r="H247" i="10" s="1"/>
  <c r="H57" i="10"/>
  <c r="H156" i="10" s="1"/>
  <c r="H246" i="10" s="1"/>
  <c r="H53" i="10"/>
  <c r="H152" i="10" s="1"/>
  <c r="H242" i="10" s="1"/>
  <c r="H52" i="10"/>
  <c r="H151" i="10" s="1"/>
  <c r="H241" i="10" s="1"/>
  <c r="H51" i="10"/>
  <c r="H150" i="10" s="1"/>
  <c r="H240" i="10" s="1"/>
  <c r="H50" i="10"/>
  <c r="H149" i="10" s="1"/>
  <c r="H239" i="10" s="1"/>
  <c r="H49" i="10"/>
  <c r="H148" i="10" s="1"/>
  <c r="H238" i="10" s="1"/>
  <c r="H48" i="10"/>
  <c r="H147" i="10" s="1"/>
  <c r="H237" i="10" s="1"/>
  <c r="H47" i="10"/>
  <c r="H146" i="10" s="1"/>
  <c r="H236" i="10" s="1"/>
  <c r="H43" i="10"/>
  <c r="H142" i="10" s="1"/>
  <c r="H232" i="10" s="1"/>
  <c r="H42" i="10"/>
  <c r="H141" i="10" s="1"/>
  <c r="H231" i="10" s="1"/>
  <c r="H41" i="10"/>
  <c r="H140" i="10" s="1"/>
  <c r="H230" i="10" s="1"/>
  <c r="H40" i="10"/>
  <c r="H139" i="10" s="1"/>
  <c r="H229" i="10" s="1"/>
  <c r="H35" i="10"/>
  <c r="H134" i="10" s="1"/>
  <c r="H224" i="10" s="1"/>
  <c r="H34" i="10"/>
  <c r="H32" i="10"/>
  <c r="H131" i="10" s="1"/>
  <c r="H221" i="10" s="1"/>
  <c r="H31" i="10"/>
  <c r="H130" i="10" s="1"/>
  <c r="H220" i="10" s="1"/>
  <c r="H30" i="10"/>
  <c r="H129" i="10" s="1"/>
  <c r="H219" i="10" s="1"/>
  <c r="H29" i="10"/>
  <c r="H128" i="10" s="1"/>
  <c r="H218" i="10" s="1"/>
  <c r="H28" i="10"/>
  <c r="H127" i="10" s="1"/>
  <c r="H217" i="10" s="1"/>
  <c r="H27" i="10"/>
  <c r="H126" i="10" s="1"/>
  <c r="H216" i="10" s="1"/>
  <c r="H26" i="10"/>
  <c r="H125" i="10" s="1"/>
  <c r="H215" i="10" s="1"/>
  <c r="H24" i="10"/>
  <c r="H123" i="10" s="1"/>
  <c r="H213" i="10" s="1"/>
  <c r="H23" i="10"/>
  <c r="H122" i="10" s="1"/>
  <c r="H212" i="10" s="1"/>
  <c r="H22" i="10"/>
  <c r="H121" i="10" s="1"/>
  <c r="H211" i="10" s="1"/>
  <c r="H20" i="10"/>
  <c r="H117" i="10" s="1"/>
  <c r="H19" i="10"/>
  <c r="H116" i="10" s="1"/>
  <c r="H18" i="10"/>
  <c r="H115" i="10" s="1"/>
  <c r="H17" i="10"/>
  <c r="H114" i="10" s="1"/>
  <c r="H16" i="10"/>
  <c r="H113" i="10" s="1"/>
  <c r="H15" i="10"/>
  <c r="H112" i="10" s="1"/>
  <c r="H13" i="10"/>
  <c r="H111" i="10" s="1"/>
  <c r="G86" i="10"/>
  <c r="G185" i="10" s="1"/>
  <c r="G275" i="10" s="1"/>
  <c r="G83" i="10"/>
  <c r="G182" i="10" s="1"/>
  <c r="G272" i="10" s="1"/>
  <c r="G82" i="10"/>
  <c r="G181" i="10" s="1"/>
  <c r="G271" i="10" s="1"/>
  <c r="G81" i="10"/>
  <c r="G180" i="10" s="1"/>
  <c r="G270" i="10" s="1"/>
  <c r="G80" i="10"/>
  <c r="G179" i="10" s="1"/>
  <c r="G269" i="10" s="1"/>
  <c r="G79" i="10"/>
  <c r="G178" i="10" s="1"/>
  <c r="G268" i="10" s="1"/>
  <c r="G78" i="10"/>
  <c r="G177" i="10" s="1"/>
  <c r="G267" i="10" s="1"/>
  <c r="G77" i="10"/>
  <c r="G176" i="10" s="1"/>
  <c r="G266" i="10" s="1"/>
  <c r="G76" i="10"/>
  <c r="G175" i="10" s="1"/>
  <c r="G265" i="10" s="1"/>
  <c r="G72" i="10"/>
  <c r="G171" i="10" s="1"/>
  <c r="G261" i="10" s="1"/>
  <c r="G71" i="10"/>
  <c r="G170" i="10" s="1"/>
  <c r="G260" i="10" s="1"/>
  <c r="G67" i="10"/>
  <c r="G166" i="10" s="1"/>
  <c r="G256" i="10" s="1"/>
  <c r="G65" i="10"/>
  <c r="G164" i="10" s="1"/>
  <c r="G254" i="10" s="1"/>
  <c r="G61" i="10"/>
  <c r="G160" i="10" s="1"/>
  <c r="G250" i="10" s="1"/>
  <c r="G60" i="10"/>
  <c r="G159" i="10" s="1"/>
  <c r="G249" i="10" s="1"/>
  <c r="G59" i="10"/>
  <c r="G158" i="10" s="1"/>
  <c r="G248" i="10" s="1"/>
  <c r="G58" i="10"/>
  <c r="G157" i="10" s="1"/>
  <c r="G247" i="10" s="1"/>
  <c r="G57" i="10"/>
  <c r="G156" i="10" s="1"/>
  <c r="G246" i="10" s="1"/>
  <c r="G53" i="10"/>
  <c r="G152" i="10" s="1"/>
  <c r="G242" i="10" s="1"/>
  <c r="G52" i="10"/>
  <c r="G151" i="10" s="1"/>
  <c r="G241" i="10" s="1"/>
  <c r="G51" i="10"/>
  <c r="G150" i="10" s="1"/>
  <c r="G240" i="10" s="1"/>
  <c r="G50" i="10"/>
  <c r="G149" i="10" s="1"/>
  <c r="G239" i="10" s="1"/>
  <c r="G49" i="10"/>
  <c r="G148" i="10" s="1"/>
  <c r="G238" i="10" s="1"/>
  <c r="G48" i="10"/>
  <c r="G147" i="10" s="1"/>
  <c r="G237" i="10" s="1"/>
  <c r="G47" i="10"/>
  <c r="G146" i="10" s="1"/>
  <c r="G236" i="10" s="1"/>
  <c r="G43" i="10"/>
  <c r="G142" i="10" s="1"/>
  <c r="G232" i="10" s="1"/>
  <c r="G40" i="10"/>
  <c r="G139" i="10" s="1"/>
  <c r="G229" i="10" s="1"/>
  <c r="G32" i="10"/>
  <c r="G131" i="10" s="1"/>
  <c r="G221" i="10" s="1"/>
  <c r="G31" i="10"/>
  <c r="G130" i="10" s="1"/>
  <c r="G220" i="10" s="1"/>
  <c r="G30" i="10"/>
  <c r="G129" i="10" s="1"/>
  <c r="G219" i="10" s="1"/>
  <c r="G29" i="10"/>
  <c r="G128" i="10" s="1"/>
  <c r="G218" i="10" s="1"/>
  <c r="G28" i="10"/>
  <c r="G127" i="10" s="1"/>
  <c r="G217" i="10" s="1"/>
  <c r="G27" i="10"/>
  <c r="G126" i="10" s="1"/>
  <c r="G216" i="10" s="1"/>
  <c r="G35" i="10"/>
  <c r="G134" i="10" s="1"/>
  <c r="G224" i="10" s="1"/>
  <c r="G34" i="10"/>
  <c r="G26" i="10"/>
  <c r="G125" i="10" s="1"/>
  <c r="G215" i="10" s="1"/>
  <c r="G24" i="10"/>
  <c r="G123" i="10" s="1"/>
  <c r="G213" i="10" s="1"/>
  <c r="G23" i="10"/>
  <c r="G122" i="10" s="1"/>
  <c r="G212" i="10" s="1"/>
  <c r="G22" i="10"/>
  <c r="G121" i="10" s="1"/>
  <c r="G211" i="10" s="1"/>
  <c r="G20" i="10"/>
  <c r="G117" i="10" s="1"/>
  <c r="G19" i="10"/>
  <c r="G116" i="10" s="1"/>
  <c r="G18" i="10"/>
  <c r="G115" i="10" s="1"/>
  <c r="G17" i="10"/>
  <c r="G114" i="10" s="1"/>
  <c r="G16" i="10"/>
  <c r="G113" i="10" s="1"/>
  <c r="G15" i="10"/>
  <c r="G112" i="10" s="1"/>
  <c r="G13" i="10"/>
  <c r="G111" i="10" s="1"/>
  <c r="F43" i="10"/>
  <c r="F142" i="10" s="1"/>
  <c r="F232" i="10" s="1"/>
  <c r="F86" i="10"/>
  <c r="F185" i="10" s="1"/>
  <c r="F275" i="10" s="1"/>
  <c r="F83" i="10"/>
  <c r="F182" i="10" s="1"/>
  <c r="F272" i="10" s="1"/>
  <c r="F82" i="10"/>
  <c r="F181" i="10" s="1"/>
  <c r="F271" i="10" s="1"/>
  <c r="F80" i="10"/>
  <c r="F179" i="10" s="1"/>
  <c r="F269" i="10" s="1"/>
  <c r="F79" i="10"/>
  <c r="F178" i="10" s="1"/>
  <c r="F268" i="10" s="1"/>
  <c r="F77" i="10"/>
  <c r="F176" i="10" s="1"/>
  <c r="F266" i="10" s="1"/>
  <c r="F76" i="10"/>
  <c r="F175" i="10" s="1"/>
  <c r="F265" i="10" s="1"/>
  <c r="F53" i="10"/>
  <c r="F152" i="10" s="1"/>
  <c r="F242" i="10" s="1"/>
  <c r="F52" i="10"/>
  <c r="F151" i="10" s="1"/>
  <c r="F241" i="10" s="1"/>
  <c r="F51" i="10"/>
  <c r="F150" i="10" s="1"/>
  <c r="F240" i="10" s="1"/>
  <c r="F50" i="10"/>
  <c r="F149" i="10" s="1"/>
  <c r="F239" i="10" s="1"/>
  <c r="F49" i="10"/>
  <c r="F148" i="10" s="1"/>
  <c r="F238" i="10" s="1"/>
  <c r="F48" i="10"/>
  <c r="F147" i="10" s="1"/>
  <c r="F237" i="10" s="1"/>
  <c r="F47" i="10"/>
  <c r="F146" i="10" s="1"/>
  <c r="F236" i="10" s="1"/>
  <c r="F65" i="10"/>
  <c r="F164" i="10" s="1"/>
  <c r="F254" i="10" s="1"/>
  <c r="I119" i="10" l="1"/>
  <c r="G119" i="10"/>
  <c r="J119" i="10"/>
  <c r="K119" i="10"/>
  <c r="G36" i="10"/>
  <c r="G135" i="10" s="1"/>
  <c r="G225" i="10" s="1"/>
  <c r="G133" i="10"/>
  <c r="G223" i="10" s="1"/>
  <c r="O89" i="10"/>
  <c r="O188" i="10" s="1"/>
  <c r="O278" i="10" s="1"/>
  <c r="O153" i="10"/>
  <c r="O243" i="10" s="1"/>
  <c r="L89" i="10"/>
  <c r="L188" i="10" s="1"/>
  <c r="L278" i="10" s="1"/>
  <c r="L183" i="10"/>
  <c r="L273" i="10" s="1"/>
  <c r="K54" i="10"/>
  <c r="K153" i="10" s="1"/>
  <c r="K243" i="10" s="1"/>
  <c r="K146" i="10"/>
  <c r="K236" i="10" s="1"/>
  <c r="H68" i="10"/>
  <c r="H167" i="10" s="1"/>
  <c r="H257" i="10" s="1"/>
  <c r="H164" i="10"/>
  <c r="H254" i="10" s="1"/>
  <c r="I68" i="10"/>
  <c r="I167" i="10" s="1"/>
  <c r="I257" i="10" s="1"/>
  <c r="I164" i="10"/>
  <c r="I254" i="10" s="1"/>
  <c r="H36" i="10"/>
  <c r="H135" i="10" s="1"/>
  <c r="H225" i="10" s="1"/>
  <c r="H133" i="10"/>
  <c r="H223" i="10" s="1"/>
  <c r="H73" i="10"/>
  <c r="H172" i="10" s="1"/>
  <c r="H262" i="10" s="1"/>
  <c r="I73" i="10"/>
  <c r="I172" i="10" s="1"/>
  <c r="I262" i="10" s="1"/>
  <c r="J73" i="10"/>
  <c r="J172" i="10" s="1"/>
  <c r="J262" i="10" s="1"/>
  <c r="M89" i="10"/>
  <c r="M188" i="10" s="1"/>
  <c r="M278" i="10" s="1"/>
  <c r="H44" i="10"/>
  <c r="H143" i="10" s="1"/>
  <c r="H233" i="10" s="1"/>
  <c r="I44" i="10"/>
  <c r="I143" i="10" s="1"/>
  <c r="I233" i="10" s="1"/>
  <c r="J44" i="10"/>
  <c r="J143" i="10" s="1"/>
  <c r="J233" i="10" s="1"/>
  <c r="J68" i="10"/>
  <c r="J167" i="10" s="1"/>
  <c r="J257" i="10" s="1"/>
  <c r="K68" i="10"/>
  <c r="K167" i="10" s="1"/>
  <c r="K257" i="10" s="1"/>
  <c r="D70" i="19"/>
  <c r="D107" i="19"/>
  <c r="D99" i="19"/>
  <c r="D77" i="19"/>
  <c r="D67" i="19"/>
  <c r="D58" i="19"/>
  <c r="D38" i="19"/>
  <c r="D29" i="19"/>
  <c r="D21" i="19"/>
  <c r="D45" i="19"/>
  <c r="D27" i="19"/>
  <c r="D19" i="19"/>
  <c r="D74" i="19"/>
  <c r="D55" i="19"/>
  <c r="D25" i="19"/>
  <c r="D82" i="19"/>
  <c r="D24" i="19"/>
  <c r="D98" i="19"/>
  <c r="D88" i="19"/>
  <c r="D76" i="19"/>
  <c r="D66" i="19"/>
  <c r="D57" i="19"/>
  <c r="D37" i="19"/>
  <c r="D28" i="19"/>
  <c r="D20" i="19"/>
  <c r="D97" i="19"/>
  <c r="D75" i="19"/>
  <c r="D56" i="19"/>
  <c r="D96" i="19"/>
  <c r="D44" i="19"/>
  <c r="D26" i="19"/>
  <c r="D103" i="19"/>
  <c r="D83" i="19"/>
  <c r="D54" i="19"/>
  <c r="D33" i="19"/>
  <c r="D101" i="19"/>
  <c r="D93" i="19"/>
  <c r="D60" i="19"/>
  <c r="D31" i="19"/>
  <c r="D23" i="19"/>
  <c r="D100" i="19"/>
  <c r="D90" i="19"/>
  <c r="D68" i="19"/>
  <c r="D59" i="19"/>
  <c r="D30" i="19"/>
  <c r="D22" i="19"/>
  <c r="D18" i="19"/>
  <c r="D95" i="19"/>
  <c r="D73" i="19"/>
  <c r="D43" i="19"/>
  <c r="D94" i="19"/>
  <c r="D42" i="19"/>
  <c r="D32" i="19"/>
  <c r="D65" i="19"/>
  <c r="D105" i="19"/>
  <c r="D34" i="19"/>
  <c r="D62" i="19"/>
  <c r="D39" i="19"/>
  <c r="D85" i="19"/>
  <c r="D46" i="19"/>
  <c r="D79" i="19"/>
  <c r="K44" i="10"/>
  <c r="K143" i="10" s="1"/>
  <c r="K233" i="10" s="1"/>
  <c r="N89" i="10"/>
  <c r="N188" i="10" s="1"/>
  <c r="N278" i="10" s="1"/>
  <c r="J54" i="10"/>
  <c r="J153" i="10" s="1"/>
  <c r="J243" i="10" s="1"/>
  <c r="K37" i="10"/>
  <c r="K136" i="10" s="1"/>
  <c r="K226" i="10" s="1"/>
  <c r="J37" i="10"/>
  <c r="J136" i="10" s="1"/>
  <c r="J226" i="10" s="1"/>
  <c r="G62" i="10"/>
  <c r="G161" i="10" s="1"/>
  <c r="G251" i="10" s="1"/>
  <c r="F54" i="10"/>
  <c r="F153" i="10" s="1"/>
  <c r="F243" i="10" s="1"/>
  <c r="K84" i="10"/>
  <c r="K183" i="10" s="1"/>
  <c r="K273" i="10" s="1"/>
  <c r="G21" i="10"/>
  <c r="G118" i="10" s="1"/>
  <c r="H62" i="10"/>
  <c r="H161" i="10" s="1"/>
  <c r="H251" i="10" s="1"/>
  <c r="G54" i="10"/>
  <c r="G153" i="10" s="1"/>
  <c r="G243" i="10" s="1"/>
  <c r="H54" i="10"/>
  <c r="H153" i="10" s="1"/>
  <c r="H243" i="10" s="1"/>
  <c r="H84" i="10"/>
  <c r="H183" i="10" s="1"/>
  <c r="H273" i="10" s="1"/>
  <c r="I62" i="10"/>
  <c r="I161" i="10" s="1"/>
  <c r="I251" i="10" s="1"/>
  <c r="I84" i="10"/>
  <c r="I183" i="10" s="1"/>
  <c r="I273" i="10" s="1"/>
  <c r="G68" i="10"/>
  <c r="G167" i="10" s="1"/>
  <c r="G257" i="10" s="1"/>
  <c r="H21" i="10"/>
  <c r="J62" i="10"/>
  <c r="J161" i="10" s="1"/>
  <c r="J251" i="10" s="1"/>
  <c r="J84" i="10"/>
  <c r="J183" i="10" s="1"/>
  <c r="J273" i="10" s="1"/>
  <c r="K62" i="10"/>
  <c r="K161" i="10" s="1"/>
  <c r="K251" i="10" s="1"/>
  <c r="K73" i="10"/>
  <c r="K172" i="10" s="1"/>
  <c r="K262" i="10" s="1"/>
  <c r="G73" i="10"/>
  <c r="G172" i="10" s="1"/>
  <c r="G262" i="10" s="1"/>
  <c r="I54" i="10"/>
  <c r="I153" i="10" s="1"/>
  <c r="I243" i="10" s="1"/>
  <c r="G44" i="10"/>
  <c r="G143" i="10" s="1"/>
  <c r="G233" i="10" s="1"/>
  <c r="G84" i="10"/>
  <c r="G183" i="10" s="1"/>
  <c r="G273" i="10" s="1"/>
  <c r="F84" i="10"/>
  <c r="F183" i="10" s="1"/>
  <c r="F273" i="10" s="1"/>
  <c r="I37" i="10"/>
  <c r="I136" i="10" s="1"/>
  <c r="I226" i="10" s="1"/>
  <c r="F61" i="10"/>
  <c r="F160" i="10" s="1"/>
  <c r="F250" i="10" s="1"/>
  <c r="F60" i="10"/>
  <c r="F159" i="10" s="1"/>
  <c r="F249" i="10" s="1"/>
  <c r="F59" i="10"/>
  <c r="F158" i="10" s="1"/>
  <c r="F248" i="10" s="1"/>
  <c r="F57" i="10"/>
  <c r="F156" i="10" s="1"/>
  <c r="F246" i="10" s="1"/>
  <c r="F67" i="10"/>
  <c r="F71" i="10"/>
  <c r="F170" i="10" s="1"/>
  <c r="F260" i="10" s="1"/>
  <c r="F72" i="10"/>
  <c r="F171" i="10" s="1"/>
  <c r="F261" i="10" s="1"/>
  <c r="F58" i="10"/>
  <c r="F157" i="10" s="1"/>
  <c r="F247" i="10" s="1"/>
  <c r="F40" i="10"/>
  <c r="F34" i="10"/>
  <c r="F27" i="10"/>
  <c r="F126" i="10" s="1"/>
  <c r="F216" i="10" s="1"/>
  <c r="F35" i="10"/>
  <c r="F134" i="10" s="1"/>
  <c r="F224" i="10" s="1"/>
  <c r="F32" i="10"/>
  <c r="F131" i="10" s="1"/>
  <c r="F221" i="10" s="1"/>
  <c r="F31" i="10"/>
  <c r="F130" i="10" s="1"/>
  <c r="F220" i="10" s="1"/>
  <c r="F30" i="10"/>
  <c r="F129" i="10" s="1"/>
  <c r="F219" i="10" s="1"/>
  <c r="F29" i="10"/>
  <c r="F128" i="10" s="1"/>
  <c r="F218" i="10" s="1"/>
  <c r="F28" i="10"/>
  <c r="F127" i="10" s="1"/>
  <c r="F217" i="10" s="1"/>
  <c r="F26" i="10"/>
  <c r="F125" i="10" s="1"/>
  <c r="F215" i="10" s="1"/>
  <c r="F24" i="10"/>
  <c r="F123" i="10" s="1"/>
  <c r="F213" i="10" s="1"/>
  <c r="F23" i="10"/>
  <c r="F122" i="10" s="1"/>
  <c r="F212" i="10" s="1"/>
  <c r="F22" i="10"/>
  <c r="F121" i="10" s="1"/>
  <c r="F211" i="10" s="1"/>
  <c r="F20" i="10"/>
  <c r="F117" i="10" s="1"/>
  <c r="F19" i="10"/>
  <c r="F116" i="10" s="1"/>
  <c r="F18" i="10"/>
  <c r="F115" i="10" s="1"/>
  <c r="F17" i="10"/>
  <c r="F114" i="10" s="1"/>
  <c r="F16" i="10"/>
  <c r="F113" i="10" s="1"/>
  <c r="F15" i="10"/>
  <c r="F112" i="10" s="1"/>
  <c r="F13" i="10"/>
  <c r="F111" i="10" s="1"/>
  <c r="F36" i="10" l="1"/>
  <c r="F135" i="10" s="1"/>
  <c r="F225" i="10" s="1"/>
  <c r="F133" i="10"/>
  <c r="F223" i="10" s="1"/>
  <c r="F44" i="10"/>
  <c r="F143" i="10" s="1"/>
  <c r="F233" i="10" s="1"/>
  <c r="F139" i="10"/>
  <c r="F229" i="10" s="1"/>
  <c r="G37" i="10"/>
  <c r="G136" i="10" s="1"/>
  <c r="G226" i="10" s="1"/>
  <c r="F68" i="10"/>
  <c r="F167" i="10" s="1"/>
  <c r="F257" i="10" s="1"/>
  <c r="F166" i="10"/>
  <c r="F256" i="10" s="1"/>
  <c r="H37" i="10"/>
  <c r="H136" i="10" s="1"/>
  <c r="H226" i="10" s="1"/>
  <c r="H118" i="10"/>
  <c r="J89" i="10"/>
  <c r="J188" i="10" s="1"/>
  <c r="J278" i="10" s="1"/>
  <c r="H89" i="10"/>
  <c r="H188" i="10" s="1"/>
  <c r="H278" i="10" s="1"/>
  <c r="K89" i="10"/>
  <c r="K188" i="10" s="1"/>
  <c r="K278" i="10" s="1"/>
  <c r="I89" i="10"/>
  <c r="I188" i="10" s="1"/>
  <c r="I278" i="10" s="1"/>
  <c r="F21" i="10"/>
  <c r="F73" i="10"/>
  <c r="F172" i="10" s="1"/>
  <c r="F262" i="10" s="1"/>
  <c r="F62" i="10"/>
  <c r="F161" i="10" s="1"/>
  <c r="F251" i="10" s="1"/>
  <c r="F8" i="10"/>
  <c r="F106" i="10" s="1"/>
  <c r="F198" i="10" s="1"/>
  <c r="F7" i="10"/>
  <c r="F105" i="10" s="1"/>
  <c r="F197" i="10" s="1"/>
  <c r="F6" i="10"/>
  <c r="F104" i="10" s="1"/>
  <c r="F196" i="10" s="1"/>
  <c r="F5" i="10"/>
  <c r="F103" i="10" s="1"/>
  <c r="F195" i="10" s="1"/>
  <c r="F4" i="10"/>
  <c r="F102" i="10" s="1"/>
  <c r="F194" i="10" s="1"/>
  <c r="F3" i="10"/>
  <c r="F101" i="10" s="1"/>
  <c r="F193" i="10" s="1"/>
  <c r="C101" i="16"/>
  <c r="C105" i="16" s="1"/>
  <c r="C90" i="16"/>
  <c r="C85" i="16"/>
  <c r="C79" i="16"/>
  <c r="C70" i="16"/>
  <c r="C62" i="16"/>
  <c r="C51" i="16"/>
  <c r="C46" i="16"/>
  <c r="C39" i="16"/>
  <c r="C34" i="16"/>
  <c r="C12" i="16"/>
  <c r="D12" i="16" s="1"/>
  <c r="D10" i="16"/>
  <c r="D9" i="16"/>
  <c r="D7" i="16"/>
  <c r="D6" i="16"/>
  <c r="H119" i="10" l="1"/>
  <c r="F37" i="10"/>
  <c r="F136" i="10" s="1"/>
  <c r="F226" i="10" s="1"/>
  <c r="F118" i="10"/>
  <c r="G89" i="10"/>
  <c r="G188" i="10" s="1"/>
  <c r="G278" i="10" s="1"/>
  <c r="F89" i="10"/>
  <c r="F188" i="10" s="1"/>
  <c r="F278" i="10" s="1"/>
  <c r="C48" i="16"/>
  <c r="D8" i="16"/>
  <c r="O8" i="10"/>
  <c r="O106" i="10" s="1"/>
  <c r="O198" i="10" s="1"/>
  <c r="O7" i="10"/>
  <c r="O105" i="10" s="1"/>
  <c r="O197" i="10" s="1"/>
  <c r="O6" i="10"/>
  <c r="O104" i="10" s="1"/>
  <c r="O196" i="10" s="1"/>
  <c r="O5" i="10"/>
  <c r="O103" i="10" s="1"/>
  <c r="O195" i="10" s="1"/>
  <c r="O4" i="10"/>
  <c r="O102" i="10" s="1"/>
  <c r="O194" i="10" s="1"/>
  <c r="O3" i="10"/>
  <c r="O101" i="10" s="1"/>
  <c r="O193" i="10" s="1"/>
  <c r="N8" i="10"/>
  <c r="N106" i="10" s="1"/>
  <c r="N198" i="10" s="1"/>
  <c r="N7" i="10"/>
  <c r="N105" i="10" s="1"/>
  <c r="N197" i="10" s="1"/>
  <c r="N6" i="10"/>
  <c r="N104" i="10" s="1"/>
  <c r="N196" i="10" s="1"/>
  <c r="N5" i="10"/>
  <c r="N103" i="10" s="1"/>
  <c r="N195" i="10" s="1"/>
  <c r="N4" i="10"/>
  <c r="N102" i="10" s="1"/>
  <c r="N194" i="10" s="1"/>
  <c r="N3" i="10"/>
  <c r="N101" i="10" s="1"/>
  <c r="N193" i="10" s="1"/>
  <c r="C11" i="15"/>
  <c r="C18" i="15"/>
  <c r="C43" i="15"/>
  <c r="C50" i="15"/>
  <c r="C55" i="15"/>
  <c r="C56" i="15"/>
  <c r="C68" i="15"/>
  <c r="C76" i="15"/>
  <c r="C82" i="15"/>
  <c r="C87" i="15"/>
  <c r="C98" i="15"/>
  <c r="C101" i="15" s="1"/>
  <c r="E100" i="15"/>
  <c r="D98" i="15"/>
  <c r="D101" i="15" s="1"/>
  <c r="E97" i="15"/>
  <c r="E96" i="15"/>
  <c r="E95" i="15"/>
  <c r="E94" i="15"/>
  <c r="E93" i="15"/>
  <c r="E92" i="15"/>
  <c r="E91" i="15"/>
  <c r="E90" i="15"/>
  <c r="D87" i="15"/>
  <c r="E86" i="15"/>
  <c r="E85" i="15"/>
  <c r="D82" i="15"/>
  <c r="E81" i="15"/>
  <c r="E80" i="15"/>
  <c r="E79" i="15"/>
  <c r="E82" i="15" s="1"/>
  <c r="D76" i="15"/>
  <c r="E75" i="15"/>
  <c r="E74" i="15"/>
  <c r="E73" i="15"/>
  <c r="E72" i="15"/>
  <c r="E71" i="15"/>
  <c r="D68" i="15"/>
  <c r="E67" i="15"/>
  <c r="E66" i="15"/>
  <c r="E65" i="15"/>
  <c r="E64" i="15"/>
  <c r="E63" i="15"/>
  <c r="E62" i="15"/>
  <c r="E61" i="15"/>
  <c r="D50" i="15"/>
  <c r="E49" i="15"/>
  <c r="E48" i="15"/>
  <c r="E47" i="15"/>
  <c r="E46" i="15"/>
  <c r="D43" i="15"/>
  <c r="E42" i="15"/>
  <c r="E41" i="15"/>
  <c r="E40" i="15"/>
  <c r="E39" i="15"/>
  <c r="E38" i="15"/>
  <c r="E37" i="15"/>
  <c r="E36" i="15"/>
  <c r="E35" i="15"/>
  <c r="E34" i="15"/>
  <c r="E33" i="15"/>
  <c r="E32" i="15"/>
  <c r="E31" i="15"/>
  <c r="E30" i="15"/>
  <c r="E29" i="15"/>
  <c r="E28" i="15"/>
  <c r="E27" i="15"/>
  <c r="E26" i="15"/>
  <c r="E25" i="15"/>
  <c r="E24" i="15"/>
  <c r="E23" i="15"/>
  <c r="E22" i="15"/>
  <c r="D16" i="15"/>
  <c r="E16" i="15" s="1"/>
  <c r="E15" i="15"/>
  <c r="E14" i="15"/>
  <c r="D14" i="15"/>
  <c r="E13" i="15"/>
  <c r="E12" i="15"/>
  <c r="E11" i="15"/>
  <c r="D10" i="15"/>
  <c r="D18" i="15" s="1"/>
  <c r="F119" i="10" l="1"/>
  <c r="N9" i="10"/>
  <c r="N107" i="10" s="1"/>
  <c r="N199" i="10" s="1"/>
  <c r="O9" i="10"/>
  <c r="O107" i="10" s="1"/>
  <c r="O199" i="10" s="1"/>
  <c r="C107" i="16"/>
  <c r="D48" i="16"/>
  <c r="C103" i="15"/>
  <c r="D103" i="15"/>
  <c r="E50" i="15"/>
  <c r="E68" i="15"/>
  <c r="E43" i="15"/>
  <c r="E98" i="15"/>
  <c r="E101" i="15"/>
  <c r="E10" i="15"/>
  <c r="E87" i="15"/>
  <c r="E76" i="15"/>
  <c r="D55" i="16" l="1"/>
  <c r="D44" i="16"/>
  <c r="D30" i="16"/>
  <c r="D100" i="16"/>
  <c r="D96" i="16"/>
  <c r="D74" i="16"/>
  <c r="D68" i="16"/>
  <c r="D58" i="16"/>
  <c r="D54" i="16"/>
  <c r="D43" i="16"/>
  <c r="D38" i="16"/>
  <c r="D33" i="16"/>
  <c r="D29" i="16"/>
  <c r="D25" i="16"/>
  <c r="D21" i="16"/>
  <c r="D107" i="16"/>
  <c r="D103" i="16"/>
  <c r="D99" i="16"/>
  <c r="D95" i="16"/>
  <c r="D83" i="16"/>
  <c r="D77" i="16"/>
  <c r="D73" i="16"/>
  <c r="D67" i="16"/>
  <c r="D57" i="16"/>
  <c r="D42" i="16"/>
  <c r="D37" i="16"/>
  <c r="D32" i="16"/>
  <c r="D28" i="16"/>
  <c r="D24" i="16"/>
  <c r="D20" i="16"/>
  <c r="D98" i="16"/>
  <c r="D94" i="16"/>
  <c r="D88" i="16"/>
  <c r="D82" i="16"/>
  <c r="D76" i="16"/>
  <c r="D66" i="16"/>
  <c r="D60" i="16"/>
  <c r="D56" i="16"/>
  <c r="D45" i="16"/>
  <c r="D31" i="16"/>
  <c r="D27" i="16"/>
  <c r="D23" i="16"/>
  <c r="D19" i="16"/>
  <c r="D97" i="16"/>
  <c r="D93" i="16"/>
  <c r="D85" i="16"/>
  <c r="D79" i="16"/>
  <c r="D75" i="16"/>
  <c r="D65" i="16"/>
  <c r="D59" i="16"/>
  <c r="D26" i="16"/>
  <c r="D22" i="16"/>
  <c r="D18" i="16"/>
  <c r="D39" i="16"/>
  <c r="D34" i="16"/>
  <c r="D70" i="16"/>
  <c r="D101" i="16"/>
  <c r="D62" i="16"/>
  <c r="D105" i="16"/>
  <c r="D90" i="16"/>
  <c r="D46" i="16"/>
  <c r="E103" i="15"/>
  <c r="E18" i="15"/>
  <c r="F103" i="15" l="1"/>
  <c r="F97" i="15"/>
  <c r="F95" i="15"/>
  <c r="F93" i="15"/>
  <c r="F91" i="15"/>
  <c r="F86" i="15"/>
  <c r="F81" i="15"/>
  <c r="F79" i="15"/>
  <c r="F74" i="15"/>
  <c r="F72" i="15"/>
  <c r="F67" i="15"/>
  <c r="F65" i="15"/>
  <c r="F63" i="15"/>
  <c r="F61" i="15"/>
  <c r="F49" i="15"/>
  <c r="F47" i="15"/>
  <c r="F42" i="15"/>
  <c r="F40" i="15"/>
  <c r="F38" i="15"/>
  <c r="F36" i="15"/>
  <c r="F34" i="15"/>
  <c r="F32" i="15"/>
  <c r="F30" i="15"/>
  <c r="F28" i="15"/>
  <c r="F26" i="15"/>
  <c r="F24" i="15"/>
  <c r="F22" i="15"/>
  <c r="F27" i="15"/>
  <c r="F48" i="15"/>
  <c r="F92" i="15"/>
  <c r="F37" i="15"/>
  <c r="F82" i="15"/>
  <c r="F66" i="15"/>
  <c r="F85" i="15"/>
  <c r="F31" i="15"/>
  <c r="F96" i="15"/>
  <c r="F25" i="15"/>
  <c r="F41" i="15"/>
  <c r="F71" i="15"/>
  <c r="F46" i="15"/>
  <c r="F35" i="15"/>
  <c r="F64" i="15"/>
  <c r="F100" i="15"/>
  <c r="F29" i="15"/>
  <c r="F50" i="15"/>
  <c r="F43" i="15"/>
  <c r="F75" i="15"/>
  <c r="F98" i="15"/>
  <c r="F90" i="15"/>
  <c r="F23" i="15"/>
  <c r="F39" i="15"/>
  <c r="F73" i="15"/>
  <c r="F33" i="15"/>
  <c r="F68" i="15"/>
  <c r="F62" i="15"/>
  <c r="F80" i="15"/>
  <c r="F94" i="15"/>
  <c r="F18" i="15"/>
  <c r="F12" i="15"/>
  <c r="F16" i="15"/>
  <c r="F11" i="15"/>
  <c r="F15" i="15"/>
  <c r="F14" i="15"/>
  <c r="F13" i="15"/>
  <c r="F101" i="15"/>
  <c r="F10" i="15"/>
  <c r="F76" i="15"/>
  <c r="F87" i="15"/>
  <c r="M8" i="10" l="1"/>
  <c r="M106" i="10" s="1"/>
  <c r="M198" i="10" s="1"/>
  <c r="M7" i="10"/>
  <c r="M105" i="10" s="1"/>
  <c r="M197" i="10" s="1"/>
  <c r="M6" i="10"/>
  <c r="M104" i="10" s="1"/>
  <c r="M196" i="10" s="1"/>
  <c r="M5" i="10"/>
  <c r="M103" i="10" s="1"/>
  <c r="M195" i="10" s="1"/>
  <c r="M4" i="10"/>
  <c r="M102" i="10" s="1"/>
  <c r="M194" i="10" s="1"/>
  <c r="M3" i="10"/>
  <c r="M101" i="10" s="1"/>
  <c r="M193" i="10" s="1"/>
  <c r="L8" i="10"/>
  <c r="L106" i="10" s="1"/>
  <c r="L198" i="10" s="1"/>
  <c r="L5" i="10"/>
  <c r="L103" i="10" s="1"/>
  <c r="L195" i="10" s="1"/>
  <c r="L7" i="10"/>
  <c r="L105" i="10" s="1"/>
  <c r="L197" i="10" s="1"/>
  <c r="L6" i="10"/>
  <c r="L104" i="10" s="1"/>
  <c r="L196" i="10" s="1"/>
  <c r="L4" i="10"/>
  <c r="L102" i="10" s="1"/>
  <c r="L194" i="10" s="1"/>
  <c r="L3" i="10"/>
  <c r="L101" i="10" s="1"/>
  <c r="L193" i="10" s="1"/>
  <c r="K8" i="10"/>
  <c r="K106" i="10" s="1"/>
  <c r="K198" i="10" s="1"/>
  <c r="K7" i="10"/>
  <c r="K105" i="10" s="1"/>
  <c r="K197" i="10" s="1"/>
  <c r="K6" i="10"/>
  <c r="K104" i="10" s="1"/>
  <c r="K196" i="10" s="1"/>
  <c r="G9" i="6"/>
  <c r="K4" i="10"/>
  <c r="K102" i="10" s="1"/>
  <c r="K194" i="10" s="1"/>
  <c r="J8" i="10"/>
  <c r="J106" i="10" s="1"/>
  <c r="J198" i="10" s="1"/>
  <c r="J7" i="10"/>
  <c r="J105" i="10" s="1"/>
  <c r="J197" i="10" s="1"/>
  <c r="J6" i="10"/>
  <c r="J104" i="10" s="1"/>
  <c r="J196" i="10" s="1"/>
  <c r="J5" i="10"/>
  <c r="J103" i="10" s="1"/>
  <c r="J195" i="10" s="1"/>
  <c r="J4" i="10"/>
  <c r="J102" i="10" s="1"/>
  <c r="J194" i="10" s="1"/>
  <c r="J3" i="10"/>
  <c r="J101" i="10" s="1"/>
  <c r="J193" i="10" s="1"/>
  <c r="I8" i="10"/>
  <c r="I106" i="10" s="1"/>
  <c r="I198" i="10" s="1"/>
  <c r="I7" i="10"/>
  <c r="I105" i="10" s="1"/>
  <c r="I197" i="10" s="1"/>
  <c r="I6" i="10"/>
  <c r="I104" i="10" s="1"/>
  <c r="I196" i="10" s="1"/>
  <c r="I5" i="10"/>
  <c r="I103" i="10" s="1"/>
  <c r="I195" i="10" s="1"/>
  <c r="I4" i="10"/>
  <c r="I102" i="10" s="1"/>
  <c r="I194" i="10" s="1"/>
  <c r="I3" i="10"/>
  <c r="I101" i="10" s="1"/>
  <c r="I193" i="10" s="1"/>
  <c r="G8" i="3"/>
  <c r="H3" i="10"/>
  <c r="H101" i="10" s="1"/>
  <c r="H193" i="10" s="1"/>
  <c r="H8" i="10"/>
  <c r="H106" i="10" s="1"/>
  <c r="H198" i="10" s="1"/>
  <c r="H7" i="10"/>
  <c r="H105" i="10" s="1"/>
  <c r="H197" i="10" s="1"/>
  <c r="H6" i="10"/>
  <c r="H104" i="10" s="1"/>
  <c r="H196" i="10" s="1"/>
  <c r="H4" i="10"/>
  <c r="H102" i="10" s="1"/>
  <c r="H194" i="10" s="1"/>
  <c r="G8" i="10"/>
  <c r="G106" i="10" s="1"/>
  <c r="G198" i="10" s="1"/>
  <c r="G7" i="10"/>
  <c r="G105" i="10" s="1"/>
  <c r="G197" i="10" s="1"/>
  <c r="G6" i="10"/>
  <c r="G104" i="10" s="1"/>
  <c r="G196" i="10" s="1"/>
  <c r="G5" i="10"/>
  <c r="G103" i="10" s="1"/>
  <c r="G195" i="10" s="1"/>
  <c r="G4" i="10"/>
  <c r="G102" i="10" s="1"/>
  <c r="G194" i="10" s="1"/>
  <c r="G3" i="10"/>
  <c r="G101" i="10" s="1"/>
  <c r="G193" i="10" s="1"/>
  <c r="F9" i="10"/>
  <c r="F107" i="10" s="1"/>
  <c r="F199" i="10" s="1"/>
  <c r="J9" i="10" l="1"/>
  <c r="J107" i="10" s="1"/>
  <c r="J199" i="10" s="1"/>
  <c r="H9" i="10"/>
  <c r="H107" i="10" s="1"/>
  <c r="H199" i="10" s="1"/>
  <c r="I9" i="10"/>
  <c r="I107" i="10" s="1"/>
  <c r="I199" i="10" s="1"/>
  <c r="K9" i="10"/>
  <c r="K107" i="10" s="1"/>
  <c r="K199" i="10" s="1"/>
  <c r="M9" i="10"/>
  <c r="M107" i="10" s="1"/>
  <c r="M199" i="10" s="1"/>
  <c r="G9" i="10"/>
  <c r="G107" i="10" s="1"/>
  <c r="G199" i="10" s="1"/>
  <c r="L9" i="10"/>
  <c r="L107" i="10" s="1"/>
  <c r="L199" i="10" s="1"/>
  <c r="F10" i="11"/>
  <c r="F17" i="11" s="1"/>
  <c r="F11" i="11"/>
  <c r="F12" i="11"/>
  <c r="F13" i="11"/>
  <c r="F14" i="11"/>
  <c r="F15" i="11"/>
  <c r="D17" i="11"/>
  <c r="E17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D42" i="11"/>
  <c r="E42" i="11"/>
  <c r="F45" i="11"/>
  <c r="F46" i="11"/>
  <c r="F47" i="11"/>
  <c r="F48" i="11"/>
  <c r="D49" i="11"/>
  <c r="E49" i="11"/>
  <c r="D54" i="11"/>
  <c r="D55" i="11"/>
  <c r="F60" i="11"/>
  <c r="F61" i="11"/>
  <c r="F62" i="11"/>
  <c r="F63" i="11"/>
  <c r="F64" i="11"/>
  <c r="F65" i="11"/>
  <c r="D66" i="11"/>
  <c r="E66" i="11"/>
  <c r="F69" i="11"/>
  <c r="F74" i="11" s="1"/>
  <c r="F70" i="11"/>
  <c r="F71" i="11"/>
  <c r="F72" i="11"/>
  <c r="F73" i="11"/>
  <c r="D74" i="11"/>
  <c r="E74" i="11"/>
  <c r="F77" i="11"/>
  <c r="F78" i="11"/>
  <c r="F79" i="11"/>
  <c r="D80" i="11"/>
  <c r="E80" i="11"/>
  <c r="F83" i="11"/>
  <c r="F84" i="11"/>
  <c r="F85" i="11" s="1"/>
  <c r="D85" i="11"/>
  <c r="E85" i="11"/>
  <c r="F88" i="11"/>
  <c r="F89" i="11"/>
  <c r="F90" i="11"/>
  <c r="F91" i="11"/>
  <c r="F92" i="11"/>
  <c r="F93" i="11"/>
  <c r="F94" i="11"/>
  <c r="F95" i="11"/>
  <c r="D96" i="11"/>
  <c r="D99" i="11" s="1"/>
  <c r="E96" i="11"/>
  <c r="E99" i="11" s="1"/>
  <c r="F98" i="11"/>
  <c r="D101" i="11" l="1"/>
  <c r="F96" i="11"/>
  <c r="F99" i="11" s="1"/>
  <c r="G12" i="11"/>
  <c r="F80" i="11"/>
  <c r="G11" i="11"/>
  <c r="F66" i="11"/>
  <c r="F49" i="11"/>
  <c r="F42" i="11"/>
  <c r="G15" i="11"/>
  <c r="E101" i="11"/>
  <c r="G17" i="11"/>
  <c r="G13" i="11"/>
  <c r="G10" i="11"/>
  <c r="G14" i="11"/>
  <c r="F101" i="11" l="1"/>
  <c r="G66" i="11" s="1"/>
  <c r="G39" i="11"/>
  <c r="G27" i="11"/>
  <c r="G78" i="11"/>
  <c r="G38" i="11"/>
  <c r="G21" i="11"/>
  <c r="G33" i="11"/>
  <c r="G29" i="11"/>
  <c r="G46" i="11"/>
  <c r="G101" i="11"/>
  <c r="G28" i="11"/>
  <c r="G31" i="11"/>
  <c r="G22" i="11"/>
  <c r="G99" i="11" l="1"/>
  <c r="G98" i="11"/>
  <c r="G90" i="11"/>
  <c r="G25" i="11"/>
  <c r="G93" i="11"/>
  <c r="G95" i="11"/>
  <c r="G91" i="11"/>
  <c r="G62" i="11"/>
  <c r="G79" i="11"/>
  <c r="G35" i="11"/>
  <c r="G69" i="11"/>
  <c r="G41" i="11"/>
  <c r="G36" i="11"/>
  <c r="G73" i="11"/>
  <c r="G63" i="11"/>
  <c r="G84" i="11"/>
  <c r="G24" i="11"/>
  <c r="G85" i="11"/>
  <c r="G92" i="11"/>
  <c r="G72" i="11"/>
  <c r="G49" i="11"/>
  <c r="G65" i="11"/>
  <c r="G70" i="11"/>
  <c r="G94" i="11"/>
  <c r="G26" i="11"/>
  <c r="G30" i="11"/>
  <c r="G60" i="11"/>
  <c r="G34" i="11"/>
  <c r="G23" i="11"/>
  <c r="G42" i="11"/>
  <c r="G48" i="11"/>
  <c r="G77" i="11"/>
  <c r="G47" i="11"/>
  <c r="G71" i="11"/>
  <c r="G61" i="11"/>
  <c r="G88" i="11"/>
  <c r="G37" i="11"/>
  <c r="G32" i="11"/>
  <c r="G83" i="11"/>
  <c r="G89" i="11"/>
  <c r="G96" i="11"/>
  <c r="G40" i="11"/>
  <c r="G45" i="11"/>
  <c r="G74" i="11"/>
  <c r="G80" i="11"/>
  <c r="G64" i="11"/>
  <c r="D18" i="7"/>
  <c r="E18" i="7"/>
  <c r="F18" i="7"/>
  <c r="G10" i="7" s="1"/>
  <c r="D43" i="7"/>
  <c r="E43" i="7"/>
  <c r="F43" i="7"/>
  <c r="D50" i="7"/>
  <c r="E50" i="7"/>
  <c r="F50" i="7"/>
  <c r="D54" i="7"/>
  <c r="D55" i="7"/>
  <c r="D67" i="7"/>
  <c r="E67" i="7"/>
  <c r="F67" i="7"/>
  <c r="D75" i="7"/>
  <c r="E75" i="7"/>
  <c r="F75" i="7"/>
  <c r="D81" i="7"/>
  <c r="E81" i="7"/>
  <c r="F81" i="7"/>
  <c r="D86" i="7"/>
  <c r="E86" i="7"/>
  <c r="F86" i="7"/>
  <c r="D97" i="7"/>
  <c r="D100" i="7" s="1"/>
  <c r="E97" i="7"/>
  <c r="E100" i="7" s="1"/>
  <c r="F97" i="7"/>
  <c r="F100" i="7" s="1"/>
  <c r="F99" i="7"/>
  <c r="D102" i="7" l="1"/>
  <c r="E102" i="7"/>
  <c r="G16" i="7"/>
  <c r="G15" i="7"/>
  <c r="G14" i="7"/>
  <c r="F102" i="7"/>
  <c r="G13" i="7"/>
  <c r="G18" i="7"/>
  <c r="G12" i="7"/>
  <c r="G11" i="7"/>
  <c r="G15" i="6"/>
  <c r="H11" i="6" s="1"/>
  <c r="G40" i="6"/>
  <c r="G47" i="6"/>
  <c r="G63" i="6"/>
  <c r="G71" i="6"/>
  <c r="G76" i="6"/>
  <c r="G81" i="6"/>
  <c r="G92" i="6"/>
  <c r="G95" i="6" s="1"/>
  <c r="G97" i="6" l="1"/>
  <c r="H63" i="6" s="1"/>
  <c r="G27" i="7"/>
  <c r="G35" i="7"/>
  <c r="G62" i="7"/>
  <c r="G90" i="7"/>
  <c r="G28" i="7"/>
  <c r="G36" i="7"/>
  <c r="G63" i="7"/>
  <c r="G70" i="7"/>
  <c r="G75" i="7"/>
  <c r="G84" i="7"/>
  <c r="G91" i="7"/>
  <c r="G89" i="7"/>
  <c r="G29" i="7"/>
  <c r="G37" i="7"/>
  <c r="G64" i="7"/>
  <c r="G71" i="7"/>
  <c r="G78" i="7"/>
  <c r="G85" i="7"/>
  <c r="G92" i="7"/>
  <c r="G22" i="7"/>
  <c r="G30" i="7"/>
  <c r="G38" i="7"/>
  <c r="G43" i="7"/>
  <c r="G50" i="7"/>
  <c r="G65" i="7"/>
  <c r="G72" i="7"/>
  <c r="G79" i="7"/>
  <c r="G93" i="7"/>
  <c r="G23" i="7"/>
  <c r="G31" i="7"/>
  <c r="G39" i="7"/>
  <c r="G46" i="7"/>
  <c r="G66" i="7"/>
  <c r="G73" i="7"/>
  <c r="G80" i="7"/>
  <c r="G94" i="7"/>
  <c r="G99" i="7"/>
  <c r="G102" i="7"/>
  <c r="G24" i="7"/>
  <c r="G32" i="7"/>
  <c r="G40" i="7"/>
  <c r="G47" i="7"/>
  <c r="G74" i="7"/>
  <c r="G95" i="7"/>
  <c r="G25" i="7"/>
  <c r="G33" i="7"/>
  <c r="G41" i="7"/>
  <c r="G48" i="7"/>
  <c r="G60" i="7"/>
  <c r="G86" i="7"/>
  <c r="G96" i="7"/>
  <c r="G26" i="7"/>
  <c r="G34" i="7"/>
  <c r="G42" i="7"/>
  <c r="G49" i="7"/>
  <c r="G61" i="7"/>
  <c r="G97" i="7"/>
  <c r="G81" i="7"/>
  <c r="G100" i="7"/>
  <c r="G67" i="7"/>
  <c r="H62" i="6"/>
  <c r="H92" i="6"/>
  <c r="H46" i="6"/>
  <c r="H38" i="6"/>
  <c r="H71" i="6"/>
  <c r="H24" i="6"/>
  <c r="H26" i="6"/>
  <c r="H43" i="6"/>
  <c r="H58" i="6"/>
  <c r="H67" i="6"/>
  <c r="H86" i="6"/>
  <c r="H27" i="6"/>
  <c r="H44" i="6"/>
  <c r="H68" i="6"/>
  <c r="H76" i="6"/>
  <c r="H36" i="6"/>
  <c r="H45" i="6"/>
  <c r="H60" i="6"/>
  <c r="H79" i="6"/>
  <c r="H37" i="6"/>
  <c r="H61" i="6"/>
  <c r="H70" i="6"/>
  <c r="H80" i="6"/>
  <c r="H89" i="6"/>
  <c r="H97" i="6"/>
  <c r="H23" i="6"/>
  <c r="H31" i="6"/>
  <c r="H39" i="6"/>
  <c r="H47" i="6"/>
  <c r="H91" i="6"/>
  <c r="H74" i="6"/>
  <c r="H33" i="6"/>
  <c r="H57" i="6"/>
  <c r="H75" i="6"/>
  <c r="H95" i="6"/>
  <c r="H12" i="6"/>
  <c r="H9" i="6"/>
  <c r="H15" i="6"/>
  <c r="H10" i="6"/>
  <c r="H13" i="6"/>
  <c r="H9" i="5"/>
  <c r="G16" i="5"/>
  <c r="H11" i="5" s="1"/>
  <c r="H16" i="5"/>
  <c r="G40" i="5"/>
  <c r="G47" i="5"/>
  <c r="G63" i="5"/>
  <c r="G71" i="5"/>
  <c r="G76" i="5"/>
  <c r="G81" i="5"/>
  <c r="G92" i="5"/>
  <c r="G95" i="5"/>
  <c r="H88" i="6" l="1"/>
  <c r="H59" i="6"/>
  <c r="H34" i="6"/>
  <c r="H81" i="6"/>
  <c r="H84" i="6"/>
  <c r="H22" i="6"/>
  <c r="H69" i="6"/>
  <c r="H35" i="6"/>
  <c r="H25" i="6"/>
  <c r="H20" i="6"/>
  <c r="G97" i="5"/>
  <c r="H21" i="5" s="1"/>
  <c r="H10" i="5"/>
  <c r="H56" i="6"/>
  <c r="H90" i="6"/>
  <c r="H29" i="6"/>
  <c r="H28" i="6"/>
  <c r="H19" i="6"/>
  <c r="H85" i="6"/>
  <c r="H40" i="6"/>
  <c r="H32" i="6"/>
  <c r="H30" i="6"/>
  <c r="H21" i="6"/>
  <c r="H87" i="6"/>
  <c r="H94" i="6"/>
  <c r="H66" i="6"/>
  <c r="H29" i="5"/>
  <c r="H28" i="5"/>
  <c r="H27" i="5"/>
  <c r="H26" i="5"/>
  <c r="H92" i="5"/>
  <c r="H25" i="5"/>
  <c r="H14" i="5"/>
  <c r="H13" i="5"/>
  <c r="H91" i="5"/>
  <c r="H12" i="5"/>
  <c r="H97" i="5"/>
  <c r="G15" i="4"/>
  <c r="H15" i="4" s="1"/>
  <c r="G39" i="4"/>
  <c r="G46" i="4"/>
  <c r="G65" i="4"/>
  <c r="G73" i="4"/>
  <c r="G78" i="4"/>
  <c r="G83" i="4"/>
  <c r="G94" i="4"/>
  <c r="G97" i="4" s="1"/>
  <c r="H35" i="5" l="1"/>
  <c r="H36" i="5"/>
  <c r="H37" i="5"/>
  <c r="H23" i="5"/>
  <c r="H33" i="5"/>
  <c r="H44" i="5"/>
  <c r="H46" i="5"/>
  <c r="H31" i="5"/>
  <c r="H32" i="5"/>
  <c r="H43" i="5"/>
  <c r="H61" i="5"/>
  <c r="H30" i="5"/>
  <c r="H39" i="5"/>
  <c r="H57" i="5"/>
  <c r="H68" i="5"/>
  <c r="H69" i="5"/>
  <c r="H70" i="5"/>
  <c r="H38" i="5"/>
  <c r="H47" i="5"/>
  <c r="H63" i="5"/>
  <c r="H66" i="5"/>
  <c r="H67" i="5"/>
  <c r="H76" i="5"/>
  <c r="H79" i="5"/>
  <c r="H80" i="5"/>
  <c r="H62" i="5"/>
  <c r="H71" i="5"/>
  <c r="H74" i="5"/>
  <c r="H75" i="5"/>
  <c r="H86" i="5"/>
  <c r="H87" i="5"/>
  <c r="H88" i="5"/>
  <c r="H89" i="5"/>
  <c r="H24" i="5"/>
  <c r="H34" i="5"/>
  <c r="H45" i="5"/>
  <c r="H22" i="5"/>
  <c r="H40" i="5"/>
  <c r="H59" i="5"/>
  <c r="H60" i="5"/>
  <c r="H56" i="5"/>
  <c r="H58" i="5"/>
  <c r="H90" i="5"/>
  <c r="H81" i="5"/>
  <c r="H84" i="5"/>
  <c r="H85" i="5"/>
  <c r="H94" i="5"/>
  <c r="H20" i="5"/>
  <c r="H95" i="5"/>
  <c r="H13" i="4"/>
  <c r="H12" i="4"/>
  <c r="H11" i="4"/>
  <c r="H10" i="4"/>
  <c r="H9" i="4"/>
  <c r="G99" i="4"/>
  <c r="H31" i="4" s="1"/>
  <c r="H8" i="4"/>
  <c r="H65" i="4"/>
  <c r="H22" i="4"/>
  <c r="H32" i="4"/>
  <c r="H69" i="4"/>
  <c r="H78" i="4"/>
  <c r="H81" i="4"/>
  <c r="H82" i="4"/>
  <c r="H87" i="4"/>
  <c r="G14" i="3"/>
  <c r="H9" i="3" s="1"/>
  <c r="G35" i="3"/>
  <c r="G40" i="3"/>
  <c r="G47" i="3"/>
  <c r="G51" i="3"/>
  <c r="G63" i="3"/>
  <c r="G71" i="3"/>
  <c r="G78" i="3"/>
  <c r="G83" i="3"/>
  <c r="G88" i="3"/>
  <c r="G99" i="3"/>
  <c r="G102" i="3"/>
  <c r="H12" i="3" l="1"/>
  <c r="H11" i="3"/>
  <c r="H14" i="3"/>
  <c r="H8" i="3"/>
  <c r="H68" i="4"/>
  <c r="H72" i="4"/>
  <c r="H71" i="4"/>
  <c r="H70" i="4"/>
  <c r="H60" i="4"/>
  <c r="H86" i="4"/>
  <c r="H99" i="4"/>
  <c r="H39" i="4"/>
  <c r="H63" i="4"/>
  <c r="H62" i="4"/>
  <c r="H61" i="4"/>
  <c r="H42" i="4"/>
  <c r="H76" i="4"/>
  <c r="H92" i="4"/>
  <c r="H24" i="4"/>
  <c r="H45" i="4"/>
  <c r="H44" i="4"/>
  <c r="H43" i="4"/>
  <c r="H33" i="4"/>
  <c r="H58" i="4"/>
  <c r="H64" i="4"/>
  <c r="H83" i="4"/>
  <c r="H36" i="4"/>
  <c r="H35" i="4"/>
  <c r="H34" i="4"/>
  <c r="H25" i="4"/>
  <c r="H23" i="4"/>
  <c r="H37" i="4"/>
  <c r="H73" i="4"/>
  <c r="H28" i="4"/>
  <c r="H27" i="4"/>
  <c r="H26" i="4"/>
  <c r="H94" i="4"/>
  <c r="H93" i="4"/>
  <c r="H29" i="4"/>
  <c r="H46" i="4"/>
  <c r="H20" i="4"/>
  <c r="H19" i="4"/>
  <c r="H96" i="4"/>
  <c r="H77" i="4"/>
  <c r="H38" i="4"/>
  <c r="H21" i="4"/>
  <c r="H97" i="4"/>
  <c r="H91" i="4"/>
  <c r="H90" i="4"/>
  <c r="H89" i="4"/>
  <c r="H88" i="4"/>
  <c r="H59" i="4"/>
  <c r="H30" i="4"/>
  <c r="G49" i="3"/>
  <c r="H10" i="3"/>
  <c r="H11" i="2"/>
  <c r="G15" i="2"/>
  <c r="H12" i="2" s="1"/>
  <c r="G36" i="2"/>
  <c r="G50" i="2" s="1"/>
  <c r="G41" i="2"/>
  <c r="G48" i="2"/>
  <c r="G64" i="2"/>
  <c r="G71" i="2"/>
  <c r="G79" i="2"/>
  <c r="G84" i="2"/>
  <c r="G88" i="2"/>
  <c r="G99" i="2"/>
  <c r="G104" i="3" l="1"/>
  <c r="H49" i="3"/>
  <c r="G104" i="2"/>
  <c r="H84" i="2"/>
  <c r="H71" i="2"/>
  <c r="H9" i="2"/>
  <c r="H8" i="2"/>
  <c r="H15" i="2"/>
  <c r="H10" i="2"/>
  <c r="G102" i="2"/>
  <c r="H13" i="2"/>
  <c r="H20" i="3" l="1"/>
  <c r="H28" i="3"/>
  <c r="H46" i="3"/>
  <c r="H58" i="3"/>
  <c r="H67" i="3"/>
  <c r="H76" i="3"/>
  <c r="H86" i="3"/>
  <c r="H95" i="3"/>
  <c r="H63" i="3"/>
  <c r="H45" i="3"/>
  <c r="H75" i="3"/>
  <c r="H21" i="3"/>
  <c r="H29" i="3"/>
  <c r="H38" i="3"/>
  <c r="H59" i="3"/>
  <c r="H68" i="3"/>
  <c r="H77" i="3"/>
  <c r="H87" i="3"/>
  <c r="H96" i="3"/>
  <c r="H104" i="3"/>
  <c r="H61" i="3"/>
  <c r="H70" i="3"/>
  <c r="H78" i="3"/>
  <c r="H88" i="3"/>
  <c r="H98" i="3"/>
  <c r="G110" i="3"/>
  <c r="H24" i="3"/>
  <c r="H32" i="3"/>
  <c r="H40" i="3"/>
  <c r="H62" i="3"/>
  <c r="H44" i="3"/>
  <c r="H74" i="3"/>
  <c r="H101" i="3"/>
  <c r="H22" i="3"/>
  <c r="H30" i="3"/>
  <c r="H39" i="3"/>
  <c r="H60" i="3"/>
  <c r="H69" i="3"/>
  <c r="H97" i="3"/>
  <c r="H23" i="3"/>
  <c r="H31" i="3"/>
  <c r="H81" i="3"/>
  <c r="H91" i="3"/>
  <c r="H26" i="3"/>
  <c r="H34" i="3"/>
  <c r="H27" i="3"/>
  <c r="H66" i="3"/>
  <c r="H83" i="3"/>
  <c r="H25" i="3"/>
  <c r="H33" i="3"/>
  <c r="H43" i="3"/>
  <c r="H82" i="3"/>
  <c r="H92" i="3"/>
  <c r="H56" i="3"/>
  <c r="H93" i="3"/>
  <c r="H19" i="3"/>
  <c r="H57" i="3"/>
  <c r="H94" i="3"/>
  <c r="H35" i="3"/>
  <c r="H71" i="3"/>
  <c r="H102" i="3"/>
  <c r="H47" i="3"/>
  <c r="H99" i="3"/>
  <c r="H24" i="2"/>
  <c r="H32" i="2"/>
  <c r="H63" i="2"/>
  <c r="H82" i="2"/>
  <c r="H92" i="2"/>
  <c r="H25" i="2"/>
  <c r="H33" i="2"/>
  <c r="H41" i="2"/>
  <c r="H74" i="2"/>
  <c r="H83" i="2"/>
  <c r="H93" i="2"/>
  <c r="H101" i="2"/>
  <c r="H26" i="2"/>
  <c r="H34" i="2"/>
  <c r="H44" i="2"/>
  <c r="H57" i="2"/>
  <c r="H64" i="2"/>
  <c r="H75" i="2"/>
  <c r="H94" i="2"/>
  <c r="H97" i="2"/>
  <c r="H30" i="2"/>
  <c r="H70" i="2"/>
  <c r="H98" i="2"/>
  <c r="H23" i="2"/>
  <c r="H88" i="2"/>
  <c r="H48" i="2"/>
  <c r="H27" i="2"/>
  <c r="H35" i="2"/>
  <c r="H45" i="2"/>
  <c r="H58" i="2"/>
  <c r="H67" i="2"/>
  <c r="H76" i="2"/>
  <c r="H95" i="2"/>
  <c r="H20" i="2"/>
  <c r="H28" i="2"/>
  <c r="H46" i="2"/>
  <c r="H59" i="2"/>
  <c r="H68" i="2"/>
  <c r="H77" i="2"/>
  <c r="H87" i="2"/>
  <c r="H96" i="2"/>
  <c r="H21" i="2"/>
  <c r="H29" i="2"/>
  <c r="H36" i="2"/>
  <c r="H47" i="2"/>
  <c r="H60" i="2"/>
  <c r="H69" i="2"/>
  <c r="H78" i="2"/>
  <c r="H104" i="2"/>
  <c r="H22" i="2"/>
  <c r="H39" i="2"/>
  <c r="H61" i="2"/>
  <c r="G112" i="2"/>
  <c r="H31" i="2"/>
  <c r="H40" i="2"/>
  <c r="H62" i="2"/>
  <c r="H79" i="2"/>
  <c r="H91" i="2"/>
  <c r="H102" i="2"/>
  <c r="H50" i="2"/>
  <c r="H99" i="2"/>
</calcChain>
</file>

<file path=xl/comments1.xml><?xml version="1.0" encoding="utf-8"?>
<comments xmlns="http://schemas.openxmlformats.org/spreadsheetml/2006/main">
  <authors>
    <author>Jeff Musser</author>
  </authors>
  <commentList>
    <comment ref="G47" authorId="0">
      <text>
        <r>
          <rPr>
            <b/>
            <sz val="8"/>
            <color indexed="81"/>
            <rFont val="Tahoma"/>
            <family val="2"/>
          </rPr>
          <t>Jeff Musser:</t>
        </r>
        <r>
          <rPr>
            <sz val="8"/>
            <color indexed="81"/>
            <rFont val="Tahoma"/>
            <family val="2"/>
          </rPr>
          <t xml:space="preserve">
Includes Student Life Allocation</t>
        </r>
      </text>
    </comment>
  </commentList>
</comments>
</file>

<file path=xl/comments2.xml><?xml version="1.0" encoding="utf-8"?>
<comments xmlns="http://schemas.openxmlformats.org/spreadsheetml/2006/main">
  <authors>
    <author>Jeff Musser</author>
  </authors>
  <commentList>
    <comment ref="G46" authorId="0">
      <text>
        <r>
          <rPr>
            <b/>
            <sz val="8"/>
            <color indexed="81"/>
            <rFont val="Tahoma"/>
            <family val="2"/>
          </rPr>
          <t>Jeff Musser:</t>
        </r>
        <r>
          <rPr>
            <sz val="8"/>
            <color indexed="81"/>
            <rFont val="Tahoma"/>
            <family val="2"/>
          </rPr>
          <t xml:space="preserve">
Includes Student Life Allocation</t>
        </r>
      </text>
    </comment>
  </commentList>
</comments>
</file>

<file path=xl/comments3.xml><?xml version="1.0" encoding="utf-8"?>
<comments xmlns="http://schemas.openxmlformats.org/spreadsheetml/2006/main">
  <authors>
    <author>raymonst</author>
    <author>Jeff Musser</author>
    <author>suesst</author>
  </authors>
  <commentList>
    <comment ref="G26" authorId="0">
      <text>
        <r>
          <rPr>
            <b/>
            <sz val="8"/>
            <color indexed="81"/>
            <rFont val="Tahoma"/>
            <family val="2"/>
          </rPr>
          <t>raymonst:</t>
        </r>
        <r>
          <rPr>
            <sz val="8"/>
            <color indexed="81"/>
            <rFont val="Tahoma"/>
            <family val="2"/>
          </rPr>
          <t xml:space="preserve">
Includes Continuing Education</t>
        </r>
      </text>
    </comment>
    <comment ref="G35" authorId="1">
      <text>
        <r>
          <rPr>
            <b/>
            <sz val="8"/>
            <color indexed="81"/>
            <rFont val="Tahoma"/>
            <family val="2"/>
          </rPr>
          <t>Jeff Musser:</t>
        </r>
        <r>
          <rPr>
            <sz val="8"/>
            <color indexed="81"/>
            <rFont val="Tahoma"/>
            <family val="2"/>
          </rPr>
          <t xml:space="preserve">
Includes Student Life Allocation</t>
        </r>
      </text>
    </comment>
    <comment ref="G38" authorId="0">
      <text>
        <r>
          <rPr>
            <b/>
            <sz val="8"/>
            <color indexed="81"/>
            <rFont val="Tahoma"/>
            <family val="2"/>
          </rPr>
          <t>raymonst:</t>
        </r>
        <r>
          <rPr>
            <sz val="8"/>
            <color indexed="81"/>
            <rFont val="Tahoma"/>
            <family val="2"/>
          </rPr>
          <t xml:space="preserve">
Includes University Senate</t>
        </r>
      </text>
    </comment>
    <comment ref="G87" authorId="2">
      <text>
        <r>
          <rPr>
            <b/>
            <sz val="8"/>
            <color indexed="81"/>
            <rFont val="Tahoma"/>
            <family val="2"/>
          </rPr>
          <t>suesst:</t>
        </r>
        <r>
          <rPr>
            <sz val="8"/>
            <color indexed="81"/>
            <rFont val="Tahoma"/>
            <family val="2"/>
          </rPr>
          <t xml:space="preserve">
includes telephone utilities</t>
        </r>
      </text>
    </comment>
  </commentList>
</comments>
</file>

<file path=xl/comments4.xml><?xml version="1.0" encoding="utf-8"?>
<comments xmlns="http://schemas.openxmlformats.org/spreadsheetml/2006/main">
  <authors>
    <author>raymonst</author>
    <author>Jeff Musser</author>
    <author>suesst</author>
  </authors>
  <commentList>
    <comment ref="G27" authorId="0">
      <text>
        <r>
          <rPr>
            <b/>
            <sz val="8"/>
            <color indexed="81"/>
            <rFont val="Tahoma"/>
            <family val="2"/>
          </rPr>
          <t>raymonst:</t>
        </r>
        <r>
          <rPr>
            <sz val="8"/>
            <color indexed="81"/>
            <rFont val="Tahoma"/>
            <family val="2"/>
          </rPr>
          <t xml:space="preserve">
Includes Continuing Education</t>
        </r>
      </text>
    </comment>
    <comment ref="G36" authorId="1">
      <text>
        <r>
          <rPr>
            <b/>
            <sz val="8"/>
            <color indexed="81"/>
            <rFont val="Tahoma"/>
            <family val="2"/>
          </rPr>
          <t>Jeff Musser:</t>
        </r>
        <r>
          <rPr>
            <sz val="8"/>
            <color indexed="81"/>
            <rFont val="Tahoma"/>
            <family val="2"/>
          </rPr>
          <t xml:space="preserve">
Includes Student Life Allocation</t>
        </r>
      </text>
    </comment>
    <comment ref="G39" authorId="0">
      <text>
        <r>
          <rPr>
            <b/>
            <sz val="8"/>
            <color indexed="81"/>
            <rFont val="Tahoma"/>
            <family val="2"/>
          </rPr>
          <t>raymonst:</t>
        </r>
        <r>
          <rPr>
            <sz val="8"/>
            <color indexed="81"/>
            <rFont val="Tahoma"/>
            <family val="2"/>
          </rPr>
          <t xml:space="preserve">
Includes University Senate</t>
        </r>
      </text>
    </comment>
    <comment ref="G85" authorId="2">
      <text>
        <r>
          <rPr>
            <b/>
            <sz val="8"/>
            <color indexed="81"/>
            <rFont val="Tahoma"/>
            <family val="2"/>
          </rPr>
          <t>suesst:</t>
        </r>
        <r>
          <rPr>
            <sz val="8"/>
            <color indexed="81"/>
            <rFont val="Tahoma"/>
            <family val="2"/>
          </rPr>
          <t xml:space="preserve">
includes telephone utilities</t>
        </r>
      </text>
    </comment>
  </commentList>
</comments>
</file>

<file path=xl/comments5.xml><?xml version="1.0" encoding="utf-8"?>
<comments xmlns="http://schemas.openxmlformats.org/spreadsheetml/2006/main">
  <authors>
    <author>raymonst</author>
    <author>Jeff Musser</author>
    <author>suesst</author>
  </authors>
  <commentList>
    <comment ref="G26" authorId="0">
      <text>
        <r>
          <rPr>
            <b/>
            <sz val="8"/>
            <color indexed="81"/>
            <rFont val="Tahoma"/>
            <family val="2"/>
          </rPr>
          <t>raymonst:</t>
        </r>
        <r>
          <rPr>
            <sz val="8"/>
            <color indexed="81"/>
            <rFont val="Tahoma"/>
            <family val="2"/>
          </rPr>
          <t xml:space="preserve">
Includes Continuing Education</t>
        </r>
      </text>
    </comment>
    <comment ref="G36" authorId="1">
      <text>
        <r>
          <rPr>
            <b/>
            <sz val="8"/>
            <color indexed="81"/>
            <rFont val="Tahoma"/>
            <family val="2"/>
          </rPr>
          <t>Jeff Musser:</t>
        </r>
        <r>
          <rPr>
            <sz val="8"/>
            <color indexed="81"/>
            <rFont val="Tahoma"/>
            <family val="2"/>
          </rPr>
          <t xml:space="preserve">
Includes Student Life Allocation</t>
        </r>
      </text>
    </comment>
    <comment ref="G39" authorId="0">
      <text>
        <r>
          <rPr>
            <b/>
            <sz val="8"/>
            <color indexed="81"/>
            <rFont val="Tahoma"/>
            <family val="2"/>
          </rPr>
          <t>raymonst:</t>
        </r>
        <r>
          <rPr>
            <sz val="8"/>
            <color indexed="81"/>
            <rFont val="Tahoma"/>
            <family val="2"/>
          </rPr>
          <t xml:space="preserve">
Includes University Senate</t>
        </r>
      </text>
    </comment>
    <comment ref="G85" authorId="2">
      <text>
        <r>
          <rPr>
            <b/>
            <sz val="8"/>
            <color indexed="81"/>
            <rFont val="Tahoma"/>
            <family val="2"/>
          </rPr>
          <t>suesst:</t>
        </r>
        <r>
          <rPr>
            <sz val="8"/>
            <color indexed="81"/>
            <rFont val="Tahoma"/>
            <family val="2"/>
          </rPr>
          <t xml:space="preserve">
includes telephone utilities</t>
        </r>
      </text>
    </comment>
  </commentList>
</comments>
</file>

<file path=xl/comments6.xml><?xml version="1.0" encoding="utf-8"?>
<comments xmlns="http://schemas.openxmlformats.org/spreadsheetml/2006/main">
  <authors>
    <author>raymonst</author>
    <author>Jeff Musser</author>
  </authors>
  <commentList>
    <comment ref="E29" authorId="0">
      <text>
        <r>
          <rPr>
            <b/>
            <sz val="8"/>
            <color indexed="81"/>
            <rFont val="Tahoma"/>
            <family val="2"/>
          </rPr>
          <t>raymonst:</t>
        </r>
        <r>
          <rPr>
            <sz val="8"/>
            <color indexed="81"/>
            <rFont val="Tahoma"/>
            <family val="2"/>
          </rPr>
          <t xml:space="preserve">
Includes Continuing Education</t>
        </r>
      </text>
    </comment>
    <comment ref="E39" authorId="1">
      <text>
        <r>
          <rPr>
            <b/>
            <sz val="8"/>
            <color indexed="81"/>
            <rFont val="Tahoma"/>
            <family val="2"/>
          </rPr>
          <t>Jeff Musser:</t>
        </r>
        <r>
          <rPr>
            <sz val="8"/>
            <color indexed="81"/>
            <rFont val="Tahoma"/>
            <family val="2"/>
          </rPr>
          <t xml:space="preserve">
Includes Student Life Allocation</t>
        </r>
      </text>
    </comment>
    <comment ref="E42" authorId="0">
      <text>
        <r>
          <rPr>
            <b/>
            <sz val="8"/>
            <color indexed="81"/>
            <rFont val="Tahoma"/>
            <family val="2"/>
          </rPr>
          <t>raymonst:</t>
        </r>
        <r>
          <rPr>
            <sz val="8"/>
            <color indexed="81"/>
            <rFont val="Tahoma"/>
            <family val="2"/>
          </rPr>
          <t xml:space="preserve">
Includes University Senate</t>
        </r>
      </text>
    </comment>
  </commentList>
</comments>
</file>

<file path=xl/comments7.xml><?xml version="1.0" encoding="utf-8"?>
<comments xmlns="http://schemas.openxmlformats.org/spreadsheetml/2006/main">
  <authors>
    <author>raymonst</author>
    <author>Jeff Musser</author>
    <author>suesst</author>
  </authors>
  <commentList>
    <comment ref="D29" authorId="0">
      <text>
        <r>
          <rPr>
            <b/>
            <sz val="8"/>
            <color indexed="81"/>
            <rFont val="Tahoma"/>
            <family val="2"/>
          </rPr>
          <t>raymonst:</t>
        </r>
        <r>
          <rPr>
            <sz val="8"/>
            <color indexed="81"/>
            <rFont val="Tahoma"/>
            <family val="2"/>
          </rPr>
          <t xml:space="preserve">
Includes Continuing Education</t>
        </r>
      </text>
    </comment>
    <comment ref="D39" authorId="1">
      <text>
        <r>
          <rPr>
            <b/>
            <sz val="8"/>
            <color indexed="81"/>
            <rFont val="Tahoma"/>
            <family val="2"/>
          </rPr>
          <t>Jeff Musser:</t>
        </r>
        <r>
          <rPr>
            <sz val="8"/>
            <color indexed="81"/>
            <rFont val="Tahoma"/>
            <family val="2"/>
          </rPr>
          <t xml:space="preserve">
Includes Student Life Allocation</t>
        </r>
      </text>
    </comment>
    <comment ref="D42" authorId="0">
      <text>
        <r>
          <rPr>
            <b/>
            <sz val="8"/>
            <color indexed="81"/>
            <rFont val="Tahoma"/>
            <family val="2"/>
          </rPr>
          <t>raymonst:</t>
        </r>
        <r>
          <rPr>
            <sz val="8"/>
            <color indexed="81"/>
            <rFont val="Tahoma"/>
            <family val="2"/>
          </rPr>
          <t xml:space="preserve">
Includes University Senate</t>
        </r>
      </text>
    </comment>
    <comment ref="C91" authorId="2">
      <text>
        <r>
          <rPr>
            <b/>
            <sz val="8"/>
            <color indexed="81"/>
            <rFont val="Tahoma"/>
            <family val="2"/>
          </rPr>
          <t>suesst:</t>
        </r>
        <r>
          <rPr>
            <sz val="8"/>
            <color indexed="81"/>
            <rFont val="Tahoma"/>
            <family val="2"/>
          </rPr>
          <t xml:space="preserve">
includes telephone utilities</t>
        </r>
      </text>
    </comment>
  </commentList>
</comments>
</file>

<file path=xl/comments8.xml><?xml version="1.0" encoding="utf-8"?>
<comments xmlns="http://schemas.openxmlformats.org/spreadsheetml/2006/main">
  <authors>
    <author>raymonst</author>
    <author>Jeff Musser</author>
    <author>suesst</author>
    <author>Terri Suess</author>
  </authors>
  <commentList>
    <comment ref="E28" authorId="0">
      <text>
        <r>
          <rPr>
            <b/>
            <sz val="8"/>
            <color indexed="81"/>
            <rFont val="Tahoma"/>
            <family val="2"/>
          </rPr>
          <t>raymonst:</t>
        </r>
        <r>
          <rPr>
            <sz val="8"/>
            <color indexed="81"/>
            <rFont val="Tahoma"/>
            <family val="2"/>
          </rPr>
          <t xml:space="preserve">
Includes  Center for Adult &amp; Continuing Studies</t>
        </r>
      </text>
    </comment>
    <comment ref="E38" authorId="1">
      <text>
        <r>
          <rPr>
            <b/>
            <sz val="8"/>
            <color indexed="81"/>
            <rFont val="Tahoma"/>
            <family val="2"/>
          </rPr>
          <t>Jeff Musser:</t>
        </r>
        <r>
          <rPr>
            <sz val="8"/>
            <color indexed="81"/>
            <rFont val="Tahoma"/>
            <family val="2"/>
          </rPr>
          <t xml:space="preserve">
Includes Student Life Allocation</t>
        </r>
      </text>
    </comment>
    <comment ref="E41" authorId="0">
      <text>
        <r>
          <rPr>
            <b/>
            <sz val="8"/>
            <color indexed="81"/>
            <rFont val="Tahoma"/>
            <family val="2"/>
          </rPr>
          <t>raymonst:</t>
        </r>
        <r>
          <rPr>
            <sz val="8"/>
            <color indexed="81"/>
            <rFont val="Tahoma"/>
            <family val="2"/>
          </rPr>
          <t xml:space="preserve">
Includes University Senate</t>
        </r>
      </text>
    </comment>
    <comment ref="D89" authorId="2">
      <text>
        <r>
          <rPr>
            <b/>
            <sz val="8"/>
            <color indexed="81"/>
            <rFont val="Tahoma"/>
            <family val="2"/>
          </rPr>
          <t>suesst:</t>
        </r>
        <r>
          <rPr>
            <sz val="8"/>
            <color indexed="81"/>
            <rFont val="Tahoma"/>
            <family val="2"/>
          </rPr>
          <t xml:space="preserve">
includes telephone utilities</t>
        </r>
      </text>
    </comment>
    <comment ref="D91" authorId="3">
      <text>
        <r>
          <rPr>
            <b/>
            <sz val="9"/>
            <color indexed="81"/>
            <rFont val="Tahoma"/>
            <family val="2"/>
          </rPr>
          <t>Terri Suess:</t>
        </r>
        <r>
          <rPr>
            <sz val="9"/>
            <color indexed="81"/>
            <rFont val="Tahoma"/>
            <family val="2"/>
          </rPr>
          <t xml:space="preserve">
put variance here per Star</t>
        </r>
      </text>
    </comment>
  </commentList>
</comments>
</file>

<file path=xl/sharedStrings.xml><?xml version="1.0" encoding="utf-8"?>
<sst xmlns="http://schemas.openxmlformats.org/spreadsheetml/2006/main" count="2118" uniqueCount="482">
  <si>
    <t>Dollars</t>
  </si>
  <si>
    <t>Percent</t>
  </si>
  <si>
    <t>Revenues</t>
  </si>
  <si>
    <t>Interest</t>
  </si>
  <si>
    <t>Indirect cost recovery</t>
  </si>
  <si>
    <t>Miscellaneous</t>
  </si>
  <si>
    <t xml:space="preserve">    Total Revenues</t>
  </si>
  <si>
    <t>Expenditures</t>
  </si>
  <si>
    <t>Academic Affairs and Student Affairs Division</t>
  </si>
  <si>
    <t>Academic Affairs</t>
  </si>
  <si>
    <t xml:space="preserve"> </t>
  </si>
  <si>
    <t>Summer term faculty</t>
  </si>
  <si>
    <t>University Senate</t>
  </si>
  <si>
    <t>Academic Administration</t>
  </si>
  <si>
    <t>Divisional support</t>
  </si>
  <si>
    <t xml:space="preserve">    Subtotal Academic Affairs</t>
  </si>
  <si>
    <t>Academic Services</t>
  </si>
  <si>
    <t>Admissions, Financial Aid &amp; Records</t>
  </si>
  <si>
    <t xml:space="preserve">    Subtotal Academic Services</t>
  </si>
  <si>
    <t xml:space="preserve">                    </t>
  </si>
  <si>
    <t>Student Services Administration</t>
  </si>
  <si>
    <t>Multi-Cultural Center</t>
  </si>
  <si>
    <t>Counseling Center &amp; Career Services</t>
  </si>
  <si>
    <t>Student Activities</t>
  </si>
  <si>
    <t xml:space="preserve">    Subtotal Student Services</t>
  </si>
  <si>
    <t xml:space="preserve">    Total Division</t>
  </si>
  <si>
    <t>Finance &amp; Admin. Division</t>
  </si>
  <si>
    <t>Business and Finance</t>
  </si>
  <si>
    <t>Human Resources</t>
  </si>
  <si>
    <t>Facilities Services and Planning</t>
  </si>
  <si>
    <t>Athletics &amp; Field House Operations</t>
  </si>
  <si>
    <t>University Relations Division</t>
  </si>
  <si>
    <t>Development &amp; Alumni Relations</t>
  </si>
  <si>
    <t>WGVU/WGVK-TV and WGVU-AM/FM</t>
  </si>
  <si>
    <t>Government Relations</t>
  </si>
  <si>
    <t>Central Administration</t>
  </si>
  <si>
    <t>Institutional Funds</t>
  </si>
  <si>
    <t>Debt service</t>
  </si>
  <si>
    <t>Utilities</t>
  </si>
  <si>
    <t>Insurance</t>
  </si>
  <si>
    <t>Space rental</t>
  </si>
  <si>
    <t>Capital maintenance &amp; repairs</t>
  </si>
  <si>
    <t>King, Chavez and Parks fund</t>
  </si>
  <si>
    <t xml:space="preserve">    Subtotal</t>
  </si>
  <si>
    <t>Contingency</t>
  </si>
  <si>
    <t xml:space="preserve">    Total Institutional Funds</t>
  </si>
  <si>
    <t xml:space="preserve">    Total Expenditures</t>
  </si>
  <si>
    <t>Development &amp; Alumni Relations Division</t>
  </si>
  <si>
    <t>Student life allocation</t>
  </si>
  <si>
    <t>Pew Campus and Regional Centers Operations</t>
  </si>
  <si>
    <t>News and Information Services</t>
  </si>
  <si>
    <t>Planning &amp; Equity Division</t>
  </si>
  <si>
    <t>Institutional Marketing</t>
  </si>
  <si>
    <t>University Counsel</t>
  </si>
  <si>
    <t>Affirmative Action</t>
  </si>
  <si>
    <t>Tuition</t>
  </si>
  <si>
    <t>State appropriation</t>
  </si>
  <si>
    <t>Ctr for Study of the Presidency</t>
  </si>
  <si>
    <t>Seidman College of Business</t>
  </si>
  <si>
    <t>College of Community &amp; Public Services</t>
  </si>
  <si>
    <t>College of Education</t>
  </si>
  <si>
    <t>College of Liberal Arts &amp; Sciences</t>
  </si>
  <si>
    <t>College of Engineering &amp; Computing</t>
  </si>
  <si>
    <t>College of Health Professions</t>
  </si>
  <si>
    <t>Kirkhof College of Nursing</t>
  </si>
  <si>
    <t>Student Services &amp; Multicultural Affairs</t>
  </si>
  <si>
    <t>University Libraries</t>
  </si>
  <si>
    <t>Graduate Studies, Grants Administration &amp; R &amp; D Center</t>
  </si>
  <si>
    <t>Information Technology</t>
  </si>
  <si>
    <t>Continuing Education</t>
  </si>
  <si>
    <t>Economic Development</t>
  </si>
  <si>
    <t>Advising Resources and Special Programs</t>
  </si>
  <si>
    <t>2005-2006 General Fund Budget</t>
  </si>
  <si>
    <t>College of Interdisciplinary Studies</t>
  </si>
  <si>
    <t xml:space="preserve">2014-2015 General Fund Budget </t>
  </si>
  <si>
    <t>Approved</t>
  </si>
  <si>
    <t>State</t>
  </si>
  <si>
    <t>Appropriation</t>
  </si>
  <si>
    <t>&amp; Other</t>
  </si>
  <si>
    <t>Total</t>
  </si>
  <si>
    <t xml:space="preserve">Tuition </t>
  </si>
  <si>
    <t>State Appropriation</t>
  </si>
  <si>
    <t xml:space="preserve">  Less Financial Aid</t>
  </si>
  <si>
    <t>Student Academic Success Center</t>
  </si>
  <si>
    <t>Health Admin &amp; Simulation Services</t>
  </si>
  <si>
    <t>Graduate Studies Administration</t>
  </si>
  <si>
    <t>Part-Time Faculty</t>
  </si>
  <si>
    <t>Inclusion &amp; Equity Division</t>
  </si>
  <si>
    <t>Disability Services</t>
  </si>
  <si>
    <t>Intercultural Training</t>
  </si>
  <si>
    <t>Finance &amp; Administration Division</t>
  </si>
  <si>
    <t>University Communications</t>
  </si>
  <si>
    <t>Development</t>
  </si>
  <si>
    <t>Alumni Relations</t>
  </si>
  <si>
    <t>Hauenstein Center For Presidential Studies</t>
  </si>
  <si>
    <t>Construction and Debt Service</t>
  </si>
  <si>
    <t>Bus Service</t>
  </si>
  <si>
    <t>Copy Services</t>
  </si>
  <si>
    <t>2006-2007 General Fund Budget</t>
  </si>
  <si>
    <t>Proposed</t>
  </si>
  <si>
    <t>2006-07 Board Budget</t>
  </si>
  <si>
    <t>Parking and Transportation</t>
  </si>
  <si>
    <t>Intercultural Programs</t>
  </si>
  <si>
    <t>Institutional Inclusion &amp; Equity Division</t>
  </si>
  <si>
    <t>2007-08 Board Budget</t>
  </si>
  <si>
    <t>Tuition and State Appropriation</t>
  </si>
  <si>
    <t>2007-2008 General Fund Budget</t>
  </si>
  <si>
    <t>2008-09 Board Budget</t>
  </si>
  <si>
    <t>University Senate is included with Divisional support</t>
  </si>
  <si>
    <t>Continuing Education is included with College of Interdisciplinary Studies</t>
  </si>
  <si>
    <t>2008-2009 General Fund Budget</t>
  </si>
  <si>
    <t>2009-10 Board Budget</t>
  </si>
  <si>
    <t>2009-2010 General Fund Budget</t>
  </si>
  <si>
    <t>2010-11 Board Budget</t>
  </si>
  <si>
    <t xml:space="preserve">2010-2011 General Fund Budget </t>
  </si>
  <si>
    <t>State Appropriation - tuition mitigation</t>
  </si>
  <si>
    <t>State Appropriation - base</t>
  </si>
  <si>
    <t xml:space="preserve">2011-2012 General Fund Budget </t>
  </si>
  <si>
    <t>State Appropriation - performance funding</t>
  </si>
  <si>
    <t xml:space="preserve">2013-2014 General Fund Budget </t>
  </si>
  <si>
    <t>2005-2006</t>
  </si>
  <si>
    <t>2006-2007</t>
  </si>
  <si>
    <t>2007-2008</t>
  </si>
  <si>
    <t>2008-2009</t>
  </si>
  <si>
    <t>2010-2011</t>
  </si>
  <si>
    <t>2011-2012</t>
  </si>
  <si>
    <t>2013-2014</t>
  </si>
  <si>
    <t>2009-2010</t>
  </si>
  <si>
    <t>2014-2015</t>
  </si>
  <si>
    <t>2012-2013</t>
  </si>
  <si>
    <t xml:space="preserve">2012-2013 General Fund Budget </t>
  </si>
  <si>
    <t>Financial aid</t>
  </si>
  <si>
    <t>x</t>
  </si>
  <si>
    <t>Parking &amp; Transportation / Bus Service</t>
  </si>
  <si>
    <t>Advising Resources and Special Programs / Student Academic Success Ctr</t>
  </si>
  <si>
    <t>News and Information Services / University Communications</t>
  </si>
  <si>
    <t>Continuing Education (adjusted 05-06 through 07-08 for comparison; combined with COIS effective 08-09)</t>
  </si>
  <si>
    <t>2002-2003</t>
  </si>
  <si>
    <t>2003-2004</t>
  </si>
  <si>
    <t>2004-2005</t>
  </si>
  <si>
    <t xml:space="preserve">                        2003-2004 General Fund Budget</t>
  </si>
  <si>
    <t>Division of Arts &amp; Humanities</t>
  </si>
  <si>
    <t>Division of Science &amp; Mathematics</t>
  </si>
  <si>
    <t>Division of Social Sciences</t>
  </si>
  <si>
    <t>Seidman School of Business</t>
  </si>
  <si>
    <t>School of Education</t>
  </si>
  <si>
    <t>Kirkhof School of Nursing</t>
  </si>
  <si>
    <t>School of Social Work</t>
  </si>
  <si>
    <t>Academic Resource Center and Trio Programs</t>
  </si>
  <si>
    <t>Padnos International Center</t>
  </si>
  <si>
    <t>VanAndel Global Trade Center</t>
  </si>
  <si>
    <t>Graduate Studies &amp; Grants Administration</t>
  </si>
  <si>
    <t>Pew Faculty Teaching and Learning Center</t>
  </si>
  <si>
    <t>Academic Computing &amp; Information Technology</t>
  </si>
  <si>
    <t>Part-time faculty</t>
  </si>
  <si>
    <t>Library</t>
  </si>
  <si>
    <t>Continuing Education Administration</t>
  </si>
  <si>
    <t>Student Services</t>
  </si>
  <si>
    <t xml:space="preserve">                        2002-2003 General Fund Budget</t>
  </si>
  <si>
    <t>2004-2005 General Fund Budget</t>
  </si>
  <si>
    <t>College of University-wide Interdisciplinary Initiatives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</si>
  <si>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</si>
  <si>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</si>
  <si>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</si>
  <si>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</si>
  <si>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</si>
  <si>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</si>
  <si>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</si>
  <si>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</si>
  <si>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</si>
  <si>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</si>
  <si>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</si>
  <si>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01</t>
  </si>
  <si>
    <t>02</t>
  </si>
  <si>
    <t>03</t>
  </si>
  <si>
    <t>04</t>
  </si>
  <si>
    <t>GVSU</t>
  </si>
  <si>
    <t>05</t>
  </si>
  <si>
    <t>06</t>
  </si>
  <si>
    <t>09</t>
  </si>
  <si>
    <t>10</t>
  </si>
  <si>
    <t>11</t>
  </si>
  <si>
    <t>12</t>
  </si>
  <si>
    <t>13</t>
  </si>
  <si>
    <t>14</t>
  </si>
  <si>
    <t>15</t>
  </si>
  <si>
    <t>17</t>
  </si>
  <si>
    <t>18</t>
  </si>
  <si>
    <t>Detroit CPI mulltiplier to FY14 $ Dec to Dec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</si>
  <si>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</si>
  <si>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</si>
  <si>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</si>
  <si>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</si>
  <si>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</si>
  <si>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</si>
  <si>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</si>
  <si>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</si>
  <si>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</si>
  <si>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</si>
  <si>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</si>
  <si>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</si>
  <si>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</si>
  <si>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</si>
  <si>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</si>
  <si>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</si>
  <si>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</si>
  <si>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</si>
  <si>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</si>
  <si>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</si>
  <si>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</si>
  <si>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</si>
  <si>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</si>
  <si>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00</t>
  </si>
  <si>
    <t>07</t>
  </si>
  <si>
    <t>08</t>
  </si>
  <si>
    <t>Smaller 12</t>
  </si>
  <si>
    <t>Development (Alumni Relations separated in 2011-2012)</t>
  </si>
  <si>
    <t>Brooks College of Interdisciplinary Studies (Padnos International to Barbara Padnos to College of Interdisciplinary Studies 2004)</t>
  </si>
  <si>
    <t>Pre CLAS &amp; split: A&amp;H, S&amp;Math, SS, Social Work, Van Andel Trade Center</t>
  </si>
  <si>
    <t>University Senate (combined with Divisional Support effective 08-09 added to Div Support 02-03 froward)</t>
  </si>
  <si>
    <t>Avg</t>
  </si>
  <si>
    <t>Projected</t>
  </si>
  <si>
    <t>HEPI National</t>
  </si>
  <si>
    <t>National HEPI multiplier (2015 dollars)</t>
  </si>
  <si>
    <t xml:space="preserve">HEPI-adjusted (using Regional Adjustment) </t>
  </si>
  <si>
    <t>Data = Full-Time Equivalence</t>
  </si>
  <si>
    <t>Term</t>
  </si>
  <si>
    <t>College of Major</t>
  </si>
  <si>
    <t>BROOKS COLLEGE OF INTERDISC. STUDIES</t>
  </si>
  <si>
    <t>COLLEGE OF COMMUNITY AND PUBLIC SERVICE</t>
  </si>
  <si>
    <t>COLLEGE OF EDUCATION</t>
  </si>
  <si>
    <t>COLLEGE OF HEALTH PROFESSIONS</t>
  </si>
  <si>
    <t>COLLEGE OF LIBERAL ARTS AND SCIENCES</t>
  </si>
  <si>
    <t>KIRKHOF COLLEGE OF NURSING</t>
  </si>
  <si>
    <t>PADNOS COLLEGE OF ENGIN. AND COMPUTING</t>
  </si>
  <si>
    <t>SEIDMAN COLLEGE OF BUSINESS</t>
  </si>
  <si>
    <t>UNIVERSITY</t>
  </si>
  <si>
    <t>Fall Headcount</t>
  </si>
  <si>
    <t>Fall 2000</t>
  </si>
  <si>
    <t>Fall 2001</t>
  </si>
  <si>
    <t>Fall 2002</t>
  </si>
  <si>
    <t>Fall 2003</t>
  </si>
  <si>
    <t>Fall 2004</t>
  </si>
  <si>
    <t>Fall 2005</t>
  </si>
  <si>
    <t>Fall 2006</t>
  </si>
  <si>
    <t>Fall 2007</t>
  </si>
  <si>
    <t>Fall 2008</t>
  </si>
  <si>
    <t>Fall 2009</t>
  </si>
  <si>
    <t>Fall 2010</t>
  </si>
  <si>
    <t>Fall 2011</t>
  </si>
  <si>
    <t>Fall 2012</t>
  </si>
  <si>
    <t>Fall 2013</t>
  </si>
  <si>
    <t>Fall 2014</t>
  </si>
  <si>
    <t>Proportion 2000</t>
  </si>
  <si>
    <t>Proportion 2014</t>
  </si>
  <si>
    <t>15 year difference</t>
  </si>
  <si>
    <t>15-year growth</t>
  </si>
  <si>
    <t>Difference</t>
  </si>
  <si>
    <t>Total FYES (30 UGSCH = 1 FYES)</t>
  </si>
  <si>
    <r>
      <rPr>
        <b/>
        <sz val="11"/>
        <color theme="1"/>
        <rFont val="Calibri"/>
        <family val="2"/>
        <scheme val="minor"/>
      </rPr>
      <t xml:space="preserve">Regional HEPI </t>
    </r>
    <r>
      <rPr>
        <sz val="11"/>
        <color theme="1"/>
        <rFont val="Calibri"/>
        <family val="2"/>
        <scheme val="minor"/>
      </rPr>
      <t>East North Central multiplier (2015 dollars)</t>
    </r>
  </si>
  <si>
    <r>
      <t xml:space="preserve">Colleges adjusted </t>
    </r>
    <r>
      <rPr>
        <b/>
        <u/>
        <sz val="11"/>
        <color theme="1"/>
        <rFont val="Calibri"/>
        <family val="2"/>
        <scheme val="minor"/>
      </rPr>
      <t xml:space="preserve">by each individual college FYES </t>
    </r>
    <r>
      <rPr>
        <sz val="11"/>
        <color theme="1"/>
        <rFont val="Calibri"/>
        <family val="2"/>
        <scheme val="minor"/>
      </rPr>
      <t>not Gross FYES</t>
    </r>
  </si>
  <si>
    <t>HEPI-adjusted per FYES all but colleges by gross FYES</t>
  </si>
  <si>
    <t>per HEIDI</t>
  </si>
  <si>
    <t>This procedure took 1 minutes and 10 seconds.</t>
  </si>
  <si>
    <t>Tue Dec 23 22:57:54 2014</t>
  </si>
  <si>
    <t>Selected Values</t>
  </si>
  <si>
    <t>Characteristic</t>
  </si>
  <si>
    <t>Summary of Record Selection Criteria</t>
  </si>
  <si>
    <t>GVSU Enrollment Table Generator Results</t>
  </si>
  <si>
    <t>double check IA table</t>
  </si>
  <si>
    <t>Total FYES</t>
  </si>
  <si>
    <t>double check of second HEIDI source</t>
  </si>
  <si>
    <t>FTE:FYES</t>
  </si>
  <si>
    <t>Instruction</t>
  </si>
  <si>
    <t>Research</t>
  </si>
  <si>
    <t>Public Service</t>
  </si>
  <si>
    <t>Academic Support</t>
  </si>
  <si>
    <t>Student Service</t>
  </si>
  <si>
    <t>Institution Support</t>
  </si>
  <si>
    <t>Plant Op and Maintenance</t>
  </si>
  <si>
    <t>Financial Aid</t>
  </si>
  <si>
    <t>Aux. Enterprises</t>
  </si>
  <si>
    <t>Mandatory Transfers</t>
  </si>
  <si>
    <t>Non-Mandatory Transfers</t>
  </si>
  <si>
    <t>GVSU TOTAL</t>
  </si>
  <si>
    <t>UNIVERSITY GENERAL FUND EXPENDITURES BY CATEGORY</t>
  </si>
  <si>
    <t>Fiscal Year</t>
  </si>
  <si>
    <t>1999</t>
  </si>
  <si>
    <t>2000</t>
  </si>
  <si>
    <t>2001</t>
  </si>
  <si>
    <t>2002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</si>
  <si>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</si>
  <si>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</si>
  <si>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</si>
  <si>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</si>
  <si>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</si>
  <si>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</si>
  <si>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</si>
  <si>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</si>
  <si>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</si>
  <si>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</si>
  <si>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</si>
  <si>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</si>
  <si>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</si>
  <si>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</si>
  <si>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</si>
  <si>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</si>
  <si>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</si>
  <si>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</si>
  <si>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</si>
  <si>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</si>
  <si>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</si>
  <si>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1977</t>
  </si>
  <si>
    <t>GF Gross SqrFt</t>
  </si>
  <si>
    <t xml:space="preserve">Faculty FTE </t>
  </si>
  <si>
    <t xml:space="preserve">Faculty Compensation </t>
  </si>
  <si>
    <t>Faculty Comp per FTE</t>
  </si>
  <si>
    <t xml:space="preserve">Admin/Professional FTE </t>
  </si>
  <si>
    <t xml:space="preserve">Admin/Professional Compensation </t>
  </si>
  <si>
    <t>Admin Comp per FTE</t>
  </si>
  <si>
    <t xml:space="preserve">Service FTE </t>
  </si>
  <si>
    <t xml:space="preserve">Service Compensation </t>
  </si>
  <si>
    <t>Service Comp per FTE</t>
  </si>
  <si>
    <t>UNIVERSITY FACULTY/STAFF FTE &amp; COMPENSATION</t>
  </si>
  <si>
    <t>TOTAL FTE</t>
  </si>
  <si>
    <t>TOTAL NONFACULTY FTE</t>
  </si>
  <si>
    <t>TOTAL FACULTY FTE</t>
  </si>
  <si>
    <t>HEIDI FYES</t>
  </si>
  <si>
    <t>TOTAL FYES</t>
  </si>
  <si>
    <t>Admin/Professional FTE</t>
  </si>
  <si>
    <t>SERVICE FTE</t>
  </si>
  <si>
    <t>Big3</t>
  </si>
  <si>
    <t>FY77</t>
  </si>
  <si>
    <t>FY78</t>
  </si>
  <si>
    <t>FY79</t>
  </si>
  <si>
    <t>FY80</t>
  </si>
  <si>
    <t>FY81</t>
  </si>
  <si>
    <t>FY82</t>
  </si>
  <si>
    <t>FY83</t>
  </si>
  <si>
    <t>FY84</t>
  </si>
  <si>
    <t>FY85</t>
  </si>
  <si>
    <t>FY86</t>
  </si>
  <si>
    <t>FY87</t>
  </si>
  <si>
    <t>FY88</t>
  </si>
  <si>
    <t>FY89</t>
  </si>
  <si>
    <t>FY90</t>
  </si>
  <si>
    <t>FY91</t>
  </si>
  <si>
    <t>FY92</t>
  </si>
  <si>
    <t>FY93</t>
  </si>
  <si>
    <t>FY94</t>
  </si>
  <si>
    <t>FY95</t>
  </si>
  <si>
    <t>FY96</t>
  </si>
  <si>
    <t>FY97</t>
  </si>
  <si>
    <t>FY98</t>
  </si>
  <si>
    <t>FY99</t>
  </si>
  <si>
    <t>FY00</t>
  </si>
  <si>
    <t>FY01</t>
  </si>
  <si>
    <t>FY02</t>
  </si>
  <si>
    <t>FY03</t>
  </si>
  <si>
    <t>FY04</t>
  </si>
  <si>
    <t>FY05</t>
  </si>
  <si>
    <t>FY06</t>
  </si>
  <si>
    <t>FY07</t>
  </si>
  <si>
    <t>FY08</t>
  </si>
  <si>
    <t>FY09</t>
  </si>
  <si>
    <t>FY10</t>
  </si>
  <si>
    <t>FY11</t>
  </si>
  <si>
    <t>FY12</t>
  </si>
  <si>
    <t>GVSU FYES per</t>
  </si>
  <si>
    <t>Percent of total</t>
  </si>
  <si>
    <t>Absolute Change</t>
  </si>
  <si>
    <t>Annualized growth rate</t>
  </si>
  <si>
    <t>Gross SqrFt</t>
  </si>
  <si>
    <t>Faculty 1 month equivalent</t>
  </si>
  <si>
    <t>Admin 1 month equivalent</t>
  </si>
  <si>
    <t>Service 1 month equivalent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</si>
  <si>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</si>
  <si>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</si>
  <si>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</si>
  <si>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</si>
  <si>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</si>
  <si>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</si>
  <si>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</si>
  <si>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</si>
  <si>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</si>
  <si>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16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</si>
  <si>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</si>
  <si>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</si>
  <si>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</si>
  <si>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</si>
  <si>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</si>
  <si>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</si>
  <si>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</si>
  <si>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</si>
  <si>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</si>
  <si>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</si>
  <si>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</si>
  <si>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</si>
  <si>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</si>
  <si>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</si>
  <si>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</si>
  <si>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</si>
  <si>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</si>
  <si>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</si>
  <si>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Annualized</t>
  </si>
  <si>
    <t>Absolute</t>
  </si>
  <si>
    <t>Detroit CPI-FTE Wages Adjusted to 2013 dollars</t>
  </si>
  <si>
    <t>1 - Student Credit Hours (SCH)</t>
  </si>
  <si>
    <t>2008-09</t>
  </si>
  <si>
    <t>2009-10</t>
  </si>
  <si>
    <t>2010-11</t>
  </si>
  <si>
    <t>2011-12</t>
  </si>
  <si>
    <t>2012-13</t>
  </si>
  <si>
    <t>2013-14</t>
  </si>
  <si>
    <t>convert to FYES</t>
  </si>
  <si>
    <t>Brooks College of Interdisciplinary Studies</t>
  </si>
  <si>
    <t>African/African American Stds</t>
  </si>
  <si>
    <t>East Asian Studies</t>
  </si>
  <si>
    <t>Environmental Studies</t>
  </si>
  <si>
    <t>.</t>
  </si>
  <si>
    <t>Honors College</t>
  </si>
  <si>
    <t>University Studies</t>
  </si>
  <si>
    <t>Latin American Studies</t>
  </si>
  <si>
    <t>Liberal Studies</t>
  </si>
  <si>
    <t>Middle East Studies</t>
  </si>
  <si>
    <t>Religious Studies</t>
  </si>
  <si>
    <t>Russian Studies</t>
  </si>
  <si>
    <t>Women And Gender Studies</t>
  </si>
  <si>
    <t>College of Community and Public Service</t>
  </si>
  <si>
    <t>School Of Criminal Justice</t>
  </si>
  <si>
    <t>Hospitality/Tourism Management</t>
  </si>
  <si>
    <t>Public &amp; Nonprofit Admin</t>
  </si>
  <si>
    <t>School Of Social Work</t>
  </si>
  <si>
    <t>Allied Health Sciences</t>
  </si>
  <si>
    <t>Medical Laboratory Science</t>
  </si>
  <si>
    <t>Occupational Therapy</t>
  </si>
  <si>
    <t>Physician Assistant Studies</t>
  </si>
  <si>
    <t>Department of Public Health</t>
  </si>
  <si>
    <t>Physical Therapy</t>
  </si>
  <si>
    <t>Radiologic and Imaging Sciences</t>
  </si>
  <si>
    <t>Therapeutic Recreation</t>
  </si>
  <si>
    <t>Speech Language Pathology</t>
  </si>
  <si>
    <t>College of Liberal Arts And Sciences</t>
  </si>
  <si>
    <t>Anthropology</t>
  </si>
  <si>
    <t>Archaeology</t>
  </si>
  <si>
    <t>Art and Design</t>
  </si>
  <si>
    <t>Biology</t>
  </si>
  <si>
    <t>Biomedical Sciences</t>
  </si>
  <si>
    <t>Chemistry</t>
  </si>
  <si>
    <t>Classics</t>
  </si>
  <si>
    <t>Cell and Molecular Biology</t>
  </si>
  <si>
    <t>School Of Communications</t>
  </si>
  <si>
    <t>Comp Science &amp; Arts Teaching</t>
  </si>
  <si>
    <t>English</t>
  </si>
  <si>
    <t>Foreign Languages</t>
  </si>
  <si>
    <t>Geology</t>
  </si>
  <si>
    <t>Geography &amp; Planning</t>
  </si>
  <si>
    <t>History</t>
  </si>
  <si>
    <t>Music, Art, &amp; Theatre</t>
  </si>
  <si>
    <t>Movement Science</t>
  </si>
  <si>
    <t>Mathematics</t>
  </si>
  <si>
    <t>Music &amp; Dance</t>
  </si>
  <si>
    <t>Philosophy</t>
  </si>
  <si>
    <t>Physics</t>
  </si>
  <si>
    <t>Political Science</t>
  </si>
  <si>
    <t>Psychology</t>
  </si>
  <si>
    <t>Math/Science Center</t>
  </si>
  <si>
    <t>Sociology</t>
  </si>
  <si>
    <t>Social Science</t>
  </si>
  <si>
    <t>Statistics</t>
  </si>
  <si>
    <t>Writing</t>
  </si>
  <si>
    <t>Padnos College of Engineering and Computing</t>
  </si>
  <si>
    <t>Schl of Comput &amp; Info Systems</t>
  </si>
  <si>
    <t>School Of Engineering</t>
  </si>
  <si>
    <t>Occupational Safety &amp; Health</t>
  </si>
  <si>
    <t>Accounting &amp; Taxation</t>
  </si>
  <si>
    <t>Economics</t>
  </si>
  <si>
    <t>Entrepreneurship</t>
  </si>
  <si>
    <t>Finance</t>
  </si>
  <si>
    <t>Full-Time Integrated MBA</t>
  </si>
  <si>
    <t>Management</t>
  </si>
  <si>
    <t>Marketing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</si>
</sst>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_)"/>
    <numFmt numFmtId="165" formatCode="mm/dd/yy_)"/>
    <numFmt numFmtId="166" formatCode="mmmm\ d\,\ yyyy"/>
    <numFmt numFmtId="167" formatCode="_(* #,##0_);_(* \(#,##0\);_(* &quot;-&quot;??_);_(@_)"/>
    <numFmt numFmtId="168" formatCode="&quot;$&quot;#,##0"/>
    <numFmt numFmtId="169" formatCode="###.0"/>
    <numFmt numFmtId="170" formatCode="0.0%"/>
    <numFmt numFmtId="171" formatCode="0.0"/>
    <numFmt numFmtId="172" formatCode="0.000_);[Red]\(0.000\)"/>
  </numFmts>
  <fonts count="55" x14ac:knownFonts="1">
    <font>
      <sz val="12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8"/>
      <name val="Arial"/>
      <family val="2"/>
    </font>
    <font>
      <b/>
      <i/>
      <sz val="14"/>
      <name val="Arial"/>
      <family val="2"/>
    </font>
    <font>
      <b/>
      <sz val="14"/>
      <name val="Arial"/>
      <family val="2"/>
    </font>
    <font>
      <i/>
      <sz val="12"/>
      <name val="Arial"/>
      <family val="2"/>
    </font>
    <font>
      <b/>
      <sz val="11"/>
      <color theme="1"/>
      <name val="Calibri"/>
      <family val="2"/>
      <scheme val="minor"/>
    </font>
    <font>
      <b/>
      <i/>
      <sz val="12"/>
      <name val="Arial"/>
      <family val="2"/>
    </font>
    <font>
      <b/>
      <sz val="10"/>
      <name val="Arial Narrow"/>
      <family val="2"/>
    </font>
    <font>
      <sz val="10"/>
      <name val="Arial"/>
      <family val="2"/>
    </font>
    <font>
      <sz val="10"/>
      <name val="Arial Narrow"/>
      <family val="2"/>
    </font>
    <font>
      <vertAlign val="superscript"/>
      <sz val="10"/>
      <name val="Arial Narrow"/>
      <family val="2"/>
    </font>
    <font>
      <b/>
      <sz val="12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name val="Arial"/>
      <family val="2"/>
    </font>
    <font>
      <vertAlign val="superscript"/>
      <sz val="10"/>
      <name val="Arial"/>
      <family val="2"/>
    </font>
    <font>
      <sz val="12"/>
      <name val="Arial"/>
      <family val="2"/>
    </font>
    <font>
      <sz val="11"/>
      <name val="Calibri"/>
      <family val="2"/>
    </font>
    <font>
      <sz val="10"/>
      <name val="Arial"/>
      <family val="2"/>
    </font>
    <font>
      <vertAlign val="superscript"/>
      <sz val="10"/>
      <name val="Arial Narrow"/>
      <family val="2"/>
    </font>
    <font>
      <sz val="10"/>
      <name val="Helv"/>
    </font>
    <font>
      <u/>
      <sz val="10"/>
      <name val="Helv"/>
    </font>
    <font>
      <b/>
      <sz val="11"/>
      <name val="Tahoma"/>
      <family val="2"/>
    </font>
    <font>
      <sz val="12"/>
      <name val="Arial"/>
    </font>
    <font>
      <sz val="11"/>
      <color theme="1"/>
      <name val="Arial"/>
      <family val="2"/>
    </font>
    <font>
      <sz val="10"/>
      <color theme="9" tint="-0.249977111117893"/>
      <name val="Arial"/>
      <family val="2"/>
    </font>
    <font>
      <i/>
      <sz val="9.9"/>
      <color theme="1"/>
      <name val="Calibri"/>
      <family val="2"/>
      <scheme val="minor"/>
    </font>
    <font>
      <b/>
      <sz val="10.45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.45"/>
      <color theme="1"/>
      <name val="Calibri"/>
      <family val="2"/>
      <scheme val="minor"/>
    </font>
    <font>
      <sz val="11"/>
      <name val="Arial"/>
      <family val="2"/>
    </font>
    <font>
      <sz val="11"/>
      <name val="Calibri"/>
      <family val="2"/>
      <scheme val="minor"/>
    </font>
    <font>
      <b/>
      <sz val="12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5.4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name val="Arial"/>
      <family val="2"/>
    </font>
    <font>
      <b/>
      <sz val="11"/>
      <name val="Calibri"/>
      <family val="2"/>
    </font>
    <font>
      <b/>
      <sz val="11"/>
      <color theme="1"/>
      <name val="Calibri"/>
      <family val="2"/>
    </font>
    <font>
      <sz val="10"/>
      <name val="Calibri"/>
      <family val="2"/>
      <scheme val="minor"/>
    </font>
    <font>
      <b/>
      <sz val="10"/>
      <name val="Verdana"/>
      <family val="2"/>
    </font>
    <font>
      <sz val="10"/>
      <name val="Verdana"/>
      <family val="2"/>
    </font>
    <font>
      <b/>
      <sz val="8"/>
      <name val="Calibri"/>
      <family val="2"/>
    </font>
    <font>
      <b/>
      <sz val="8"/>
      <name val="Calibri"/>
      <family val="2"/>
      <scheme val="minor"/>
    </font>
    <font>
      <sz val="9"/>
      <name val="Calibri"/>
      <family val="2"/>
      <scheme val="minor"/>
    </font>
    <font>
      <b/>
      <sz val="1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41">
    <border>
      <left/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8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8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3">
    <xf numFmtId="0" fontId="0" fillId="0" borderId="0"/>
    <xf numFmtId="0" fontId="13" fillId="0" borderId="0"/>
    <xf numFmtId="0" fontId="12" fillId="0" borderId="0"/>
    <xf numFmtId="43" fontId="12" fillId="0" borderId="0" applyFont="0" applyFill="0" applyBorder="0" applyAlignment="0" applyProtection="0"/>
    <xf numFmtId="0" fontId="4" fillId="0" borderId="0"/>
    <xf numFmtId="0" fontId="24" fillId="0" borderId="0"/>
    <xf numFmtId="43" fontId="24" fillId="0" borderId="0" applyFont="0" applyFill="0" applyBorder="0" applyAlignment="0" applyProtection="0"/>
    <xf numFmtId="0" fontId="26" fillId="0" borderId="0"/>
    <xf numFmtId="43" fontId="29" fillId="0" borderId="0" applyFont="0" applyFill="0" applyBorder="0" applyAlignment="0" applyProtection="0"/>
    <xf numFmtId="44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0" fontId="3" fillId="0" borderId="0"/>
    <xf numFmtId="0" fontId="1" fillId="0" borderId="0"/>
  </cellStyleXfs>
  <cellXfs count="401">
    <xf numFmtId="0" fontId="0" fillId="0" borderId="0" xfId="0"/>
    <xf numFmtId="0" fontId="0" fillId="0" borderId="0" xfId="0" applyProtection="1"/>
    <xf numFmtId="37" fontId="0" fillId="0" borderId="0" xfId="0" applyNumberFormat="1" applyProtection="1"/>
    <xf numFmtId="164" fontId="0" fillId="0" borderId="0" xfId="0" applyNumberFormat="1" applyProtection="1"/>
    <xf numFmtId="0" fontId="6" fillId="0" borderId="0" xfId="0" applyFont="1" applyProtection="1"/>
    <xf numFmtId="0" fontId="0" fillId="0" borderId="1" xfId="0" applyBorder="1" applyProtection="1"/>
    <xf numFmtId="165" fontId="0" fillId="0" borderId="0" xfId="0" applyNumberFormat="1" applyProtection="1"/>
    <xf numFmtId="0" fontId="7" fillId="0" borderId="0" xfId="0" applyFont="1" applyProtection="1"/>
    <xf numFmtId="0" fontId="8" fillId="0" borderId="0" xfId="0" applyFont="1" applyProtection="1"/>
    <xf numFmtId="37" fontId="0" fillId="0" borderId="1" xfId="0" applyNumberFormat="1" applyBorder="1" applyProtection="1"/>
    <xf numFmtId="164" fontId="0" fillId="0" borderId="1" xfId="0" applyNumberFormat="1" applyBorder="1" applyProtection="1"/>
    <xf numFmtId="37" fontId="0" fillId="0" borderId="2" xfId="0" applyNumberFormat="1" applyBorder="1" applyProtection="1"/>
    <xf numFmtId="164" fontId="0" fillId="0" borderId="2" xfId="0" applyNumberFormat="1" applyBorder="1" applyProtection="1"/>
    <xf numFmtId="0" fontId="0" fillId="0" borderId="0" xfId="0" applyAlignment="1">
      <alignment horizontal="center"/>
    </xf>
    <xf numFmtId="164" fontId="13" fillId="0" borderId="6" xfId="1" applyNumberFormat="1" applyBorder="1" applyProtection="1"/>
    <xf numFmtId="37" fontId="11" fillId="0" borderId="0" xfId="2" applyNumberFormat="1" applyFont="1" applyBorder="1" applyProtection="1"/>
    <xf numFmtId="37" fontId="11" fillId="0" borderId="0" xfId="1" applyNumberFormat="1" applyFont="1"/>
    <xf numFmtId="164" fontId="11" fillId="0" borderId="7" xfId="1" applyNumberFormat="1" applyFont="1" applyBorder="1" applyProtection="1"/>
    <xf numFmtId="164" fontId="13" fillId="0" borderId="0" xfId="1" applyNumberFormat="1" applyBorder="1" applyProtection="1"/>
    <xf numFmtId="37" fontId="11" fillId="0" borderId="0" xfId="1" applyNumberFormat="1" applyFont="1" applyBorder="1" applyProtection="1"/>
    <xf numFmtId="164" fontId="13" fillId="0" borderId="8" xfId="1" applyNumberFormat="1" applyBorder="1" applyProtection="1"/>
    <xf numFmtId="37" fontId="11" fillId="0" borderId="9" xfId="1" applyNumberFormat="1" applyFont="1" applyBorder="1" applyProtection="1"/>
    <xf numFmtId="0" fontId="13" fillId="0" borderId="6" xfId="1" applyBorder="1"/>
    <xf numFmtId="0" fontId="13" fillId="0" borderId="0" xfId="1" applyBorder="1"/>
    <xf numFmtId="0" fontId="11" fillId="0" borderId="1" xfId="1" applyFont="1" applyBorder="1" applyProtection="1"/>
    <xf numFmtId="0" fontId="11" fillId="0" borderId="10" xfId="1" applyFont="1" applyBorder="1" applyProtection="1"/>
    <xf numFmtId="0" fontId="15" fillId="0" borderId="0" xfId="1" applyFont="1" applyProtection="1"/>
    <xf numFmtId="37" fontId="11" fillId="0" borderId="0" xfId="2" applyNumberFormat="1" applyFont="1" applyFill="1" applyBorder="1" applyProtection="1"/>
    <xf numFmtId="0" fontId="12" fillId="0" borderId="0" xfId="2"/>
    <xf numFmtId="0" fontId="11" fillId="0" borderId="6" xfId="2" applyFont="1" applyBorder="1" applyAlignment="1">
      <alignment horizontal="center"/>
    </xf>
    <xf numFmtId="0" fontId="11" fillId="0" borderId="7" xfId="2" applyFont="1" applyBorder="1" applyAlignment="1">
      <alignment horizontal="center"/>
    </xf>
    <xf numFmtId="0" fontId="6" fillId="0" borderId="0" xfId="2" applyFont="1" applyProtection="1"/>
    <xf numFmtId="37" fontId="12" fillId="0" borderId="0" xfId="2" applyNumberFormat="1" applyProtection="1"/>
    <xf numFmtId="164" fontId="12" fillId="0" borderId="0" xfId="2" applyNumberFormat="1" applyProtection="1"/>
    <xf numFmtId="0" fontId="11" fillId="0" borderId="6" xfId="2" applyFont="1" applyBorder="1"/>
    <xf numFmtId="0" fontId="11" fillId="0" borderId="7" xfId="2" applyFont="1" applyBorder="1"/>
    <xf numFmtId="0" fontId="12" fillId="0" borderId="0" xfId="2" applyProtection="1"/>
    <xf numFmtId="37" fontId="11" fillId="0" borderId="6" xfId="2" applyNumberFormat="1" applyFont="1" applyBorder="1" applyProtection="1"/>
    <xf numFmtId="164" fontId="11" fillId="0" borderId="7" xfId="2" applyNumberFormat="1" applyFont="1" applyBorder="1" applyProtection="1"/>
    <xf numFmtId="167" fontId="11" fillId="0" borderId="6" xfId="3" applyNumberFormat="1" applyFont="1" applyBorder="1"/>
    <xf numFmtId="37" fontId="14" fillId="0" borderId="0" xfId="2" applyNumberFormat="1" applyFont="1" applyProtection="1"/>
    <xf numFmtId="0" fontId="11" fillId="0" borderId="20" xfId="2" applyFont="1" applyBorder="1" applyProtection="1"/>
    <xf numFmtId="0" fontId="11" fillId="0" borderId="10" xfId="2" applyFont="1" applyBorder="1" applyProtection="1"/>
    <xf numFmtId="0" fontId="7" fillId="0" borderId="0" xfId="2" applyFont="1" applyProtection="1"/>
    <xf numFmtId="0" fontId="8" fillId="0" borderId="0" xfId="2" applyFont="1" applyProtection="1"/>
    <xf numFmtId="164" fontId="11" fillId="0" borderId="11" xfId="2" applyNumberFormat="1" applyFont="1" applyBorder="1" applyProtection="1"/>
    <xf numFmtId="37" fontId="11" fillId="0" borderId="20" xfId="2" applyNumberFormat="1" applyFont="1" applyBorder="1" applyProtection="1"/>
    <xf numFmtId="37" fontId="11" fillId="0" borderId="17" xfId="2" applyNumberFormat="1" applyFont="1" applyBorder="1" applyProtection="1"/>
    <xf numFmtId="164" fontId="11" fillId="0" borderId="19" xfId="2" applyNumberFormat="1" applyFont="1" applyBorder="1" applyProtection="1"/>
    <xf numFmtId="167" fontId="11" fillId="0" borderId="8" xfId="3" applyNumberFormat="1" applyFont="1" applyBorder="1"/>
    <xf numFmtId="0" fontId="13" fillId="0" borderId="0" xfId="2" applyFont="1"/>
    <xf numFmtId="166" fontId="11" fillId="0" borderId="6" xfId="2" applyNumberFormat="1" applyFont="1" applyBorder="1" applyAlignment="1">
      <alignment horizontal="center"/>
    </xf>
    <xf numFmtId="166" fontId="11" fillId="0" borderId="7" xfId="2" applyNumberFormat="1" applyFont="1" applyBorder="1" applyAlignment="1">
      <alignment horizontal="center"/>
    </xf>
    <xf numFmtId="0" fontId="6" fillId="0" borderId="0" xfId="2" applyFont="1" applyAlignment="1" applyProtection="1">
      <alignment horizontal="center"/>
    </xf>
    <xf numFmtId="0" fontId="10" fillId="0" borderId="0" xfId="2" applyFont="1" applyAlignment="1" applyProtection="1">
      <alignment horizontal="center"/>
    </xf>
    <xf numFmtId="167" fontId="0" fillId="0" borderId="0" xfId="3" applyNumberFormat="1" applyFont="1"/>
    <xf numFmtId="0" fontId="20" fillId="0" borderId="0" xfId="2" applyFont="1"/>
    <xf numFmtId="167" fontId="20" fillId="0" borderId="0" xfId="3" applyNumberFormat="1" applyFont="1"/>
    <xf numFmtId="0" fontId="11" fillId="0" borderId="0" xfId="2" applyFont="1" applyBorder="1"/>
    <xf numFmtId="167" fontId="11" fillId="0" borderId="0" xfId="3" applyNumberFormat="1" applyFont="1" applyBorder="1"/>
    <xf numFmtId="0" fontId="11" fillId="0" borderId="4" xfId="2" applyFont="1" applyBorder="1"/>
    <xf numFmtId="167" fontId="11" fillId="0" borderId="4" xfId="3" applyNumberFormat="1" applyFont="1" applyBorder="1"/>
    <xf numFmtId="164" fontId="11" fillId="0" borderId="16" xfId="2" applyNumberFormat="1" applyFont="1" applyBorder="1" applyProtection="1"/>
    <xf numFmtId="37" fontId="11" fillId="0" borderId="14" xfId="2" applyNumberFormat="1" applyFont="1" applyBorder="1" applyProtection="1"/>
    <xf numFmtId="164" fontId="12" fillId="0" borderId="7" xfId="2" applyNumberFormat="1" applyBorder="1" applyProtection="1"/>
    <xf numFmtId="37" fontId="12" fillId="0" borderId="6" xfId="2" applyNumberFormat="1" applyBorder="1" applyProtection="1"/>
    <xf numFmtId="37" fontId="11" fillId="0" borderId="12" xfId="2" applyNumberFormat="1" applyFont="1" applyBorder="1" applyProtection="1"/>
    <xf numFmtId="0" fontId="21" fillId="0" borderId="0" xfId="2" applyFont="1" applyAlignment="1">
      <alignment horizontal="left"/>
    </xf>
    <xf numFmtId="0" fontId="10" fillId="0" borderId="0" xfId="2" quotePrefix="1" applyFont="1" applyAlignment="1" applyProtection="1">
      <alignment horizontal="center"/>
    </xf>
    <xf numFmtId="164" fontId="11" fillId="0" borderId="4" xfId="2" applyNumberFormat="1" applyFont="1" applyBorder="1" applyProtection="1"/>
    <xf numFmtId="37" fontId="11" fillId="0" borderId="4" xfId="2" applyNumberFormat="1" applyFont="1" applyBorder="1" applyProtection="1"/>
    <xf numFmtId="164" fontId="11" fillId="0" borderId="0" xfId="2" applyNumberFormat="1" applyFont="1" applyBorder="1" applyProtection="1"/>
    <xf numFmtId="37" fontId="11" fillId="0" borderId="18" xfId="2" applyNumberFormat="1" applyFont="1" applyBorder="1" applyProtection="1"/>
    <xf numFmtId="37" fontId="11" fillId="0" borderId="13" xfId="2" applyNumberFormat="1" applyFont="1" applyBorder="1" applyProtection="1"/>
    <xf numFmtId="37" fontId="11" fillId="0" borderId="9" xfId="2" applyNumberFormat="1" applyFont="1" applyBorder="1" applyProtection="1"/>
    <xf numFmtId="167" fontId="11" fillId="0" borderId="9" xfId="3" applyNumberFormat="1" applyFont="1" applyBorder="1"/>
    <xf numFmtId="164" fontId="11" fillId="0" borderId="11" xfId="2" applyNumberFormat="1" applyFont="1" applyBorder="1" applyAlignment="1" applyProtection="1"/>
    <xf numFmtId="0" fontId="12" fillId="0" borderId="0" xfId="2" applyFont="1" applyProtection="1"/>
    <xf numFmtId="0" fontId="12" fillId="0" borderId="7" xfId="2" applyBorder="1"/>
    <xf numFmtId="0" fontId="12" fillId="0" borderId="6" xfId="2" applyBorder="1"/>
    <xf numFmtId="0" fontId="11" fillId="0" borderId="0" xfId="2" applyFont="1" applyBorder="1" applyAlignment="1">
      <alignment horizontal="center"/>
    </xf>
    <xf numFmtId="166" fontId="11" fillId="0" borderId="0" xfId="2" applyNumberFormat="1" applyFont="1" applyBorder="1" applyAlignment="1">
      <alignment horizontal="center"/>
    </xf>
    <xf numFmtId="37" fontId="11" fillId="0" borderId="15" xfId="2" applyNumberFormat="1" applyFont="1" applyBorder="1" applyProtection="1"/>
    <xf numFmtId="164" fontId="12" fillId="0" borderId="0" xfId="2" applyNumberFormat="1" applyBorder="1" applyProtection="1"/>
    <xf numFmtId="37" fontId="12" fillId="0" borderId="0" xfId="2" applyNumberFormat="1" applyBorder="1" applyProtection="1"/>
    <xf numFmtId="0" fontId="12" fillId="0" borderId="0" xfId="2" applyFill="1" applyProtection="1"/>
    <xf numFmtId="167" fontId="11" fillId="0" borderId="0" xfId="3" applyNumberFormat="1" applyFont="1" applyBorder="1" applyProtection="1"/>
    <xf numFmtId="167" fontId="11" fillId="0" borderId="6" xfId="3" applyNumberFormat="1" applyFont="1" applyBorder="1" applyProtection="1"/>
    <xf numFmtId="0" fontId="11" fillId="0" borderId="0" xfId="2" applyFont="1" applyBorder="1" applyProtection="1"/>
    <xf numFmtId="167" fontId="11" fillId="0" borderId="0" xfId="3" applyNumberFormat="1" applyFont="1" applyFill="1" applyBorder="1"/>
    <xf numFmtId="167" fontId="11" fillId="0" borderId="6" xfId="3" applyNumberFormat="1" applyFont="1" applyFill="1" applyBorder="1"/>
    <xf numFmtId="0" fontId="4" fillId="0" borderId="0" xfId="4"/>
    <xf numFmtId="0" fontId="11" fillId="0" borderId="3" xfId="2" applyFont="1" applyBorder="1" applyAlignment="1"/>
    <xf numFmtId="0" fontId="11" fillId="0" borderId="5" xfId="2" applyFont="1" applyBorder="1" applyAlignment="1"/>
    <xf numFmtId="0" fontId="9" fillId="0" borderId="0" xfId="4" applyFont="1" applyAlignment="1">
      <alignment horizontal="center"/>
    </xf>
    <xf numFmtId="37" fontId="23" fillId="0" borderId="0" xfId="0" applyNumberFormat="1" applyFont="1" applyAlignment="1">
      <alignment vertical="center"/>
    </xf>
    <xf numFmtId="37" fontId="4" fillId="0" borderId="0" xfId="4" applyNumberFormat="1"/>
    <xf numFmtId="0" fontId="10" fillId="0" borderId="0" xfId="0" applyFont="1" applyAlignment="1" applyProtection="1">
      <alignment horizontal="center"/>
    </xf>
    <xf numFmtId="0" fontId="10" fillId="0" borderId="0" xfId="0" quotePrefix="1" applyFont="1" applyAlignment="1" applyProtection="1">
      <alignment horizontal="center"/>
    </xf>
    <xf numFmtId="0" fontId="24" fillId="0" borderId="0" xfId="5"/>
    <xf numFmtId="0" fontId="11" fillId="0" borderId="6" xfId="5" applyFont="1" applyBorder="1" applyAlignment="1">
      <alignment horizontal="center"/>
    </xf>
    <xf numFmtId="0" fontId="11" fillId="0" borderId="7" xfId="5" applyFont="1" applyBorder="1" applyAlignment="1">
      <alignment horizontal="center"/>
    </xf>
    <xf numFmtId="0" fontId="6" fillId="0" borderId="0" xfId="5" applyFont="1" applyProtection="1"/>
    <xf numFmtId="0" fontId="11" fillId="0" borderId="6" xfId="5" applyFont="1" applyBorder="1"/>
    <xf numFmtId="0" fontId="11" fillId="0" borderId="7" xfId="5" applyFont="1" applyBorder="1"/>
    <xf numFmtId="0" fontId="24" fillId="0" borderId="0" xfId="5" applyProtection="1"/>
    <xf numFmtId="37" fontId="11" fillId="0" borderId="6" xfId="5" applyNumberFormat="1" applyFont="1" applyBorder="1" applyProtection="1"/>
    <xf numFmtId="164" fontId="11" fillId="0" borderId="7" xfId="5" applyNumberFormat="1" applyFont="1" applyBorder="1" applyProtection="1"/>
    <xf numFmtId="167" fontId="11" fillId="0" borderId="6" xfId="6" applyNumberFormat="1" applyFont="1" applyBorder="1"/>
    <xf numFmtId="0" fontId="7" fillId="0" borderId="0" xfId="5" applyFont="1" applyProtection="1"/>
    <xf numFmtId="164" fontId="11" fillId="0" borderId="11" xfId="5" applyNumberFormat="1" applyFont="1" applyBorder="1" applyProtection="1"/>
    <xf numFmtId="37" fontId="11" fillId="0" borderId="17" xfId="5" applyNumberFormat="1" applyFont="1" applyBorder="1" applyProtection="1"/>
    <xf numFmtId="164" fontId="11" fillId="0" borderId="19" xfId="5" applyNumberFormat="1" applyFont="1" applyBorder="1" applyProtection="1"/>
    <xf numFmtId="167" fontId="11" fillId="0" borderId="8" xfId="6" applyNumberFormat="1" applyFont="1" applyBorder="1"/>
    <xf numFmtId="167" fontId="24" fillId="0" borderId="0" xfId="6" applyNumberFormat="1" applyFont="1"/>
    <xf numFmtId="167" fontId="11" fillId="0" borderId="0" xfId="6" applyNumberFormat="1" applyFont="1" applyBorder="1"/>
    <xf numFmtId="167" fontId="20" fillId="0" borderId="0" xfId="6" applyNumberFormat="1" applyFont="1"/>
    <xf numFmtId="0" fontId="20" fillId="0" borderId="0" xfId="5" applyFont="1"/>
    <xf numFmtId="0" fontId="10" fillId="0" borderId="0" xfId="5" applyFont="1" applyAlignment="1" applyProtection="1">
      <alignment horizontal="center"/>
    </xf>
    <xf numFmtId="0" fontId="10" fillId="0" borderId="0" xfId="5" quotePrefix="1" applyFont="1" applyAlignment="1" applyProtection="1">
      <alignment horizontal="center"/>
    </xf>
    <xf numFmtId="37" fontId="11" fillId="0" borderId="14" xfId="5" applyNumberFormat="1" applyFont="1" applyBorder="1" applyProtection="1"/>
    <xf numFmtId="37" fontId="11" fillId="0" borderId="12" xfId="5" applyNumberFormat="1" applyFont="1" applyBorder="1" applyProtection="1"/>
    <xf numFmtId="37" fontId="24" fillId="0" borderId="6" xfId="5" applyNumberFormat="1" applyBorder="1" applyProtection="1"/>
    <xf numFmtId="164" fontId="24" fillId="0" borderId="7" xfId="5" applyNumberFormat="1" applyBorder="1" applyProtection="1"/>
    <xf numFmtId="164" fontId="11" fillId="0" borderId="16" xfId="5" applyNumberFormat="1" applyFont="1" applyBorder="1" applyProtection="1"/>
    <xf numFmtId="0" fontId="11" fillId="0" borderId="0" xfId="5" applyFont="1" applyBorder="1"/>
    <xf numFmtId="0" fontId="25" fillId="0" borderId="0" xfId="5" applyFont="1"/>
    <xf numFmtId="37" fontId="11" fillId="0" borderId="4" xfId="5" applyNumberFormat="1" applyFont="1" applyBorder="1" applyProtection="1"/>
    <xf numFmtId="164" fontId="11" fillId="0" borderId="4" xfId="5" applyNumberFormat="1" applyFont="1" applyBorder="1" applyProtection="1"/>
    <xf numFmtId="0" fontId="11" fillId="0" borderId="0" xfId="5" applyFont="1" applyBorder="1" applyAlignment="1">
      <alignment horizontal="center"/>
    </xf>
    <xf numFmtId="166" fontId="11" fillId="0" borderId="0" xfId="5" applyNumberFormat="1" applyFont="1" applyBorder="1" applyAlignment="1">
      <alignment horizontal="center"/>
    </xf>
    <xf numFmtId="164" fontId="11" fillId="0" borderId="0" xfId="5" applyNumberFormat="1" applyFont="1" applyBorder="1" applyProtection="1"/>
    <xf numFmtId="37" fontId="11" fillId="0" borderId="0" xfId="5" applyNumberFormat="1" applyFont="1" applyBorder="1" applyProtection="1"/>
    <xf numFmtId="37" fontId="24" fillId="0" borderId="0" xfId="5" applyNumberFormat="1" applyBorder="1" applyProtection="1"/>
    <xf numFmtId="167" fontId="11" fillId="0" borderId="9" xfId="6" applyNumberFormat="1" applyFont="1" applyBorder="1"/>
    <xf numFmtId="37" fontId="11" fillId="0" borderId="15" xfId="5" applyNumberFormat="1" applyFont="1" applyBorder="1" applyProtection="1"/>
    <xf numFmtId="37" fontId="11" fillId="0" borderId="18" xfId="5" applyNumberFormat="1" applyFont="1" applyBorder="1" applyProtection="1"/>
    <xf numFmtId="37" fontId="11" fillId="0" borderId="9" xfId="5" applyNumberFormat="1" applyFont="1" applyBorder="1" applyProtection="1"/>
    <xf numFmtId="37" fontId="11" fillId="0" borderId="13" xfId="5" applyNumberFormat="1" applyFont="1" applyBorder="1" applyProtection="1"/>
    <xf numFmtId="0" fontId="12" fillId="0" borderId="0" xfId="5" applyFont="1" applyProtection="1"/>
    <xf numFmtId="0" fontId="24" fillId="0" borderId="0" xfId="5" applyFont="1" applyProtection="1"/>
    <xf numFmtId="167" fontId="11" fillId="0" borderId="6" xfId="6" applyNumberFormat="1" applyFont="1" applyBorder="1" applyProtection="1"/>
    <xf numFmtId="164" fontId="11" fillId="0" borderId="7" xfId="1" applyNumberFormat="1" applyFont="1" applyBorder="1" applyProtection="1"/>
    <xf numFmtId="0" fontId="11" fillId="0" borderId="10" xfId="1" applyFont="1" applyBorder="1" applyProtection="1"/>
    <xf numFmtId="164" fontId="13" fillId="0" borderId="6" xfId="1" applyNumberFormat="1" applyBorder="1" applyProtection="1"/>
    <xf numFmtId="37" fontId="11" fillId="0" borderId="0" xfId="2" applyNumberFormat="1" applyFont="1" applyBorder="1" applyProtection="1"/>
    <xf numFmtId="37" fontId="11" fillId="0" borderId="0" xfId="1" applyNumberFormat="1" applyFont="1"/>
    <xf numFmtId="164" fontId="13" fillId="0" borderId="0" xfId="1" applyNumberFormat="1" applyBorder="1" applyProtection="1"/>
    <xf numFmtId="37" fontId="11" fillId="0" borderId="0" xfId="1" applyNumberFormat="1" applyFont="1" applyBorder="1" applyProtection="1"/>
    <xf numFmtId="164" fontId="13" fillId="0" borderId="8" xfId="1" applyNumberFormat="1" applyBorder="1" applyProtection="1"/>
    <xf numFmtId="37" fontId="11" fillId="0" borderId="9" xfId="1" applyNumberFormat="1" applyFont="1" applyBorder="1" applyProtection="1"/>
    <xf numFmtId="0" fontId="13" fillId="0" borderId="6" xfId="1" applyBorder="1"/>
    <xf numFmtId="0" fontId="13" fillId="0" borderId="0" xfId="1" applyBorder="1"/>
    <xf numFmtId="0" fontId="11" fillId="0" borderId="1" xfId="1" applyFont="1" applyBorder="1" applyProtection="1"/>
    <xf numFmtId="167" fontId="11" fillId="0" borderId="0" xfId="6" applyNumberFormat="1" applyFont="1" applyBorder="1" applyProtection="1"/>
    <xf numFmtId="0" fontId="24" fillId="0" borderId="0" xfId="5" applyFill="1" applyProtection="1"/>
    <xf numFmtId="164" fontId="11" fillId="0" borderId="11" xfId="5" applyNumberFormat="1" applyFont="1" applyBorder="1" applyAlignment="1" applyProtection="1"/>
    <xf numFmtId="166" fontId="11" fillId="0" borderId="6" xfId="5" applyNumberFormat="1" applyFont="1" applyBorder="1" applyAlignment="1">
      <alignment horizontal="center"/>
    </xf>
    <xf numFmtId="166" fontId="11" fillId="0" borderId="7" xfId="5" applyNumberFormat="1" applyFont="1" applyBorder="1" applyAlignment="1">
      <alignment horizontal="center"/>
    </xf>
    <xf numFmtId="0" fontId="24" fillId="0" borderId="6" xfId="5" applyBorder="1"/>
    <xf numFmtId="0" fontId="24" fillId="0" borderId="7" xfId="5" applyBorder="1"/>
    <xf numFmtId="0" fontId="15" fillId="0" borderId="0" xfId="1" applyFont="1" applyProtection="1"/>
    <xf numFmtId="167" fontId="11" fillId="0" borderId="0" xfId="6" applyNumberFormat="1" applyFont="1" applyFill="1" applyBorder="1"/>
    <xf numFmtId="167" fontId="11" fillId="0" borderId="6" xfId="6" applyNumberFormat="1" applyFont="1" applyBorder="1"/>
    <xf numFmtId="167" fontId="11" fillId="0" borderId="8" xfId="6" applyNumberFormat="1" applyFont="1" applyBorder="1"/>
    <xf numFmtId="167" fontId="11" fillId="0" borderId="0" xfId="6" applyNumberFormat="1" applyFont="1" applyBorder="1"/>
    <xf numFmtId="167" fontId="11" fillId="0" borderId="9" xfId="6" applyNumberFormat="1" applyFont="1" applyBorder="1"/>
    <xf numFmtId="167" fontId="11" fillId="0" borderId="6" xfId="6" applyNumberFormat="1" applyFont="1" applyBorder="1" applyProtection="1"/>
    <xf numFmtId="164" fontId="11" fillId="0" borderId="7" xfId="1" applyNumberFormat="1" applyFont="1" applyBorder="1" applyProtection="1"/>
    <xf numFmtId="0" fontId="11" fillId="0" borderId="10" xfId="1" applyFont="1" applyBorder="1" applyProtection="1"/>
    <xf numFmtId="164" fontId="13" fillId="0" borderId="6" xfId="1" applyNumberFormat="1" applyBorder="1" applyProtection="1"/>
    <xf numFmtId="37" fontId="11" fillId="0" borderId="0" xfId="2" applyNumberFormat="1" applyFont="1" applyBorder="1" applyProtection="1"/>
    <xf numFmtId="37" fontId="11" fillId="0" borderId="0" xfId="1" applyNumberFormat="1" applyFont="1"/>
    <xf numFmtId="164" fontId="13" fillId="0" borderId="0" xfId="1" applyNumberFormat="1" applyBorder="1" applyProtection="1"/>
    <xf numFmtId="37" fontId="11" fillId="0" borderId="0" xfId="1" applyNumberFormat="1" applyFont="1" applyBorder="1" applyProtection="1"/>
    <xf numFmtId="164" fontId="13" fillId="0" borderId="8" xfId="1" applyNumberFormat="1" applyBorder="1" applyProtection="1"/>
    <xf numFmtId="37" fontId="11" fillId="0" borderId="9" xfId="1" applyNumberFormat="1" applyFont="1" applyBorder="1" applyProtection="1"/>
    <xf numFmtId="0" fontId="13" fillId="0" borderId="6" xfId="1" applyBorder="1"/>
    <xf numFmtId="0" fontId="13" fillId="0" borderId="0" xfId="1" applyBorder="1"/>
    <xf numFmtId="0" fontId="11" fillId="0" borderId="1" xfId="1" applyFont="1" applyBorder="1" applyProtection="1"/>
    <xf numFmtId="167" fontId="11" fillId="0" borderId="0" xfId="6" applyNumberFormat="1" applyFont="1" applyBorder="1" applyProtection="1"/>
    <xf numFmtId="0" fontId="15" fillId="0" borderId="0" xfId="1" applyFont="1" applyProtection="1"/>
    <xf numFmtId="167" fontId="11" fillId="0" borderId="0" xfId="6" applyNumberFormat="1" applyFont="1" applyFill="1" applyBorder="1"/>
    <xf numFmtId="0" fontId="11" fillId="0" borderId="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1" fillId="0" borderId="7" xfId="0" applyFont="1" applyBorder="1" applyAlignment="1">
      <alignment horizontal="center"/>
    </xf>
    <xf numFmtId="0" fontId="11" fillId="0" borderId="6" xfId="0" applyFont="1" applyBorder="1"/>
    <xf numFmtId="0" fontId="11" fillId="0" borderId="0" xfId="0" applyFont="1" applyBorder="1"/>
    <xf numFmtId="0" fontId="11" fillId="0" borderId="7" xfId="0" applyFont="1" applyBorder="1"/>
    <xf numFmtId="0" fontId="12" fillId="0" borderId="0" xfId="0" applyFont="1" applyProtection="1"/>
    <xf numFmtId="37" fontId="11" fillId="0" borderId="0" xfId="0" applyNumberFormat="1" applyFont="1" applyBorder="1" applyProtection="1"/>
    <xf numFmtId="164" fontId="11" fillId="0" borderId="7" xfId="0" applyNumberFormat="1" applyFont="1" applyBorder="1" applyProtection="1"/>
    <xf numFmtId="0" fontId="25" fillId="0" borderId="0" xfId="0" applyFont="1"/>
    <xf numFmtId="0" fontId="0" fillId="0" borderId="0" xfId="0" applyFill="1" applyProtection="1"/>
    <xf numFmtId="37" fontId="11" fillId="0" borderId="9" xfId="0" applyNumberFormat="1" applyFont="1" applyBorder="1" applyProtection="1"/>
    <xf numFmtId="164" fontId="11" fillId="0" borderId="11" xfId="0" applyNumberFormat="1" applyFont="1" applyBorder="1" applyProtection="1"/>
    <xf numFmtId="37" fontId="11" fillId="0" borderId="12" xfId="0" applyNumberFormat="1" applyFont="1" applyBorder="1" applyProtection="1"/>
    <xf numFmtId="37" fontId="11" fillId="0" borderId="13" xfId="0" applyNumberFormat="1" applyFont="1" applyBorder="1" applyProtection="1"/>
    <xf numFmtId="37" fontId="0" fillId="0" borderId="6" xfId="0" applyNumberFormat="1" applyBorder="1" applyProtection="1"/>
    <xf numFmtId="37" fontId="0" fillId="0" borderId="0" xfId="0" applyNumberFormat="1" applyBorder="1" applyProtection="1"/>
    <xf numFmtId="164" fontId="0" fillId="0" borderId="7" xfId="0" applyNumberFormat="1" applyBorder="1" applyProtection="1"/>
    <xf numFmtId="37" fontId="11" fillId="0" borderId="14" xfId="0" applyNumberFormat="1" applyFont="1" applyBorder="1" applyProtection="1"/>
    <xf numFmtId="37" fontId="11" fillId="0" borderId="15" xfId="0" applyNumberFormat="1" applyFont="1" applyBorder="1" applyProtection="1"/>
    <xf numFmtId="164" fontId="11" fillId="0" borderId="16" xfId="0" applyNumberFormat="1" applyFont="1" applyBorder="1" applyProtection="1"/>
    <xf numFmtId="37" fontId="11" fillId="0" borderId="4" xfId="0" applyNumberFormat="1" applyFont="1" applyBorder="1" applyProtection="1"/>
    <xf numFmtId="164" fontId="11" fillId="0" borderId="4" xfId="0" applyNumberFormat="1" applyFont="1" applyBorder="1" applyProtection="1"/>
    <xf numFmtId="164" fontId="11" fillId="0" borderId="0" xfId="0" applyNumberFormat="1" applyFont="1" applyBorder="1" applyProtection="1"/>
    <xf numFmtId="166" fontId="11" fillId="0" borderId="6" xfId="0" applyNumberFormat="1" applyFont="1" applyBorder="1" applyAlignment="1">
      <alignment horizontal="center"/>
    </xf>
    <xf numFmtId="166" fontId="11" fillId="0" borderId="0" xfId="0" applyNumberFormat="1" applyFont="1" applyBorder="1" applyAlignment="1">
      <alignment horizontal="center"/>
    </xf>
    <xf numFmtId="166" fontId="11" fillId="0" borderId="7" xfId="0" applyNumberFormat="1" applyFont="1" applyBorder="1" applyAlignment="1">
      <alignment horizontal="center"/>
    </xf>
    <xf numFmtId="0" fontId="0" fillId="0" borderId="6" xfId="0" applyBorder="1"/>
    <xf numFmtId="0" fontId="0" fillId="0" borderId="7" xfId="0" applyBorder="1"/>
    <xf numFmtId="37" fontId="11" fillId="0" borderId="6" xfId="0" applyNumberFormat="1" applyFont="1" applyBorder="1" applyProtection="1"/>
    <xf numFmtId="0" fontId="0" fillId="0" borderId="0" xfId="0" applyFont="1" applyProtection="1"/>
    <xf numFmtId="167" fontId="11" fillId="0" borderId="6" xfId="6" applyNumberFormat="1" applyFont="1" applyFill="1" applyBorder="1"/>
    <xf numFmtId="37" fontId="11" fillId="0" borderId="0" xfId="0" applyNumberFormat="1" applyFont="1" applyFill="1" applyBorder="1" applyProtection="1"/>
    <xf numFmtId="164" fontId="11" fillId="0" borderId="11" xfId="0" applyNumberFormat="1" applyFont="1" applyBorder="1" applyAlignment="1" applyProtection="1"/>
    <xf numFmtId="37" fontId="11" fillId="0" borderId="17" xfId="0" applyNumberFormat="1" applyFont="1" applyBorder="1" applyProtection="1"/>
    <xf numFmtId="37" fontId="11" fillId="0" borderId="18" xfId="0" applyNumberFormat="1" applyFont="1" applyBorder="1" applyProtection="1"/>
    <xf numFmtId="164" fontId="11" fillId="0" borderId="19" xfId="0" applyNumberFormat="1" applyFont="1" applyBorder="1" applyProtection="1"/>
    <xf numFmtId="37" fontId="22" fillId="0" borderId="0" xfId="0" applyNumberFormat="1" applyFont="1" applyProtection="1"/>
    <xf numFmtId="37" fontId="23" fillId="0" borderId="9" xfId="0" applyNumberFormat="1" applyFont="1" applyBorder="1" applyAlignment="1">
      <alignment vertical="center"/>
    </xf>
    <xf numFmtId="37" fontId="4" fillId="0" borderId="9" xfId="4" applyNumberFormat="1" applyBorder="1"/>
    <xf numFmtId="37" fontId="4" fillId="0" borderId="21" xfId="4" applyNumberFormat="1" applyBorder="1"/>
    <xf numFmtId="0" fontId="5" fillId="0" borderId="0" xfId="0" applyFont="1" applyProtection="1"/>
    <xf numFmtId="0" fontId="5" fillId="0" borderId="0" xfId="0" applyFont="1" applyAlignment="1" applyProtection="1"/>
    <xf numFmtId="0" fontId="26" fillId="0" borderId="0" xfId="7"/>
    <xf numFmtId="169" fontId="26" fillId="0" borderId="0" xfId="7" applyNumberFormat="1"/>
    <xf numFmtId="0" fontId="28" fillId="0" borderId="0" xfId="7" quotePrefix="1" applyFont="1" applyAlignment="1">
      <alignment horizontal="right"/>
    </xf>
    <xf numFmtId="37" fontId="0" fillId="0" borderId="0" xfId="0" applyNumberFormat="1"/>
    <xf numFmtId="0" fontId="4" fillId="0" borderId="9" xfId="4" applyBorder="1"/>
    <xf numFmtId="0" fontId="3" fillId="0" borderId="0" xfId="4" applyFont="1"/>
    <xf numFmtId="171" fontId="4" fillId="0" borderId="0" xfId="4" applyNumberFormat="1"/>
    <xf numFmtId="0" fontId="30" fillId="0" borderId="0" xfId="4" applyFont="1"/>
    <xf numFmtId="167" fontId="4" fillId="0" borderId="0" xfId="8" applyNumberFormat="1" applyFont="1"/>
    <xf numFmtId="0" fontId="9" fillId="0" borderId="0" xfId="4" applyFont="1"/>
    <xf numFmtId="0" fontId="31" fillId="0" borderId="0" xfId="2" applyFont="1" applyProtection="1"/>
    <xf numFmtId="0" fontId="9" fillId="0" borderId="0" xfId="11" applyFont="1"/>
    <xf numFmtId="0" fontId="32" fillId="0" borderId="0" xfId="11" applyFont="1"/>
    <xf numFmtId="0" fontId="3" fillId="0" borderId="0" xfId="11"/>
    <xf numFmtId="3" fontId="3" fillId="0" borderId="0" xfId="11" applyNumberFormat="1"/>
    <xf numFmtId="0" fontId="3" fillId="0" borderId="26" xfId="11" applyBorder="1"/>
    <xf numFmtId="0" fontId="34" fillId="0" borderId="29" xfId="11" applyFont="1" applyBorder="1" applyAlignment="1">
      <alignment vertical="center" wrapText="1"/>
    </xf>
    <xf numFmtId="0" fontId="34" fillId="0" borderId="24" xfId="11" applyFont="1" applyBorder="1" applyAlignment="1">
      <alignment vertical="center" wrapText="1"/>
    </xf>
    <xf numFmtId="0" fontId="34" fillId="0" borderId="26" xfId="11" applyFont="1" applyFill="1" applyBorder="1" applyAlignment="1">
      <alignment vertical="center" wrapText="1"/>
    </xf>
    <xf numFmtId="0" fontId="32" fillId="0" borderId="30" xfId="11" applyFont="1" applyBorder="1"/>
    <xf numFmtId="0" fontId="32" fillId="0" borderId="0" xfId="11" applyFont="1" applyBorder="1"/>
    <xf numFmtId="3" fontId="35" fillId="0" borderId="29" xfId="11" applyNumberFormat="1" applyFont="1" applyBorder="1" applyAlignment="1">
      <alignment horizontal="center" wrapText="1"/>
    </xf>
    <xf numFmtId="3" fontId="35" fillId="0" borderId="24" xfId="11" applyNumberFormat="1" applyFont="1" applyBorder="1" applyAlignment="1">
      <alignment horizontal="center" wrapText="1"/>
    </xf>
    <xf numFmtId="3" fontId="3" fillId="0" borderId="26" xfId="11" applyNumberFormat="1" applyBorder="1"/>
    <xf numFmtId="0" fontId="3" fillId="0" borderId="32" xfId="11" applyBorder="1"/>
    <xf numFmtId="0" fontId="33" fillId="0" borderId="0" xfId="11" applyFont="1" applyBorder="1" applyAlignment="1">
      <alignment horizontal="left" vertical="center"/>
    </xf>
    <xf numFmtId="0" fontId="33" fillId="0" borderId="0" xfId="11" applyFont="1" applyBorder="1" applyAlignment="1">
      <alignment horizontal="left" vertical="center" wrapText="1"/>
    </xf>
    <xf numFmtId="170" fontId="35" fillId="0" borderId="0" xfId="11" applyNumberFormat="1" applyFont="1" applyBorder="1" applyAlignment="1">
      <alignment horizontal="center" wrapText="1"/>
    </xf>
    <xf numFmtId="3" fontId="35" fillId="0" borderId="0" xfId="11" applyNumberFormat="1" applyFont="1" applyBorder="1" applyAlignment="1">
      <alignment horizontal="center" wrapText="1"/>
    </xf>
    <xf numFmtId="170" fontId="3" fillId="0" borderId="0" xfId="11" applyNumberFormat="1" applyAlignment="1">
      <alignment horizontal="center"/>
    </xf>
    <xf numFmtId="0" fontId="3" fillId="0" borderId="0" xfId="11" applyAlignment="1">
      <alignment horizontal="center"/>
    </xf>
    <xf numFmtId="172" fontId="3" fillId="0" borderId="0" xfId="11" applyNumberFormat="1" applyAlignment="1">
      <alignment horizontal="center"/>
    </xf>
    <xf numFmtId="171" fontId="3" fillId="0" borderId="0" xfId="11" applyNumberFormat="1" applyAlignment="1">
      <alignment horizontal="center"/>
    </xf>
    <xf numFmtId="170" fontId="3" fillId="0" borderId="0" xfId="11" applyNumberFormat="1"/>
    <xf numFmtId="0" fontId="33" fillId="0" borderId="24" xfId="11" applyFont="1" applyBorder="1" applyAlignment="1">
      <alignment horizontal="left" vertical="center" wrapText="1"/>
    </xf>
    <xf numFmtId="0" fontId="33" fillId="0" borderId="31" xfId="11" applyFont="1" applyBorder="1" applyAlignment="1">
      <alignment horizontal="left" vertical="center" wrapText="1"/>
    </xf>
    <xf numFmtId="0" fontId="33" fillId="0" borderId="25" xfId="11" applyFont="1" applyBorder="1" applyAlignment="1">
      <alignment horizontal="left" vertical="center" wrapText="1"/>
    </xf>
    <xf numFmtId="3" fontId="35" fillId="0" borderId="34" xfId="11" applyNumberFormat="1" applyFont="1" applyBorder="1" applyAlignment="1">
      <alignment horizontal="center" wrapText="1"/>
    </xf>
    <xf numFmtId="0" fontId="33" fillId="0" borderId="28" xfId="11" applyFont="1" applyBorder="1" applyAlignment="1">
      <alignment horizontal="left" vertical="center" wrapText="1"/>
    </xf>
    <xf numFmtId="0" fontId="33" fillId="0" borderId="26" xfId="11" applyFont="1" applyBorder="1" applyAlignment="1">
      <alignment horizontal="left" vertical="center" wrapText="1"/>
    </xf>
    <xf numFmtId="0" fontId="34" fillId="0" borderId="0" xfId="11" applyFont="1" applyFill="1" applyBorder="1" applyAlignment="1">
      <alignment vertical="center" wrapText="1"/>
    </xf>
    <xf numFmtId="0" fontId="3" fillId="0" borderId="0" xfId="11" applyBorder="1"/>
    <xf numFmtId="168" fontId="4" fillId="0" borderId="0" xfId="9" applyNumberFormat="1" applyFont="1"/>
    <xf numFmtId="3" fontId="33" fillId="0" borderId="29" xfId="11" applyNumberFormat="1" applyFont="1" applyBorder="1" applyAlignment="1">
      <alignment horizontal="center" wrapText="1"/>
    </xf>
    <xf numFmtId="3" fontId="33" fillId="0" borderId="24" xfId="11" applyNumberFormat="1" applyFont="1" applyBorder="1" applyAlignment="1">
      <alignment horizontal="center" wrapText="1"/>
    </xf>
    <xf numFmtId="0" fontId="36" fillId="0" borderId="0" xfId="0" applyFont="1"/>
    <xf numFmtId="10" fontId="36" fillId="0" borderId="0" xfId="0" applyNumberFormat="1" applyFont="1"/>
    <xf numFmtId="10" fontId="30" fillId="0" borderId="0" xfId="10" applyNumberFormat="1" applyFont="1"/>
    <xf numFmtId="171" fontId="3" fillId="0" borderId="0" xfId="4" applyNumberFormat="1" applyFont="1"/>
    <xf numFmtId="169" fontId="37" fillId="0" borderId="0" xfId="7" applyNumberFormat="1" applyFont="1"/>
    <xf numFmtId="0" fontId="37" fillId="0" borderId="0" xfId="7" applyFont="1"/>
    <xf numFmtId="0" fontId="38" fillId="0" borderId="0" xfId="7" applyFont="1"/>
    <xf numFmtId="167" fontId="3" fillId="0" borderId="0" xfId="8" applyNumberFormat="1" applyFont="1"/>
    <xf numFmtId="170" fontId="3" fillId="0" borderId="0" xfId="10" applyNumberFormat="1" applyFont="1" applyBorder="1"/>
    <xf numFmtId="0" fontId="32" fillId="0" borderId="0" xfId="0" applyFont="1"/>
    <xf numFmtId="0" fontId="35" fillId="0" borderId="29" xfId="0" applyFont="1" applyBorder="1" applyAlignment="1">
      <alignment horizontal="left" wrapText="1"/>
    </xf>
    <xf numFmtId="0" fontId="35" fillId="0" borderId="29" xfId="0" applyFont="1" applyBorder="1" applyAlignment="1">
      <alignment horizontal="center" wrapText="1"/>
    </xf>
    <xf numFmtId="0" fontId="33" fillId="0" borderId="29" xfId="0" applyFont="1" applyBorder="1" applyAlignment="1">
      <alignment horizontal="left" vertical="center" wrapText="1"/>
    </xf>
    <xf numFmtId="0" fontId="9" fillId="0" borderId="0" xfId="0" applyFont="1"/>
    <xf numFmtId="0" fontId="33" fillId="0" borderId="29" xfId="0" applyFont="1" applyBorder="1" applyAlignment="1">
      <alignment horizontal="center" vertical="center" wrapText="1"/>
    </xf>
    <xf numFmtId="0" fontId="40" fillId="0" borderId="0" xfId="0" applyFont="1"/>
    <xf numFmtId="0" fontId="41" fillId="0" borderId="24" xfId="0" applyFont="1" applyBorder="1" applyAlignment="1">
      <alignment vertical="center" wrapText="1"/>
    </xf>
    <xf numFmtId="0" fontId="41" fillId="0" borderId="31" xfId="0" applyFont="1" applyBorder="1" applyAlignment="1">
      <alignment vertical="center" wrapText="1"/>
    </xf>
    <xf numFmtId="0" fontId="0" fillId="0" borderId="0" xfId="0" applyAlignment="1">
      <alignment horizontal="right"/>
    </xf>
    <xf numFmtId="3" fontId="37" fillId="0" borderId="0" xfId="0" applyNumberFormat="1" applyFont="1" applyAlignment="1">
      <alignment horizontal="right"/>
    </xf>
    <xf numFmtId="0" fontId="12" fillId="0" borderId="0" xfId="0" applyNumberFormat="1" applyFont="1" applyAlignment="1"/>
    <xf numFmtId="0" fontId="43" fillId="0" borderId="9" xfId="0" applyNumberFormat="1" applyFont="1" applyBorder="1" applyAlignment="1">
      <alignment horizontal="centerContinuous"/>
    </xf>
    <xf numFmtId="0" fontId="0" fillId="0" borderId="9" xfId="0" applyBorder="1"/>
    <xf numFmtId="0" fontId="43" fillId="0" borderId="0" xfId="0" quotePrefix="1" applyNumberFormat="1" applyFont="1" applyBorder="1" applyAlignment="1">
      <alignment horizontal="right"/>
    </xf>
    <xf numFmtId="0" fontId="37" fillId="0" borderId="0" xfId="0" applyFont="1"/>
    <xf numFmtId="0" fontId="45" fillId="0" borderId="0" xfId="0" applyFont="1"/>
    <xf numFmtId="37" fontId="45" fillId="0" borderId="0" xfId="0" applyNumberFormat="1" applyFont="1"/>
    <xf numFmtId="0" fontId="38" fillId="0" borderId="0" xfId="0" quotePrefix="1" applyFont="1" applyAlignment="1">
      <alignment horizontal="right"/>
    </xf>
    <xf numFmtId="168" fontId="0" fillId="0" borderId="0" xfId="0" applyNumberFormat="1"/>
    <xf numFmtId="168" fontId="37" fillId="0" borderId="0" xfId="0" applyNumberFormat="1" applyFont="1"/>
    <xf numFmtId="168" fontId="45" fillId="0" borderId="0" xfId="0" applyNumberFormat="1" applyFont="1"/>
    <xf numFmtId="3" fontId="45" fillId="0" borderId="0" xfId="0" applyNumberFormat="1" applyFont="1"/>
    <xf numFmtId="0" fontId="43" fillId="0" borderId="13" xfId="0" quotePrefix="1" applyNumberFormat="1" applyFont="1" applyBorder="1" applyAlignment="1">
      <alignment horizontal="right"/>
    </xf>
    <xf numFmtId="167" fontId="0" fillId="0" borderId="0" xfId="8" applyNumberFormat="1" applyFont="1"/>
    <xf numFmtId="167" fontId="45" fillId="0" borderId="0" xfId="8" applyNumberFormat="1" applyFont="1"/>
    <xf numFmtId="168" fontId="45" fillId="0" borderId="0" xfId="8" applyNumberFormat="1" applyFont="1"/>
    <xf numFmtId="0" fontId="46" fillId="0" borderId="0" xfId="0" applyFont="1"/>
    <xf numFmtId="0" fontId="27" fillId="0" borderId="0" xfId="0" applyNumberFormat="1" applyFont="1"/>
    <xf numFmtId="0" fontId="27" fillId="0" borderId="0" xfId="0" applyFont="1"/>
    <xf numFmtId="0" fontId="27" fillId="0" borderId="0" xfId="0" quotePrefix="1" applyFont="1" applyAlignment="1">
      <alignment horizontal="right"/>
    </xf>
    <xf numFmtId="3" fontId="47" fillId="0" borderId="0" xfId="0" applyNumberFormat="1" applyFont="1" applyAlignment="1">
      <alignment horizontal="right"/>
    </xf>
    <xf numFmtId="0" fontId="2" fillId="0" borderId="0" xfId="11" applyFont="1"/>
    <xf numFmtId="0" fontId="38" fillId="0" borderId="0" xfId="0" applyFont="1"/>
    <xf numFmtId="171" fontId="45" fillId="0" borderId="0" xfId="0" applyNumberFormat="1" applyFont="1"/>
    <xf numFmtId="0" fontId="46" fillId="0" borderId="0" xfId="0" applyNumberFormat="1" applyFont="1" applyAlignment="1">
      <alignment horizontal="right"/>
    </xf>
    <xf numFmtId="49" fontId="46" fillId="0" borderId="0" xfId="0" applyNumberFormat="1" applyFont="1" applyAlignment="1">
      <alignment horizontal="right"/>
    </xf>
    <xf numFmtId="0" fontId="37" fillId="0" borderId="0" xfId="0" applyFont="1" applyAlignment="1">
      <alignment horizontal="right"/>
    </xf>
    <xf numFmtId="1" fontId="45" fillId="0" borderId="0" xfId="0" applyNumberFormat="1" applyFont="1"/>
    <xf numFmtId="0" fontId="46" fillId="2" borderId="0" xfId="0" applyFont="1" applyFill="1"/>
    <xf numFmtId="0" fontId="0" fillId="2" borderId="0" xfId="0" applyFill="1"/>
    <xf numFmtId="1" fontId="45" fillId="2" borderId="0" xfId="0" applyNumberFormat="1" applyFont="1" applyFill="1"/>
    <xf numFmtId="9" fontId="45" fillId="0" borderId="0" xfId="10" applyFont="1"/>
    <xf numFmtId="9" fontId="45" fillId="0" borderId="0" xfId="10" quotePrefix="1" applyFont="1" applyAlignment="1">
      <alignment horizontal="right"/>
    </xf>
    <xf numFmtId="170" fontId="45" fillId="0" borderId="0" xfId="10" applyNumberFormat="1" applyFont="1"/>
    <xf numFmtId="170" fontId="45" fillId="0" borderId="0" xfId="10" quotePrefix="1" applyNumberFormat="1" applyFont="1" applyAlignment="1">
      <alignment horizontal="right"/>
    </xf>
    <xf numFmtId="0" fontId="48" fillId="0" borderId="0" xfId="0" applyNumberFormat="1" applyFont="1" applyFill="1" applyBorder="1" applyAlignment="1">
      <alignment horizontal="right" wrapText="1"/>
    </xf>
    <xf numFmtId="0" fontId="49" fillId="0" borderId="0" xfId="0" applyFont="1" applyAlignment="1">
      <alignment wrapText="1"/>
    </xf>
    <xf numFmtId="0" fontId="50" fillId="0" borderId="0" xfId="0" applyFont="1"/>
    <xf numFmtId="167" fontId="37" fillId="0" borderId="0" xfId="8" applyNumberFormat="1" applyFont="1"/>
    <xf numFmtId="0" fontId="51" fillId="0" borderId="0" xfId="0" applyFont="1"/>
    <xf numFmtId="0" fontId="22" fillId="0" borderId="0" xfId="0" quotePrefix="1" applyFont="1"/>
    <xf numFmtId="0" fontId="51" fillId="0" borderId="0" xfId="0" applyFont="1" applyAlignment="1">
      <alignment horizontal="center"/>
    </xf>
    <xf numFmtId="170" fontId="51" fillId="0" borderId="0" xfId="10" applyNumberFormat="1" applyFont="1" applyAlignment="1">
      <alignment horizontal="center"/>
    </xf>
    <xf numFmtId="10" fontId="51" fillId="0" borderId="0" xfId="10" applyNumberFormat="1" applyFont="1" applyAlignment="1">
      <alignment horizontal="center"/>
    </xf>
    <xf numFmtId="0" fontId="52" fillId="0" borderId="0" xfId="4" applyFont="1"/>
    <xf numFmtId="0" fontId="33" fillId="0" borderId="24" xfId="11" applyFont="1" applyBorder="1" applyAlignment="1">
      <alignment horizontal="left" vertical="center" wrapText="1"/>
    </xf>
    <xf numFmtId="0" fontId="33" fillId="0" borderId="31" xfId="11" applyFont="1" applyBorder="1" applyAlignment="1">
      <alignment horizontal="left" vertical="center" wrapText="1"/>
    </xf>
    <xf numFmtId="0" fontId="33" fillId="0" borderId="22" xfId="11" applyFont="1" applyBorder="1" applyAlignment="1">
      <alignment horizontal="center" vertical="center" wrapText="1"/>
    </xf>
    <xf numFmtId="0" fontId="33" fillId="0" borderId="23" xfId="11" applyFont="1" applyBorder="1" applyAlignment="1">
      <alignment horizontal="center" vertical="center" wrapText="1"/>
    </xf>
    <xf numFmtId="0" fontId="33" fillId="0" borderId="27" xfId="11" applyFont="1" applyBorder="1" applyAlignment="1">
      <alignment horizontal="center" vertical="center" wrapText="1"/>
    </xf>
    <xf numFmtId="0" fontId="33" fillId="0" borderId="28" xfId="11" applyFont="1" applyBorder="1" applyAlignment="1">
      <alignment horizontal="center" vertical="center" wrapText="1"/>
    </xf>
    <xf numFmtId="0" fontId="33" fillId="0" borderId="24" xfId="11" applyFont="1" applyBorder="1" applyAlignment="1">
      <alignment horizontal="center" vertical="center" wrapText="1"/>
    </xf>
    <xf numFmtId="0" fontId="33" fillId="0" borderId="25" xfId="11" applyFont="1" applyBorder="1" applyAlignment="1">
      <alignment horizontal="center" vertical="center" wrapText="1"/>
    </xf>
    <xf numFmtId="0" fontId="33" fillId="0" borderId="33" xfId="11" applyFont="1" applyBorder="1" applyAlignment="1">
      <alignment horizontal="center" vertical="center" wrapText="1"/>
    </xf>
    <xf numFmtId="0" fontId="33" fillId="0" borderId="22" xfId="0" applyFont="1" applyBorder="1" applyAlignment="1">
      <alignment horizontal="center" vertical="center" wrapText="1"/>
    </xf>
    <xf numFmtId="0" fontId="33" fillId="0" borderId="23" xfId="0" applyFont="1" applyBorder="1" applyAlignment="1">
      <alignment horizontal="center" vertical="center" wrapText="1"/>
    </xf>
    <xf numFmtId="0" fontId="33" fillId="0" borderId="27" xfId="0" applyFont="1" applyBorder="1" applyAlignment="1">
      <alignment horizontal="center" vertical="center" wrapText="1"/>
    </xf>
    <xf numFmtId="0" fontId="33" fillId="0" borderId="28" xfId="0" applyFont="1" applyBorder="1" applyAlignment="1">
      <alignment horizontal="center" vertical="center" wrapText="1"/>
    </xf>
    <xf numFmtId="0" fontId="33" fillId="0" borderId="24" xfId="0" applyFont="1" applyBorder="1" applyAlignment="1">
      <alignment horizontal="center" vertical="center" wrapText="1"/>
    </xf>
    <xf numFmtId="0" fontId="33" fillId="0" borderId="25" xfId="0" applyFont="1" applyBorder="1" applyAlignment="1">
      <alignment horizontal="center" vertical="center" wrapText="1"/>
    </xf>
    <xf numFmtId="0" fontId="33" fillId="0" borderId="31" xfId="0" applyFont="1" applyBorder="1" applyAlignment="1">
      <alignment horizontal="center" vertical="center" wrapText="1"/>
    </xf>
    <xf numFmtId="0" fontId="33" fillId="0" borderId="35" xfId="11" applyFont="1" applyBorder="1" applyAlignment="1">
      <alignment horizontal="left" vertical="center" wrapText="1"/>
    </xf>
    <xf numFmtId="0" fontId="33" fillId="0" borderId="36" xfId="11" applyFont="1" applyBorder="1" applyAlignment="1">
      <alignment horizontal="left" vertical="center" wrapText="1"/>
    </xf>
    <xf numFmtId="0" fontId="42" fillId="0" borderId="0" xfId="0" applyNumberFormat="1" applyFont="1" applyAlignment="1">
      <alignment horizontal="center"/>
    </xf>
    <xf numFmtId="37" fontId="44" fillId="0" borderId="9" xfId="0" applyNumberFormat="1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166" fontId="0" fillId="0" borderId="0" xfId="0" applyNumberFormat="1" applyAlignment="1">
      <alignment horizontal="center"/>
    </xf>
    <xf numFmtId="0" fontId="5" fillId="0" borderId="0" xfId="0" applyFont="1" applyAlignment="1" applyProtection="1">
      <alignment horizontal="center"/>
    </xf>
    <xf numFmtId="166" fontId="11" fillId="0" borderId="6" xfId="2" applyNumberFormat="1" applyFont="1" applyBorder="1" applyAlignment="1">
      <alignment horizontal="center"/>
    </xf>
    <xf numFmtId="166" fontId="11" fillId="0" borderId="7" xfId="2" applyNumberFormat="1" applyFont="1" applyBorder="1" applyAlignment="1">
      <alignment horizontal="center"/>
    </xf>
    <xf numFmtId="0" fontId="11" fillId="0" borderId="3" xfId="2" applyFont="1" applyBorder="1" applyAlignment="1">
      <alignment horizontal="center"/>
    </xf>
    <xf numFmtId="0" fontId="11" fillId="0" borderId="5" xfId="2" applyFont="1" applyBorder="1" applyAlignment="1">
      <alignment horizontal="center"/>
    </xf>
    <xf numFmtId="0" fontId="11" fillId="0" borderId="6" xfId="2" applyFont="1" applyBorder="1" applyAlignment="1">
      <alignment horizontal="center"/>
    </xf>
    <xf numFmtId="0" fontId="11" fillId="0" borderId="7" xfId="2" applyFont="1" applyBorder="1" applyAlignment="1">
      <alignment horizontal="center"/>
    </xf>
    <xf numFmtId="0" fontId="6" fillId="0" borderId="0" xfId="2" applyFont="1" applyAlignment="1" applyProtection="1">
      <alignment horizontal="center"/>
    </xf>
    <xf numFmtId="0" fontId="10" fillId="0" borderId="0" xfId="2" applyFont="1" applyAlignment="1" applyProtection="1">
      <alignment horizontal="center"/>
    </xf>
    <xf numFmtId="166" fontId="11" fillId="0" borderId="0" xfId="2" applyNumberFormat="1" applyFont="1" applyBorder="1" applyAlignment="1">
      <alignment horizontal="center"/>
    </xf>
    <xf numFmtId="0" fontId="11" fillId="0" borderId="4" xfId="2" applyFont="1" applyBorder="1" applyAlignment="1">
      <alignment horizontal="center"/>
    </xf>
    <xf numFmtId="166" fontId="11" fillId="0" borderId="6" xfId="5" applyNumberFormat="1" applyFont="1" applyBorder="1" applyAlignment="1">
      <alignment horizontal="center"/>
    </xf>
    <xf numFmtId="166" fontId="11" fillId="0" borderId="0" xfId="5" applyNumberFormat="1" applyFont="1" applyBorder="1" applyAlignment="1">
      <alignment horizontal="center"/>
    </xf>
    <xf numFmtId="166" fontId="11" fillId="0" borderId="7" xfId="5" applyNumberFormat="1" applyFont="1" applyBorder="1" applyAlignment="1">
      <alignment horizontal="center"/>
    </xf>
    <xf numFmtId="0" fontId="11" fillId="0" borderId="3" xfId="5" applyFont="1" applyBorder="1" applyAlignment="1">
      <alignment horizontal="center"/>
    </xf>
    <xf numFmtId="0" fontId="11" fillId="0" borderId="4" xfId="5" applyFont="1" applyBorder="1" applyAlignment="1">
      <alignment horizontal="center"/>
    </xf>
    <xf numFmtId="0" fontId="11" fillId="0" borderId="5" xfId="5" applyFont="1" applyBorder="1" applyAlignment="1">
      <alignment horizontal="center"/>
    </xf>
    <xf numFmtId="0" fontId="6" fillId="0" borderId="0" xfId="5" applyFont="1" applyAlignment="1" applyProtection="1">
      <alignment horizontal="center"/>
    </xf>
    <xf numFmtId="166" fontId="11" fillId="0" borderId="6" xfId="0" applyNumberFormat="1" applyFont="1" applyBorder="1" applyAlignment="1">
      <alignment horizontal="center"/>
    </xf>
    <xf numFmtId="166" fontId="11" fillId="0" borderId="0" xfId="0" applyNumberFormat="1" applyFont="1" applyBorder="1" applyAlignment="1">
      <alignment horizontal="center"/>
    </xf>
    <xf numFmtId="166" fontId="11" fillId="0" borderId="7" xfId="0" applyNumberFormat="1" applyFont="1" applyBorder="1" applyAlignment="1">
      <alignment horizontal="center"/>
    </xf>
    <xf numFmtId="0" fontId="6" fillId="0" borderId="0" xfId="0" applyFont="1" applyAlignment="1" applyProtection="1">
      <alignment horizontal="center"/>
    </xf>
    <xf numFmtId="0" fontId="10" fillId="0" borderId="0" xfId="0" applyFont="1" applyAlignment="1" applyProtection="1">
      <alignment horizontal="center"/>
    </xf>
    <xf numFmtId="0" fontId="11" fillId="0" borderId="3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11" fillId="0" borderId="5" xfId="0" applyFont="1" applyBorder="1" applyAlignment="1">
      <alignment horizontal="center"/>
    </xf>
    <xf numFmtId="0" fontId="1" fillId="0" borderId="0" xfId="4" applyFont="1"/>
    <xf numFmtId="167" fontId="35" fillId="0" borderId="29" xfId="8" applyNumberFormat="1" applyFont="1" applyBorder="1" applyAlignment="1">
      <alignment horizontal="center" wrapText="1"/>
    </xf>
    <xf numFmtId="0" fontId="53" fillId="3" borderId="37" xfId="12" applyFont="1" applyFill="1" applyBorder="1" applyAlignment="1">
      <alignment horizontal="center" vertical="top" wrapText="1"/>
    </xf>
    <xf numFmtId="0" fontId="53" fillId="3" borderId="37" xfId="12" applyFont="1" applyFill="1" applyBorder="1" applyAlignment="1">
      <alignment horizontal="center" vertical="top" wrapText="1"/>
    </xf>
    <xf numFmtId="0" fontId="53" fillId="3" borderId="38" xfId="12" applyFont="1" applyFill="1" applyBorder="1" applyAlignment="1">
      <alignment horizontal="center" vertical="top" wrapText="1"/>
    </xf>
    <xf numFmtId="0" fontId="9" fillId="0" borderId="0" xfId="12" quotePrefix="1" applyFont="1"/>
    <xf numFmtId="0" fontId="1" fillId="0" borderId="0" xfId="12"/>
    <xf numFmtId="0" fontId="53" fillId="3" borderId="37" xfId="12" applyFont="1" applyFill="1" applyBorder="1" applyAlignment="1">
      <alignment horizontal="left" vertical="center" textRotation="90" wrapText="1"/>
    </xf>
    <xf numFmtId="0" fontId="53" fillId="3" borderId="37" xfId="12" applyFont="1" applyFill="1" applyBorder="1" applyAlignment="1">
      <alignment horizontal="left" vertical="top"/>
    </xf>
    <xf numFmtId="0" fontId="54" fillId="3" borderId="37" xfId="12" applyFont="1" applyFill="1" applyBorder="1" applyAlignment="1">
      <alignment vertical="top" wrapText="1"/>
    </xf>
    <xf numFmtId="171" fontId="1" fillId="0" borderId="0" xfId="12" applyNumberFormat="1"/>
    <xf numFmtId="0" fontId="53" fillId="3" borderId="39" xfId="12" applyFont="1" applyFill="1" applyBorder="1" applyAlignment="1">
      <alignment horizontal="left" vertical="center"/>
    </xf>
    <xf numFmtId="0" fontId="53" fillId="3" borderId="40" xfId="12" applyFont="1" applyFill="1" applyBorder="1" applyAlignment="1">
      <alignment horizontal="left" vertical="center"/>
    </xf>
    <xf numFmtId="0" fontId="53" fillId="3" borderId="39" xfId="12" applyFont="1" applyFill="1" applyBorder="1" applyAlignment="1">
      <alignment horizontal="left" vertical="center" wrapText="1"/>
    </xf>
    <xf numFmtId="0" fontId="53" fillId="3" borderId="40" xfId="12" applyFont="1" applyFill="1" applyBorder="1" applyAlignment="1">
      <alignment horizontal="left" vertical="center" wrapText="1"/>
    </xf>
    <xf numFmtId="0" fontId="1" fillId="0" borderId="0" xfId="12" applyAlignment="1">
      <alignment horizontal="left" vertical="center" textRotation="90"/>
    </xf>
    <xf numFmtId="0" fontId="1" fillId="0" borderId="0" xfId="12" applyAlignment="1">
      <alignment horizontal="left"/>
    </xf>
  </cellXfs>
  <cellStyles count="13">
    <cellStyle name="Comma" xfId="8" builtinId="3"/>
    <cellStyle name="Comma 2" xfId="3"/>
    <cellStyle name="Comma 3" xfId="6"/>
    <cellStyle name="Currency" xfId="9" builtinId="4"/>
    <cellStyle name="Normal" xfId="0" builtinId="0"/>
    <cellStyle name="Normal 100" xfId="1"/>
    <cellStyle name="Normal 2" xfId="4"/>
    <cellStyle name="Normal 3" xfId="2"/>
    <cellStyle name="Normal 4" xfId="5"/>
    <cellStyle name="Normal 5" xfId="7"/>
    <cellStyle name="Normal 6" xfId="11"/>
    <cellStyle name="Normal 7" xfId="12"/>
    <cellStyle name="Percent" xfId="10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3.xml"/><Relationship Id="rId13" Type="http://schemas.openxmlformats.org/officeDocument/2006/relationships/worksheet" Target="worksheets/sheet6.xml"/><Relationship Id="rId18" Type="http://schemas.openxmlformats.org/officeDocument/2006/relationships/worksheet" Target="worksheets/sheet11.xml"/><Relationship Id="rId26" Type="http://schemas.openxmlformats.org/officeDocument/2006/relationships/worksheet" Target="worksheets/sheet1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14.xml"/><Relationship Id="rId7" Type="http://schemas.openxmlformats.org/officeDocument/2006/relationships/chartsheet" Target="chartsheets/sheet2.xml"/><Relationship Id="rId12" Type="http://schemas.openxmlformats.org/officeDocument/2006/relationships/chartsheet" Target="chartsheets/sheet7.xml"/><Relationship Id="rId17" Type="http://schemas.openxmlformats.org/officeDocument/2006/relationships/worksheet" Target="worksheets/sheet10.xml"/><Relationship Id="rId25" Type="http://schemas.openxmlformats.org/officeDocument/2006/relationships/worksheet" Target="worksheets/sheet1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9.xml"/><Relationship Id="rId20" Type="http://schemas.openxmlformats.org/officeDocument/2006/relationships/worksheet" Target="worksheets/sheet13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1.xml"/><Relationship Id="rId11" Type="http://schemas.openxmlformats.org/officeDocument/2006/relationships/chartsheet" Target="chartsheets/sheet6.xml"/><Relationship Id="rId24" Type="http://schemas.openxmlformats.org/officeDocument/2006/relationships/worksheet" Target="worksheets/sheet17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8.xml"/><Relationship Id="rId23" Type="http://schemas.openxmlformats.org/officeDocument/2006/relationships/worksheet" Target="worksheets/sheet16.xml"/><Relationship Id="rId28" Type="http://schemas.openxmlformats.org/officeDocument/2006/relationships/externalLink" Target="externalLinks/externalLink2.xml"/><Relationship Id="rId10" Type="http://schemas.openxmlformats.org/officeDocument/2006/relationships/chartsheet" Target="chartsheets/sheet5.xml"/><Relationship Id="rId19" Type="http://schemas.openxmlformats.org/officeDocument/2006/relationships/worksheet" Target="worksheets/sheet12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4.xml"/><Relationship Id="rId14" Type="http://schemas.openxmlformats.org/officeDocument/2006/relationships/worksheet" Target="worksheets/sheet7.xml"/><Relationship Id="rId22" Type="http://schemas.openxmlformats.org/officeDocument/2006/relationships/worksheet" Target="worksheets/sheet15.xml"/><Relationship Id="rId27" Type="http://schemas.openxmlformats.org/officeDocument/2006/relationships/externalLink" Target="externalLinks/externalLink1.xml"/><Relationship Id="rId3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'Colleges FYES'!$A$34</c:f>
              <c:strCache>
                <c:ptCount val="1"/>
                <c:pt idx="0">
                  <c:v>Difference</c:v>
                </c:pt>
              </c:strCache>
            </c:strRef>
          </c:tx>
          <c:invertIfNegative val="0"/>
          <c:val>
            <c:numRef>
              <c:f>'Colleges FYES'!$B$34:$I$34</c:f>
              <c:numCache>
                <c:formatCode>0.0%</c:formatCode>
                <c:ptCount val="8"/>
                <c:pt idx="0">
                  <c:v>8.2494726208326551E-3</c:v>
                </c:pt>
                <c:pt idx="1">
                  <c:v>1.6440244222776679E-2</c:v>
                </c:pt>
                <c:pt idx="2">
                  <c:v>5.2826976696046524E-4</c:v>
                </c:pt>
                <c:pt idx="3">
                  <c:v>7.6905797382501279E-2</c:v>
                </c:pt>
                <c:pt idx="4">
                  <c:v>-3.6298737437022943E-2</c:v>
                </c:pt>
                <c:pt idx="5">
                  <c:v>1.5633757498585692E-2</c:v>
                </c:pt>
                <c:pt idx="6">
                  <c:v>9.3152917638912175E-3</c:v>
                </c:pt>
                <c:pt idx="7">
                  <c:v>1.3585502123631077E-2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5309952"/>
        <c:axId val="345311488"/>
      </c:barChart>
      <c:catAx>
        <c:axId val="345309952"/>
        <c:scaling>
          <c:orientation val="minMax"/>
        </c:scaling>
        <c:delete val="0"/>
        <c:axPos val="b"/>
        <c:majorTickMark val="out"/>
        <c:minorTickMark val="none"/>
        <c:tickLblPos val="nextTo"/>
        <c:crossAx val="345311488"/>
        <c:crosses val="autoZero"/>
        <c:auto val="1"/>
        <c:lblAlgn val="ctr"/>
        <c:lblOffset val="100"/>
        <c:noMultiLvlLbl val="0"/>
      </c:catAx>
      <c:valAx>
        <c:axId val="345311488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3453099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600" b="1" i="0" u="none" strike="noStrike" baseline="0">
                <a:solidFill>
                  <a:srgbClr val="000000"/>
                </a:solidFill>
                <a:latin typeface="+mn-lt"/>
                <a:ea typeface="Verdana"/>
                <a:cs typeface="Verdana"/>
              </a:defRPr>
            </a:pPr>
            <a:r>
              <a:rPr lang="en-US" sz="1600">
                <a:latin typeface="+mn-lt"/>
              </a:rPr>
              <a:t>Figure FYES2: Rate of growth in Fiscal Year Equated Students</a:t>
            </a:r>
          </a:p>
          <a:p>
            <a:pPr algn="l">
              <a:defRPr sz="1600" b="1" i="0" u="none" strike="noStrike" baseline="0">
                <a:solidFill>
                  <a:srgbClr val="000000"/>
                </a:solidFill>
                <a:latin typeface="+mn-lt"/>
                <a:ea typeface="Verdana"/>
                <a:cs typeface="Verdana"/>
              </a:defRPr>
            </a:pPr>
            <a:r>
              <a:rPr lang="en-US" sz="1600">
                <a:latin typeface="+mn-lt"/>
              </a:rPr>
              <a:t>relative to FYES 1977.</a:t>
            </a:r>
          </a:p>
        </c:rich>
      </c:tx>
      <c:layout>
        <c:manualLayout>
          <c:xMode val="edge"/>
          <c:yMode val="edge"/>
          <c:x val="0.23307436182019978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3229744728079905E-2"/>
          <c:y val="0.1729200652528548"/>
          <c:w val="0.89456159822419534"/>
          <c:h val="0.71778140293637849"/>
        </c:manualLayout>
      </c:layout>
      <c:lineChart>
        <c:grouping val="standard"/>
        <c:varyColors val="0"/>
        <c:ser>
          <c:idx val="9"/>
          <c:order val="0"/>
          <c:tx>
            <c:v>Big3</c:v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square"/>
            <c:size val="7"/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strRef>
              <c:f>[2]FYES!$E$21:$AP$21</c:f>
              <c:strCache>
                <c:ptCount val="38"/>
                <c:pt idx="0">
                  <c:v>77</c:v>
                </c:pt>
                <c:pt idx="1">
                  <c:v>78</c:v>
                </c:pt>
                <c:pt idx="2">
                  <c:v>79</c:v>
                </c:pt>
                <c:pt idx="3">
                  <c:v>80</c:v>
                </c:pt>
                <c:pt idx="4">
                  <c:v>81</c:v>
                </c:pt>
                <c:pt idx="5">
                  <c:v>82</c:v>
                </c:pt>
                <c:pt idx="6">
                  <c:v>83</c:v>
                </c:pt>
                <c:pt idx="7">
                  <c:v>84</c:v>
                </c:pt>
                <c:pt idx="8">
                  <c:v>85</c:v>
                </c:pt>
                <c:pt idx="9">
                  <c:v>86</c:v>
                </c:pt>
                <c:pt idx="10">
                  <c:v>87</c:v>
                </c:pt>
                <c:pt idx="11">
                  <c:v>88</c:v>
                </c:pt>
                <c:pt idx="12">
                  <c:v>89</c:v>
                </c:pt>
                <c:pt idx="13">
                  <c:v>90</c:v>
                </c:pt>
                <c:pt idx="14">
                  <c:v>91</c:v>
                </c:pt>
                <c:pt idx="15">
                  <c:v>92</c:v>
                </c:pt>
                <c:pt idx="16">
                  <c:v>93</c:v>
                </c:pt>
                <c:pt idx="17">
                  <c:v>94</c:v>
                </c:pt>
                <c:pt idx="18">
                  <c:v>95</c:v>
                </c:pt>
                <c:pt idx="19">
                  <c:v>96</c:v>
                </c:pt>
                <c:pt idx="20">
                  <c:v>97</c:v>
                </c:pt>
                <c:pt idx="21">
                  <c:v>98</c:v>
                </c:pt>
                <c:pt idx="22">
                  <c:v>99</c:v>
                </c:pt>
                <c:pt idx="23">
                  <c:v>00</c:v>
                </c:pt>
                <c:pt idx="24">
                  <c:v>01</c:v>
                </c:pt>
                <c:pt idx="25">
                  <c:v>02</c:v>
                </c:pt>
                <c:pt idx="26">
                  <c:v>03</c:v>
                </c:pt>
                <c:pt idx="27">
                  <c:v>04</c:v>
                </c:pt>
                <c:pt idx="28">
                  <c:v>05</c:v>
                </c:pt>
                <c:pt idx="29">
                  <c:v>06</c:v>
                </c:pt>
                <c:pt idx="30">
                  <c:v>07</c:v>
                </c:pt>
                <c:pt idx="31">
                  <c:v>08</c:v>
                </c:pt>
                <c:pt idx="32">
                  <c:v>09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13</c:v>
                </c:pt>
                <c:pt idx="37">
                  <c:v>14</c:v>
                </c:pt>
              </c:strCache>
            </c:strRef>
          </c:cat>
          <c:val>
            <c:numRef>
              <c:f>[2]FYES!$E$32:$AP$32</c:f>
              <c:numCache>
                <c:formatCode>General</c:formatCode>
                <c:ptCount val="38"/>
                <c:pt idx="0">
                  <c:v>1</c:v>
                </c:pt>
                <c:pt idx="1">
                  <c:v>0.99079551402908195</c:v>
                </c:pt>
                <c:pt idx="2">
                  <c:v>0.95504177610601326</c:v>
                </c:pt>
                <c:pt idx="3">
                  <c:v>0.9590935411098197</c:v>
                </c:pt>
                <c:pt idx="4">
                  <c:v>0.96343189436999255</c:v>
                </c:pt>
                <c:pt idx="5">
                  <c:v>0.92374374439292262</c:v>
                </c:pt>
                <c:pt idx="6">
                  <c:v>0.89422947751687343</c:v>
                </c:pt>
                <c:pt idx="7">
                  <c:v>0.87564416732677719</c:v>
                </c:pt>
                <c:pt idx="8">
                  <c:v>0.86708666669754875</c:v>
                </c:pt>
                <c:pt idx="9">
                  <c:v>0.85968447497680001</c:v>
                </c:pt>
                <c:pt idx="10">
                  <c:v>0.86865981387204516</c:v>
                </c:pt>
                <c:pt idx="11">
                  <c:v>0.88077280005682346</c:v>
                </c:pt>
                <c:pt idx="12">
                  <c:v>0.89375883042344328</c:v>
                </c:pt>
                <c:pt idx="13">
                  <c:v>0.91121878758961661</c:v>
                </c:pt>
                <c:pt idx="14">
                  <c:v>0.92191828837634471</c:v>
                </c:pt>
                <c:pt idx="15">
                  <c:v>0.91803483220844351</c:v>
                </c:pt>
                <c:pt idx="16">
                  <c:v>0.91148622878575236</c:v>
                </c:pt>
                <c:pt idx="17">
                  <c:v>0.89016844780650328</c:v>
                </c:pt>
                <c:pt idx="18">
                  <c:v>0.88530385921351906</c:v>
                </c:pt>
                <c:pt idx="19">
                  <c:v>0.88783559469379392</c:v>
                </c:pt>
                <c:pt idx="20">
                  <c:v>0.89123913906170127</c:v>
                </c:pt>
                <c:pt idx="21">
                  <c:v>0.91278915535214389</c:v>
                </c:pt>
                <c:pt idx="22">
                  <c:v>0.92253315606861441</c:v>
                </c:pt>
                <c:pt idx="23">
                  <c:v>0.92354300908404474</c:v>
                </c:pt>
                <c:pt idx="24">
                  <c:v>0.92551639158208765</c:v>
                </c:pt>
                <c:pt idx="25">
                  <c:v>0.9513741876010432</c:v>
                </c:pt>
                <c:pt idx="26">
                  <c:v>0.96298286492521068</c:v>
                </c:pt>
                <c:pt idx="27">
                  <c:v>0.9739967480879963</c:v>
                </c:pt>
                <c:pt idx="28">
                  <c:v>0.98298536639598311</c:v>
                </c:pt>
                <c:pt idx="29">
                  <c:v>0.99788301455022166</c:v>
                </c:pt>
                <c:pt idx="30">
                  <c:v>1.0077490932168451</c:v>
                </c:pt>
                <c:pt idx="31">
                  <c:v>1.0104274272373108</c:v>
                </c:pt>
                <c:pt idx="32">
                  <c:v>1.0104274272373108</c:v>
                </c:pt>
                <c:pt idx="33">
                  <c:v>1.0153951628967033</c:v>
                </c:pt>
                <c:pt idx="34">
                  <c:v>1.0316621346810393</c:v>
                </c:pt>
                <c:pt idx="35">
                  <c:v>1.0290216933104184</c:v>
                </c:pt>
                <c:pt idx="36">
                  <c:v>1.0332855892121759</c:v>
                </c:pt>
                <c:pt idx="37">
                  <c:v>1.0423628707619759</c:v>
                </c:pt>
              </c:numCache>
            </c:numRef>
          </c:val>
          <c:smooth val="0"/>
        </c:ser>
        <c:ser>
          <c:idx val="0"/>
          <c:order val="1"/>
          <c:tx>
            <c:v>GVSU</c:v>
          </c:tx>
          <c:val>
            <c:numRef>
              <c:f>[2]FYES!$E$35:$AP$35</c:f>
              <c:numCache>
                <c:formatCode>General</c:formatCode>
                <c:ptCount val="38"/>
                <c:pt idx="0">
                  <c:v>1</c:v>
                </c:pt>
                <c:pt idx="1">
                  <c:v>0.95124757656479042</c:v>
                </c:pt>
                <c:pt idx="2">
                  <c:v>0.88463134887484307</c:v>
                </c:pt>
                <c:pt idx="3">
                  <c:v>0.87496387833698497</c:v>
                </c:pt>
                <c:pt idx="4">
                  <c:v>0.7862753442722864</c:v>
                </c:pt>
                <c:pt idx="5">
                  <c:v>0.7862333117916871</c:v>
                </c:pt>
                <c:pt idx="6">
                  <c:v>0.73672430370568853</c:v>
                </c:pt>
                <c:pt idx="7">
                  <c:v>0.8226544562310526</c:v>
                </c:pt>
                <c:pt idx="8">
                  <c:v>0.88598689637417305</c:v>
                </c:pt>
                <c:pt idx="9">
                  <c:v>0.94000388800445545</c:v>
                </c:pt>
                <c:pt idx="10">
                  <c:v>1.0227395720042662</c:v>
                </c:pt>
                <c:pt idx="11">
                  <c:v>1.106499797718687</c:v>
                </c:pt>
                <c:pt idx="12">
                  <c:v>1.1925507936257742</c:v>
                </c:pt>
                <c:pt idx="13">
                  <c:v>1.3253103835989262</c:v>
                </c:pt>
                <c:pt idx="14">
                  <c:v>1.4573133889212888</c:v>
                </c:pt>
                <c:pt idx="15">
                  <c:v>1.5588691161094734</c:v>
                </c:pt>
                <c:pt idx="16">
                  <c:v>1.6270930861823474</c:v>
                </c:pt>
                <c:pt idx="17">
                  <c:v>1.6532477972353137</c:v>
                </c:pt>
                <c:pt idx="18">
                  <c:v>1.6674337594376054</c:v>
                </c:pt>
                <c:pt idx="19">
                  <c:v>1.751398893494948</c:v>
                </c:pt>
                <c:pt idx="20">
                  <c:v>1.8661370574111145</c:v>
                </c:pt>
                <c:pt idx="21">
                  <c:v>2.0159198020270166</c:v>
                </c:pt>
                <c:pt idx="22">
                  <c:v>2.1516952224831738</c:v>
                </c:pt>
                <c:pt idx="23">
                  <c:v>2.281890831139763</c:v>
                </c:pt>
                <c:pt idx="24">
                  <c:v>2.4450293964661189</c:v>
                </c:pt>
                <c:pt idx="25">
                  <c:v>2.6447362199139386</c:v>
                </c:pt>
                <c:pt idx="26">
                  <c:v>2.7687530539224183</c:v>
                </c:pt>
                <c:pt idx="27">
                  <c:v>2.918367668615923</c:v>
                </c:pt>
                <c:pt idx="28">
                  <c:v>3.057862963605126</c:v>
                </c:pt>
                <c:pt idx="29">
                  <c:v>3.1502135775420457</c:v>
                </c:pt>
                <c:pt idx="30">
                  <c:v>3.2678152041990449</c:v>
                </c:pt>
                <c:pt idx="31">
                  <c:v>3.3023343788912882</c:v>
                </c:pt>
                <c:pt idx="32">
                  <c:v>3.3023343788912882</c:v>
                </c:pt>
                <c:pt idx="33">
                  <c:v>3.4073104991882475</c:v>
                </c:pt>
                <c:pt idx="34">
                  <c:v>3.5107104014627302</c:v>
                </c:pt>
                <c:pt idx="35">
                  <c:v>3.5318317229639202</c:v>
                </c:pt>
                <c:pt idx="36">
                  <c:v>3.5223744148290592</c:v>
                </c:pt>
                <c:pt idx="37">
                  <c:v>3.5103951578582349</c:v>
                </c:pt>
              </c:numCache>
            </c:numRef>
          </c:val>
          <c:smooth val="0"/>
        </c:ser>
        <c:ser>
          <c:idx val="1"/>
          <c:order val="2"/>
          <c:tx>
            <c:v>Smaller 12 Universities</c:v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7"/>
            <c:spPr>
              <a:noFill/>
              <a:ln>
                <a:solidFill>
                  <a:schemeClr val="accent4"/>
                </a:solidFill>
              </a:ln>
            </c:spPr>
          </c:marker>
          <c:val>
            <c:numRef>
              <c:f>[2]FYES!$E$33:$AP$33</c:f>
              <c:numCache>
                <c:formatCode>General</c:formatCode>
                <c:ptCount val="38"/>
                <c:pt idx="0">
                  <c:v>1</c:v>
                </c:pt>
                <c:pt idx="1">
                  <c:v>0.99590498130728677</c:v>
                </c:pt>
                <c:pt idx="2">
                  <c:v>0.98910169943593995</c:v>
                </c:pt>
                <c:pt idx="3">
                  <c:v>1.0177445505314358</c:v>
                </c:pt>
                <c:pt idx="4">
                  <c:v>1.036797240875327</c:v>
                </c:pt>
                <c:pt idx="5">
                  <c:v>1.0176646617010401</c:v>
                </c:pt>
                <c:pt idx="6">
                  <c:v>0.98975545105997509</c:v>
                </c:pt>
                <c:pt idx="7">
                  <c:v>0.98214627867642978</c:v>
                </c:pt>
                <c:pt idx="8">
                  <c:v>0.97045609201665517</c:v>
                </c:pt>
                <c:pt idx="9">
                  <c:v>0.98729958566024134</c:v>
                </c:pt>
                <c:pt idx="10">
                  <c:v>1.0274496111546449</c:v>
                </c:pt>
                <c:pt idx="11">
                  <c:v>1.0579607787219441</c:v>
                </c:pt>
                <c:pt idx="12">
                  <c:v>1.0801183118567117</c:v>
                </c:pt>
                <c:pt idx="13">
                  <c:v>1.1116661245259982</c:v>
                </c:pt>
                <c:pt idx="14">
                  <c:v>1.1376459085142396</c:v>
                </c:pt>
                <c:pt idx="15">
                  <c:v>1.1811219829235238</c:v>
                </c:pt>
                <c:pt idx="16">
                  <c:v>1.1732947872379027</c:v>
                </c:pt>
                <c:pt idx="17">
                  <c:v>1.1417207799441478</c:v>
                </c:pt>
                <c:pt idx="18">
                  <c:v>1.1060704052941788</c:v>
                </c:pt>
                <c:pt idx="19">
                  <c:v>1.119559841189917</c:v>
                </c:pt>
                <c:pt idx="20">
                  <c:v>1.1328691293645241</c:v>
                </c:pt>
                <c:pt idx="21">
                  <c:v>1.1571231873033414</c:v>
                </c:pt>
                <c:pt idx="22">
                  <c:v>1.184840473782141</c:v>
                </c:pt>
                <c:pt idx="23">
                  <c:v>1.2249535785421783</c:v>
                </c:pt>
                <c:pt idx="24">
                  <c:v>1.2675683813377145</c:v>
                </c:pt>
                <c:pt idx="25">
                  <c:v>1.3226248350502536</c:v>
                </c:pt>
                <c:pt idx="26">
                  <c:v>1.3583991169578844</c:v>
                </c:pt>
                <c:pt idx="27">
                  <c:v>1.3796169537465952</c:v>
                </c:pt>
                <c:pt idx="28">
                  <c:v>1.3743093435557086</c:v>
                </c:pt>
                <c:pt idx="29">
                  <c:v>1.3875085697480416</c:v>
                </c:pt>
                <c:pt idx="30">
                  <c:v>1.3808232114291314</c:v>
                </c:pt>
                <c:pt idx="31">
                  <c:v>1.3841856081704311</c:v>
                </c:pt>
                <c:pt idx="32">
                  <c:v>1.386142566232933</c:v>
                </c:pt>
                <c:pt idx="33">
                  <c:v>1.4088737393638049</c:v>
                </c:pt>
                <c:pt idx="34">
                  <c:v>1.4443104830059588</c:v>
                </c:pt>
                <c:pt idx="35">
                  <c:v>1.4688789719230546</c:v>
                </c:pt>
                <c:pt idx="36">
                  <c:v>1.4645956256568549</c:v>
                </c:pt>
                <c:pt idx="37">
                  <c:v>1.444759260897823</c:v>
                </c:pt>
              </c:numCache>
            </c:numRef>
          </c:val>
          <c:smooth val="0"/>
        </c:ser>
        <c:ser>
          <c:idx val="2"/>
          <c:order val="3"/>
          <c:tx>
            <c:v>Smaller 11 Universities (ex GVSU)</c:v>
          </c:tx>
          <c:spPr>
            <a:ln w="25400" cmpd="sng">
              <a:solidFill>
                <a:srgbClr val="FF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dPt>
            <c:idx val="2"/>
            <c:marker>
              <c:spPr>
                <a:solidFill>
                  <a:srgbClr val="FF0000"/>
                </a:solidFill>
                <a:ln cmpd="sng">
                  <a:solidFill>
                    <a:srgbClr val="FF0000"/>
                  </a:solidFill>
                  <a:prstDash val="solid"/>
                </a:ln>
              </c:spPr>
            </c:marker>
            <c:bubble3D val="0"/>
          </c:dPt>
          <c:cat>
            <c:strRef>
              <c:f>[2]FYES!$E$21:$AP$21</c:f>
              <c:strCache>
                <c:ptCount val="38"/>
                <c:pt idx="0">
                  <c:v>77</c:v>
                </c:pt>
                <c:pt idx="1">
                  <c:v>78</c:v>
                </c:pt>
                <c:pt idx="2">
                  <c:v>79</c:v>
                </c:pt>
                <c:pt idx="3">
                  <c:v>80</c:v>
                </c:pt>
                <c:pt idx="4">
                  <c:v>81</c:v>
                </c:pt>
                <c:pt idx="5">
                  <c:v>82</c:v>
                </c:pt>
                <c:pt idx="6">
                  <c:v>83</c:v>
                </c:pt>
                <c:pt idx="7">
                  <c:v>84</c:v>
                </c:pt>
                <c:pt idx="8">
                  <c:v>85</c:v>
                </c:pt>
                <c:pt idx="9">
                  <c:v>86</c:v>
                </c:pt>
                <c:pt idx="10">
                  <c:v>87</c:v>
                </c:pt>
                <c:pt idx="11">
                  <c:v>88</c:v>
                </c:pt>
                <c:pt idx="12">
                  <c:v>89</c:v>
                </c:pt>
                <c:pt idx="13">
                  <c:v>90</c:v>
                </c:pt>
                <c:pt idx="14">
                  <c:v>91</c:v>
                </c:pt>
                <c:pt idx="15">
                  <c:v>92</c:v>
                </c:pt>
                <c:pt idx="16">
                  <c:v>93</c:v>
                </c:pt>
                <c:pt idx="17">
                  <c:v>94</c:v>
                </c:pt>
                <c:pt idx="18">
                  <c:v>95</c:v>
                </c:pt>
                <c:pt idx="19">
                  <c:v>96</c:v>
                </c:pt>
                <c:pt idx="20">
                  <c:v>97</c:v>
                </c:pt>
                <c:pt idx="21">
                  <c:v>98</c:v>
                </c:pt>
                <c:pt idx="22">
                  <c:v>99</c:v>
                </c:pt>
                <c:pt idx="23">
                  <c:v>00</c:v>
                </c:pt>
                <c:pt idx="24">
                  <c:v>01</c:v>
                </c:pt>
                <c:pt idx="25">
                  <c:v>02</c:v>
                </c:pt>
                <c:pt idx="26">
                  <c:v>03</c:v>
                </c:pt>
                <c:pt idx="27">
                  <c:v>04</c:v>
                </c:pt>
                <c:pt idx="28">
                  <c:v>05</c:v>
                </c:pt>
                <c:pt idx="29">
                  <c:v>06</c:v>
                </c:pt>
                <c:pt idx="30">
                  <c:v>07</c:v>
                </c:pt>
                <c:pt idx="31">
                  <c:v>08</c:v>
                </c:pt>
                <c:pt idx="32">
                  <c:v>09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13</c:v>
                </c:pt>
                <c:pt idx="37">
                  <c:v>14</c:v>
                </c:pt>
              </c:strCache>
            </c:strRef>
          </c:cat>
          <c:val>
            <c:numRef>
              <c:f>[2]FYES!$E$34:$AP$34</c:f>
              <c:numCache>
                <c:formatCode>General</c:formatCode>
                <c:ptCount val="38"/>
                <c:pt idx="0">
                  <c:v>1</c:v>
                </c:pt>
                <c:pt idx="1">
                  <c:v>0.99878470098799388</c:v>
                </c:pt>
                <c:pt idx="2">
                  <c:v>0.99583843943003236</c:v>
                </c:pt>
                <c:pt idx="3">
                  <c:v>1.0269517204087226</c:v>
                </c:pt>
                <c:pt idx="4">
                  <c:v>1.0529520720898977</c:v>
                </c:pt>
                <c:pt idx="5">
                  <c:v>1.0325884445968323</c:v>
                </c:pt>
                <c:pt idx="6">
                  <c:v>1.0060720905751819</c:v>
                </c:pt>
                <c:pt idx="7">
                  <c:v>0.99243106218895472</c:v>
                </c:pt>
                <c:pt idx="8">
                  <c:v>0.97590306338697452</c:v>
                </c:pt>
                <c:pt idx="9">
                  <c:v>0.9903494348876537</c:v>
                </c:pt>
                <c:pt idx="10">
                  <c:v>1.0277533366513789</c:v>
                </c:pt>
                <c:pt idx="11">
                  <c:v>1.0548307542815827</c:v>
                </c:pt>
                <c:pt idx="12">
                  <c:v>1.0728681361609222</c:v>
                </c:pt>
                <c:pt idx="13">
                  <c:v>1.0978893369793434</c:v>
                </c:pt>
                <c:pt idx="14">
                  <c:v>1.1170322445559722</c:v>
                </c:pt>
                <c:pt idx="15">
                  <c:v>1.1567630695464772</c:v>
                </c:pt>
                <c:pt idx="16">
                  <c:v>1.1440317366849886</c:v>
                </c:pt>
                <c:pt idx="17">
                  <c:v>1.1087351098766509</c:v>
                </c:pt>
                <c:pt idx="18">
                  <c:v>1.0698710536239255</c:v>
                </c:pt>
                <c:pt idx="19">
                  <c:v>1.0788158847407301</c:v>
                </c:pt>
                <c:pt idx="20">
                  <c:v>1.0855845615352273</c:v>
                </c:pt>
                <c:pt idx="21">
                  <c:v>1.1017439388359356</c:v>
                </c:pt>
                <c:pt idx="22">
                  <c:v>1.1224931281566182</c:v>
                </c:pt>
                <c:pt idx="23">
                  <c:v>1.1567972890056946</c:v>
                </c:pt>
                <c:pt idx="24">
                  <c:v>1.1916401522325488</c:v>
                </c:pt>
                <c:pt idx="25">
                  <c:v>1.2373688691688434</c:v>
                </c:pt>
                <c:pt idx="26">
                  <c:v>1.2674528559187979</c:v>
                </c:pt>
                <c:pt idx="27">
                  <c:v>1.2803910640456144</c:v>
                </c:pt>
                <c:pt idx="28">
                  <c:v>1.2657458808749475</c:v>
                </c:pt>
                <c:pt idx="29">
                  <c:v>1.2738410529835813</c:v>
                </c:pt>
                <c:pt idx="30">
                  <c:v>1.259141084797514</c:v>
                </c:pt>
                <c:pt idx="31">
                  <c:v>1.2604943458272759</c:v>
                </c:pt>
                <c:pt idx="32">
                  <c:v>1.262577497757948</c:v>
                </c:pt>
                <c:pt idx="33">
                  <c:v>1.2800051295308175</c:v>
                </c:pt>
                <c:pt idx="34">
                  <c:v>1.3110592887705628</c:v>
                </c:pt>
                <c:pt idx="35">
                  <c:v>1.3358500672700362</c:v>
                </c:pt>
                <c:pt idx="36">
                  <c:v>1.3319003624213421</c:v>
                </c:pt>
                <c:pt idx="37">
                  <c:v>1.3115573343651123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6807808"/>
        <c:axId val="348586368"/>
      </c:lineChart>
      <c:catAx>
        <c:axId val="356807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State Fiscal Year</a:t>
                </a:r>
              </a:p>
            </c:rich>
          </c:tx>
          <c:layout>
            <c:manualLayout>
              <c:xMode val="edge"/>
              <c:yMode val="edge"/>
              <c:x val="0.46059933407325193"/>
              <c:y val="0.9412724306688418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3485863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48586368"/>
        <c:scaling>
          <c:orientation val="minMax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ysDash"/>
            </a:ln>
          </c:spPr>
        </c:majorGridlines>
        <c:numFmt formatCode="General" sourceLinked="1"/>
        <c:majorTickMark val="out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35680780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19459037620297462"/>
          <c:y val="0.11801672350812804"/>
          <c:w val="0.80540962379702541"/>
          <c:h val="3.951500009513095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>
              <a:defRPr sz="1600" b="1" i="0" u="none" strike="noStrike" baseline="0">
                <a:solidFill>
                  <a:srgbClr val="000000"/>
                </a:solidFill>
                <a:latin typeface="+mn-lt"/>
                <a:ea typeface="Verdana"/>
                <a:cs typeface="Verdana"/>
              </a:defRPr>
            </a:pPr>
            <a:r>
              <a:rPr lang="en-US" sz="1600">
                <a:latin typeface="+mn-lt"/>
              </a:rPr>
              <a:t>Figure Administrative/Professional FTE per FYES: FTE relative to Fiscal Year Equated Students.</a:t>
            </a:r>
          </a:p>
        </c:rich>
      </c:tx>
      <c:layout/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3229744728079905E-2"/>
          <c:y val="0.1729200652528548"/>
          <c:w val="0.89456159822419534"/>
          <c:h val="0.71778140293637849"/>
        </c:manualLayout>
      </c:layout>
      <c:lineChart>
        <c:grouping val="standard"/>
        <c:varyColors val="0"/>
        <c:ser>
          <c:idx val="0"/>
          <c:order val="0"/>
          <c:tx>
            <c:v>GVSU</c:v>
          </c:tx>
          <c:val>
            <c:numRef>
              <c:f>'FYES per'!$C$5:$AL$5</c:f>
              <c:numCache>
                <c:formatCode>0</c:formatCode>
                <c:ptCount val="36"/>
                <c:pt idx="0">
                  <c:v>57.027415730337083</c:v>
                </c:pt>
                <c:pt idx="1">
                  <c:v>46.358887693962203</c:v>
                </c:pt>
                <c:pt idx="2">
                  <c:v>42.705575001268201</c:v>
                </c:pt>
                <c:pt idx="3">
                  <c:v>46.741607724261819</c:v>
                </c:pt>
                <c:pt idx="4">
                  <c:v>45.110930246578647</c:v>
                </c:pt>
                <c:pt idx="5">
                  <c:v>55.031994704324802</c:v>
                </c:pt>
                <c:pt idx="6">
                  <c:v>51.492783959457974</c:v>
                </c:pt>
                <c:pt idx="7">
                  <c:v>56.283475322621229</c:v>
                </c:pt>
                <c:pt idx="8">
                  <c:v>55.324475065616795</c:v>
                </c:pt>
                <c:pt idx="9">
                  <c:v>51.199061355311358</c:v>
                </c:pt>
                <c:pt idx="10">
                  <c:v>54.941292689810894</c:v>
                </c:pt>
                <c:pt idx="11">
                  <c:v>56.43967411695342</c:v>
                </c:pt>
                <c:pt idx="12">
                  <c:v>60.858268983268985</c:v>
                </c:pt>
                <c:pt idx="13">
                  <c:v>63.761027274335845</c:v>
                </c:pt>
                <c:pt idx="14">
                  <c:v>66.395930580490727</c:v>
                </c:pt>
                <c:pt idx="15">
                  <c:v>66.206542598295172</c:v>
                </c:pt>
                <c:pt idx="16">
                  <c:v>68.974787295647914</c:v>
                </c:pt>
                <c:pt idx="17">
                  <c:v>64.585591133004925</c:v>
                </c:pt>
                <c:pt idx="18">
                  <c:v>62.803965803847071</c:v>
                </c:pt>
                <c:pt idx="19">
                  <c:v>63.730427301405221</c:v>
                </c:pt>
                <c:pt idx="20">
                  <c:v>60.801835113667494</c:v>
                </c:pt>
                <c:pt idx="21">
                  <c:v>59.683606327873449</c:v>
                </c:pt>
                <c:pt idx="22">
                  <c:v>56.153846153846153</c:v>
                </c:pt>
                <c:pt idx="23">
                  <c:v>49.25825110581831</c:v>
                </c:pt>
                <c:pt idx="24">
                  <c:v>48.887488181531673</c:v>
                </c:pt>
                <c:pt idx="25">
                  <c:v>47.358171041490259</c:v>
                </c:pt>
                <c:pt idx="26">
                  <c:v>48.404519151281349</c:v>
                </c:pt>
                <c:pt idx="27">
                  <c:v>46.87341772151899</c:v>
                </c:pt>
                <c:pt idx="28">
                  <c:v>44.907407407407405</c:v>
                </c:pt>
                <c:pt idx="29">
                  <c:v>44.314634146341469</c:v>
                </c:pt>
                <c:pt idx="30">
                  <c:v>46.276785714285715</c:v>
                </c:pt>
                <c:pt idx="31">
                  <c:v>42.75714285714286</c:v>
                </c:pt>
                <c:pt idx="32">
                  <c:v>41.642980660292977</c:v>
                </c:pt>
                <c:pt idx="33">
                  <c:v>40.514656271084796</c:v>
                </c:pt>
                <c:pt idx="34">
                  <c:v>39.944404591104735</c:v>
                </c:pt>
                <c:pt idx="35">
                  <c:v>38.486113258102741</c:v>
                </c:pt>
              </c:numCache>
            </c:numRef>
          </c:val>
          <c:smooth val="0"/>
        </c:ser>
        <c:ser>
          <c:idx val="9"/>
          <c:order val="1"/>
          <c:tx>
            <c:v>Big3</c:v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square"/>
            <c:size val="7"/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strRef>
              <c:f>[2]FYES!$E$21:$AP$21</c:f>
              <c:strCache>
                <c:ptCount val="38"/>
                <c:pt idx="0">
                  <c:v>77</c:v>
                </c:pt>
                <c:pt idx="1">
                  <c:v>78</c:v>
                </c:pt>
                <c:pt idx="2">
                  <c:v>79</c:v>
                </c:pt>
                <c:pt idx="3">
                  <c:v>80</c:v>
                </c:pt>
                <c:pt idx="4">
                  <c:v>81</c:v>
                </c:pt>
                <c:pt idx="5">
                  <c:v>82</c:v>
                </c:pt>
                <c:pt idx="6">
                  <c:v>83</c:v>
                </c:pt>
                <c:pt idx="7">
                  <c:v>84</c:v>
                </c:pt>
                <c:pt idx="8">
                  <c:v>85</c:v>
                </c:pt>
                <c:pt idx="9">
                  <c:v>86</c:v>
                </c:pt>
                <c:pt idx="10">
                  <c:v>87</c:v>
                </c:pt>
                <c:pt idx="11">
                  <c:v>88</c:v>
                </c:pt>
                <c:pt idx="12">
                  <c:v>89</c:v>
                </c:pt>
                <c:pt idx="13">
                  <c:v>90</c:v>
                </c:pt>
                <c:pt idx="14">
                  <c:v>91</c:v>
                </c:pt>
                <c:pt idx="15">
                  <c:v>92</c:v>
                </c:pt>
                <c:pt idx="16">
                  <c:v>93</c:v>
                </c:pt>
                <c:pt idx="17">
                  <c:v>94</c:v>
                </c:pt>
                <c:pt idx="18">
                  <c:v>95</c:v>
                </c:pt>
                <c:pt idx="19">
                  <c:v>96</c:v>
                </c:pt>
                <c:pt idx="20">
                  <c:v>97</c:v>
                </c:pt>
                <c:pt idx="21">
                  <c:v>98</c:v>
                </c:pt>
                <c:pt idx="22">
                  <c:v>99</c:v>
                </c:pt>
                <c:pt idx="23">
                  <c:v>00</c:v>
                </c:pt>
                <c:pt idx="24">
                  <c:v>01</c:v>
                </c:pt>
                <c:pt idx="25">
                  <c:v>02</c:v>
                </c:pt>
                <c:pt idx="26">
                  <c:v>03</c:v>
                </c:pt>
                <c:pt idx="27">
                  <c:v>04</c:v>
                </c:pt>
                <c:pt idx="28">
                  <c:v>05</c:v>
                </c:pt>
                <c:pt idx="29">
                  <c:v>06</c:v>
                </c:pt>
                <c:pt idx="30">
                  <c:v>07</c:v>
                </c:pt>
                <c:pt idx="31">
                  <c:v>08</c:v>
                </c:pt>
                <c:pt idx="32">
                  <c:v>09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13</c:v>
                </c:pt>
                <c:pt idx="37">
                  <c:v>14</c:v>
                </c:pt>
              </c:strCache>
            </c:strRef>
          </c:cat>
          <c:val>
            <c:numRef>
              <c:f>'FYES per'!$C$6:$AL$6</c:f>
              <c:numCache>
                <c:formatCode>0</c:formatCode>
                <c:ptCount val="36"/>
                <c:pt idx="0">
                  <c:v>29.132815831664409</c:v>
                </c:pt>
                <c:pt idx="1">
                  <c:v>28.537005806506702</c:v>
                </c:pt>
                <c:pt idx="2">
                  <c:v>27.077098190637546</c:v>
                </c:pt>
                <c:pt idx="3">
                  <c:v>24.986169909778575</c:v>
                </c:pt>
                <c:pt idx="4">
                  <c:v>26.939089901912787</c:v>
                </c:pt>
                <c:pt idx="5">
                  <c:v>27.507819188901127</c:v>
                </c:pt>
                <c:pt idx="6">
                  <c:v>26.696095433286036</c:v>
                </c:pt>
                <c:pt idx="7">
                  <c:v>24.057435746018175</c:v>
                </c:pt>
                <c:pt idx="8">
                  <c:v>24.726108827290314</c:v>
                </c:pt>
                <c:pt idx="9">
                  <c:v>22.462957673059201</c:v>
                </c:pt>
                <c:pt idx="10">
                  <c:v>22.259387107802176</c:v>
                </c:pt>
                <c:pt idx="11">
                  <c:v>20.469193857001159</c:v>
                </c:pt>
                <c:pt idx="12">
                  <c:v>19.975979756732915</c:v>
                </c:pt>
                <c:pt idx="13">
                  <c:v>19.269145796639766</c:v>
                </c:pt>
                <c:pt idx="14">
                  <c:v>18.536132698502591</c:v>
                </c:pt>
                <c:pt idx="15">
                  <c:v>18.923023549669463</c:v>
                </c:pt>
                <c:pt idx="16">
                  <c:v>19.222604093600392</c:v>
                </c:pt>
                <c:pt idx="17">
                  <c:v>18.669866345403378</c:v>
                </c:pt>
                <c:pt idx="18">
                  <c:v>18.603880554008853</c:v>
                </c:pt>
                <c:pt idx="19">
                  <c:v>19.21319937740299</c:v>
                </c:pt>
                <c:pt idx="20">
                  <c:v>18.88660707332285</c:v>
                </c:pt>
                <c:pt idx="21">
                  <c:v>18.498686934687203</c:v>
                </c:pt>
                <c:pt idx="22">
                  <c:v>18.999961837887344</c:v>
                </c:pt>
                <c:pt idx="23">
                  <c:v>16.64312546957175</c:v>
                </c:pt>
                <c:pt idx="24">
                  <c:v>15.075379159435599</c:v>
                </c:pt>
                <c:pt idx="25">
                  <c:v>15.015280235125532</c:v>
                </c:pt>
                <c:pt idx="26">
                  <c:v>14.650127495315781</c:v>
                </c:pt>
                <c:pt idx="27">
                  <c:v>16.213726095003082</c:v>
                </c:pt>
                <c:pt idx="28">
                  <c:v>16.614469151268398</c:v>
                </c:pt>
                <c:pt idx="29">
                  <c:v>17.142766194493078</c:v>
                </c:pt>
                <c:pt idx="30">
                  <c:v>15.172675408006697</c:v>
                </c:pt>
                <c:pt idx="31">
                  <c:v>14.968707109525116</c:v>
                </c:pt>
                <c:pt idx="32">
                  <c:v>14.366917439821689</c:v>
                </c:pt>
                <c:pt idx="33">
                  <c:v>14.244669208913983</c:v>
                </c:pt>
                <c:pt idx="34">
                  <c:v>14.268233147496325</c:v>
                </c:pt>
                <c:pt idx="35">
                  <c:v>14.725675965921294</c:v>
                </c:pt>
              </c:numCache>
            </c:numRef>
          </c:val>
          <c:smooth val="0"/>
        </c:ser>
        <c:ser>
          <c:idx val="1"/>
          <c:order val="2"/>
          <c:tx>
            <c:v>Smaller 12 Universities</c:v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7"/>
            <c:spPr>
              <a:noFill/>
              <a:ln>
                <a:solidFill>
                  <a:schemeClr val="accent4"/>
                </a:solidFill>
              </a:ln>
            </c:spPr>
          </c:marker>
          <c:val>
            <c:numRef>
              <c:f>'FYES per'!$C$7:$AL$7</c:f>
              <c:numCache>
                <c:formatCode>0</c:formatCode>
                <c:ptCount val="36"/>
                <c:pt idx="0">
                  <c:v>52.354747705007924</c:v>
                </c:pt>
                <c:pt idx="1">
                  <c:v>49.056958750764323</c:v>
                </c:pt>
                <c:pt idx="2">
                  <c:v>46.53296557672352</c:v>
                </c:pt>
                <c:pt idx="3">
                  <c:v>45.881070858730254</c:v>
                </c:pt>
                <c:pt idx="4">
                  <c:v>45.60933503030612</c:v>
                </c:pt>
                <c:pt idx="5">
                  <c:v>46.398350340728335</c:v>
                </c:pt>
                <c:pt idx="6">
                  <c:v>46.573554872605946</c:v>
                </c:pt>
                <c:pt idx="7">
                  <c:v>46.718233114864809</c:v>
                </c:pt>
                <c:pt idx="8">
                  <c:v>43.349185632556505</c:v>
                </c:pt>
                <c:pt idx="9">
                  <c:v>42.053729635489333</c:v>
                </c:pt>
                <c:pt idx="10">
                  <c:v>42.345963233191398</c:v>
                </c:pt>
                <c:pt idx="11">
                  <c:v>41.870048042646353</c:v>
                </c:pt>
                <c:pt idx="12">
                  <c:v>41.193106780088918</c:v>
                </c:pt>
                <c:pt idx="13">
                  <c:v>40.775678698430717</c:v>
                </c:pt>
                <c:pt idx="14">
                  <c:v>40.22293868089082</c:v>
                </c:pt>
                <c:pt idx="15">
                  <c:v>40.792238000074747</c:v>
                </c:pt>
                <c:pt idx="16">
                  <c:v>42.107117809258177</c:v>
                </c:pt>
                <c:pt idx="17">
                  <c:v>38.960939502552399</c:v>
                </c:pt>
                <c:pt idx="18">
                  <c:v>37.529887835569909</c:v>
                </c:pt>
                <c:pt idx="19">
                  <c:v>37.158595846274117</c:v>
                </c:pt>
                <c:pt idx="20">
                  <c:v>36.092753711365283</c:v>
                </c:pt>
                <c:pt idx="21">
                  <c:v>36.630243235972436</c:v>
                </c:pt>
                <c:pt idx="22">
                  <c:v>36.549926362297484</c:v>
                </c:pt>
                <c:pt idx="23">
                  <c:v>36.420622302975246</c:v>
                </c:pt>
                <c:pt idx="24">
                  <c:v>38.288771595858208</c:v>
                </c:pt>
                <c:pt idx="25">
                  <c:v>38.504753433034971</c:v>
                </c:pt>
                <c:pt idx="26">
                  <c:v>37.360750019695864</c:v>
                </c:pt>
                <c:pt idx="27">
                  <c:v>38.03256646485918</c:v>
                </c:pt>
                <c:pt idx="28">
                  <c:v>38.046486915146716</c:v>
                </c:pt>
                <c:pt idx="29">
                  <c:v>37.221362704918036</c:v>
                </c:pt>
                <c:pt idx="30">
                  <c:v>34.61274533269507</c:v>
                </c:pt>
                <c:pt idx="31">
                  <c:v>34.14939693757362</c:v>
                </c:pt>
                <c:pt idx="32">
                  <c:v>33.629734819966217</c:v>
                </c:pt>
                <c:pt idx="33">
                  <c:v>32.175917849323554</c:v>
                </c:pt>
                <c:pt idx="34">
                  <c:v>32.538274058824932</c:v>
                </c:pt>
                <c:pt idx="35">
                  <c:v>32.873399165311476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8608384"/>
        <c:axId val="348610944"/>
      </c:lineChart>
      <c:catAx>
        <c:axId val="348608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State Fiscal Year</a:t>
                </a:r>
              </a:p>
            </c:rich>
          </c:tx>
          <c:layout>
            <c:manualLayout>
              <c:xMode val="edge"/>
              <c:yMode val="edge"/>
              <c:x val="0.46059933407325193"/>
              <c:y val="0.9412724306688418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3486109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48610944"/>
        <c:scaling>
          <c:orientation val="minMax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ysDash"/>
            </a:ln>
          </c:spPr>
        </c:majorGridlines>
        <c:numFmt formatCode="0" sourceLinked="1"/>
        <c:majorTickMark val="out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34860838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13681259842519686"/>
          <c:y val="0.11366298238466058"/>
          <c:w val="0.80540962379702541"/>
          <c:h val="3.951500009513095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>
              <a:defRPr sz="1600" b="1" i="0" u="none" strike="noStrike" baseline="0">
                <a:solidFill>
                  <a:srgbClr val="000000"/>
                </a:solidFill>
                <a:latin typeface="+mn-lt"/>
                <a:ea typeface="Verdana"/>
                <a:cs typeface="Verdana"/>
              </a:defRPr>
            </a:pPr>
            <a:r>
              <a:rPr lang="en-US" sz="1600">
                <a:latin typeface="+mn-lt"/>
              </a:rPr>
              <a:t>Figure ServiceFTE per FYES: FTE relative to Fiscal Year Equated Students.</a:t>
            </a:r>
          </a:p>
        </c:rich>
      </c:tx>
      <c:layout>
        <c:manualLayout>
          <c:xMode val="edge"/>
          <c:yMode val="edge"/>
          <c:x val="0.12656669582968796"/>
          <c:y val="4.5714281796408435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3229744728079905E-2"/>
          <c:y val="0.1729200652528548"/>
          <c:w val="0.89456159822419534"/>
          <c:h val="0.71778140293637849"/>
        </c:manualLayout>
      </c:layout>
      <c:lineChart>
        <c:grouping val="standard"/>
        <c:varyColors val="0"/>
        <c:ser>
          <c:idx val="0"/>
          <c:order val="0"/>
          <c:tx>
            <c:v>GVSU</c:v>
          </c:tx>
          <c:val>
            <c:numRef>
              <c:f>'FYES per'!$C$10:$AL$10</c:f>
              <c:numCache>
                <c:formatCode>0</c:formatCode>
                <c:ptCount val="36"/>
                <c:pt idx="0">
                  <c:v>25.999098434554544</c:v>
                </c:pt>
                <c:pt idx="1">
                  <c:v>25.422300855132907</c:v>
                </c:pt>
                <c:pt idx="2">
                  <c:v>25.471392696136274</c:v>
                </c:pt>
                <c:pt idx="3">
                  <c:v>25.243443989692285</c:v>
                </c:pt>
                <c:pt idx="4">
                  <c:v>24.938092619440418</c:v>
                </c:pt>
                <c:pt idx="5">
                  <c:v>24.666699634061914</c:v>
                </c:pt>
                <c:pt idx="6">
                  <c:v>23.105442681299127</c:v>
                </c:pt>
                <c:pt idx="7">
                  <c:v>25.541581025088906</c:v>
                </c:pt>
                <c:pt idx="8">
                  <c:v>25.885179215595976</c:v>
                </c:pt>
                <c:pt idx="9">
                  <c:v>26.001337053830948</c:v>
                </c:pt>
                <c:pt idx="10">
                  <c:v>28.910027921344977</c:v>
                </c:pt>
                <c:pt idx="11">
                  <c:v>29.900190249027457</c:v>
                </c:pt>
                <c:pt idx="12">
                  <c:v>29.002568329052782</c:v>
                </c:pt>
                <c:pt idx="13">
                  <c:v>30.072126847877922</c:v>
                </c:pt>
                <c:pt idx="14">
                  <c:v>29.958955747815473</c:v>
                </c:pt>
                <c:pt idx="15">
                  <c:v>28.593539185073819</c:v>
                </c:pt>
                <c:pt idx="16">
                  <c:v>28.675944959905177</c:v>
                </c:pt>
                <c:pt idx="17">
                  <c:v>27.739077541521212</c:v>
                </c:pt>
                <c:pt idx="18">
                  <c:v>25.942174702045225</c:v>
                </c:pt>
                <c:pt idx="19">
                  <c:v>25.26121947892511</c:v>
                </c:pt>
                <c:pt idx="20">
                  <c:v>24.77832890339954</c:v>
                </c:pt>
                <c:pt idx="21">
                  <c:v>23.275824415811311</c:v>
                </c:pt>
                <c:pt idx="22">
                  <c:v>22.492997198879554</c:v>
                </c:pt>
                <c:pt idx="23">
                  <c:v>22.881302354986563</c:v>
                </c:pt>
                <c:pt idx="24">
                  <c:v>22.043484439391786</c:v>
                </c:pt>
                <c:pt idx="25">
                  <c:v>21.822083495903239</c:v>
                </c:pt>
                <c:pt idx="26">
                  <c:v>20.564270662608287</c:v>
                </c:pt>
                <c:pt idx="27">
                  <c:v>19.675667633712713</c:v>
                </c:pt>
                <c:pt idx="28">
                  <c:v>20.269564308849649</c:v>
                </c:pt>
                <c:pt idx="29">
                  <c:v>22.036871643897548</c:v>
                </c:pt>
                <c:pt idx="30">
                  <c:v>21.800210304942166</c:v>
                </c:pt>
                <c:pt idx="31">
                  <c:v>23.321904846717278</c:v>
                </c:pt>
                <c:pt idx="32">
                  <c:v>22.064832757603842</c:v>
                </c:pt>
                <c:pt idx="33">
                  <c:v>22.110506505195975</c:v>
                </c:pt>
                <c:pt idx="34">
                  <c:v>23.208052432505653</c:v>
                </c:pt>
                <c:pt idx="35">
                  <c:v>23.70684638742237</c:v>
                </c:pt>
              </c:numCache>
            </c:numRef>
          </c:val>
          <c:smooth val="0"/>
        </c:ser>
        <c:ser>
          <c:idx val="9"/>
          <c:order val="1"/>
          <c:tx>
            <c:v>Big3</c:v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square"/>
            <c:size val="7"/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strRef>
              <c:f>[2]FYES!$E$21:$AP$21</c:f>
              <c:strCache>
                <c:ptCount val="38"/>
                <c:pt idx="0">
                  <c:v>77</c:v>
                </c:pt>
                <c:pt idx="1">
                  <c:v>78</c:v>
                </c:pt>
                <c:pt idx="2">
                  <c:v>79</c:v>
                </c:pt>
                <c:pt idx="3">
                  <c:v>80</c:v>
                </c:pt>
                <c:pt idx="4">
                  <c:v>81</c:v>
                </c:pt>
                <c:pt idx="5">
                  <c:v>82</c:v>
                </c:pt>
                <c:pt idx="6">
                  <c:v>83</c:v>
                </c:pt>
                <c:pt idx="7">
                  <c:v>84</c:v>
                </c:pt>
                <c:pt idx="8">
                  <c:v>85</c:v>
                </c:pt>
                <c:pt idx="9">
                  <c:v>86</c:v>
                </c:pt>
                <c:pt idx="10">
                  <c:v>87</c:v>
                </c:pt>
                <c:pt idx="11">
                  <c:v>88</c:v>
                </c:pt>
                <c:pt idx="12">
                  <c:v>89</c:v>
                </c:pt>
                <c:pt idx="13">
                  <c:v>90</c:v>
                </c:pt>
                <c:pt idx="14">
                  <c:v>91</c:v>
                </c:pt>
                <c:pt idx="15">
                  <c:v>92</c:v>
                </c:pt>
                <c:pt idx="16">
                  <c:v>93</c:v>
                </c:pt>
                <c:pt idx="17">
                  <c:v>94</c:v>
                </c:pt>
                <c:pt idx="18">
                  <c:v>95</c:v>
                </c:pt>
                <c:pt idx="19">
                  <c:v>96</c:v>
                </c:pt>
                <c:pt idx="20">
                  <c:v>97</c:v>
                </c:pt>
                <c:pt idx="21">
                  <c:v>98</c:v>
                </c:pt>
                <c:pt idx="22">
                  <c:v>99</c:v>
                </c:pt>
                <c:pt idx="23">
                  <c:v>00</c:v>
                </c:pt>
                <c:pt idx="24">
                  <c:v>01</c:v>
                </c:pt>
                <c:pt idx="25">
                  <c:v>02</c:v>
                </c:pt>
                <c:pt idx="26">
                  <c:v>03</c:v>
                </c:pt>
                <c:pt idx="27">
                  <c:v>04</c:v>
                </c:pt>
                <c:pt idx="28">
                  <c:v>05</c:v>
                </c:pt>
                <c:pt idx="29">
                  <c:v>06</c:v>
                </c:pt>
                <c:pt idx="30">
                  <c:v>07</c:v>
                </c:pt>
                <c:pt idx="31">
                  <c:v>08</c:v>
                </c:pt>
                <c:pt idx="32">
                  <c:v>09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13</c:v>
                </c:pt>
                <c:pt idx="37">
                  <c:v>14</c:v>
                </c:pt>
              </c:strCache>
            </c:strRef>
          </c:cat>
          <c:val>
            <c:numRef>
              <c:f>'FYES per'!$C$11:$AL$11</c:f>
              <c:numCache>
                <c:formatCode>0</c:formatCode>
                <c:ptCount val="36"/>
                <c:pt idx="0">
                  <c:v>14.60778701226287</c:v>
                </c:pt>
                <c:pt idx="1">
                  <c:v>14.708135458485135</c:v>
                </c:pt>
                <c:pt idx="2">
                  <c:v>13.462467878521936</c:v>
                </c:pt>
                <c:pt idx="3">
                  <c:v>13.884616313162065</c:v>
                </c:pt>
                <c:pt idx="4">
                  <c:v>14.312952285785205</c:v>
                </c:pt>
                <c:pt idx="5">
                  <c:v>14.082025135292279</c:v>
                </c:pt>
                <c:pt idx="6">
                  <c:v>16.045429911793356</c:v>
                </c:pt>
                <c:pt idx="7">
                  <c:v>15.026903987768266</c:v>
                </c:pt>
                <c:pt idx="8">
                  <c:v>14.452850409848725</c:v>
                </c:pt>
                <c:pt idx="9">
                  <c:v>15.007178133620569</c:v>
                </c:pt>
                <c:pt idx="10">
                  <c:v>14.944253975540288</c:v>
                </c:pt>
                <c:pt idx="11">
                  <c:v>14.696884670186259</c:v>
                </c:pt>
                <c:pt idx="12">
                  <c:v>15.146584100586587</c:v>
                </c:pt>
                <c:pt idx="13">
                  <c:v>15.785525166261943</c:v>
                </c:pt>
                <c:pt idx="14">
                  <c:v>15.84958903484112</c:v>
                </c:pt>
                <c:pt idx="15">
                  <c:v>15.920492971852061</c:v>
                </c:pt>
                <c:pt idx="16">
                  <c:v>15.653013471816957</c:v>
                </c:pt>
                <c:pt idx="17">
                  <c:v>15.08753802701305</c:v>
                </c:pt>
                <c:pt idx="18">
                  <c:v>15.442991741681077</c:v>
                </c:pt>
                <c:pt idx="19">
                  <c:v>16.871158371624912</c:v>
                </c:pt>
                <c:pt idx="20">
                  <c:v>16.765379599211087</c:v>
                </c:pt>
                <c:pt idx="21">
                  <c:v>17.351999793351556</c:v>
                </c:pt>
                <c:pt idx="22">
                  <c:v>15.315696377758979</c:v>
                </c:pt>
                <c:pt idx="23">
                  <c:v>17.272664263931244</c:v>
                </c:pt>
                <c:pt idx="24">
                  <c:v>21.118533708221467</c:v>
                </c:pt>
                <c:pt idx="25">
                  <c:v>21.679228154622418</c:v>
                </c:pt>
                <c:pt idx="26">
                  <c:v>25.7066225001854</c:v>
                </c:pt>
                <c:pt idx="27">
                  <c:v>28.146373199182889</c:v>
                </c:pt>
                <c:pt idx="28">
                  <c:v>29.846715595401186</c:v>
                </c:pt>
                <c:pt idx="29">
                  <c:v>28.178181713535245</c:v>
                </c:pt>
                <c:pt idx="30">
                  <c:v>24.240871194984813</c:v>
                </c:pt>
                <c:pt idx="31">
                  <c:v>24.981560803536656</c:v>
                </c:pt>
                <c:pt idx="32">
                  <c:v>25.51241444164253</c:v>
                </c:pt>
                <c:pt idx="33">
                  <c:v>26.038640456538996</c:v>
                </c:pt>
                <c:pt idx="34">
                  <c:v>27.561302203092399</c:v>
                </c:pt>
                <c:pt idx="35">
                  <c:v>25.520607150981242</c:v>
                </c:pt>
              </c:numCache>
            </c:numRef>
          </c:val>
          <c:smooth val="0"/>
        </c:ser>
        <c:ser>
          <c:idx val="1"/>
          <c:order val="2"/>
          <c:tx>
            <c:v>Smaller 12 Universities</c:v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7"/>
            <c:spPr>
              <a:noFill/>
              <a:ln>
                <a:solidFill>
                  <a:schemeClr val="accent4"/>
                </a:solidFill>
              </a:ln>
            </c:spPr>
          </c:marker>
          <c:val>
            <c:numRef>
              <c:f>'FYES per'!$C$12:$AL$12</c:f>
              <c:numCache>
                <c:formatCode>0</c:formatCode>
                <c:ptCount val="36"/>
                <c:pt idx="0">
                  <c:v>22.80313422198223</c:v>
                </c:pt>
                <c:pt idx="1">
                  <c:v>21.883858189241863</c:v>
                </c:pt>
                <c:pt idx="2">
                  <c:v>21.491316335993801</c:v>
                </c:pt>
                <c:pt idx="3">
                  <c:v>21.78864796761431</c:v>
                </c:pt>
                <c:pt idx="4">
                  <c:v>22.570168929241781</c:v>
                </c:pt>
                <c:pt idx="5">
                  <c:v>23.057290483556351</c:v>
                </c:pt>
                <c:pt idx="6">
                  <c:v>23.442771869991525</c:v>
                </c:pt>
                <c:pt idx="7">
                  <c:v>23.805946371716502</c:v>
                </c:pt>
                <c:pt idx="8">
                  <c:v>22.595847580596139</c:v>
                </c:pt>
                <c:pt idx="9">
                  <c:v>22.525246803983737</c:v>
                </c:pt>
                <c:pt idx="10">
                  <c:v>23.054743167549042</c:v>
                </c:pt>
                <c:pt idx="11">
                  <c:v>22.964624911308391</c:v>
                </c:pt>
                <c:pt idx="12">
                  <c:v>23.013907001378684</c:v>
                </c:pt>
                <c:pt idx="13">
                  <c:v>22.919371878916728</c:v>
                </c:pt>
                <c:pt idx="14">
                  <c:v>22.393452996272281</c:v>
                </c:pt>
                <c:pt idx="15">
                  <c:v>22.966798058397821</c:v>
                </c:pt>
                <c:pt idx="16">
                  <c:v>22.784563285079706</c:v>
                </c:pt>
                <c:pt idx="17">
                  <c:v>22.655786357644928</c:v>
                </c:pt>
                <c:pt idx="18">
                  <c:v>22.117029563836038</c:v>
                </c:pt>
                <c:pt idx="19">
                  <c:v>22.128948444528326</c:v>
                </c:pt>
                <c:pt idx="20">
                  <c:v>21.873146036551073</c:v>
                </c:pt>
                <c:pt idx="21">
                  <c:v>21.682898157607994</c:v>
                </c:pt>
                <c:pt idx="22">
                  <c:v>21.932798359728498</c:v>
                </c:pt>
                <c:pt idx="23">
                  <c:v>21.899624445203148</c:v>
                </c:pt>
                <c:pt idx="24">
                  <c:v>21.705881391128045</c:v>
                </c:pt>
                <c:pt idx="25">
                  <c:v>22.451172666418135</c:v>
                </c:pt>
                <c:pt idx="26">
                  <c:v>22.582263210527149</c:v>
                </c:pt>
                <c:pt idx="27">
                  <c:v>23.884740192650714</c:v>
                </c:pt>
                <c:pt idx="28">
                  <c:v>24.595112415135421</c:v>
                </c:pt>
                <c:pt idx="29">
                  <c:v>25.173924567722224</c:v>
                </c:pt>
                <c:pt idx="30">
                  <c:v>24.90931937425287</c:v>
                </c:pt>
                <c:pt idx="31">
                  <c:v>25.146656836809928</c:v>
                </c:pt>
                <c:pt idx="32">
                  <c:v>24.280688901935012</c:v>
                </c:pt>
                <c:pt idx="33">
                  <c:v>24.715366602121289</c:v>
                </c:pt>
                <c:pt idx="34">
                  <c:v>25.571102782440814</c:v>
                </c:pt>
                <c:pt idx="35">
                  <c:v>26.004937816643189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9595520"/>
        <c:axId val="349610368"/>
      </c:lineChart>
      <c:catAx>
        <c:axId val="349595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State Fiscal Year</a:t>
                </a:r>
              </a:p>
            </c:rich>
          </c:tx>
          <c:layout>
            <c:manualLayout>
              <c:xMode val="edge"/>
              <c:yMode val="edge"/>
              <c:x val="0.46059933407325193"/>
              <c:y val="0.9412724306688418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3496103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49610368"/>
        <c:scaling>
          <c:orientation val="minMax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ysDash"/>
            </a:ln>
          </c:spPr>
        </c:majorGridlines>
        <c:numFmt formatCode="0" sourceLinked="1"/>
        <c:majorTickMark val="out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34959552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13681259842519686"/>
          <c:y val="0.11366298238466058"/>
          <c:w val="0.80540962379702541"/>
          <c:h val="3.951500009513095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>
              <a:defRPr sz="1600" b="1" i="0" u="none" strike="noStrike" baseline="0">
                <a:solidFill>
                  <a:srgbClr val="000000"/>
                </a:solidFill>
                <a:latin typeface="+mn-lt"/>
                <a:ea typeface="Verdana"/>
                <a:cs typeface="Verdana"/>
              </a:defRPr>
            </a:pPr>
            <a:r>
              <a:rPr lang="en-US" sz="1600">
                <a:latin typeface="+mn-lt"/>
              </a:rPr>
              <a:t>Figure Faculty FTE per FYES: FTE relative to Fiscal Year Equated Students.</a:t>
            </a:r>
          </a:p>
        </c:rich>
      </c:tx>
      <c:layout>
        <c:manualLayout>
          <c:xMode val="edge"/>
          <c:yMode val="edge"/>
          <c:x val="0.12846299212598425"/>
          <c:y val="5.0068022919875908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3229744728079905E-2"/>
          <c:y val="0.1729200652528548"/>
          <c:w val="0.89456159822419534"/>
          <c:h val="0.71778140293637849"/>
        </c:manualLayout>
      </c:layout>
      <c:lineChart>
        <c:grouping val="standard"/>
        <c:varyColors val="0"/>
        <c:ser>
          <c:idx val="0"/>
          <c:order val="0"/>
          <c:tx>
            <c:v>GVSU</c:v>
          </c:tx>
          <c:val>
            <c:numRef>
              <c:f>'FYES per'!$C$20:$AL$20</c:f>
              <c:numCache>
                <c:formatCode>0</c:formatCode>
                <c:ptCount val="36"/>
                <c:pt idx="0">
                  <c:v>21.372793424066838</c:v>
                </c:pt>
                <c:pt idx="1">
                  <c:v>20.656489594742606</c:v>
                </c:pt>
                <c:pt idx="2">
                  <c:v>19.5983052228469</c:v>
                </c:pt>
                <c:pt idx="3">
                  <c:v>19.045609460417669</c:v>
                </c:pt>
                <c:pt idx="4">
                  <c:v>19.108855263997956</c:v>
                </c:pt>
                <c:pt idx="5">
                  <c:v>19.86499402628435</c:v>
                </c:pt>
                <c:pt idx="6">
                  <c:v>18.660172468859791</c:v>
                </c:pt>
                <c:pt idx="7">
                  <c:v>20.193324563439866</c:v>
                </c:pt>
                <c:pt idx="8">
                  <c:v>20.80837621392169</c:v>
                </c:pt>
                <c:pt idx="9">
                  <c:v>20.758351027417127</c:v>
                </c:pt>
                <c:pt idx="10">
                  <c:v>21.901595445442066</c:v>
                </c:pt>
                <c:pt idx="11">
                  <c:v>21.64051501793109</c:v>
                </c:pt>
                <c:pt idx="12">
                  <c:v>21.434358887189074</c:v>
                </c:pt>
                <c:pt idx="13">
                  <c:v>21.889996789114232</c:v>
                </c:pt>
                <c:pt idx="14">
                  <c:v>20.810374838690315</c:v>
                </c:pt>
                <c:pt idx="15">
                  <c:v>23.948309401005719</c:v>
                </c:pt>
                <c:pt idx="16">
                  <c:v>23.176395749139353</c:v>
                </c:pt>
                <c:pt idx="17">
                  <c:v>22.881108202443283</c:v>
                </c:pt>
                <c:pt idx="18">
                  <c:v>22.14275248560963</c:v>
                </c:pt>
                <c:pt idx="19">
                  <c:v>22.163402082419118</c:v>
                </c:pt>
                <c:pt idx="20">
                  <c:v>22.027896130636748</c:v>
                </c:pt>
                <c:pt idx="21">
                  <c:v>21.810368349249661</c:v>
                </c:pt>
                <c:pt idx="22">
                  <c:v>19.562912009171683</c:v>
                </c:pt>
                <c:pt idx="23">
                  <c:v>19.083838650145005</c:v>
                </c:pt>
                <c:pt idx="24">
                  <c:v>18.020446096654275</c:v>
                </c:pt>
                <c:pt idx="25">
                  <c:v>18.587570621468927</c:v>
                </c:pt>
                <c:pt idx="26">
                  <c:v>20.342790966994787</c:v>
                </c:pt>
                <c:pt idx="27">
                  <c:v>19.617919430375725</c:v>
                </c:pt>
                <c:pt idx="28">
                  <c:v>19.471851130672182</c:v>
                </c:pt>
                <c:pt idx="29">
                  <c:v>18.725487440387518</c:v>
                </c:pt>
                <c:pt idx="30">
                  <c:v>19.257814314244577</c:v>
                </c:pt>
                <c:pt idx="31">
                  <c:v>18.746756384330428</c:v>
                </c:pt>
                <c:pt idx="32">
                  <c:v>18.134526663839143</c:v>
                </c:pt>
                <c:pt idx="33">
                  <c:v>18.168447062976444</c:v>
                </c:pt>
                <c:pt idx="34">
                  <c:v>18.372666606175091</c:v>
                </c:pt>
                <c:pt idx="35">
                  <c:v>18.272931889352819</c:v>
                </c:pt>
              </c:numCache>
            </c:numRef>
          </c:val>
          <c:smooth val="0"/>
        </c:ser>
        <c:ser>
          <c:idx val="9"/>
          <c:order val="1"/>
          <c:tx>
            <c:v>Big3</c:v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square"/>
            <c:size val="7"/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strRef>
              <c:f>[2]FYES!$E$21:$AP$21</c:f>
              <c:strCache>
                <c:ptCount val="38"/>
                <c:pt idx="0">
                  <c:v>77</c:v>
                </c:pt>
                <c:pt idx="1">
                  <c:v>78</c:v>
                </c:pt>
                <c:pt idx="2">
                  <c:v>79</c:v>
                </c:pt>
                <c:pt idx="3">
                  <c:v>80</c:v>
                </c:pt>
                <c:pt idx="4">
                  <c:v>81</c:v>
                </c:pt>
                <c:pt idx="5">
                  <c:v>82</c:v>
                </c:pt>
                <c:pt idx="6">
                  <c:v>83</c:v>
                </c:pt>
                <c:pt idx="7">
                  <c:v>84</c:v>
                </c:pt>
                <c:pt idx="8">
                  <c:v>85</c:v>
                </c:pt>
                <c:pt idx="9">
                  <c:v>86</c:v>
                </c:pt>
                <c:pt idx="10">
                  <c:v>87</c:v>
                </c:pt>
                <c:pt idx="11">
                  <c:v>88</c:v>
                </c:pt>
                <c:pt idx="12">
                  <c:v>89</c:v>
                </c:pt>
                <c:pt idx="13">
                  <c:v>90</c:v>
                </c:pt>
                <c:pt idx="14">
                  <c:v>91</c:v>
                </c:pt>
                <c:pt idx="15">
                  <c:v>92</c:v>
                </c:pt>
                <c:pt idx="16">
                  <c:v>93</c:v>
                </c:pt>
                <c:pt idx="17">
                  <c:v>94</c:v>
                </c:pt>
                <c:pt idx="18">
                  <c:v>95</c:v>
                </c:pt>
                <c:pt idx="19">
                  <c:v>96</c:v>
                </c:pt>
                <c:pt idx="20">
                  <c:v>97</c:v>
                </c:pt>
                <c:pt idx="21">
                  <c:v>98</c:v>
                </c:pt>
                <c:pt idx="22">
                  <c:v>99</c:v>
                </c:pt>
                <c:pt idx="23">
                  <c:v>00</c:v>
                </c:pt>
                <c:pt idx="24">
                  <c:v>01</c:v>
                </c:pt>
                <c:pt idx="25">
                  <c:v>02</c:v>
                </c:pt>
                <c:pt idx="26">
                  <c:v>03</c:v>
                </c:pt>
                <c:pt idx="27">
                  <c:v>04</c:v>
                </c:pt>
                <c:pt idx="28">
                  <c:v>05</c:v>
                </c:pt>
                <c:pt idx="29">
                  <c:v>06</c:v>
                </c:pt>
                <c:pt idx="30">
                  <c:v>07</c:v>
                </c:pt>
                <c:pt idx="31">
                  <c:v>08</c:v>
                </c:pt>
                <c:pt idx="32">
                  <c:v>09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13</c:v>
                </c:pt>
                <c:pt idx="37">
                  <c:v>14</c:v>
                </c:pt>
              </c:strCache>
            </c:strRef>
          </c:cat>
          <c:val>
            <c:numRef>
              <c:f>'FYES per'!$C$21:$AL$21</c:f>
              <c:numCache>
                <c:formatCode>0</c:formatCode>
                <c:ptCount val="36"/>
                <c:pt idx="0">
                  <c:v>13.937397183505974</c:v>
                </c:pt>
                <c:pt idx="1">
                  <c:v>13.487305086541324</c:v>
                </c:pt>
                <c:pt idx="2">
                  <c:v>13.173017369976497</c:v>
                </c:pt>
                <c:pt idx="3">
                  <c:v>12.873849674177983</c:v>
                </c:pt>
                <c:pt idx="4">
                  <c:v>13.35024535700332</c:v>
                </c:pt>
                <c:pt idx="5">
                  <c:v>13.413180043434533</c:v>
                </c:pt>
                <c:pt idx="6">
                  <c:v>13.222117045599317</c:v>
                </c:pt>
                <c:pt idx="7">
                  <c:v>13.017950639185633</c:v>
                </c:pt>
                <c:pt idx="8">
                  <c:v>12.932427969550375</c:v>
                </c:pt>
                <c:pt idx="9">
                  <c:v>12.841669203871312</c:v>
                </c:pt>
                <c:pt idx="10">
                  <c:v>12.676467844448442</c:v>
                </c:pt>
                <c:pt idx="11">
                  <c:v>12.617496042690279</c:v>
                </c:pt>
                <c:pt idx="12">
                  <c:v>13.016045205058045</c:v>
                </c:pt>
                <c:pt idx="13">
                  <c:v>12.455125485701739</c:v>
                </c:pt>
                <c:pt idx="14">
                  <c:v>12.088745969249066</c:v>
                </c:pt>
                <c:pt idx="15">
                  <c:v>12.057290589284134</c:v>
                </c:pt>
                <c:pt idx="16">
                  <c:v>11.936134452422149</c:v>
                </c:pt>
                <c:pt idx="17">
                  <c:v>11.958011612644142</c:v>
                </c:pt>
                <c:pt idx="18">
                  <c:v>11.848748248539934</c:v>
                </c:pt>
                <c:pt idx="19">
                  <c:v>11.675989520064949</c:v>
                </c:pt>
                <c:pt idx="20">
                  <c:v>11.666506985350148</c:v>
                </c:pt>
                <c:pt idx="21">
                  <c:v>11.958259952040695</c:v>
                </c:pt>
                <c:pt idx="22">
                  <c:v>11.846832912958643</c:v>
                </c:pt>
                <c:pt idx="23">
                  <c:v>11.835721833703381</c:v>
                </c:pt>
                <c:pt idx="24">
                  <c:v>11.523607378098719</c:v>
                </c:pt>
                <c:pt idx="25">
                  <c:v>11.52140741405619</c:v>
                </c:pt>
                <c:pt idx="26">
                  <c:v>12.204370481644915</c:v>
                </c:pt>
                <c:pt idx="27">
                  <c:v>11.082311593492488</c:v>
                </c:pt>
                <c:pt idx="28">
                  <c:v>12.939119066724878</c:v>
                </c:pt>
                <c:pt idx="29">
                  <c:v>13.220296127366925</c:v>
                </c:pt>
                <c:pt idx="30">
                  <c:v>13.052895392428397</c:v>
                </c:pt>
                <c:pt idx="31">
                  <c:v>12.270757294137239</c:v>
                </c:pt>
                <c:pt idx="32">
                  <c:v>12.713959802427805</c:v>
                </c:pt>
                <c:pt idx="33">
                  <c:v>11.595226835350365</c:v>
                </c:pt>
                <c:pt idx="34">
                  <c:v>11.927147934165793</c:v>
                </c:pt>
                <c:pt idx="35">
                  <c:v>11.79812876827574</c:v>
                </c:pt>
              </c:numCache>
            </c:numRef>
          </c:val>
          <c:smooth val="0"/>
        </c:ser>
        <c:ser>
          <c:idx val="1"/>
          <c:order val="2"/>
          <c:tx>
            <c:v>Smaller 12 Universities</c:v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7"/>
            <c:spPr>
              <a:noFill/>
              <a:ln>
                <a:solidFill>
                  <a:schemeClr val="accent4"/>
                </a:solidFill>
              </a:ln>
            </c:spPr>
          </c:marker>
          <c:val>
            <c:numRef>
              <c:f>'FYES per'!$C$22:$AL$22</c:f>
              <c:numCache>
                <c:formatCode>0</c:formatCode>
                <c:ptCount val="36"/>
                <c:pt idx="0">
                  <c:v>20.01985503783353</c:v>
                </c:pt>
                <c:pt idx="1">
                  <c:v>19.730134138428735</c:v>
                </c:pt>
                <c:pt idx="2">
                  <c:v>19.441514519083512</c:v>
                </c:pt>
                <c:pt idx="3">
                  <c:v>19.612349041038765</c:v>
                </c:pt>
                <c:pt idx="4">
                  <c:v>19.655591880179433</c:v>
                </c:pt>
                <c:pt idx="5">
                  <c:v>19.442524940377812</c:v>
                </c:pt>
                <c:pt idx="6">
                  <c:v>18.935709370794594</c:v>
                </c:pt>
                <c:pt idx="7">
                  <c:v>19.016035412125685</c:v>
                </c:pt>
                <c:pt idx="8">
                  <c:v>18.542023940705278</c:v>
                </c:pt>
                <c:pt idx="9">
                  <c:v>18.773765558747101</c:v>
                </c:pt>
                <c:pt idx="10">
                  <c:v>19.326337052390087</c:v>
                </c:pt>
                <c:pt idx="11">
                  <c:v>19.221293724632336</c:v>
                </c:pt>
                <c:pt idx="12">
                  <c:v>19.228766880339332</c:v>
                </c:pt>
                <c:pt idx="13">
                  <c:v>19.547334499668128</c:v>
                </c:pt>
                <c:pt idx="14">
                  <c:v>19.412872029749877</c:v>
                </c:pt>
                <c:pt idx="15">
                  <c:v>19.722597354005529</c:v>
                </c:pt>
                <c:pt idx="16">
                  <c:v>19.274258863340354</c:v>
                </c:pt>
                <c:pt idx="17">
                  <c:v>18.58833274518247</c:v>
                </c:pt>
                <c:pt idx="18">
                  <c:v>18.137386149589684</c:v>
                </c:pt>
                <c:pt idx="19">
                  <c:v>18.447492535794883</c:v>
                </c:pt>
                <c:pt idx="20">
                  <c:v>18.020583826082458</c:v>
                </c:pt>
                <c:pt idx="21">
                  <c:v>17.947445043593401</c:v>
                </c:pt>
                <c:pt idx="22">
                  <c:v>17.782857306639531</c:v>
                </c:pt>
                <c:pt idx="23">
                  <c:v>17.742127318240279</c:v>
                </c:pt>
                <c:pt idx="24">
                  <c:v>17.235465191763399</c:v>
                </c:pt>
                <c:pt idx="25">
                  <c:v>17.545568545986548</c:v>
                </c:pt>
                <c:pt idx="26">
                  <c:v>17.513325865104083</c:v>
                </c:pt>
                <c:pt idx="27">
                  <c:v>17.568105326640993</c:v>
                </c:pt>
                <c:pt idx="28">
                  <c:v>17.174294257887919</c:v>
                </c:pt>
                <c:pt idx="29">
                  <c:v>17.19705603544687</c:v>
                </c:pt>
                <c:pt idx="30">
                  <c:v>16.803982653599544</c:v>
                </c:pt>
                <c:pt idx="31">
                  <c:v>16.793092742780946</c:v>
                </c:pt>
                <c:pt idx="32">
                  <c:v>16.573522393853246</c:v>
                </c:pt>
                <c:pt idx="33">
                  <c:v>16.311193333569168</c:v>
                </c:pt>
                <c:pt idx="34">
                  <c:v>16.289513331660526</c:v>
                </c:pt>
                <c:pt idx="35">
                  <c:v>16.165183609733948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9972352"/>
        <c:axId val="349974912"/>
      </c:lineChart>
      <c:catAx>
        <c:axId val="349972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State Fiscal Year</a:t>
                </a:r>
              </a:p>
            </c:rich>
          </c:tx>
          <c:layout>
            <c:manualLayout>
              <c:xMode val="edge"/>
              <c:yMode val="edge"/>
              <c:x val="0.46059933407325193"/>
              <c:y val="0.9412724306688418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3499749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49974912"/>
        <c:scaling>
          <c:orientation val="minMax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ysDash"/>
            </a:ln>
          </c:spPr>
        </c:majorGridlines>
        <c:numFmt formatCode="0" sourceLinked="1"/>
        <c:majorTickMark val="out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34997235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13681259842519686"/>
          <c:y val="0.11366298238466058"/>
          <c:w val="0.80540962379702541"/>
          <c:h val="3.951500009513095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>
              <a:defRPr sz="1600" b="1" i="0" u="none" strike="noStrike" baseline="0">
                <a:solidFill>
                  <a:srgbClr val="000000"/>
                </a:solidFill>
                <a:latin typeface="+mn-lt"/>
                <a:ea typeface="Verdana"/>
                <a:cs typeface="Verdana"/>
              </a:defRPr>
            </a:pPr>
            <a:r>
              <a:rPr lang="en-US" sz="1600">
                <a:latin typeface="+mn-lt"/>
              </a:rPr>
              <a:t>Figure GVSU FTE (by category)</a:t>
            </a:r>
            <a:r>
              <a:rPr lang="en-US" sz="1600" baseline="0">
                <a:latin typeface="+mn-lt"/>
              </a:rPr>
              <a:t> </a:t>
            </a:r>
            <a:r>
              <a:rPr lang="en-US" sz="1600">
                <a:latin typeface="+mn-lt"/>
              </a:rPr>
              <a:t>per FYES: </a:t>
            </a:r>
          </a:p>
          <a:p>
            <a:pPr algn="ctr">
              <a:defRPr sz="1600" b="1" i="0" u="none" strike="noStrike" baseline="0">
                <a:solidFill>
                  <a:srgbClr val="000000"/>
                </a:solidFill>
                <a:latin typeface="+mn-lt"/>
                <a:ea typeface="Verdana"/>
                <a:cs typeface="Verdana"/>
              </a:defRPr>
            </a:pPr>
            <a:r>
              <a:rPr lang="en-US" sz="1600">
                <a:latin typeface="+mn-lt"/>
              </a:rPr>
              <a:t>FTE relative to Fiscal Year Equated Students.</a:t>
            </a:r>
          </a:p>
        </c:rich>
      </c:tx>
      <c:layout/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3229744728079905E-2"/>
          <c:y val="0.1729200652528548"/>
          <c:w val="0.89456159822419534"/>
          <c:h val="0.71778140293637849"/>
        </c:manualLayout>
      </c:layout>
      <c:lineChart>
        <c:grouping val="standard"/>
        <c:varyColors val="0"/>
        <c:ser>
          <c:idx val="0"/>
          <c:order val="0"/>
          <c:tx>
            <c:v>Admin/Professional FTE</c:v>
          </c:tx>
          <c:spPr>
            <a:ln w="25400">
              <a:solidFill>
                <a:srgbClr val="FF0000"/>
              </a:solidFill>
            </a:ln>
          </c:spPr>
          <c:marker>
            <c:symbol val="triangle"/>
            <c:size val="7"/>
            <c:spPr>
              <a:noFill/>
              <a:ln>
                <a:solidFill>
                  <a:srgbClr val="FF0000"/>
                </a:solidFill>
              </a:ln>
            </c:spPr>
          </c:marker>
          <c:val>
            <c:numRef>
              <c:f>'FYES per'!$C$5:$AL$5</c:f>
              <c:numCache>
                <c:formatCode>0</c:formatCode>
                <c:ptCount val="36"/>
                <c:pt idx="0">
                  <c:v>57.027415730337083</c:v>
                </c:pt>
                <c:pt idx="1">
                  <c:v>46.358887693962203</c:v>
                </c:pt>
                <c:pt idx="2">
                  <c:v>42.705575001268201</c:v>
                </c:pt>
                <c:pt idx="3">
                  <c:v>46.741607724261819</c:v>
                </c:pt>
                <c:pt idx="4">
                  <c:v>45.110930246578647</c:v>
                </c:pt>
                <c:pt idx="5">
                  <c:v>55.031994704324802</c:v>
                </c:pt>
                <c:pt idx="6">
                  <c:v>51.492783959457974</c:v>
                </c:pt>
                <c:pt idx="7">
                  <c:v>56.283475322621229</c:v>
                </c:pt>
                <c:pt idx="8">
                  <c:v>55.324475065616795</c:v>
                </c:pt>
                <c:pt idx="9">
                  <c:v>51.199061355311358</c:v>
                </c:pt>
                <c:pt idx="10">
                  <c:v>54.941292689810894</c:v>
                </c:pt>
                <c:pt idx="11">
                  <c:v>56.43967411695342</c:v>
                </c:pt>
                <c:pt idx="12">
                  <c:v>60.858268983268985</c:v>
                </c:pt>
                <c:pt idx="13">
                  <c:v>63.761027274335845</c:v>
                </c:pt>
                <c:pt idx="14">
                  <c:v>66.395930580490727</c:v>
                </c:pt>
                <c:pt idx="15">
                  <c:v>66.206542598295172</c:v>
                </c:pt>
                <c:pt idx="16">
                  <c:v>68.974787295647914</c:v>
                </c:pt>
                <c:pt idx="17">
                  <c:v>64.585591133004925</c:v>
                </c:pt>
                <c:pt idx="18">
                  <c:v>62.803965803847071</c:v>
                </c:pt>
                <c:pt idx="19">
                  <c:v>63.730427301405221</c:v>
                </c:pt>
                <c:pt idx="20">
                  <c:v>60.801835113667494</c:v>
                </c:pt>
                <c:pt idx="21">
                  <c:v>59.683606327873449</c:v>
                </c:pt>
                <c:pt idx="22">
                  <c:v>56.153846153846153</c:v>
                </c:pt>
                <c:pt idx="23">
                  <c:v>49.25825110581831</c:v>
                </c:pt>
                <c:pt idx="24">
                  <c:v>48.887488181531673</c:v>
                </c:pt>
                <c:pt idx="25">
                  <c:v>47.358171041490259</c:v>
                </c:pt>
                <c:pt idx="26">
                  <c:v>48.404519151281349</c:v>
                </c:pt>
                <c:pt idx="27">
                  <c:v>46.87341772151899</c:v>
                </c:pt>
                <c:pt idx="28">
                  <c:v>44.907407407407405</c:v>
                </c:pt>
                <c:pt idx="29">
                  <c:v>44.314634146341469</c:v>
                </c:pt>
                <c:pt idx="30">
                  <c:v>46.276785714285715</c:v>
                </c:pt>
                <c:pt idx="31">
                  <c:v>42.75714285714286</c:v>
                </c:pt>
                <c:pt idx="32">
                  <c:v>41.642980660292977</c:v>
                </c:pt>
                <c:pt idx="33">
                  <c:v>40.514656271084796</c:v>
                </c:pt>
                <c:pt idx="34">
                  <c:v>39.944404591104735</c:v>
                </c:pt>
                <c:pt idx="35">
                  <c:v>38.486113258102741</c:v>
                </c:pt>
              </c:numCache>
            </c:numRef>
          </c:val>
          <c:smooth val="0"/>
        </c:ser>
        <c:ser>
          <c:idx val="9"/>
          <c:order val="1"/>
          <c:tx>
            <c:v>Service FTE</c:v>
          </c:tx>
          <c:spPr>
            <a:ln w="25400">
              <a:solidFill>
                <a:schemeClr val="accent6">
                  <a:lumMod val="75000"/>
                </a:schemeClr>
              </a:solidFill>
            </a:ln>
          </c:spPr>
          <c:marker>
            <c:symbol val="square"/>
            <c:size val="7"/>
            <c:spPr>
              <a:noFill/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strRef>
              <c:f>[2]FYES!$E$21:$AP$21</c:f>
              <c:strCache>
                <c:ptCount val="38"/>
                <c:pt idx="0">
                  <c:v>77</c:v>
                </c:pt>
                <c:pt idx="1">
                  <c:v>78</c:v>
                </c:pt>
                <c:pt idx="2">
                  <c:v>79</c:v>
                </c:pt>
                <c:pt idx="3">
                  <c:v>80</c:v>
                </c:pt>
                <c:pt idx="4">
                  <c:v>81</c:v>
                </c:pt>
                <c:pt idx="5">
                  <c:v>82</c:v>
                </c:pt>
                <c:pt idx="6">
                  <c:v>83</c:v>
                </c:pt>
                <c:pt idx="7">
                  <c:v>84</c:v>
                </c:pt>
                <c:pt idx="8">
                  <c:v>85</c:v>
                </c:pt>
                <c:pt idx="9">
                  <c:v>86</c:v>
                </c:pt>
                <c:pt idx="10">
                  <c:v>87</c:v>
                </c:pt>
                <c:pt idx="11">
                  <c:v>88</c:v>
                </c:pt>
                <c:pt idx="12">
                  <c:v>89</c:v>
                </c:pt>
                <c:pt idx="13">
                  <c:v>90</c:v>
                </c:pt>
                <c:pt idx="14">
                  <c:v>91</c:v>
                </c:pt>
                <c:pt idx="15">
                  <c:v>92</c:v>
                </c:pt>
                <c:pt idx="16">
                  <c:v>93</c:v>
                </c:pt>
                <c:pt idx="17">
                  <c:v>94</c:v>
                </c:pt>
                <c:pt idx="18">
                  <c:v>95</c:v>
                </c:pt>
                <c:pt idx="19">
                  <c:v>96</c:v>
                </c:pt>
                <c:pt idx="20">
                  <c:v>97</c:v>
                </c:pt>
                <c:pt idx="21">
                  <c:v>98</c:v>
                </c:pt>
                <c:pt idx="22">
                  <c:v>99</c:v>
                </c:pt>
                <c:pt idx="23">
                  <c:v>00</c:v>
                </c:pt>
                <c:pt idx="24">
                  <c:v>01</c:v>
                </c:pt>
                <c:pt idx="25">
                  <c:v>02</c:v>
                </c:pt>
                <c:pt idx="26">
                  <c:v>03</c:v>
                </c:pt>
                <c:pt idx="27">
                  <c:v>04</c:v>
                </c:pt>
                <c:pt idx="28">
                  <c:v>05</c:v>
                </c:pt>
                <c:pt idx="29">
                  <c:v>06</c:v>
                </c:pt>
                <c:pt idx="30">
                  <c:v>07</c:v>
                </c:pt>
                <c:pt idx="31">
                  <c:v>08</c:v>
                </c:pt>
                <c:pt idx="32">
                  <c:v>09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13</c:v>
                </c:pt>
                <c:pt idx="37">
                  <c:v>14</c:v>
                </c:pt>
              </c:strCache>
            </c:strRef>
          </c:cat>
          <c:val>
            <c:numRef>
              <c:f>'FYES per'!$C$10:$AL$10</c:f>
              <c:numCache>
                <c:formatCode>0</c:formatCode>
                <c:ptCount val="36"/>
                <c:pt idx="0">
                  <c:v>25.999098434554544</c:v>
                </c:pt>
                <c:pt idx="1">
                  <c:v>25.422300855132907</c:v>
                </c:pt>
                <c:pt idx="2">
                  <c:v>25.471392696136274</c:v>
                </c:pt>
                <c:pt idx="3">
                  <c:v>25.243443989692285</c:v>
                </c:pt>
                <c:pt idx="4">
                  <c:v>24.938092619440418</c:v>
                </c:pt>
                <c:pt idx="5">
                  <c:v>24.666699634061914</c:v>
                </c:pt>
                <c:pt idx="6">
                  <c:v>23.105442681299127</c:v>
                </c:pt>
                <c:pt idx="7">
                  <c:v>25.541581025088906</c:v>
                </c:pt>
                <c:pt idx="8">
                  <c:v>25.885179215595976</c:v>
                </c:pt>
                <c:pt idx="9">
                  <c:v>26.001337053830948</c:v>
                </c:pt>
                <c:pt idx="10">
                  <c:v>28.910027921344977</c:v>
                </c:pt>
                <c:pt idx="11">
                  <c:v>29.900190249027457</c:v>
                </c:pt>
                <c:pt idx="12">
                  <c:v>29.002568329052782</c:v>
                </c:pt>
                <c:pt idx="13">
                  <c:v>30.072126847877922</c:v>
                </c:pt>
                <c:pt idx="14">
                  <c:v>29.958955747815473</c:v>
                </c:pt>
                <c:pt idx="15">
                  <c:v>28.593539185073819</c:v>
                </c:pt>
                <c:pt idx="16">
                  <c:v>28.675944959905177</c:v>
                </c:pt>
                <c:pt idx="17">
                  <c:v>27.739077541521212</c:v>
                </c:pt>
                <c:pt idx="18">
                  <c:v>25.942174702045225</c:v>
                </c:pt>
                <c:pt idx="19">
                  <c:v>25.26121947892511</c:v>
                </c:pt>
                <c:pt idx="20">
                  <c:v>24.77832890339954</c:v>
                </c:pt>
                <c:pt idx="21">
                  <c:v>23.275824415811311</c:v>
                </c:pt>
                <c:pt idx="22">
                  <c:v>22.492997198879554</c:v>
                </c:pt>
                <c:pt idx="23">
                  <c:v>22.881302354986563</c:v>
                </c:pt>
                <c:pt idx="24">
                  <c:v>22.043484439391786</c:v>
                </c:pt>
                <c:pt idx="25">
                  <c:v>21.822083495903239</c:v>
                </c:pt>
                <c:pt idx="26">
                  <c:v>20.564270662608287</c:v>
                </c:pt>
                <c:pt idx="27">
                  <c:v>19.675667633712713</c:v>
                </c:pt>
                <c:pt idx="28">
                  <c:v>20.269564308849649</c:v>
                </c:pt>
                <c:pt idx="29">
                  <c:v>22.036871643897548</c:v>
                </c:pt>
                <c:pt idx="30">
                  <c:v>21.800210304942166</c:v>
                </c:pt>
                <c:pt idx="31">
                  <c:v>23.321904846717278</c:v>
                </c:pt>
                <c:pt idx="32">
                  <c:v>22.064832757603842</c:v>
                </c:pt>
                <c:pt idx="33">
                  <c:v>22.110506505195975</c:v>
                </c:pt>
                <c:pt idx="34">
                  <c:v>23.208052432505653</c:v>
                </c:pt>
                <c:pt idx="35">
                  <c:v>23.70684638742237</c:v>
                </c:pt>
              </c:numCache>
            </c:numRef>
          </c:val>
          <c:smooth val="0"/>
        </c:ser>
        <c:ser>
          <c:idx val="1"/>
          <c:order val="2"/>
          <c:tx>
            <c:v>Faculty FTE</c:v>
          </c:tx>
          <c:spPr>
            <a:ln w="25400">
              <a:solidFill>
                <a:schemeClr val="accent1"/>
              </a:solidFill>
            </a:ln>
          </c:spPr>
          <c:marker>
            <c:symbol val="diamond"/>
            <c:size val="7"/>
            <c:spPr>
              <a:noFill/>
              <a:ln>
                <a:solidFill>
                  <a:schemeClr val="accent1"/>
                </a:solidFill>
              </a:ln>
            </c:spPr>
          </c:marker>
          <c:val>
            <c:numRef>
              <c:f>'FYES per'!$C$20:$AL$20</c:f>
              <c:numCache>
                <c:formatCode>0</c:formatCode>
                <c:ptCount val="36"/>
                <c:pt idx="0">
                  <c:v>21.372793424066838</c:v>
                </c:pt>
                <c:pt idx="1">
                  <c:v>20.656489594742606</c:v>
                </c:pt>
                <c:pt idx="2">
                  <c:v>19.5983052228469</c:v>
                </c:pt>
                <c:pt idx="3">
                  <c:v>19.045609460417669</c:v>
                </c:pt>
                <c:pt idx="4">
                  <c:v>19.108855263997956</c:v>
                </c:pt>
                <c:pt idx="5">
                  <c:v>19.86499402628435</c:v>
                </c:pt>
                <c:pt idx="6">
                  <c:v>18.660172468859791</c:v>
                </c:pt>
                <c:pt idx="7">
                  <c:v>20.193324563439866</c:v>
                </c:pt>
                <c:pt idx="8">
                  <c:v>20.80837621392169</c:v>
                </c:pt>
                <c:pt idx="9">
                  <c:v>20.758351027417127</c:v>
                </c:pt>
                <c:pt idx="10">
                  <c:v>21.901595445442066</c:v>
                </c:pt>
                <c:pt idx="11">
                  <c:v>21.64051501793109</c:v>
                </c:pt>
                <c:pt idx="12">
                  <c:v>21.434358887189074</c:v>
                </c:pt>
                <c:pt idx="13">
                  <c:v>21.889996789114232</c:v>
                </c:pt>
                <c:pt idx="14">
                  <c:v>20.810374838690315</c:v>
                </c:pt>
                <c:pt idx="15">
                  <c:v>23.948309401005719</c:v>
                </c:pt>
                <c:pt idx="16">
                  <c:v>23.176395749139353</c:v>
                </c:pt>
                <c:pt idx="17">
                  <c:v>22.881108202443283</c:v>
                </c:pt>
                <c:pt idx="18">
                  <c:v>22.14275248560963</c:v>
                </c:pt>
                <c:pt idx="19">
                  <c:v>22.163402082419118</c:v>
                </c:pt>
                <c:pt idx="20">
                  <c:v>22.027896130636748</c:v>
                </c:pt>
                <c:pt idx="21">
                  <c:v>21.810368349249661</c:v>
                </c:pt>
                <c:pt idx="22">
                  <c:v>19.562912009171683</c:v>
                </c:pt>
                <c:pt idx="23">
                  <c:v>19.083838650145005</c:v>
                </c:pt>
                <c:pt idx="24">
                  <c:v>18.020446096654275</c:v>
                </c:pt>
                <c:pt idx="25">
                  <c:v>18.587570621468927</c:v>
                </c:pt>
                <c:pt idx="26">
                  <c:v>20.342790966994787</c:v>
                </c:pt>
                <c:pt idx="27">
                  <c:v>19.617919430375725</c:v>
                </c:pt>
                <c:pt idx="28">
                  <c:v>19.471851130672182</c:v>
                </c:pt>
                <c:pt idx="29">
                  <c:v>18.725487440387518</c:v>
                </c:pt>
                <c:pt idx="30">
                  <c:v>19.257814314244577</c:v>
                </c:pt>
                <c:pt idx="31">
                  <c:v>18.746756384330428</c:v>
                </c:pt>
                <c:pt idx="32">
                  <c:v>18.134526663839143</c:v>
                </c:pt>
                <c:pt idx="33">
                  <c:v>18.168447062976444</c:v>
                </c:pt>
                <c:pt idx="34">
                  <c:v>18.372666606175091</c:v>
                </c:pt>
                <c:pt idx="35">
                  <c:v>18.272931889352819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0099328"/>
        <c:axId val="350114176"/>
      </c:lineChart>
      <c:catAx>
        <c:axId val="350099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State Fiscal Year</a:t>
                </a:r>
              </a:p>
            </c:rich>
          </c:tx>
          <c:layout>
            <c:manualLayout>
              <c:xMode val="edge"/>
              <c:yMode val="edge"/>
              <c:x val="0.46059933407325193"/>
              <c:y val="0.9412724306688418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3501141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50114176"/>
        <c:scaling>
          <c:orientation val="minMax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ysDash"/>
            </a:ln>
          </c:spPr>
        </c:majorGridlines>
        <c:numFmt formatCode="0" sourceLinked="1"/>
        <c:majorTickMark val="out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35009932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13681259842519686"/>
          <c:y val="0.11366298238466058"/>
          <c:w val="0.80540962379702541"/>
          <c:h val="3.951500009513095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>
              <a:defRPr sz="1600" b="1" i="0" u="none" strike="noStrike" baseline="0">
                <a:solidFill>
                  <a:srgbClr val="000000"/>
                </a:solidFill>
                <a:latin typeface="+mn-lt"/>
                <a:ea typeface="Verdana"/>
                <a:cs typeface="Verdana"/>
              </a:defRPr>
            </a:pPr>
            <a:r>
              <a:rPr lang="en-US" sz="1600">
                <a:latin typeface="+mn-lt"/>
              </a:rPr>
              <a:t>Figure GVSU CPI-adjusted Salaries (in 2013 dollars)</a:t>
            </a:r>
            <a:r>
              <a:rPr lang="en-US" sz="1600" baseline="0">
                <a:latin typeface="+mn-lt"/>
              </a:rPr>
              <a:t> </a:t>
            </a:r>
            <a:r>
              <a:rPr lang="en-US" sz="1600">
                <a:latin typeface="+mn-lt"/>
              </a:rPr>
              <a:t>.</a:t>
            </a:r>
          </a:p>
        </c:rich>
      </c:tx>
      <c:layout>
        <c:manualLayout>
          <c:xMode val="edge"/>
          <c:yMode val="edge"/>
          <c:x val="0.23729262175561389"/>
          <c:y val="3.7006799549473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3229744728079905E-2"/>
          <c:y val="0.1729200652528548"/>
          <c:w val="0.89456159822419534"/>
          <c:h val="0.71778140293637849"/>
        </c:manualLayout>
      </c:layout>
      <c:lineChart>
        <c:grouping val="standard"/>
        <c:varyColors val="0"/>
        <c:ser>
          <c:idx val="0"/>
          <c:order val="0"/>
          <c:tx>
            <c:v>Admin/Professional avg Wage per FTE</c:v>
          </c:tx>
          <c:spPr>
            <a:ln w="25400">
              <a:solidFill>
                <a:srgbClr val="FF0000"/>
              </a:solidFill>
            </a:ln>
          </c:spPr>
          <c:marker>
            <c:symbol val="triangle"/>
            <c:size val="7"/>
            <c:spPr>
              <a:noFill/>
              <a:ln>
                <a:solidFill>
                  <a:srgbClr val="FF0000"/>
                </a:solidFill>
              </a:ln>
            </c:spPr>
          </c:marker>
          <c:val>
            <c:numRef>
              <c:f>'FacStaff $'!$B$28:$AK$28</c:f>
              <c:numCache>
                <c:formatCode>_(* #,##0_);_(* \(#,##0\);_(* "-"??_);_(@_)</c:formatCode>
                <c:ptCount val="36"/>
                <c:pt idx="0">
                  <c:v>84431.584617058397</c:v>
                </c:pt>
                <c:pt idx="1">
                  <c:v>75684.205711601782</c:v>
                </c:pt>
                <c:pt idx="2">
                  <c:v>75771.953418958758</c:v>
                </c:pt>
                <c:pt idx="3">
                  <c:v>70381.161991059707</c:v>
                </c:pt>
                <c:pt idx="4">
                  <c:v>71531.401957070673</c:v>
                </c:pt>
                <c:pt idx="5">
                  <c:v>75344.316040453836</c:v>
                </c:pt>
                <c:pt idx="6">
                  <c:v>71961.616157305267</c:v>
                </c:pt>
                <c:pt idx="7">
                  <c:v>71677.252050312556</c:v>
                </c:pt>
                <c:pt idx="8">
                  <c:v>74433.321769294285</c:v>
                </c:pt>
                <c:pt idx="9">
                  <c:v>77758.246083416001</c:v>
                </c:pt>
                <c:pt idx="10">
                  <c:v>79124.48127524044</c:v>
                </c:pt>
                <c:pt idx="11">
                  <c:v>83455.705229549261</c:v>
                </c:pt>
                <c:pt idx="12">
                  <c:v>88327.4923521405</c:v>
                </c:pt>
                <c:pt idx="13">
                  <c:v>88611.050810708752</c:v>
                </c:pt>
                <c:pt idx="14">
                  <c:v>83564.633743565821</c:v>
                </c:pt>
                <c:pt idx="15">
                  <c:v>84871.725771936704</c:v>
                </c:pt>
                <c:pt idx="16">
                  <c:v>91203.253508428621</c:v>
                </c:pt>
                <c:pt idx="17">
                  <c:v>86932.382256174722</c:v>
                </c:pt>
                <c:pt idx="18">
                  <c:v>87477.666112482315</c:v>
                </c:pt>
                <c:pt idx="19">
                  <c:v>88880.201399783691</c:v>
                </c:pt>
                <c:pt idx="20">
                  <c:v>86534.755931839871</c:v>
                </c:pt>
                <c:pt idx="21">
                  <c:v>88855.251536944546</c:v>
                </c:pt>
                <c:pt idx="22">
                  <c:v>85640.335761169306</c:v>
                </c:pt>
                <c:pt idx="23">
                  <c:v>79342.196194679011</c:v>
                </c:pt>
                <c:pt idx="24">
                  <c:v>84794.880902121178</c:v>
                </c:pt>
                <c:pt idx="25">
                  <c:v>85529.79976009838</c:v>
                </c:pt>
                <c:pt idx="26">
                  <c:v>89826.545513666861</c:v>
                </c:pt>
                <c:pt idx="27">
                  <c:v>87720.162223439198</c:v>
                </c:pt>
                <c:pt idx="28">
                  <c:v>83254.918713139894</c:v>
                </c:pt>
                <c:pt idx="29">
                  <c:v>82813.261939156509</c:v>
                </c:pt>
                <c:pt idx="30">
                  <c:v>86673.704680817871</c:v>
                </c:pt>
                <c:pt idx="31">
                  <c:v>85790.565661219836</c:v>
                </c:pt>
                <c:pt idx="32">
                  <c:v>93742.616079409156</c:v>
                </c:pt>
                <c:pt idx="33">
                  <c:v>96360.765448567297</c:v>
                </c:pt>
                <c:pt idx="34">
                  <c:v>93070.928153810426</c:v>
                </c:pt>
                <c:pt idx="35">
                  <c:v>91903.460137030706</c:v>
                </c:pt>
              </c:numCache>
            </c:numRef>
          </c:val>
          <c:smooth val="0"/>
        </c:ser>
        <c:ser>
          <c:idx val="9"/>
          <c:order val="1"/>
          <c:tx>
            <c:v>Service avg Wage per FTE</c:v>
          </c:tx>
          <c:spPr>
            <a:ln w="25400">
              <a:solidFill>
                <a:schemeClr val="accent6">
                  <a:lumMod val="75000"/>
                </a:schemeClr>
              </a:solidFill>
            </a:ln>
          </c:spPr>
          <c:marker>
            <c:symbol val="square"/>
            <c:size val="7"/>
            <c:spPr>
              <a:noFill/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strRef>
              <c:f>[2]FYES!$E$21:$AP$21</c:f>
              <c:strCache>
                <c:ptCount val="38"/>
                <c:pt idx="0">
                  <c:v>77</c:v>
                </c:pt>
                <c:pt idx="1">
                  <c:v>78</c:v>
                </c:pt>
                <c:pt idx="2">
                  <c:v>79</c:v>
                </c:pt>
                <c:pt idx="3">
                  <c:v>80</c:v>
                </c:pt>
                <c:pt idx="4">
                  <c:v>81</c:v>
                </c:pt>
                <c:pt idx="5">
                  <c:v>82</c:v>
                </c:pt>
                <c:pt idx="6">
                  <c:v>83</c:v>
                </c:pt>
                <c:pt idx="7">
                  <c:v>84</c:v>
                </c:pt>
                <c:pt idx="8">
                  <c:v>85</c:v>
                </c:pt>
                <c:pt idx="9">
                  <c:v>86</c:v>
                </c:pt>
                <c:pt idx="10">
                  <c:v>87</c:v>
                </c:pt>
                <c:pt idx="11">
                  <c:v>88</c:v>
                </c:pt>
                <c:pt idx="12">
                  <c:v>89</c:v>
                </c:pt>
                <c:pt idx="13">
                  <c:v>90</c:v>
                </c:pt>
                <c:pt idx="14">
                  <c:v>91</c:v>
                </c:pt>
                <c:pt idx="15">
                  <c:v>92</c:v>
                </c:pt>
                <c:pt idx="16">
                  <c:v>93</c:v>
                </c:pt>
                <c:pt idx="17">
                  <c:v>94</c:v>
                </c:pt>
                <c:pt idx="18">
                  <c:v>95</c:v>
                </c:pt>
                <c:pt idx="19">
                  <c:v>96</c:v>
                </c:pt>
                <c:pt idx="20">
                  <c:v>97</c:v>
                </c:pt>
                <c:pt idx="21">
                  <c:v>98</c:v>
                </c:pt>
                <c:pt idx="22">
                  <c:v>99</c:v>
                </c:pt>
                <c:pt idx="23">
                  <c:v>00</c:v>
                </c:pt>
                <c:pt idx="24">
                  <c:v>01</c:v>
                </c:pt>
                <c:pt idx="25">
                  <c:v>02</c:v>
                </c:pt>
                <c:pt idx="26">
                  <c:v>03</c:v>
                </c:pt>
                <c:pt idx="27">
                  <c:v>04</c:v>
                </c:pt>
                <c:pt idx="28">
                  <c:v>05</c:v>
                </c:pt>
                <c:pt idx="29">
                  <c:v>06</c:v>
                </c:pt>
                <c:pt idx="30">
                  <c:v>07</c:v>
                </c:pt>
                <c:pt idx="31">
                  <c:v>08</c:v>
                </c:pt>
                <c:pt idx="32">
                  <c:v>09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13</c:v>
                </c:pt>
                <c:pt idx="37">
                  <c:v>14</c:v>
                </c:pt>
              </c:strCache>
            </c:strRef>
          </c:cat>
          <c:val>
            <c:numRef>
              <c:f>'FacStaff $'!$B$30:$AK$30</c:f>
              <c:numCache>
                <c:formatCode>_(* #,##0_);_(* \(#,##0\);_(* "-"??_);_(@_)</c:formatCode>
                <c:ptCount val="36"/>
                <c:pt idx="0">
                  <c:v>34213.011269636481</c:v>
                </c:pt>
                <c:pt idx="1">
                  <c:v>33866.390811903249</c:v>
                </c:pt>
                <c:pt idx="2">
                  <c:v>33120.372360296671</c:v>
                </c:pt>
                <c:pt idx="3">
                  <c:v>32175.240051192723</c:v>
                </c:pt>
                <c:pt idx="4">
                  <c:v>33378.587831137207</c:v>
                </c:pt>
                <c:pt idx="5">
                  <c:v>34802.211769052636</c:v>
                </c:pt>
                <c:pt idx="6">
                  <c:v>36098.3452739407</c:v>
                </c:pt>
                <c:pt idx="7">
                  <c:v>37118.686170335379</c:v>
                </c:pt>
                <c:pt idx="8">
                  <c:v>37101.992057044743</c:v>
                </c:pt>
                <c:pt idx="9">
                  <c:v>39497.12208286504</c:v>
                </c:pt>
                <c:pt idx="10">
                  <c:v>38812.914564522733</c:v>
                </c:pt>
                <c:pt idx="11">
                  <c:v>39601.117735598535</c:v>
                </c:pt>
                <c:pt idx="12">
                  <c:v>39534.396547103148</c:v>
                </c:pt>
                <c:pt idx="13">
                  <c:v>39130.946954103521</c:v>
                </c:pt>
                <c:pt idx="14">
                  <c:v>37244.587690287728</c:v>
                </c:pt>
                <c:pt idx="15">
                  <c:v>36315.130192783879</c:v>
                </c:pt>
                <c:pt idx="16">
                  <c:v>37281.258248275692</c:v>
                </c:pt>
                <c:pt idx="17">
                  <c:v>37447.426163761942</c:v>
                </c:pt>
                <c:pt idx="18">
                  <c:v>34899.954798310326</c:v>
                </c:pt>
                <c:pt idx="19">
                  <c:v>34649.073515221266</c:v>
                </c:pt>
                <c:pt idx="20">
                  <c:v>32832.860113188995</c:v>
                </c:pt>
                <c:pt idx="21">
                  <c:v>31604.252749309377</c:v>
                </c:pt>
                <c:pt idx="22">
                  <c:v>31100.665312945381</c:v>
                </c:pt>
                <c:pt idx="23">
                  <c:v>30957.07735458509</c:v>
                </c:pt>
                <c:pt idx="24">
                  <c:v>30380.712503914485</c:v>
                </c:pt>
                <c:pt idx="25">
                  <c:v>30569.726426434263</c:v>
                </c:pt>
                <c:pt idx="26">
                  <c:v>30788.55357375709</c:v>
                </c:pt>
                <c:pt idx="27">
                  <c:v>30214.811061529479</c:v>
                </c:pt>
                <c:pt idx="28">
                  <c:v>29736.394750508043</c:v>
                </c:pt>
                <c:pt idx="29">
                  <c:v>32735.457189885437</c:v>
                </c:pt>
                <c:pt idx="30">
                  <c:v>33178.203857131884</c:v>
                </c:pt>
                <c:pt idx="31">
                  <c:v>36022.238392669024</c:v>
                </c:pt>
                <c:pt idx="32">
                  <c:v>36530.544765738079</c:v>
                </c:pt>
                <c:pt idx="33">
                  <c:v>37510.9845989729</c:v>
                </c:pt>
                <c:pt idx="34">
                  <c:v>37631.79241280783</c:v>
                </c:pt>
                <c:pt idx="35">
                  <c:v>39049.523283882576</c:v>
                </c:pt>
              </c:numCache>
            </c:numRef>
          </c:val>
          <c:smooth val="0"/>
        </c:ser>
        <c:ser>
          <c:idx val="1"/>
          <c:order val="2"/>
          <c:tx>
            <c:v>Faculty avg Wage per FTE</c:v>
          </c:tx>
          <c:spPr>
            <a:ln w="25400">
              <a:solidFill>
                <a:schemeClr val="accent1"/>
              </a:solidFill>
            </a:ln>
          </c:spPr>
          <c:marker>
            <c:symbol val="diamond"/>
            <c:size val="7"/>
            <c:spPr>
              <a:noFill/>
              <a:ln>
                <a:solidFill>
                  <a:schemeClr val="accent1"/>
                </a:solidFill>
              </a:ln>
            </c:spPr>
          </c:marker>
          <c:val>
            <c:numRef>
              <c:f>'FacStaff $'!$B$26:$AK$26</c:f>
              <c:numCache>
                <c:formatCode>_(* #,##0_);_(* \(#,##0\);_(* "-"??_);_(@_)</c:formatCode>
                <c:ptCount val="36"/>
                <c:pt idx="0">
                  <c:v>73605.842995861356</c:v>
                </c:pt>
                <c:pt idx="1">
                  <c:v>72259.216521488503</c:v>
                </c:pt>
                <c:pt idx="2">
                  <c:v>69395.122160825471</c:v>
                </c:pt>
                <c:pt idx="3">
                  <c:v>64860.034220919246</c:v>
                </c:pt>
                <c:pt idx="4">
                  <c:v>69031.544157984026</c:v>
                </c:pt>
                <c:pt idx="5">
                  <c:v>69561.994868175898</c:v>
                </c:pt>
                <c:pt idx="6">
                  <c:v>69347.733275434482</c:v>
                </c:pt>
                <c:pt idx="7">
                  <c:v>70185.922049579676</c:v>
                </c:pt>
                <c:pt idx="8">
                  <c:v>71356.177533330818</c:v>
                </c:pt>
                <c:pt idx="9">
                  <c:v>73955.732769701019</c:v>
                </c:pt>
                <c:pt idx="10">
                  <c:v>74274.63811766672</c:v>
                </c:pt>
                <c:pt idx="11">
                  <c:v>74592.328517536371</c:v>
                </c:pt>
                <c:pt idx="12">
                  <c:v>76290.702632285203</c:v>
                </c:pt>
                <c:pt idx="13">
                  <c:v>76649.186497384086</c:v>
                </c:pt>
                <c:pt idx="14">
                  <c:v>71432.723478967426</c:v>
                </c:pt>
                <c:pt idx="15">
                  <c:v>82104.303267613024</c:v>
                </c:pt>
                <c:pt idx="16">
                  <c:v>82458.803811662059</c:v>
                </c:pt>
                <c:pt idx="17">
                  <c:v>81931.508326970623</c:v>
                </c:pt>
                <c:pt idx="18">
                  <c:v>80312.705951922544</c:v>
                </c:pt>
                <c:pt idx="19">
                  <c:v>83327.176357688193</c:v>
                </c:pt>
                <c:pt idx="20">
                  <c:v>84835.352064469858</c:v>
                </c:pt>
                <c:pt idx="21">
                  <c:v>84139.795975250672</c:v>
                </c:pt>
                <c:pt idx="22">
                  <c:v>75827.536672901027</c:v>
                </c:pt>
                <c:pt idx="23">
                  <c:v>76069.087019682716</c:v>
                </c:pt>
                <c:pt idx="24">
                  <c:v>74269.559449368258</c:v>
                </c:pt>
                <c:pt idx="25">
                  <c:v>75748.239074657089</c:v>
                </c:pt>
                <c:pt idx="26">
                  <c:v>85343.463317616246</c:v>
                </c:pt>
                <c:pt idx="27">
                  <c:v>84251.120543331635</c:v>
                </c:pt>
                <c:pt idx="28">
                  <c:v>83209.26116382188</c:v>
                </c:pt>
                <c:pt idx="29">
                  <c:v>79487.158423265748</c:v>
                </c:pt>
                <c:pt idx="30">
                  <c:v>82227.174522185218</c:v>
                </c:pt>
                <c:pt idx="31">
                  <c:v>80053.818443636264</c:v>
                </c:pt>
                <c:pt idx="32">
                  <c:v>84268.117604744417</c:v>
                </c:pt>
                <c:pt idx="33">
                  <c:v>86737.758738728226</c:v>
                </c:pt>
                <c:pt idx="34">
                  <c:v>85283.736570894689</c:v>
                </c:pt>
                <c:pt idx="35">
                  <c:v>86152.488724051058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0193920"/>
        <c:axId val="350204672"/>
      </c:lineChart>
      <c:catAx>
        <c:axId val="350193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State Fiscal Year</a:t>
                </a:r>
              </a:p>
            </c:rich>
          </c:tx>
          <c:layout>
            <c:manualLayout>
              <c:xMode val="edge"/>
              <c:yMode val="edge"/>
              <c:x val="0.46059933407325193"/>
              <c:y val="0.9412724306688418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3502046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50204672"/>
        <c:scaling>
          <c:orientation val="minMax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ysDash"/>
            </a:ln>
          </c:spPr>
        </c:majorGridlines>
        <c:numFmt formatCode="_(* #,##0_);_(* \(#,##0\);_(* &quot;-&quot;??_);_(@_)" sourceLinked="1"/>
        <c:majorTickMark val="out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35019392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5.1481481481481482E-2"/>
          <c:y val="0.10013604583975182"/>
          <c:w val="0.9"/>
          <c:h val="3.951500009513095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>
              <a:defRPr sz="1600" b="1" i="0" u="none" strike="noStrike" baseline="0">
                <a:solidFill>
                  <a:srgbClr val="000000"/>
                </a:solidFill>
                <a:latin typeface="+mn-lt"/>
                <a:ea typeface="Verdana"/>
                <a:cs typeface="Verdana"/>
              </a:defRPr>
            </a:pPr>
            <a:r>
              <a:rPr lang="en-US" sz="1600">
                <a:latin typeface="+mn-lt"/>
              </a:rPr>
              <a:t>Figure GVSU CPI-adjusted average monthly</a:t>
            </a:r>
            <a:r>
              <a:rPr lang="en-US" sz="1600" baseline="0">
                <a:latin typeface="+mn-lt"/>
              </a:rPr>
              <a:t> wages</a:t>
            </a:r>
            <a:r>
              <a:rPr lang="en-US" sz="1600">
                <a:latin typeface="+mn-lt"/>
              </a:rPr>
              <a:t> (in 2013 dollars)</a:t>
            </a:r>
            <a:r>
              <a:rPr lang="en-US" sz="1600" baseline="0">
                <a:latin typeface="+mn-lt"/>
              </a:rPr>
              <a:t> </a:t>
            </a:r>
            <a:r>
              <a:rPr lang="en-US" sz="1600">
                <a:latin typeface="+mn-lt"/>
              </a:rPr>
              <a:t>.</a:t>
            </a:r>
          </a:p>
        </c:rich>
      </c:tx>
      <c:layout/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3229746281714779E-2"/>
          <c:y val="0.15985891821874393"/>
          <c:w val="0.89456159822419534"/>
          <c:h val="0.71778140293637849"/>
        </c:manualLayout>
      </c:layout>
      <c:lineChart>
        <c:grouping val="standard"/>
        <c:varyColors val="0"/>
        <c:ser>
          <c:idx val="2"/>
          <c:order val="0"/>
          <c:tx>
            <c:v>Admin/Professional 12 month equivalent</c:v>
          </c:tx>
          <c:spPr>
            <a:ln>
              <a:solidFill>
                <a:srgbClr val="FF0000"/>
              </a:solidFill>
            </a:ln>
          </c:spPr>
          <c:marker>
            <c:spPr>
              <a:noFill/>
              <a:ln>
                <a:solidFill>
                  <a:srgbClr val="FF0000"/>
                </a:solidFill>
              </a:ln>
            </c:spPr>
          </c:marker>
          <c:val>
            <c:numRef>
              <c:f>'FacStaff $'!$B$33:$AK$33</c:f>
              <c:numCache>
                <c:formatCode>_(* #,##0_);_(* \(#,##0\);_(* "-"??_);_(@_)</c:formatCode>
                <c:ptCount val="36"/>
                <c:pt idx="0">
                  <c:v>7035.9653847548661</c:v>
                </c:pt>
                <c:pt idx="1">
                  <c:v>6307.0171426334819</c:v>
                </c:pt>
                <c:pt idx="2">
                  <c:v>6314.3294515798962</c:v>
                </c:pt>
                <c:pt idx="3">
                  <c:v>5865.0968325883086</c:v>
                </c:pt>
                <c:pt idx="4">
                  <c:v>5960.9501630892228</c:v>
                </c:pt>
                <c:pt idx="5">
                  <c:v>6278.6930033711533</c:v>
                </c:pt>
                <c:pt idx="6">
                  <c:v>5996.8013464421056</c:v>
                </c:pt>
                <c:pt idx="7">
                  <c:v>5973.104337526046</c:v>
                </c:pt>
                <c:pt idx="8">
                  <c:v>6202.7768141078568</c:v>
                </c:pt>
                <c:pt idx="9">
                  <c:v>6479.8538402846671</c:v>
                </c:pt>
                <c:pt idx="10">
                  <c:v>6593.7067729367036</c:v>
                </c:pt>
                <c:pt idx="11">
                  <c:v>6954.6421024624387</c:v>
                </c:pt>
                <c:pt idx="12">
                  <c:v>7360.6243626783753</c:v>
                </c:pt>
                <c:pt idx="13">
                  <c:v>7384.2542342257293</c:v>
                </c:pt>
                <c:pt idx="14">
                  <c:v>6963.7194786304854</c:v>
                </c:pt>
                <c:pt idx="15">
                  <c:v>7072.6438143280584</c:v>
                </c:pt>
                <c:pt idx="16">
                  <c:v>7600.2711257023848</c:v>
                </c:pt>
                <c:pt idx="17">
                  <c:v>7244.3651880145599</c:v>
                </c:pt>
                <c:pt idx="18">
                  <c:v>7289.8055093735265</c:v>
                </c:pt>
                <c:pt idx="19">
                  <c:v>7406.6834499819743</c:v>
                </c:pt>
                <c:pt idx="20">
                  <c:v>7211.2296609866562</c:v>
                </c:pt>
                <c:pt idx="21">
                  <c:v>7404.6042947453789</c:v>
                </c:pt>
                <c:pt idx="22">
                  <c:v>7136.6946467641092</c:v>
                </c:pt>
                <c:pt idx="23">
                  <c:v>6611.8496828899179</c:v>
                </c:pt>
                <c:pt idx="24">
                  <c:v>7066.2400751767645</c:v>
                </c:pt>
                <c:pt idx="25">
                  <c:v>7127.4833133415314</c:v>
                </c:pt>
                <c:pt idx="26">
                  <c:v>7485.5454594722387</c:v>
                </c:pt>
                <c:pt idx="27">
                  <c:v>7310.0135186199332</c:v>
                </c:pt>
                <c:pt idx="28">
                  <c:v>6937.9098927616578</c:v>
                </c:pt>
                <c:pt idx="29">
                  <c:v>6901.1051615963761</c:v>
                </c:pt>
                <c:pt idx="30">
                  <c:v>7222.8087234014893</c:v>
                </c:pt>
                <c:pt idx="31">
                  <c:v>7149.2138051016527</c:v>
                </c:pt>
                <c:pt idx="32">
                  <c:v>7811.8846732840966</c:v>
                </c:pt>
                <c:pt idx="33">
                  <c:v>8030.0637873806081</c:v>
                </c:pt>
                <c:pt idx="34">
                  <c:v>7755.9106794842019</c:v>
                </c:pt>
                <c:pt idx="35">
                  <c:v>7658.6216780858922</c:v>
                </c:pt>
              </c:numCache>
            </c:numRef>
          </c:val>
          <c:smooth val="0"/>
        </c:ser>
        <c:ser>
          <c:idx val="3"/>
          <c:order val="1"/>
          <c:tx>
            <c:v>Faculty 9 month equivalent</c:v>
          </c:tx>
          <c:spPr>
            <a:ln>
              <a:solidFill>
                <a:schemeClr val="accent1"/>
              </a:solidFill>
            </a:ln>
          </c:spPr>
          <c:marker>
            <c:symbol val="diamond"/>
            <c:size val="8"/>
            <c:spPr>
              <a:noFill/>
            </c:spPr>
          </c:marker>
          <c:val>
            <c:numRef>
              <c:f>'FacStaff $'!$B$32:$AK$32</c:f>
              <c:numCache>
                <c:formatCode>_(* #,##0_);_(* \(#,##0\);_(* "-"??_);_(@_)</c:formatCode>
                <c:ptCount val="36"/>
                <c:pt idx="0">
                  <c:v>8178.426999540151</c:v>
                </c:pt>
                <c:pt idx="1">
                  <c:v>8028.8018357209448</c:v>
                </c:pt>
                <c:pt idx="2">
                  <c:v>7710.5691289806082</c:v>
                </c:pt>
                <c:pt idx="3">
                  <c:v>7206.6704689910275</c:v>
                </c:pt>
                <c:pt idx="4">
                  <c:v>7670.1715731093364</c:v>
                </c:pt>
                <c:pt idx="5">
                  <c:v>7729.110540908433</c:v>
                </c:pt>
                <c:pt idx="6">
                  <c:v>7705.3036972704977</c:v>
                </c:pt>
                <c:pt idx="7">
                  <c:v>7798.4357832866308</c:v>
                </c:pt>
                <c:pt idx="8">
                  <c:v>7928.4641703700909</c:v>
                </c:pt>
                <c:pt idx="9">
                  <c:v>8217.3036410778914</c:v>
                </c:pt>
                <c:pt idx="10">
                  <c:v>8252.7375686296364</c:v>
                </c:pt>
                <c:pt idx="11">
                  <c:v>8288.0365019484852</c:v>
                </c:pt>
                <c:pt idx="12">
                  <c:v>8476.7447369205784</c:v>
                </c:pt>
                <c:pt idx="13">
                  <c:v>8516.57627748712</c:v>
                </c:pt>
                <c:pt idx="14">
                  <c:v>7936.9692754408252</c:v>
                </c:pt>
                <c:pt idx="15">
                  <c:v>9122.7003630681138</c:v>
                </c:pt>
                <c:pt idx="16">
                  <c:v>9162.0893124068953</c:v>
                </c:pt>
                <c:pt idx="17">
                  <c:v>9103.5009252189575</c:v>
                </c:pt>
                <c:pt idx="18">
                  <c:v>8923.6339946580611</c:v>
                </c:pt>
                <c:pt idx="19">
                  <c:v>9258.5751508542435</c:v>
                </c:pt>
                <c:pt idx="20">
                  <c:v>9426.1502293855392</c:v>
                </c:pt>
                <c:pt idx="21">
                  <c:v>9348.8662194722965</c:v>
                </c:pt>
                <c:pt idx="22">
                  <c:v>8425.2818525445582</c:v>
                </c:pt>
                <c:pt idx="23">
                  <c:v>8452.1207799647455</c:v>
                </c:pt>
                <c:pt idx="24">
                  <c:v>8252.1732721520293</c:v>
                </c:pt>
                <c:pt idx="25">
                  <c:v>8416.4710082952315</c:v>
                </c:pt>
                <c:pt idx="26">
                  <c:v>9482.6070352906936</c:v>
                </c:pt>
                <c:pt idx="27">
                  <c:v>9361.2356159257379</c:v>
                </c:pt>
                <c:pt idx="28">
                  <c:v>9245.4734626468762</c:v>
                </c:pt>
                <c:pt idx="29">
                  <c:v>8831.906491473972</c:v>
                </c:pt>
                <c:pt idx="30">
                  <c:v>9136.3527246872472</c:v>
                </c:pt>
                <c:pt idx="31">
                  <c:v>8894.8687159595847</c:v>
                </c:pt>
                <c:pt idx="32">
                  <c:v>9363.1241783049354</c:v>
                </c:pt>
                <c:pt idx="33">
                  <c:v>9637.5287487475798</c:v>
                </c:pt>
                <c:pt idx="34">
                  <c:v>9475.9707300994105</c:v>
                </c:pt>
                <c:pt idx="35">
                  <c:v>9572.4987471167842</c:v>
                </c:pt>
              </c:numCache>
            </c:numRef>
          </c:val>
          <c:smooth val="0"/>
        </c:ser>
        <c:ser>
          <c:idx val="4"/>
          <c:order val="2"/>
          <c:tx>
            <c:v>Service 12 month equvialent</c:v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square"/>
            <c:size val="7"/>
            <c:spPr>
              <a:noFill/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val>
            <c:numRef>
              <c:f>'FacStaff $'!$B$34:$AK$34</c:f>
              <c:numCache>
                <c:formatCode>_(* #,##0_);_(* \(#,##0\);_(* "-"??_);_(@_)</c:formatCode>
                <c:ptCount val="36"/>
                <c:pt idx="0">
                  <c:v>2851.0842724697068</c:v>
                </c:pt>
                <c:pt idx="1">
                  <c:v>2822.1992343252709</c:v>
                </c:pt>
                <c:pt idx="2">
                  <c:v>2760.0310300247224</c:v>
                </c:pt>
                <c:pt idx="3">
                  <c:v>2681.2700042660604</c:v>
                </c:pt>
                <c:pt idx="4">
                  <c:v>2781.5489859281006</c:v>
                </c:pt>
                <c:pt idx="5">
                  <c:v>2900.1843140877195</c:v>
                </c:pt>
                <c:pt idx="6">
                  <c:v>3008.1954394950585</c:v>
                </c:pt>
                <c:pt idx="7">
                  <c:v>3093.2238475279482</c:v>
                </c:pt>
                <c:pt idx="8">
                  <c:v>3091.8326714203954</c:v>
                </c:pt>
                <c:pt idx="9">
                  <c:v>3291.4268402387534</c:v>
                </c:pt>
                <c:pt idx="10">
                  <c:v>3234.4095470435609</c:v>
                </c:pt>
                <c:pt idx="11">
                  <c:v>3300.0931446332111</c:v>
                </c:pt>
                <c:pt idx="12">
                  <c:v>3294.5330455919288</c:v>
                </c:pt>
                <c:pt idx="13">
                  <c:v>3260.9122461752936</c:v>
                </c:pt>
                <c:pt idx="14">
                  <c:v>3103.7156408573105</c:v>
                </c:pt>
                <c:pt idx="15">
                  <c:v>3026.2608493986568</c:v>
                </c:pt>
                <c:pt idx="16">
                  <c:v>3106.771520689641</c:v>
                </c:pt>
                <c:pt idx="17">
                  <c:v>3120.6188469801618</c:v>
                </c:pt>
                <c:pt idx="18">
                  <c:v>2908.3295665258606</c:v>
                </c:pt>
                <c:pt idx="19">
                  <c:v>2887.4227929351055</c:v>
                </c:pt>
                <c:pt idx="20">
                  <c:v>2736.0716760990831</c:v>
                </c:pt>
                <c:pt idx="21">
                  <c:v>2633.6877291091146</c:v>
                </c:pt>
                <c:pt idx="22">
                  <c:v>2591.7221094121151</c:v>
                </c:pt>
                <c:pt idx="23">
                  <c:v>2579.7564462154241</c:v>
                </c:pt>
                <c:pt idx="24">
                  <c:v>2531.7260419928739</c:v>
                </c:pt>
                <c:pt idx="25">
                  <c:v>2547.4772022028551</c:v>
                </c:pt>
                <c:pt idx="26">
                  <c:v>2565.7127978130907</c:v>
                </c:pt>
                <c:pt idx="27">
                  <c:v>2517.9009217941234</c:v>
                </c:pt>
                <c:pt idx="28">
                  <c:v>2478.0328958756704</c:v>
                </c:pt>
                <c:pt idx="29">
                  <c:v>2727.9547658237866</c:v>
                </c:pt>
                <c:pt idx="30">
                  <c:v>2764.850321427657</c:v>
                </c:pt>
                <c:pt idx="31">
                  <c:v>3001.8531993890851</c:v>
                </c:pt>
                <c:pt idx="32">
                  <c:v>3044.2120638115066</c:v>
                </c:pt>
                <c:pt idx="33">
                  <c:v>3125.9153832477418</c:v>
                </c:pt>
                <c:pt idx="34">
                  <c:v>3135.9827010673193</c:v>
                </c:pt>
                <c:pt idx="35">
                  <c:v>3254.1269403235478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0247168"/>
        <c:axId val="350257920"/>
      </c:lineChart>
      <c:catAx>
        <c:axId val="350247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State Fiscal Year</a:t>
                </a:r>
              </a:p>
            </c:rich>
          </c:tx>
          <c:layout>
            <c:manualLayout>
              <c:xMode val="edge"/>
              <c:yMode val="edge"/>
              <c:x val="0.46059933407325193"/>
              <c:y val="0.9412724306688418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3502579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50257920"/>
        <c:scaling>
          <c:orientation val="minMax"/>
          <c:max val="10000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ysDash"/>
            </a:ln>
          </c:spPr>
        </c:majorGridlines>
        <c:numFmt formatCode="_(* #,##0_);_(* \(#,##0\);_(* &quot;-&quot;??_);_(@_)" sourceLinked="1"/>
        <c:majorTickMark val="out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35024716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2.553222513852435E-2"/>
          <c:y val="5.8775505166810849E-2"/>
          <c:w val="0.95486147564887724"/>
          <c:h val="7.57646943476613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chart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chart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chartsheets/sheet1.xml><?xml version="1.0" encoding="utf-8"?>
<chartsheet xmlns="http://schemas.openxmlformats.org/spreadsheetml/2006/main" xmlns:r="http://schemas.openxmlformats.org/officeDocument/2006/relationships">
  <sheetPr>
    <tabColor rgb="FF92D050"/>
  </sheetPr>
  <sheetViews>
    <sheetView zoomScale="96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>
    <tabColor rgb="FF92D050"/>
  </sheetPr>
  <sheetViews>
    <sheetView zoomScale="96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>
    <tabColor rgb="FF92D050"/>
  </sheetPr>
  <sheetViews>
    <sheetView zoomScale="96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>
    <tabColor rgb="FF92D050"/>
  </sheetPr>
  <sheetViews>
    <sheetView zoomScale="96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>
  <sheetPr>
    <tabColor rgb="FF92D050"/>
  </sheetPr>
  <sheetViews>
    <sheetView zoomScale="96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>
  <sheetPr>
    <tabColor rgb="FF92D050"/>
  </sheetPr>
  <sheetViews>
    <sheetView zoomScale="96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7.xml><?xml version="1.0" encoding="utf-8"?>
<chartsheet xmlns="http://schemas.openxmlformats.org/spreadsheetml/2006/main" xmlns:r="http://schemas.openxmlformats.org/officeDocument/2006/relationships">
  <sheetPr>
    <tabColor rgb="FF92D050"/>
  </sheetPr>
  <sheetViews>
    <sheetView zoomScale="96" workbookViewId="0"/>
  </sheetViews>
  <pageMargins left="0.75" right="0.75" top="1" bottom="1" header="0.5" footer="0.5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333375</xdr:colOff>
      <xdr:row>25</xdr:row>
      <xdr:rowOff>119062</xdr:rowOff>
    </xdr:from>
    <xdr:to>
      <xdr:col>20</xdr:col>
      <xdr:colOff>28575</xdr:colOff>
      <xdr:row>35</xdr:row>
      <xdr:rowOff>23812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3406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3406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3406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3406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3406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3406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3406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urnsPrince%20MI%20TotalCompensation1977-2013%20datase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BurnsPrince%20MI%20ExpendsbyCategory1977-2013%20dataset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ensation"/>
      <sheetName val="DataHEPI"/>
      <sheetName val="DataCPI"/>
      <sheetName val="FTE"/>
      <sheetName val="AvgComp by FTE"/>
      <sheetName val="FYES"/>
      <sheetName val="FYESperFTE"/>
      <sheetName val="FacFTEChart"/>
      <sheetName val="NonFacFTEChart"/>
      <sheetName val="FYESperFacChart"/>
      <sheetName val="FYESperNonFacChart"/>
      <sheetName val="NonFacCompChart"/>
      <sheetName val="FacCompChart"/>
    </sheetNames>
    <sheetDataSet>
      <sheetData sheetId="0">
        <row r="13">
          <cell r="C13">
            <v>2532482</v>
          </cell>
          <cell r="D13">
            <v>2869250</v>
          </cell>
          <cell r="E13">
            <v>3254027</v>
          </cell>
          <cell r="F13">
            <v>3100048</v>
          </cell>
          <cell r="G13">
            <v>3207840</v>
          </cell>
          <cell r="H13">
            <v>2966281</v>
          </cell>
          <cell r="I13">
            <v>2937131</v>
          </cell>
          <cell r="J13">
            <v>3099388</v>
          </cell>
          <cell r="K13">
            <v>3635356</v>
          </cell>
          <cell r="L13">
            <v>4402873</v>
          </cell>
          <cell r="M13">
            <v>4706580</v>
          </cell>
          <cell r="N13">
            <v>5424421</v>
          </cell>
          <cell r="O13">
            <v>6005204</v>
          </cell>
          <cell r="P13">
            <v>6700665</v>
          </cell>
          <cell r="Q13">
            <v>6934582</v>
          </cell>
          <cell r="R13">
            <v>7766551</v>
          </cell>
          <cell r="S13">
            <v>8601193</v>
          </cell>
          <cell r="T13">
            <v>9150497</v>
          </cell>
          <cell r="U13">
            <v>9842171</v>
          </cell>
          <cell r="V13">
            <v>10671685</v>
          </cell>
          <cell r="W13">
            <v>11884604</v>
          </cell>
          <cell r="X13">
            <v>13652600</v>
          </cell>
        </row>
        <row r="35">
          <cell r="C35">
            <v>2250910</v>
          </cell>
          <cell r="D35">
            <v>2341263</v>
          </cell>
          <cell r="E35">
            <v>2384733</v>
          </cell>
          <cell r="F35">
            <v>2624151</v>
          </cell>
          <cell r="G35">
            <v>2707712</v>
          </cell>
          <cell r="H35">
            <v>3056841</v>
          </cell>
          <cell r="I35">
            <v>3283536</v>
          </cell>
          <cell r="J35">
            <v>3536880</v>
          </cell>
          <cell r="K35">
            <v>3872959</v>
          </cell>
          <cell r="L35">
            <v>4403738</v>
          </cell>
          <cell r="M35">
            <v>4387541</v>
          </cell>
          <cell r="N35">
            <v>4858647</v>
          </cell>
          <cell r="O35">
            <v>5640143</v>
          </cell>
          <cell r="P35">
            <v>6273957</v>
          </cell>
          <cell r="Q35">
            <v>6849766</v>
          </cell>
          <cell r="R35">
            <v>7694595</v>
          </cell>
          <cell r="S35">
            <v>8456907</v>
          </cell>
          <cell r="T35">
            <v>9177591</v>
          </cell>
          <cell r="U35">
            <v>9506032</v>
          </cell>
          <cell r="V35">
            <v>10495717</v>
          </cell>
          <cell r="W35">
            <v>11064901</v>
          </cell>
          <cell r="X35">
            <v>12451675</v>
          </cell>
        </row>
        <row r="105">
          <cell r="C105">
            <v>5890825</v>
          </cell>
          <cell r="D105">
            <v>6147986</v>
          </cell>
          <cell r="E105">
            <v>6493931</v>
          </cell>
          <cell r="F105">
            <v>7011290</v>
          </cell>
          <cell r="G105">
            <v>7308204</v>
          </cell>
          <cell r="H105">
            <v>7586835</v>
          </cell>
          <cell r="I105">
            <v>7810618</v>
          </cell>
          <cell r="J105">
            <v>8458974</v>
          </cell>
          <cell r="K105">
            <v>9265956</v>
          </cell>
          <cell r="L105">
            <v>10328344</v>
          </cell>
          <cell r="M105">
            <v>11083023</v>
          </cell>
          <cell r="N105">
            <v>12644697</v>
          </cell>
          <cell r="O105">
            <v>14726942</v>
          </cell>
          <cell r="P105">
            <v>16882905</v>
          </cell>
          <cell r="Q105">
            <v>18912831</v>
          </cell>
          <cell r="R105">
            <v>20770987</v>
          </cell>
          <cell r="S105">
            <v>23143544</v>
          </cell>
          <cell r="T105">
            <v>24342918</v>
          </cell>
          <cell r="U105">
            <v>25629105</v>
          </cell>
          <cell r="V105">
            <v>28769018</v>
          </cell>
          <cell r="W105">
            <v>32159899</v>
          </cell>
          <cell r="X105">
            <v>35377389</v>
          </cell>
        </row>
      </sheetData>
      <sheetData sheetId="1"/>
      <sheetData sheetId="2"/>
      <sheetData sheetId="3">
        <row r="13">
          <cell r="C13">
            <v>111.25</v>
          </cell>
          <cell r="D13">
            <v>130.18</v>
          </cell>
          <cell r="E13">
            <v>131.41999999999999</v>
          </cell>
          <cell r="F13">
            <v>118.76</v>
          </cell>
          <cell r="G13">
            <v>110.58</v>
          </cell>
          <cell r="H13">
            <v>90.64</v>
          </cell>
          <cell r="I13">
            <v>90.77</v>
          </cell>
          <cell r="J13">
            <v>92.73</v>
          </cell>
          <cell r="K13">
            <v>101.6</v>
          </cell>
          <cell r="L13">
            <v>116.48</v>
          </cell>
          <cell r="M13">
            <v>118.1</v>
          </cell>
          <cell r="N13">
            <v>124.38</v>
          </cell>
          <cell r="O13">
            <v>124.32</v>
          </cell>
          <cell r="P13">
            <v>131.87</v>
          </cell>
          <cell r="Q13">
            <v>139.25</v>
          </cell>
          <cell r="R13">
            <v>149.38</v>
          </cell>
          <cell r="S13">
            <v>149.66</v>
          </cell>
          <cell r="T13">
            <v>162.4</v>
          </cell>
          <cell r="U13">
            <v>168.44</v>
          </cell>
          <cell r="V13">
            <v>174.35</v>
          </cell>
          <cell r="W13">
            <v>194.72</v>
          </cell>
          <cell r="X13">
            <v>214.29</v>
          </cell>
        </row>
        <row r="35">
          <cell r="C35">
            <v>244.02</v>
          </cell>
          <cell r="D35">
            <v>237.39</v>
          </cell>
          <cell r="E35">
            <v>220.34</v>
          </cell>
          <cell r="F35">
            <v>219.9</v>
          </cell>
          <cell r="G35">
            <v>200.03</v>
          </cell>
          <cell r="H35">
            <v>202.22</v>
          </cell>
          <cell r="I35">
            <v>202.29</v>
          </cell>
          <cell r="J35">
            <v>204.34</v>
          </cell>
          <cell r="K35">
            <v>217.15</v>
          </cell>
          <cell r="L35">
            <v>229.36</v>
          </cell>
          <cell r="M35">
            <v>224.44</v>
          </cell>
          <cell r="N35">
            <v>234.78</v>
          </cell>
          <cell r="O35">
            <v>260.87</v>
          </cell>
          <cell r="P35">
            <v>279.60000000000002</v>
          </cell>
          <cell r="Q35">
            <v>308.61</v>
          </cell>
          <cell r="R35">
            <v>345.88</v>
          </cell>
          <cell r="S35">
            <v>359.98</v>
          </cell>
          <cell r="T35">
            <v>378.12</v>
          </cell>
          <cell r="U35">
            <v>407.78</v>
          </cell>
          <cell r="V35">
            <v>439.86</v>
          </cell>
          <cell r="W35">
            <v>477.81</v>
          </cell>
          <cell r="X35">
            <v>549.48</v>
          </cell>
        </row>
        <row r="103">
          <cell r="C103">
            <v>296.83999999999997</v>
          </cell>
          <cell r="D103">
            <v>292.16000000000003</v>
          </cell>
          <cell r="E103">
            <v>286.37</v>
          </cell>
          <cell r="F103">
            <v>291.45999999999998</v>
          </cell>
          <cell r="G103">
            <v>261.05</v>
          </cell>
          <cell r="H103">
            <v>251.1</v>
          </cell>
          <cell r="I103">
            <v>250.48</v>
          </cell>
          <cell r="J103">
            <v>258.45999999999998</v>
          </cell>
          <cell r="K103">
            <v>270.13</v>
          </cell>
          <cell r="L103">
            <v>287.29000000000002</v>
          </cell>
          <cell r="M103">
            <v>296.26</v>
          </cell>
          <cell r="N103">
            <v>324.39</v>
          </cell>
          <cell r="O103">
            <v>352.98</v>
          </cell>
          <cell r="P103">
            <v>384.11</v>
          </cell>
          <cell r="Q103">
            <v>444.28</v>
          </cell>
          <cell r="R103">
            <v>412.97</v>
          </cell>
          <cell r="S103">
            <v>445.4</v>
          </cell>
          <cell r="T103">
            <v>458.4</v>
          </cell>
          <cell r="U103">
            <v>477.75</v>
          </cell>
          <cell r="V103">
            <v>501.34</v>
          </cell>
          <cell r="W103">
            <v>537.47</v>
          </cell>
          <cell r="X103">
            <v>586.4</v>
          </cell>
        </row>
      </sheetData>
      <sheetData sheetId="4"/>
      <sheetData sheetId="5"/>
      <sheetData sheetId="6">
        <row r="26">
          <cell r="C26">
            <v>29.132815831664409</v>
          </cell>
          <cell r="D26">
            <v>28.537005806506702</v>
          </cell>
          <cell r="E26">
            <v>27.077098190637546</v>
          </cell>
          <cell r="F26">
            <v>24.986169909778575</v>
          </cell>
          <cell r="G26">
            <v>26.939089901912787</v>
          </cell>
          <cell r="H26">
            <v>27.507819188901127</v>
          </cell>
          <cell r="I26">
            <v>26.696095433286036</v>
          </cell>
          <cell r="J26">
            <v>24.057435746018175</v>
          </cell>
          <cell r="K26">
            <v>24.726108827290314</v>
          </cell>
          <cell r="L26">
            <v>22.462957673059201</v>
          </cell>
          <cell r="M26">
            <v>22.259387107802176</v>
          </cell>
          <cell r="N26">
            <v>20.469193857001159</v>
          </cell>
          <cell r="O26">
            <v>19.975979756732915</v>
          </cell>
          <cell r="P26">
            <v>19.269145796639766</v>
          </cell>
          <cell r="Q26">
            <v>18.536132698502591</v>
          </cell>
          <cell r="R26">
            <v>18.923023549669463</v>
          </cell>
          <cell r="S26">
            <v>19.222604093600392</v>
          </cell>
          <cell r="T26">
            <v>18.669866345403378</v>
          </cell>
          <cell r="U26">
            <v>18.603880554008853</v>
          </cell>
          <cell r="V26">
            <v>19.21319937740299</v>
          </cell>
          <cell r="W26">
            <v>18.88660707332285</v>
          </cell>
          <cell r="X26">
            <v>18.498686934687203</v>
          </cell>
          <cell r="Y26">
            <v>18.999961837887344</v>
          </cell>
          <cell r="Z26">
            <v>16.64312546957175</v>
          </cell>
          <cell r="AA26">
            <v>15.075379159435599</v>
          </cell>
          <cell r="AB26">
            <v>15.015280235125532</v>
          </cell>
          <cell r="AC26">
            <v>14.650127495315781</v>
          </cell>
          <cell r="AD26">
            <v>16.213726095003082</v>
          </cell>
          <cell r="AE26">
            <v>16.614469151268398</v>
          </cell>
          <cell r="AF26">
            <v>17.142766194493078</v>
          </cell>
          <cell r="AG26">
            <v>15.172675408006697</v>
          </cell>
          <cell r="AH26">
            <v>14.968707109525116</v>
          </cell>
          <cell r="AI26">
            <v>14.366917439821689</v>
          </cell>
          <cell r="AJ26">
            <v>14.244669208913983</v>
          </cell>
          <cell r="AK26">
            <v>14.268233147496325</v>
          </cell>
          <cell r="AL26">
            <v>14.725675965921294</v>
          </cell>
        </row>
        <row r="27">
          <cell r="C27">
            <v>52.354747705007924</v>
          </cell>
          <cell r="D27">
            <v>49.056958750764323</v>
          </cell>
          <cell r="E27">
            <v>46.53296557672352</v>
          </cell>
          <cell r="F27">
            <v>45.881070858730254</v>
          </cell>
          <cell r="G27">
            <v>45.60933503030612</v>
          </cell>
          <cell r="H27">
            <v>46.398350340728335</v>
          </cell>
          <cell r="I27">
            <v>46.573554872605946</v>
          </cell>
          <cell r="J27">
            <v>46.718233114864809</v>
          </cell>
          <cell r="K27">
            <v>43.349185632556505</v>
          </cell>
          <cell r="L27">
            <v>42.053729635489333</v>
          </cell>
          <cell r="M27">
            <v>42.345963233191398</v>
          </cell>
          <cell r="N27">
            <v>41.870048042646353</v>
          </cell>
          <cell r="O27">
            <v>41.193106780088918</v>
          </cell>
          <cell r="P27">
            <v>40.775678698430717</v>
          </cell>
          <cell r="Q27">
            <v>40.22293868089082</v>
          </cell>
          <cell r="R27">
            <v>40.792238000074747</v>
          </cell>
          <cell r="S27">
            <v>42.107117809258177</v>
          </cell>
          <cell r="T27">
            <v>38.960939502552399</v>
          </cell>
          <cell r="U27">
            <v>37.529887835569909</v>
          </cell>
          <cell r="V27">
            <v>37.158595846274117</v>
          </cell>
          <cell r="W27">
            <v>36.092753711365283</v>
          </cell>
          <cell r="X27">
            <v>36.630243235972436</v>
          </cell>
          <cell r="Y27">
            <v>36.549926362297484</v>
          </cell>
          <cell r="Z27">
            <v>36.420622302975246</v>
          </cell>
          <cell r="AA27">
            <v>38.288771595858208</v>
          </cell>
          <cell r="AB27">
            <v>38.504753433034971</v>
          </cell>
          <cell r="AC27">
            <v>37.360750019695864</v>
          </cell>
          <cell r="AD27">
            <v>38.03256646485918</v>
          </cell>
          <cell r="AE27">
            <v>38.046486915146716</v>
          </cell>
          <cell r="AF27">
            <v>37.221362704918036</v>
          </cell>
          <cell r="AG27">
            <v>34.61274533269507</v>
          </cell>
          <cell r="AH27">
            <v>34.14939693757362</v>
          </cell>
          <cell r="AI27">
            <v>33.629734819966217</v>
          </cell>
          <cell r="AJ27">
            <v>32.175917849323554</v>
          </cell>
          <cell r="AK27">
            <v>32.538274058824932</v>
          </cell>
          <cell r="AL27">
            <v>32.873399165311476</v>
          </cell>
        </row>
        <row r="49">
          <cell r="C49">
            <v>14.60778701226287</v>
          </cell>
          <cell r="D49">
            <v>14.708135458485135</v>
          </cell>
          <cell r="E49">
            <v>13.462467878521936</v>
          </cell>
          <cell r="F49">
            <v>13.884616313162065</v>
          </cell>
          <cell r="G49">
            <v>14.312952285785205</v>
          </cell>
          <cell r="H49">
            <v>14.082025135292279</v>
          </cell>
          <cell r="I49">
            <v>16.045429911793356</v>
          </cell>
          <cell r="J49">
            <v>15.026903987768266</v>
          </cell>
          <cell r="K49">
            <v>14.452850409848725</v>
          </cell>
          <cell r="L49">
            <v>15.007178133620569</v>
          </cell>
          <cell r="M49">
            <v>14.944253975540288</v>
          </cell>
          <cell r="N49">
            <v>14.696884670186259</v>
          </cell>
          <cell r="O49">
            <v>15.146584100586587</v>
          </cell>
          <cell r="P49">
            <v>15.785525166261943</v>
          </cell>
          <cell r="Q49">
            <v>15.84958903484112</v>
          </cell>
          <cell r="R49">
            <v>15.920492971852061</v>
          </cell>
          <cell r="S49">
            <v>15.653013471816957</v>
          </cell>
          <cell r="T49">
            <v>15.08753802701305</v>
          </cell>
          <cell r="U49">
            <v>15.442991741681077</v>
          </cell>
          <cell r="V49">
            <v>16.871158371624912</v>
          </cell>
          <cell r="W49">
            <v>16.765379599211087</v>
          </cell>
          <cell r="X49">
            <v>17.351999793351556</v>
          </cell>
          <cell r="Y49">
            <v>15.315696377758979</v>
          </cell>
          <cell r="Z49">
            <v>17.272664263931244</v>
          </cell>
          <cell r="AA49">
            <v>21.118533708221467</v>
          </cell>
          <cell r="AB49">
            <v>21.679228154622418</v>
          </cell>
          <cell r="AC49">
            <v>25.7066225001854</v>
          </cell>
          <cell r="AD49">
            <v>28.146373199182889</v>
          </cell>
          <cell r="AE49">
            <v>29.846715595401186</v>
          </cell>
          <cell r="AF49">
            <v>28.178181713535245</v>
          </cell>
          <cell r="AG49">
            <v>24.240871194984813</v>
          </cell>
          <cell r="AH49">
            <v>24.981560803536656</v>
          </cell>
          <cell r="AI49">
            <v>25.51241444164253</v>
          </cell>
          <cell r="AJ49">
            <v>26.038640456538996</v>
          </cell>
          <cell r="AK49">
            <v>27.561302203092399</v>
          </cell>
          <cell r="AL49">
            <v>25.520607150981242</v>
          </cell>
        </row>
        <row r="50">
          <cell r="C50">
            <v>22.80313422198223</v>
          </cell>
          <cell r="D50">
            <v>21.883858189241863</v>
          </cell>
          <cell r="E50">
            <v>21.491316335993801</v>
          </cell>
          <cell r="F50">
            <v>21.78864796761431</v>
          </cell>
          <cell r="G50">
            <v>22.570168929241781</v>
          </cell>
          <cell r="H50">
            <v>23.057290483556351</v>
          </cell>
          <cell r="I50">
            <v>23.442771869991525</v>
          </cell>
          <cell r="J50">
            <v>23.805946371716502</v>
          </cell>
          <cell r="K50">
            <v>22.595847580596139</v>
          </cell>
          <cell r="L50">
            <v>22.525246803983737</v>
          </cell>
          <cell r="M50">
            <v>23.054743167549042</v>
          </cell>
          <cell r="N50">
            <v>22.964624911308391</v>
          </cell>
          <cell r="O50">
            <v>23.013907001378684</v>
          </cell>
          <cell r="P50">
            <v>22.919371878916728</v>
          </cell>
          <cell r="Q50">
            <v>22.393452996272281</v>
          </cell>
          <cell r="R50">
            <v>22.966798058397821</v>
          </cell>
          <cell r="S50">
            <v>22.784563285079706</v>
          </cell>
          <cell r="T50">
            <v>22.655786357644928</v>
          </cell>
          <cell r="U50">
            <v>22.117029563836038</v>
          </cell>
          <cell r="V50">
            <v>22.128948444528326</v>
          </cell>
          <cell r="W50">
            <v>21.873146036551073</v>
          </cell>
          <cell r="X50">
            <v>21.682898157607994</v>
          </cell>
          <cell r="Y50">
            <v>21.932798359728498</v>
          </cell>
          <cell r="Z50">
            <v>21.899624445203148</v>
          </cell>
          <cell r="AA50">
            <v>21.705881391128045</v>
          </cell>
          <cell r="AB50">
            <v>22.451172666418135</v>
          </cell>
          <cell r="AC50">
            <v>22.582263210527149</v>
          </cell>
          <cell r="AD50">
            <v>23.884740192650714</v>
          </cell>
          <cell r="AE50">
            <v>24.595112415135421</v>
          </cell>
          <cell r="AF50">
            <v>25.173924567722224</v>
          </cell>
          <cell r="AG50">
            <v>24.90931937425287</v>
          </cell>
          <cell r="AH50">
            <v>25.146656836809928</v>
          </cell>
          <cell r="AI50">
            <v>24.280688901935012</v>
          </cell>
          <cell r="AJ50">
            <v>24.715366602121289</v>
          </cell>
          <cell r="AK50">
            <v>25.571102782440814</v>
          </cell>
          <cell r="AL50">
            <v>26.004937816643189</v>
          </cell>
        </row>
        <row r="72">
          <cell r="C72">
            <v>9.7293119222639355</v>
          </cell>
          <cell r="D72">
            <v>9.7057411469588022</v>
          </cell>
          <cell r="E72">
            <v>8.9918220637382404</v>
          </cell>
          <cell r="F72">
            <v>8.9250415554497984</v>
          </cell>
          <cell r="G72">
            <v>9.3468804922230291</v>
          </cell>
          <cell r="H72">
            <v>9.3139516997385048</v>
          </cell>
          <cell r="I72">
            <v>10.021877430320851</v>
          </cell>
          <cell r="J72">
            <v>9.2494533516403052</v>
          </cell>
          <cell r="K72">
            <v>9.1212926289198357</v>
          </cell>
          <cell r="L72">
            <v>8.9966475954827718</v>
          </cell>
          <cell r="M72">
            <v>8.9413273699117415</v>
          </cell>
          <cell r="N72">
            <v>8.5546468075890907</v>
          </cell>
          <cell r="O72">
            <v>8.614629006188439</v>
          </cell>
          <cell r="P72">
            <v>8.6771199828728651</v>
          </cell>
          <cell r="Q72">
            <v>8.5439557687590835</v>
          </cell>
          <cell r="R72">
            <v>8.6461957203035009</v>
          </cell>
          <cell r="S72">
            <v>8.6275656703752475</v>
          </cell>
          <cell r="T72">
            <v>8.3443121200304891</v>
          </cell>
          <cell r="U72">
            <v>8.4383543740418663</v>
          </cell>
          <cell r="V72">
            <v>8.983087125348753</v>
          </cell>
          <cell r="W72">
            <v>8.8814443872027216</v>
          </cell>
          <cell r="X72">
            <v>8.9535024615559831</v>
          </cell>
          <cell r="Y72">
            <v>8.4800252080086516</v>
          </cell>
          <cell r="Z72">
            <v>8.4760260868825839</v>
          </cell>
          <cell r="AA72">
            <v>8.7962278106508904</v>
          </cell>
          <cell r="AB72">
            <v>8.8710736376516124</v>
          </cell>
          <cell r="AC72">
            <v>9.3319035141247006</v>
          </cell>
          <cell r="AD72">
            <v>10.287569074019164</v>
          </cell>
          <cell r="AE72">
            <v>10.673153046576594</v>
          </cell>
          <cell r="AF72">
            <v>10.65847038065824</v>
          </cell>
          <cell r="AG72">
            <v>9.3317882288950837</v>
          </cell>
          <cell r="AH72">
            <v>9.3601792013182621</v>
          </cell>
          <cell r="AI72">
            <v>9.1910956046873231</v>
          </cell>
          <cell r="AJ72">
            <v>9.2075805844557355</v>
          </cell>
          <cell r="AK72">
            <v>9.4012778862194963</v>
          </cell>
          <cell r="AL72">
            <v>9.3377117650174402</v>
          </cell>
        </row>
        <row r="73">
          <cell r="C73">
            <v>15.884592653037293</v>
          </cell>
          <cell r="D73">
            <v>15.13311482450375</v>
          </cell>
          <cell r="E73">
            <v>14.701436827285523</v>
          </cell>
          <cell r="F73">
            <v>14.773025788439536</v>
          </cell>
          <cell r="G73">
            <v>15.098531620223595</v>
          </cell>
          <cell r="H73">
            <v>15.402928100116718</v>
          </cell>
          <cell r="I73">
            <v>15.593694683054272</v>
          </cell>
          <cell r="J73">
            <v>15.770077159500106</v>
          </cell>
          <cell r="K73">
            <v>14.853455121178904</v>
          </cell>
          <cell r="L73">
            <v>14.668405900722744</v>
          </cell>
          <cell r="M73">
            <v>14.927595744021655</v>
          </cell>
          <cell r="N73">
            <v>14.830489682591733</v>
          </cell>
          <cell r="O73">
            <v>14.764965269393336</v>
          </cell>
          <cell r="P73">
            <v>14.672300833950858</v>
          </cell>
          <cell r="Q73">
            <v>14.384899266735884</v>
          </cell>
          <cell r="R73">
            <v>14.693871651990326</v>
          </cell>
          <cell r="S73">
            <v>14.784518975284506</v>
          </cell>
          <cell r="T73">
            <v>14.325505117972344</v>
          </cell>
          <cell r="U73">
            <v>13.916052580363807</v>
          </cell>
          <cell r="V73">
            <v>13.869366012530701</v>
          </cell>
          <cell r="W73">
            <v>13.619422388390364</v>
          </cell>
          <cell r="X73">
            <v>13.620426109669969</v>
          </cell>
          <cell r="Y73">
            <v>13.70733269999779</v>
          </cell>
          <cell r="Z73">
            <v>13.676175856040258</v>
          </cell>
          <cell r="AA73">
            <v>13.852760096003337</v>
          </cell>
          <cell r="AB73">
            <v>14.18199875090866</v>
          </cell>
          <cell r="AC73">
            <v>14.074872870456476</v>
          </cell>
          <cell r="AD73">
            <v>14.671147986097081</v>
          </cell>
          <cell r="AE73">
            <v>14.938277960388048</v>
          </cell>
          <cell r="AF73">
            <v>15.017284445652436</v>
          </cell>
          <cell r="AG73">
            <v>14.48504738800065</v>
          </cell>
          <cell r="AH73">
            <v>14.482298758710257</v>
          </cell>
          <cell r="AI73">
            <v>14.100278957367701</v>
          </cell>
          <cell r="AJ73">
            <v>13.978232572415989</v>
          </cell>
          <cell r="AK73">
            <v>14.318507537850174</v>
          </cell>
          <cell r="AL73">
            <v>14.519273894872748</v>
          </cell>
        </row>
        <row r="118">
          <cell r="C118">
            <v>20.01985503783353</v>
          </cell>
          <cell r="D118">
            <v>19.730134138428735</v>
          </cell>
          <cell r="E118">
            <v>19.441514519083512</v>
          </cell>
          <cell r="F118">
            <v>19.612349041038765</v>
          </cell>
          <cell r="G118">
            <v>19.655591880179433</v>
          </cell>
          <cell r="H118">
            <v>19.442524940377812</v>
          </cell>
          <cell r="I118">
            <v>18.935709370794594</v>
          </cell>
          <cell r="J118">
            <v>19.016035412125685</v>
          </cell>
          <cell r="K118">
            <v>18.542023940705278</v>
          </cell>
          <cell r="L118">
            <v>18.773765558747101</v>
          </cell>
          <cell r="M118">
            <v>19.326337052390087</v>
          </cell>
          <cell r="N118">
            <v>19.221293724632336</v>
          </cell>
          <cell r="O118">
            <v>19.228766880339332</v>
          </cell>
          <cell r="P118">
            <v>19.547334499668128</v>
          </cell>
          <cell r="Q118">
            <v>19.412872029749877</v>
          </cell>
          <cell r="R118">
            <v>19.722597354005529</v>
          </cell>
          <cell r="S118">
            <v>19.274258863340354</v>
          </cell>
          <cell r="T118">
            <v>18.58833274518247</v>
          </cell>
          <cell r="U118">
            <v>18.137386149589684</v>
          </cell>
          <cell r="V118">
            <v>18.447492535794883</v>
          </cell>
          <cell r="W118">
            <v>18.020583826082458</v>
          </cell>
          <cell r="X118">
            <v>17.947445043593401</v>
          </cell>
          <cell r="Y118">
            <v>17.782857306639531</v>
          </cell>
          <cell r="Z118">
            <v>17.742127318240279</v>
          </cell>
          <cell r="AA118">
            <v>17.235465191763399</v>
          </cell>
          <cell r="AB118">
            <v>17.545568545986548</v>
          </cell>
          <cell r="AC118">
            <v>17.513325865104083</v>
          </cell>
          <cell r="AD118">
            <v>17.568105326640993</v>
          </cell>
          <cell r="AE118">
            <v>17.174294257887919</v>
          </cell>
          <cell r="AF118">
            <v>17.19705603544687</v>
          </cell>
          <cell r="AG118">
            <v>16.803982653599544</v>
          </cell>
          <cell r="AH118">
            <v>16.793092742780946</v>
          </cell>
          <cell r="AI118">
            <v>16.573522393853246</v>
          </cell>
          <cell r="AJ118">
            <v>16.311193333569168</v>
          </cell>
          <cell r="AK118">
            <v>16.289513331660526</v>
          </cell>
          <cell r="AL118">
            <v>16.165183609733948</v>
          </cell>
        </row>
        <row r="119">
          <cell r="C119">
            <v>13.937397183505974</v>
          </cell>
          <cell r="D119">
            <v>13.487305086541324</v>
          </cell>
          <cell r="E119">
            <v>13.173017369976497</v>
          </cell>
          <cell r="F119">
            <v>12.873849674177983</v>
          </cell>
          <cell r="G119">
            <v>13.35024535700332</v>
          </cell>
          <cell r="H119">
            <v>13.413180043434533</v>
          </cell>
          <cell r="I119">
            <v>13.222117045599317</v>
          </cell>
          <cell r="J119">
            <v>13.017950639185633</v>
          </cell>
          <cell r="K119">
            <v>12.932427969550375</v>
          </cell>
          <cell r="L119">
            <v>12.841669203871312</v>
          </cell>
          <cell r="M119">
            <v>12.676467844448442</v>
          </cell>
          <cell r="N119">
            <v>12.617496042690279</v>
          </cell>
          <cell r="O119">
            <v>13.016045205058045</v>
          </cell>
          <cell r="P119">
            <v>12.455125485701739</v>
          </cell>
          <cell r="Q119">
            <v>12.088745969249066</v>
          </cell>
          <cell r="R119">
            <v>12.057290589284134</v>
          </cell>
          <cell r="S119">
            <v>11.936134452422149</v>
          </cell>
          <cell r="T119">
            <v>11.958011612644142</v>
          </cell>
          <cell r="U119">
            <v>11.848748248539934</v>
          </cell>
          <cell r="V119">
            <v>11.675989520064949</v>
          </cell>
          <cell r="W119">
            <v>11.666506985350148</v>
          </cell>
          <cell r="X119">
            <v>11.958259952040695</v>
          </cell>
          <cell r="Y119">
            <v>11.846832912958643</v>
          </cell>
          <cell r="Z119">
            <v>11.835721833703381</v>
          </cell>
          <cell r="AA119">
            <v>11.523607378098719</v>
          </cell>
          <cell r="AB119">
            <v>11.52140741405619</v>
          </cell>
          <cell r="AC119">
            <v>12.204370481644915</v>
          </cell>
          <cell r="AD119">
            <v>11.082311593492488</v>
          </cell>
          <cell r="AE119">
            <v>12.939119066724878</v>
          </cell>
          <cell r="AF119">
            <v>13.220296127366925</v>
          </cell>
          <cell r="AG119">
            <v>13.052895392428397</v>
          </cell>
          <cell r="AH119">
            <v>12.270757294137239</v>
          </cell>
          <cell r="AI119">
            <v>12.713959802427805</v>
          </cell>
          <cell r="AJ119">
            <v>11.595226835350365</v>
          </cell>
          <cell r="AK119">
            <v>11.927147934165793</v>
          </cell>
          <cell r="AL119">
            <v>11.79812876827574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v data"/>
      <sheetName val="rev dataHEPI adjusted"/>
      <sheetName val="FYES"/>
      <sheetName val="TOTAL"/>
      <sheetName val="TOTALlessInstr"/>
      <sheetName val="AcadSupport"/>
      <sheetName val="AuxEnter"/>
      <sheetName val="FinAid"/>
      <sheetName val="InstSupp"/>
      <sheetName val="Instruction"/>
      <sheetName val="MandatoryTransfer"/>
      <sheetName val="NonmandatoryTransfer"/>
      <sheetName val="TotalTransfers"/>
      <sheetName val="PlantMainten"/>
      <sheetName val="PublicServ"/>
      <sheetName val="GF GrossSquareFt"/>
      <sheetName val="Research"/>
      <sheetName val="StudentServ"/>
      <sheetName val="CategorySummary"/>
      <sheetName val="ALLCategoriesChart"/>
      <sheetName val="MPU 15 Tuition"/>
      <sheetName val="MPU 15 Revenue"/>
      <sheetName val="MPU 15 FYES"/>
      <sheetName val="FYES2Chart"/>
      <sheetName val="Expends1HEPIChart"/>
      <sheetName val="Expends2HEPBigThreeChart"/>
      <sheetName val="HEPITotalInstrChart"/>
      <sheetName val="TotalLessDirectInstrChart"/>
      <sheetName val="AllInstrHEPIChart"/>
      <sheetName val="InstrHEPI_GVSUChart"/>
      <sheetName val="InstrHEPIChart"/>
      <sheetName val="GVSU Total"/>
      <sheetName val="TotalChart2"/>
      <sheetName val="AcadSpptBigThree"/>
      <sheetName val="Aux2BigThreeChart"/>
      <sheetName val="CatSumChart(Groups)"/>
      <sheetName val="CategoryChart"/>
      <sheetName val="CategoryChart (ex Instruction)"/>
      <sheetName val="FinAidChart"/>
      <sheetName val="FinAidBigThreeChart"/>
      <sheetName val="InstSuppFYESHEPI"/>
      <sheetName val="MandatoryTransChart"/>
      <sheetName val="TotaltransHEPIChart"/>
      <sheetName val="PlantChart"/>
      <sheetName val="PublicServHEPIchart"/>
      <sheetName val="ResBigThreeChart"/>
      <sheetName val="StudentServHEPIChart"/>
      <sheetName val="old to right"/>
      <sheetName val="TotalperFYESChart"/>
      <sheetName val="UMInstrChart"/>
      <sheetName val="InstSuppFYESChart"/>
      <sheetName val="AcadSuppChart"/>
      <sheetName val="FinAidFYESChart"/>
      <sheetName val="InstSpptCPIChart"/>
      <sheetName val="InstrFYESChart"/>
      <sheetName val="InstrBigThreeChart"/>
      <sheetName val="AuxEnterChart"/>
      <sheetName val="StudentServChart"/>
      <sheetName val="ResearchChart"/>
    </sheetNames>
    <sheetDataSet>
      <sheetData sheetId="0"/>
      <sheetData sheetId="1"/>
      <sheetData sheetId="2">
        <row r="21">
          <cell r="E21" t="str">
            <v>77</v>
          </cell>
          <cell r="F21" t="str">
            <v>78</v>
          </cell>
          <cell r="G21" t="str">
            <v>79</v>
          </cell>
          <cell r="H21" t="str">
            <v>80</v>
          </cell>
          <cell r="I21" t="str">
            <v>81</v>
          </cell>
          <cell r="J21" t="str">
            <v>82</v>
          </cell>
          <cell r="K21" t="str">
            <v>83</v>
          </cell>
          <cell r="L21" t="str">
            <v>84</v>
          </cell>
          <cell r="M21" t="str">
            <v>85</v>
          </cell>
          <cell r="N21" t="str">
            <v>86</v>
          </cell>
          <cell r="O21" t="str">
            <v>87</v>
          </cell>
          <cell r="P21" t="str">
            <v>88</v>
          </cell>
          <cell r="Q21" t="str">
            <v>89</v>
          </cell>
          <cell r="R21" t="str">
            <v>90</v>
          </cell>
          <cell r="S21" t="str">
            <v>91</v>
          </cell>
          <cell r="T21" t="str">
            <v>92</v>
          </cell>
          <cell r="U21" t="str">
            <v>93</v>
          </cell>
          <cell r="V21" t="str">
            <v>94</v>
          </cell>
          <cell r="W21" t="str">
            <v>95</v>
          </cell>
          <cell r="X21" t="str">
            <v>96</v>
          </cell>
          <cell r="Y21" t="str">
            <v>97</v>
          </cell>
          <cell r="Z21" t="str">
            <v>98</v>
          </cell>
          <cell r="AA21" t="str">
            <v>99</v>
          </cell>
          <cell r="AB21" t="str">
            <v>00</v>
          </cell>
          <cell r="AC21" t="str">
            <v>01</v>
          </cell>
          <cell r="AD21" t="str">
            <v>02</v>
          </cell>
          <cell r="AE21" t="str">
            <v>03</v>
          </cell>
          <cell r="AF21" t="str">
            <v>04</v>
          </cell>
          <cell r="AG21" t="str">
            <v>05</v>
          </cell>
          <cell r="AH21" t="str">
            <v>06</v>
          </cell>
          <cell r="AI21" t="str">
            <v>07</v>
          </cell>
          <cell r="AJ21" t="str">
            <v>08</v>
          </cell>
          <cell r="AK21" t="str">
            <v>09</v>
          </cell>
          <cell r="AL21" t="str">
            <v>10</v>
          </cell>
          <cell r="AM21" t="str">
            <v>11</v>
          </cell>
          <cell r="AN21" t="str">
            <v>12</v>
          </cell>
          <cell r="AO21" t="str">
            <v>13</v>
          </cell>
          <cell r="AP21" t="str">
            <v>14</v>
          </cell>
        </row>
        <row r="32">
          <cell r="E32">
            <v>1</v>
          </cell>
          <cell r="F32">
            <v>0.99079551402908195</v>
          </cell>
          <cell r="G32">
            <v>0.95504177610601326</v>
          </cell>
          <cell r="H32">
            <v>0.9590935411098197</v>
          </cell>
          <cell r="I32">
            <v>0.96343189436999255</v>
          </cell>
          <cell r="J32">
            <v>0.92374374439292262</v>
          </cell>
          <cell r="K32">
            <v>0.89422947751687343</v>
          </cell>
          <cell r="L32">
            <v>0.87564416732677719</v>
          </cell>
          <cell r="M32">
            <v>0.86708666669754875</v>
          </cell>
          <cell r="N32">
            <v>0.85968447497680001</v>
          </cell>
          <cell r="O32">
            <v>0.86865981387204516</v>
          </cell>
          <cell r="P32">
            <v>0.88077280005682346</v>
          </cell>
          <cell r="Q32">
            <v>0.89375883042344328</v>
          </cell>
          <cell r="R32">
            <v>0.91121878758961661</v>
          </cell>
          <cell r="S32">
            <v>0.92191828837634471</v>
          </cell>
          <cell r="T32">
            <v>0.91803483220844351</v>
          </cell>
          <cell r="U32">
            <v>0.91148622878575236</v>
          </cell>
          <cell r="V32">
            <v>0.89016844780650328</v>
          </cell>
          <cell r="W32">
            <v>0.88530385921351906</v>
          </cell>
          <cell r="X32">
            <v>0.88783559469379392</v>
          </cell>
          <cell r="Y32">
            <v>0.89123913906170127</v>
          </cell>
          <cell r="Z32">
            <v>0.91278915535214389</v>
          </cell>
          <cell r="AA32">
            <v>0.92253315606861441</v>
          </cell>
          <cell r="AB32">
            <v>0.92354300908404474</v>
          </cell>
          <cell r="AC32">
            <v>0.92551639158208765</v>
          </cell>
          <cell r="AD32">
            <v>0.9513741876010432</v>
          </cell>
          <cell r="AE32">
            <v>0.96298286492521068</v>
          </cell>
          <cell r="AF32">
            <v>0.9739967480879963</v>
          </cell>
          <cell r="AG32">
            <v>0.98298536639598311</v>
          </cell>
          <cell r="AH32">
            <v>0.99788301455022166</v>
          </cell>
          <cell r="AI32">
            <v>1.0077490932168451</v>
          </cell>
          <cell r="AJ32">
            <v>1.0104274272373108</v>
          </cell>
          <cell r="AK32">
            <v>1.0104274272373108</v>
          </cell>
          <cell r="AL32">
            <v>1.0153951628967033</v>
          </cell>
          <cell r="AM32">
            <v>1.0316621346810393</v>
          </cell>
          <cell r="AN32">
            <v>1.0290216933104184</v>
          </cell>
          <cell r="AO32">
            <v>1.0332855892121759</v>
          </cell>
          <cell r="AP32">
            <v>1.0423628707619759</v>
          </cell>
        </row>
        <row r="33">
          <cell r="E33">
            <v>1</v>
          </cell>
          <cell r="F33">
            <v>0.99590498130728677</v>
          </cell>
          <cell r="G33">
            <v>0.98910169943593995</v>
          </cell>
          <cell r="H33">
            <v>1.0177445505314358</v>
          </cell>
          <cell r="I33">
            <v>1.036797240875327</v>
          </cell>
          <cell r="J33">
            <v>1.0176646617010401</v>
          </cell>
          <cell r="K33">
            <v>0.98975545105997509</v>
          </cell>
          <cell r="L33">
            <v>0.98214627867642978</v>
          </cell>
          <cell r="M33">
            <v>0.97045609201665517</v>
          </cell>
          <cell r="N33">
            <v>0.98729958566024134</v>
          </cell>
          <cell r="O33">
            <v>1.0274496111546449</v>
          </cell>
          <cell r="P33">
            <v>1.0579607787219441</v>
          </cell>
          <cell r="Q33">
            <v>1.0801183118567117</v>
          </cell>
          <cell r="R33">
            <v>1.1116661245259982</v>
          </cell>
          <cell r="S33">
            <v>1.1376459085142396</v>
          </cell>
          <cell r="T33">
            <v>1.1811219829235238</v>
          </cell>
          <cell r="U33">
            <v>1.1732947872379027</v>
          </cell>
          <cell r="V33">
            <v>1.1417207799441478</v>
          </cell>
          <cell r="W33">
            <v>1.1060704052941788</v>
          </cell>
          <cell r="X33">
            <v>1.119559841189917</v>
          </cell>
          <cell r="Y33">
            <v>1.1328691293645241</v>
          </cell>
          <cell r="Z33">
            <v>1.1571231873033414</v>
          </cell>
          <cell r="AA33">
            <v>1.184840473782141</v>
          </cell>
          <cell r="AB33">
            <v>1.2249535785421783</v>
          </cell>
          <cell r="AC33">
            <v>1.2675683813377145</v>
          </cell>
          <cell r="AD33">
            <v>1.3226248350502536</v>
          </cell>
          <cell r="AE33">
            <v>1.3583991169578844</v>
          </cell>
          <cell r="AF33">
            <v>1.3796169537465952</v>
          </cell>
          <cell r="AG33">
            <v>1.3743093435557086</v>
          </cell>
          <cell r="AH33">
            <v>1.3875085697480416</v>
          </cell>
          <cell r="AI33">
            <v>1.3808232114291314</v>
          </cell>
          <cell r="AJ33">
            <v>1.3841856081704311</v>
          </cell>
          <cell r="AK33">
            <v>1.386142566232933</v>
          </cell>
          <cell r="AL33">
            <v>1.4088737393638049</v>
          </cell>
          <cell r="AM33">
            <v>1.4443104830059588</v>
          </cell>
          <cell r="AN33">
            <v>1.4688789719230546</v>
          </cell>
          <cell r="AO33">
            <v>1.4645956256568549</v>
          </cell>
          <cell r="AP33">
            <v>1.444759260897823</v>
          </cell>
        </row>
        <row r="34">
          <cell r="E34">
            <v>1</v>
          </cell>
          <cell r="F34">
            <v>0.99878470098799388</v>
          </cell>
          <cell r="G34">
            <v>0.99583843943003236</v>
          </cell>
          <cell r="H34">
            <v>1.0269517204087226</v>
          </cell>
          <cell r="I34">
            <v>1.0529520720898977</v>
          </cell>
          <cell r="J34">
            <v>1.0325884445968323</v>
          </cell>
          <cell r="K34">
            <v>1.0060720905751819</v>
          </cell>
          <cell r="L34">
            <v>0.99243106218895472</v>
          </cell>
          <cell r="M34">
            <v>0.97590306338697452</v>
          </cell>
          <cell r="N34">
            <v>0.9903494348876537</v>
          </cell>
          <cell r="O34">
            <v>1.0277533366513789</v>
          </cell>
          <cell r="P34">
            <v>1.0548307542815827</v>
          </cell>
          <cell r="Q34">
            <v>1.0728681361609222</v>
          </cell>
          <cell r="R34">
            <v>1.0978893369793434</v>
          </cell>
          <cell r="S34">
            <v>1.1170322445559722</v>
          </cell>
          <cell r="T34">
            <v>1.1567630695464772</v>
          </cell>
          <cell r="U34">
            <v>1.1440317366849886</v>
          </cell>
          <cell r="V34">
            <v>1.1087351098766509</v>
          </cell>
          <cell r="W34">
            <v>1.0698710536239255</v>
          </cell>
          <cell r="X34">
            <v>1.0788158847407301</v>
          </cell>
          <cell r="Y34">
            <v>1.0855845615352273</v>
          </cell>
          <cell r="Z34">
            <v>1.1017439388359356</v>
          </cell>
          <cell r="AA34">
            <v>1.1224931281566182</v>
          </cell>
          <cell r="AB34">
            <v>1.1567972890056946</v>
          </cell>
          <cell r="AC34">
            <v>1.1916401522325488</v>
          </cell>
          <cell r="AD34">
            <v>1.2373688691688434</v>
          </cell>
          <cell r="AE34">
            <v>1.2674528559187979</v>
          </cell>
          <cell r="AF34">
            <v>1.2803910640456144</v>
          </cell>
          <cell r="AG34">
            <v>1.2657458808749475</v>
          </cell>
          <cell r="AH34">
            <v>1.2738410529835813</v>
          </cell>
          <cell r="AI34">
            <v>1.259141084797514</v>
          </cell>
          <cell r="AJ34">
            <v>1.2604943458272759</v>
          </cell>
          <cell r="AK34">
            <v>1.262577497757948</v>
          </cell>
          <cell r="AL34">
            <v>1.2800051295308175</v>
          </cell>
          <cell r="AM34">
            <v>1.3110592887705628</v>
          </cell>
          <cell r="AN34">
            <v>1.3358500672700362</v>
          </cell>
          <cell r="AO34">
            <v>1.3319003624213421</v>
          </cell>
          <cell r="AP34">
            <v>1.3115573343651123</v>
          </cell>
        </row>
        <row r="35">
          <cell r="E35">
            <v>1</v>
          </cell>
          <cell r="F35">
            <v>0.95124757656479042</v>
          </cell>
          <cell r="G35">
            <v>0.88463134887484307</v>
          </cell>
          <cell r="H35">
            <v>0.87496387833698497</v>
          </cell>
          <cell r="I35">
            <v>0.7862753442722864</v>
          </cell>
          <cell r="J35">
            <v>0.7862333117916871</v>
          </cell>
          <cell r="K35">
            <v>0.73672430370568853</v>
          </cell>
          <cell r="L35">
            <v>0.8226544562310526</v>
          </cell>
          <cell r="M35">
            <v>0.88598689637417305</v>
          </cell>
          <cell r="N35">
            <v>0.94000388800445545</v>
          </cell>
          <cell r="O35">
            <v>1.0227395720042662</v>
          </cell>
          <cell r="P35">
            <v>1.106499797718687</v>
          </cell>
          <cell r="Q35">
            <v>1.1925507936257742</v>
          </cell>
          <cell r="R35">
            <v>1.3253103835989262</v>
          </cell>
          <cell r="S35">
            <v>1.4573133889212888</v>
          </cell>
          <cell r="T35">
            <v>1.5588691161094734</v>
          </cell>
          <cell r="U35">
            <v>1.6270930861823474</v>
          </cell>
          <cell r="V35">
            <v>1.6532477972353137</v>
          </cell>
          <cell r="W35">
            <v>1.6674337594376054</v>
          </cell>
          <cell r="X35">
            <v>1.751398893494948</v>
          </cell>
          <cell r="Y35">
            <v>1.8661370574111145</v>
          </cell>
          <cell r="Z35">
            <v>2.0159198020270166</v>
          </cell>
          <cell r="AA35">
            <v>2.1516952224831738</v>
          </cell>
          <cell r="AB35">
            <v>2.281890831139763</v>
          </cell>
          <cell r="AC35">
            <v>2.4450293964661189</v>
          </cell>
          <cell r="AD35">
            <v>2.6447362199139386</v>
          </cell>
          <cell r="AE35">
            <v>2.7687530539224183</v>
          </cell>
          <cell r="AF35">
            <v>2.918367668615923</v>
          </cell>
          <cell r="AG35">
            <v>3.057862963605126</v>
          </cell>
          <cell r="AH35">
            <v>3.1502135775420457</v>
          </cell>
          <cell r="AI35">
            <v>3.2678152041990449</v>
          </cell>
          <cell r="AJ35">
            <v>3.3023343788912882</v>
          </cell>
          <cell r="AK35">
            <v>3.3023343788912882</v>
          </cell>
          <cell r="AL35">
            <v>3.4073104991882475</v>
          </cell>
          <cell r="AM35">
            <v>3.5107104014627302</v>
          </cell>
          <cell r="AN35">
            <v>3.5318317229639202</v>
          </cell>
          <cell r="AO35">
            <v>3.5223744148290592</v>
          </cell>
          <cell r="AP35">
            <v>3.5103951578582349</v>
          </cell>
        </row>
      </sheetData>
      <sheetData sheetId="3"/>
      <sheetData sheetId="4"/>
      <sheetData sheetId="5">
        <row r="5">
          <cell r="E5">
            <v>1669948</v>
          </cell>
          <cell r="F5">
            <v>1876292</v>
          </cell>
          <cell r="G5">
            <v>1993277</v>
          </cell>
          <cell r="H5">
            <v>2031242</v>
          </cell>
          <cell r="I5">
            <v>2120112</v>
          </cell>
          <cell r="J5">
            <v>2013989</v>
          </cell>
          <cell r="K5">
            <v>2297108</v>
          </cell>
          <cell r="L5">
            <v>2547998</v>
          </cell>
          <cell r="M5">
            <v>3117305</v>
          </cell>
          <cell r="N5">
            <v>3241430</v>
          </cell>
          <cell r="O5">
            <v>3782576</v>
          </cell>
          <cell r="P5">
            <v>4524033</v>
          </cell>
          <cell r="Q5">
            <v>4253208</v>
          </cell>
          <cell r="R5">
            <v>4655662</v>
          </cell>
          <cell r="S5">
            <v>5021544</v>
          </cell>
          <cell r="T5">
            <v>5305646</v>
          </cell>
          <cell r="U5">
            <v>5576443</v>
          </cell>
          <cell r="V5">
            <v>6313748</v>
          </cell>
          <cell r="W5">
            <v>6968398</v>
          </cell>
          <cell r="X5">
            <v>7476881</v>
          </cell>
          <cell r="Y5">
            <v>7901920</v>
          </cell>
          <cell r="Z5">
            <v>9404196</v>
          </cell>
        </row>
      </sheetData>
      <sheetData sheetId="6">
        <row r="5">
          <cell r="E5">
            <v>251683</v>
          </cell>
          <cell r="F5">
            <v>298919</v>
          </cell>
          <cell r="G5">
            <v>349481</v>
          </cell>
          <cell r="H5">
            <v>348329</v>
          </cell>
          <cell r="I5">
            <v>362110</v>
          </cell>
          <cell r="J5">
            <v>440510</v>
          </cell>
          <cell r="K5">
            <v>553632</v>
          </cell>
          <cell r="L5">
            <v>554745</v>
          </cell>
          <cell r="M5">
            <v>699712</v>
          </cell>
          <cell r="N5">
            <v>764309</v>
          </cell>
          <cell r="O5">
            <v>829722</v>
          </cell>
          <cell r="P5">
            <v>918313</v>
          </cell>
          <cell r="Q5">
            <v>1031407</v>
          </cell>
          <cell r="R5">
            <v>1063152</v>
          </cell>
          <cell r="S5">
            <v>1207457</v>
          </cell>
          <cell r="T5">
            <v>1279589</v>
          </cell>
          <cell r="U5">
            <v>1032568</v>
          </cell>
          <cell r="V5">
            <v>1077546</v>
          </cell>
          <cell r="W5">
            <v>1201119</v>
          </cell>
          <cell r="X5">
            <v>1742067</v>
          </cell>
          <cell r="Y5">
            <v>2059861</v>
          </cell>
          <cell r="Z5">
            <v>2000350</v>
          </cell>
        </row>
      </sheetData>
      <sheetData sheetId="7">
        <row r="5">
          <cell r="E5">
            <v>356642</v>
          </cell>
          <cell r="F5">
            <v>517193</v>
          </cell>
          <cell r="G5">
            <v>419292</v>
          </cell>
          <cell r="H5">
            <v>463982</v>
          </cell>
          <cell r="I5">
            <v>585976</v>
          </cell>
          <cell r="J5">
            <v>543550</v>
          </cell>
          <cell r="K5">
            <v>533652</v>
          </cell>
          <cell r="L5">
            <v>856880</v>
          </cell>
          <cell r="M5">
            <v>1010235</v>
          </cell>
          <cell r="N5">
            <v>1173253</v>
          </cell>
          <cell r="O5">
            <v>1405516</v>
          </cell>
          <cell r="P5">
            <v>1590184</v>
          </cell>
          <cell r="Q5">
            <v>1974827</v>
          </cell>
          <cell r="R5">
            <v>2343131</v>
          </cell>
          <cell r="S5">
            <v>2550795</v>
          </cell>
          <cell r="T5">
            <v>2590800</v>
          </cell>
          <cell r="U5">
            <v>2894246</v>
          </cell>
          <cell r="V5">
            <v>3454381</v>
          </cell>
          <cell r="W5">
            <v>3224258</v>
          </cell>
          <cell r="X5">
            <v>3826011</v>
          </cell>
          <cell r="Y5">
            <v>4287079</v>
          </cell>
          <cell r="Z5">
            <v>4914271</v>
          </cell>
        </row>
      </sheetData>
      <sheetData sheetId="8">
        <row r="5">
          <cell r="E5">
            <v>1898611</v>
          </cell>
          <cell r="F5">
            <v>2121661</v>
          </cell>
          <cell r="G5">
            <v>2216879</v>
          </cell>
          <cell r="H5">
            <v>2368622</v>
          </cell>
          <cell r="I5">
            <v>2464243</v>
          </cell>
          <cell r="J5">
            <v>2543935</v>
          </cell>
          <cell r="K5">
            <v>2941781</v>
          </cell>
          <cell r="L5">
            <v>3063221</v>
          </cell>
          <cell r="M5">
            <v>3169831</v>
          </cell>
          <cell r="N5">
            <v>3471909</v>
          </cell>
          <cell r="O5">
            <v>3858039</v>
          </cell>
          <cell r="P5">
            <v>4380829</v>
          </cell>
          <cell r="Q5">
            <v>4754499</v>
          </cell>
          <cell r="R5">
            <v>5161423</v>
          </cell>
          <cell r="S5">
            <v>6086504</v>
          </cell>
          <cell r="T5">
            <v>6132159</v>
          </cell>
          <cell r="U5">
            <v>5873957</v>
          </cell>
          <cell r="V5">
            <v>6281102</v>
          </cell>
          <cell r="W5">
            <v>6826590</v>
          </cell>
          <cell r="X5">
            <v>6674914</v>
          </cell>
          <cell r="Y5">
            <v>7397987</v>
          </cell>
          <cell r="Z5">
            <v>8144349</v>
          </cell>
        </row>
      </sheetData>
      <sheetData sheetId="9">
        <row r="5">
          <cell r="E5">
            <v>7032417</v>
          </cell>
          <cell r="F5">
            <v>7391813</v>
          </cell>
          <cell r="G5">
            <v>7976211</v>
          </cell>
          <cell r="H5">
            <v>8483849</v>
          </cell>
          <cell r="I5">
            <v>8664412</v>
          </cell>
          <cell r="J5">
            <v>8992384</v>
          </cell>
          <cell r="K5">
            <v>9019021</v>
          </cell>
          <cell r="L5">
            <v>9959243</v>
          </cell>
          <cell r="M5">
            <v>11072339</v>
          </cell>
          <cell r="N5">
            <v>12222571</v>
          </cell>
          <cell r="O5">
            <v>13103133</v>
          </cell>
          <cell r="P5">
            <v>15244617</v>
          </cell>
          <cell r="Q5">
            <v>18218684</v>
          </cell>
          <cell r="R5">
            <v>20644923</v>
          </cell>
          <cell r="S5">
            <v>23568117</v>
          </cell>
          <cell r="T5">
            <v>26504204</v>
          </cell>
          <cell r="U5">
            <v>29120402</v>
          </cell>
          <cell r="V5">
            <v>30970481</v>
          </cell>
          <cell r="W5">
            <v>32660131</v>
          </cell>
          <cell r="X5">
            <v>37082940</v>
          </cell>
          <cell r="Y5">
            <v>41567017</v>
          </cell>
          <cell r="Z5">
            <v>48432473</v>
          </cell>
        </row>
      </sheetData>
      <sheetData sheetId="10">
        <row r="5">
          <cell r="E5">
            <v>506919</v>
          </cell>
          <cell r="F5">
            <v>370860</v>
          </cell>
          <cell r="G5">
            <v>349340</v>
          </cell>
          <cell r="H5">
            <v>351290</v>
          </cell>
          <cell r="I5">
            <v>370774</v>
          </cell>
          <cell r="J5">
            <v>354290</v>
          </cell>
          <cell r="K5">
            <v>382856</v>
          </cell>
          <cell r="L5">
            <v>384837</v>
          </cell>
          <cell r="M5">
            <v>370476</v>
          </cell>
          <cell r="N5">
            <v>363964</v>
          </cell>
          <cell r="O5">
            <v>361783</v>
          </cell>
          <cell r="P5">
            <v>351246</v>
          </cell>
          <cell r="Q5">
            <v>364985</v>
          </cell>
          <cell r="R5">
            <v>432222</v>
          </cell>
          <cell r="S5">
            <v>490093</v>
          </cell>
          <cell r="T5">
            <v>495439</v>
          </cell>
          <cell r="U5">
            <v>5413654</v>
          </cell>
          <cell r="V5">
            <v>5000764</v>
          </cell>
          <cell r="W5">
            <v>9559431</v>
          </cell>
          <cell r="X5">
            <v>3949615</v>
          </cell>
          <cell r="Y5">
            <v>2357931</v>
          </cell>
          <cell r="Z5">
            <v>2335278</v>
          </cell>
        </row>
      </sheetData>
      <sheetData sheetId="11">
        <row r="5"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</row>
      </sheetData>
      <sheetData sheetId="12"/>
      <sheetData sheetId="13">
        <row r="5">
          <cell r="E5">
            <v>1501129</v>
          </cell>
          <cell r="F5">
            <v>1862241</v>
          </cell>
          <cell r="G5">
            <v>1995787</v>
          </cell>
          <cell r="H5">
            <v>2451827</v>
          </cell>
          <cell r="I5">
            <v>2602754</v>
          </cell>
          <cell r="J5">
            <v>2527243</v>
          </cell>
          <cell r="K5">
            <v>3063543</v>
          </cell>
          <cell r="L5">
            <v>3577362</v>
          </cell>
          <cell r="M5">
            <v>3746365</v>
          </cell>
          <cell r="N5">
            <v>4018250</v>
          </cell>
          <cell r="O5">
            <v>4419088</v>
          </cell>
          <cell r="P5">
            <v>4474793</v>
          </cell>
          <cell r="Q5">
            <v>4941045</v>
          </cell>
          <cell r="R5">
            <v>5959295</v>
          </cell>
          <cell r="S5">
            <v>6098776</v>
          </cell>
          <cell r="T5">
            <v>7482135</v>
          </cell>
          <cell r="U5">
            <v>5326521</v>
          </cell>
          <cell r="V5">
            <v>4958320</v>
          </cell>
          <cell r="W5">
            <v>5624513</v>
          </cell>
          <cell r="X5">
            <v>10587993</v>
          </cell>
          <cell r="Y5">
            <v>14348950</v>
          </cell>
          <cell r="Z5">
            <v>13660168</v>
          </cell>
        </row>
      </sheetData>
      <sheetData sheetId="14">
        <row r="5">
          <cell r="E5">
            <v>289306</v>
          </cell>
          <cell r="F5">
            <v>297206</v>
          </cell>
          <cell r="G5">
            <v>349975</v>
          </cell>
          <cell r="H5">
            <v>290450</v>
          </cell>
          <cell r="I5">
            <v>352452</v>
          </cell>
          <cell r="J5">
            <v>355287</v>
          </cell>
          <cell r="K5">
            <v>373281</v>
          </cell>
          <cell r="L5">
            <v>502069</v>
          </cell>
          <cell r="M5">
            <v>616189</v>
          </cell>
          <cell r="N5">
            <v>812164</v>
          </cell>
          <cell r="O5">
            <v>879027</v>
          </cell>
          <cell r="P5">
            <v>878909</v>
          </cell>
          <cell r="Q5">
            <v>671110</v>
          </cell>
          <cell r="R5">
            <v>660586</v>
          </cell>
          <cell r="S5">
            <v>622847</v>
          </cell>
          <cell r="T5">
            <v>901527</v>
          </cell>
          <cell r="U5">
            <v>738278</v>
          </cell>
          <cell r="V5">
            <v>819817</v>
          </cell>
          <cell r="W5">
            <v>796404</v>
          </cell>
          <cell r="X5">
            <v>818705</v>
          </cell>
          <cell r="Y5">
            <v>785514</v>
          </cell>
          <cell r="Z5">
            <v>993984</v>
          </cell>
        </row>
      </sheetData>
      <sheetData sheetId="15">
        <row r="5">
          <cell r="E5">
            <v>523193</v>
          </cell>
          <cell r="F5">
            <v>547406</v>
          </cell>
          <cell r="G5">
            <v>559123</v>
          </cell>
          <cell r="H5">
            <v>555494</v>
          </cell>
          <cell r="I5">
            <v>555494</v>
          </cell>
          <cell r="J5">
            <v>549665</v>
          </cell>
          <cell r="K5">
            <v>629244</v>
          </cell>
          <cell r="L5">
            <v>629244</v>
          </cell>
          <cell r="M5">
            <v>629244</v>
          </cell>
          <cell r="N5">
            <v>636380</v>
          </cell>
          <cell r="O5">
            <v>636380</v>
          </cell>
          <cell r="P5">
            <v>705799</v>
          </cell>
          <cell r="Q5">
            <v>745063</v>
          </cell>
          <cell r="R5">
            <v>750563</v>
          </cell>
          <cell r="S5">
            <v>739621</v>
          </cell>
          <cell r="T5">
            <v>841545</v>
          </cell>
          <cell r="U5">
            <v>894182</v>
          </cell>
          <cell r="V5">
            <v>909586</v>
          </cell>
          <cell r="W5">
            <v>986746</v>
          </cell>
          <cell r="X5">
            <v>1222550</v>
          </cell>
          <cell r="Y5">
            <v>1224950</v>
          </cell>
          <cell r="Z5">
            <v>1286321</v>
          </cell>
          <cell r="AA5">
            <v>1387335</v>
          </cell>
          <cell r="AB5">
            <v>1393582</v>
          </cell>
          <cell r="AC5">
            <v>1692084</v>
          </cell>
          <cell r="AD5">
            <v>1749784</v>
          </cell>
          <cell r="AE5">
            <v>1933638</v>
          </cell>
          <cell r="AF5">
            <v>2240044</v>
          </cell>
          <cell r="AG5">
            <v>2275402</v>
          </cell>
          <cell r="AH5">
            <v>2312501</v>
          </cell>
          <cell r="AI5">
            <v>2339536</v>
          </cell>
          <cell r="AJ5">
            <v>2406091</v>
          </cell>
          <cell r="AK5">
            <v>2713962</v>
          </cell>
          <cell r="AL5">
            <v>2731922</v>
          </cell>
          <cell r="AM5">
            <v>2732130</v>
          </cell>
          <cell r="AN5">
            <v>2758548</v>
          </cell>
          <cell r="AO5">
            <v>2818744</v>
          </cell>
        </row>
      </sheetData>
      <sheetData sheetId="16">
        <row r="5">
          <cell r="E5">
            <v>85808</v>
          </cell>
          <cell r="F5">
            <v>59982</v>
          </cell>
          <cell r="G5">
            <v>99349</v>
          </cell>
          <cell r="H5">
            <v>90568</v>
          </cell>
          <cell r="I5">
            <v>84168</v>
          </cell>
          <cell r="J5">
            <v>75366</v>
          </cell>
          <cell r="K5">
            <v>89687</v>
          </cell>
          <cell r="L5">
            <v>101047</v>
          </cell>
          <cell r="M5">
            <v>143161</v>
          </cell>
          <cell r="N5">
            <v>413747</v>
          </cell>
          <cell r="O5">
            <v>414346</v>
          </cell>
          <cell r="P5">
            <v>507656</v>
          </cell>
          <cell r="Q5">
            <v>432594</v>
          </cell>
          <cell r="R5">
            <v>486222</v>
          </cell>
          <cell r="S5">
            <v>460706</v>
          </cell>
          <cell r="T5">
            <v>548455</v>
          </cell>
          <cell r="U5">
            <v>319508</v>
          </cell>
          <cell r="V5">
            <v>698957</v>
          </cell>
          <cell r="W5">
            <v>606657</v>
          </cell>
          <cell r="X5">
            <v>603946</v>
          </cell>
          <cell r="Y5">
            <v>678131</v>
          </cell>
          <cell r="Z5">
            <v>655780</v>
          </cell>
        </row>
      </sheetData>
      <sheetData sheetId="17">
        <row r="5">
          <cell r="E5">
            <v>1020901</v>
          </cell>
          <cell r="F5">
            <v>1144674</v>
          </cell>
          <cell r="G5">
            <v>1204409</v>
          </cell>
          <cell r="H5">
            <v>1338041</v>
          </cell>
          <cell r="I5">
            <v>1324051</v>
          </cell>
          <cell r="J5">
            <v>1359500</v>
          </cell>
          <cell r="K5">
            <v>1434993</v>
          </cell>
          <cell r="L5">
            <v>1561432</v>
          </cell>
          <cell r="M5">
            <v>2228400</v>
          </cell>
          <cell r="N5">
            <v>2500434</v>
          </cell>
          <cell r="O5">
            <v>2707004</v>
          </cell>
          <cell r="P5">
            <v>3096565</v>
          </cell>
          <cell r="Q5">
            <v>3363447</v>
          </cell>
          <cell r="R5">
            <v>3754745</v>
          </cell>
          <cell r="S5">
            <v>4091186</v>
          </cell>
          <cell r="T5">
            <v>4393107</v>
          </cell>
          <cell r="U5">
            <v>4523260</v>
          </cell>
          <cell r="V5">
            <v>5533632</v>
          </cell>
          <cell r="W5">
            <v>5612031</v>
          </cell>
          <cell r="X5">
            <v>6478098</v>
          </cell>
          <cell r="Y5">
            <v>6981934</v>
          </cell>
          <cell r="Z5">
            <v>7395732</v>
          </cell>
        </row>
      </sheetData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4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5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6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7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8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9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2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03"/>
  <sheetViews>
    <sheetView topLeftCell="A64" zoomScale="90" zoomScaleNormal="90" workbookViewId="0">
      <selection activeCell="J66" sqref="J66"/>
    </sheetView>
  </sheetViews>
  <sheetFormatPr defaultRowHeight="15" x14ac:dyDescent="0.25"/>
  <cols>
    <col min="1" max="1" width="10.88671875" style="239" customWidth="1"/>
    <col min="2" max="16384" width="8.88671875" style="239"/>
  </cols>
  <sheetData>
    <row r="1" spans="1:38" x14ac:dyDescent="0.25">
      <c r="A1" s="312" t="s">
        <v>327</v>
      </c>
    </row>
    <row r="2" spans="1:38" ht="15.75" x14ac:dyDescent="0.25">
      <c r="A2"/>
      <c r="B2" s="308">
        <v>1977</v>
      </c>
      <c r="C2" s="309">
        <v>1978</v>
      </c>
      <c r="D2" s="309">
        <v>1979</v>
      </c>
      <c r="E2" s="309">
        <v>1980</v>
      </c>
      <c r="F2" s="309">
        <v>1981</v>
      </c>
      <c r="G2" s="309">
        <v>1982</v>
      </c>
      <c r="H2" s="309">
        <v>1983</v>
      </c>
      <c r="I2" s="309">
        <v>1984</v>
      </c>
      <c r="J2" s="309">
        <v>1985</v>
      </c>
      <c r="K2" s="309">
        <v>1986</v>
      </c>
      <c r="L2" s="309">
        <v>1987</v>
      </c>
      <c r="M2" s="309">
        <v>1988</v>
      </c>
      <c r="N2" s="309">
        <v>1989</v>
      </c>
      <c r="O2" s="309">
        <v>1990</v>
      </c>
      <c r="P2" s="309">
        <v>1991</v>
      </c>
      <c r="Q2" s="309">
        <v>1992</v>
      </c>
      <c r="R2" s="309">
        <v>1993</v>
      </c>
      <c r="S2" s="309">
        <v>1994</v>
      </c>
      <c r="T2" s="309">
        <v>1995</v>
      </c>
      <c r="U2" s="309">
        <v>1996</v>
      </c>
      <c r="V2" s="309">
        <v>1997</v>
      </c>
      <c r="W2" s="309">
        <v>1998</v>
      </c>
      <c r="X2" s="309">
        <v>1999</v>
      </c>
      <c r="Y2" s="309">
        <v>2000</v>
      </c>
      <c r="Z2" s="309">
        <v>2001</v>
      </c>
      <c r="AA2" s="310" t="s">
        <v>290</v>
      </c>
      <c r="AB2" s="310" t="s">
        <v>161</v>
      </c>
      <c r="AC2" s="310" t="s">
        <v>162</v>
      </c>
      <c r="AD2" s="310" t="s">
        <v>163</v>
      </c>
      <c r="AE2" s="310" t="s">
        <v>164</v>
      </c>
      <c r="AF2" s="310" t="s">
        <v>165</v>
      </c>
      <c r="AG2" s="310" t="s">
        <v>166</v>
      </c>
      <c r="AH2" s="310" t="s">
        <v>167</v>
      </c>
      <c r="AI2" s="310" t="s">
        <v>168</v>
      </c>
      <c r="AJ2" s="310" t="s">
        <v>169</v>
      </c>
      <c r="AK2" s="310" t="s">
        <v>170</v>
      </c>
    </row>
    <row r="3" spans="1:38" ht="15.75" x14ac:dyDescent="0.25">
      <c r="A3" t="s">
        <v>176</v>
      </c>
      <c r="B3" s="311">
        <v>6344.3</v>
      </c>
      <c r="C3" s="311">
        <v>6035</v>
      </c>
      <c r="D3" s="311">
        <v>5612.3666666666668</v>
      </c>
      <c r="E3" s="311">
        <v>5551.0333333333338</v>
      </c>
      <c r="F3" s="311">
        <v>4988.3666666666668</v>
      </c>
      <c r="G3" s="311">
        <v>4988.1000000000004</v>
      </c>
      <c r="H3" s="311">
        <v>4674</v>
      </c>
      <c r="I3" s="311">
        <v>5219.166666666667</v>
      </c>
      <c r="J3" s="311">
        <v>5620.9666666666662</v>
      </c>
      <c r="K3" s="311">
        <v>5963.666666666667</v>
      </c>
      <c r="L3" s="311">
        <v>6488.5666666666666</v>
      </c>
      <c r="M3" s="311">
        <v>7019.9666666666662</v>
      </c>
      <c r="N3" s="311">
        <v>7565.9</v>
      </c>
      <c r="O3" s="311">
        <v>8408.1666666666679</v>
      </c>
      <c r="P3" s="311">
        <v>9245.6333333333332</v>
      </c>
      <c r="Q3" s="311">
        <v>9889.9333333333325</v>
      </c>
      <c r="R3" s="311">
        <v>10322.766666666666</v>
      </c>
      <c r="S3" s="311">
        <v>10488.7</v>
      </c>
      <c r="T3" s="311">
        <v>10578.7</v>
      </c>
      <c r="U3" s="311">
        <v>11111.4</v>
      </c>
      <c r="V3" s="311">
        <v>11839.333333333334</v>
      </c>
      <c r="W3" s="311">
        <v>12789.6</v>
      </c>
      <c r="X3" s="311">
        <v>13651</v>
      </c>
      <c r="Y3" s="311">
        <v>14477</v>
      </c>
      <c r="Z3" s="311">
        <v>15512</v>
      </c>
      <c r="AA3" s="311">
        <v>16779</v>
      </c>
      <c r="AB3" s="311">
        <v>17566</v>
      </c>
      <c r="AC3" s="304">
        <v>18515</v>
      </c>
      <c r="AD3" s="304">
        <v>19400</v>
      </c>
      <c r="AE3" s="304">
        <v>19985.900000000001</v>
      </c>
      <c r="AF3" s="304">
        <v>20732</v>
      </c>
      <c r="AG3" s="304">
        <v>20951</v>
      </c>
      <c r="AH3" s="304">
        <v>20951</v>
      </c>
      <c r="AI3" s="304">
        <v>21617</v>
      </c>
      <c r="AJ3" s="304">
        <v>22273</v>
      </c>
      <c r="AK3" s="304">
        <v>22407</v>
      </c>
    </row>
    <row r="4" spans="1:38" ht="15.75" x14ac:dyDescent="0.25">
      <c r="A4"/>
      <c r="B4"/>
      <c r="C4" s="311"/>
      <c r="D4" s="311"/>
      <c r="E4" s="311"/>
      <c r="F4" s="311"/>
      <c r="G4" s="311"/>
      <c r="H4" s="311"/>
      <c r="I4" s="311"/>
      <c r="J4" s="311"/>
      <c r="K4" s="311"/>
      <c r="L4" s="311"/>
      <c r="M4" s="311"/>
      <c r="N4" s="311"/>
      <c r="O4" s="311"/>
      <c r="P4" s="311"/>
      <c r="Q4" s="311"/>
      <c r="R4" s="311"/>
      <c r="S4" s="311"/>
      <c r="T4" s="311"/>
      <c r="U4" s="311"/>
      <c r="V4" s="311"/>
      <c r="W4" s="311"/>
      <c r="X4" s="311"/>
      <c r="Y4" s="311"/>
      <c r="Z4" s="311"/>
      <c r="AA4" s="311"/>
      <c r="AB4" s="311"/>
      <c r="AC4" s="311"/>
      <c r="AD4" s="304"/>
      <c r="AE4" s="304"/>
      <c r="AF4" s="304"/>
      <c r="AG4" s="304"/>
      <c r="AH4" s="304"/>
      <c r="AI4" s="304"/>
      <c r="AJ4" s="304"/>
      <c r="AK4" s="304"/>
      <c r="AL4" s="304"/>
    </row>
    <row r="5" spans="1:38" x14ac:dyDescent="0.25">
      <c r="A5" s="237" t="s">
        <v>225</v>
      </c>
      <c r="B5" s="238"/>
      <c r="C5" s="238"/>
      <c r="D5" s="238"/>
      <c r="E5" s="238"/>
      <c r="F5" s="238"/>
      <c r="G5" s="238"/>
      <c r="H5" s="238"/>
      <c r="I5" s="238"/>
      <c r="J5" s="238"/>
      <c r="K5" s="238"/>
      <c r="L5" s="238"/>
    </row>
    <row r="6" spans="1:38" ht="15.75" thickBot="1" x14ac:dyDescent="0.3">
      <c r="A6" s="238"/>
      <c r="B6" s="238"/>
      <c r="C6" s="238"/>
      <c r="D6" s="238"/>
      <c r="E6" s="238"/>
      <c r="F6" s="238"/>
      <c r="G6" s="238"/>
      <c r="H6" s="238"/>
      <c r="I6" s="238"/>
      <c r="J6" s="238"/>
      <c r="K6" s="238"/>
      <c r="L6" s="238"/>
      <c r="S6" s="240"/>
    </row>
    <row r="7" spans="1:38" ht="15.75" customHeight="1" thickBot="1" x14ac:dyDescent="0.3">
      <c r="A7" s="338" t="s">
        <v>226</v>
      </c>
      <c r="B7" s="339"/>
      <c r="C7" s="342" t="s">
        <v>227</v>
      </c>
      <c r="D7" s="343"/>
      <c r="E7" s="343"/>
      <c r="F7" s="343"/>
      <c r="G7" s="343"/>
      <c r="H7" s="343"/>
      <c r="I7" s="343"/>
      <c r="J7" s="343"/>
      <c r="K7" s="343"/>
      <c r="L7" s="344"/>
      <c r="M7" s="241"/>
    </row>
    <row r="8" spans="1:38" ht="45.75" thickBot="1" x14ac:dyDescent="0.3">
      <c r="A8" s="340"/>
      <c r="B8" s="341"/>
      <c r="C8" s="242" t="s">
        <v>228</v>
      </c>
      <c r="D8" s="242" t="s">
        <v>229</v>
      </c>
      <c r="E8" s="242" t="s">
        <v>230</v>
      </c>
      <c r="F8" s="242" t="s">
        <v>231</v>
      </c>
      <c r="G8" s="242" t="s">
        <v>232</v>
      </c>
      <c r="H8" s="242" t="s">
        <v>233</v>
      </c>
      <c r="I8" s="242" t="s">
        <v>234</v>
      </c>
      <c r="J8" s="242" t="s">
        <v>235</v>
      </c>
      <c r="K8" s="242" t="s">
        <v>236</v>
      </c>
      <c r="L8" s="243" t="s">
        <v>79</v>
      </c>
      <c r="M8" s="244" t="s">
        <v>237</v>
      </c>
      <c r="S8" s="240"/>
    </row>
    <row r="9" spans="1:38" ht="15.75" thickBot="1" x14ac:dyDescent="0.3">
      <c r="A9" s="245"/>
      <c r="B9" s="238"/>
      <c r="C9" s="238"/>
      <c r="D9" s="238"/>
      <c r="E9" s="238"/>
      <c r="F9" s="238"/>
      <c r="G9" s="238"/>
      <c r="H9" s="238"/>
      <c r="I9" s="238"/>
      <c r="J9" s="238"/>
      <c r="K9" s="238"/>
      <c r="L9" s="246"/>
      <c r="M9" s="241"/>
    </row>
    <row r="10" spans="1:38" ht="15.75" thickBot="1" x14ac:dyDescent="0.3">
      <c r="A10" s="336" t="s">
        <v>238</v>
      </c>
      <c r="B10" s="337"/>
      <c r="C10" s="247">
        <v>31.27</v>
      </c>
      <c r="D10" s="247">
        <v>1152.27</v>
      </c>
      <c r="E10" s="247">
        <v>303.75</v>
      </c>
      <c r="F10" s="247">
        <v>323.75</v>
      </c>
      <c r="G10" s="247">
        <v>6778.45</v>
      </c>
      <c r="H10" s="247">
        <v>493.87</v>
      </c>
      <c r="I10" s="247">
        <v>961.97</v>
      </c>
      <c r="J10" s="247">
        <v>1910.75</v>
      </c>
      <c r="K10" s="247">
        <v>2330.0700000000002</v>
      </c>
      <c r="L10" s="248">
        <v>14286.13</v>
      </c>
      <c r="M10" s="249">
        <v>18579</v>
      </c>
      <c r="S10" s="240"/>
    </row>
    <row r="11" spans="1:38" ht="15.75" thickBot="1" x14ac:dyDescent="0.3">
      <c r="A11" s="336" t="s">
        <v>239</v>
      </c>
      <c r="B11" s="337"/>
      <c r="C11" s="247">
        <v>45</v>
      </c>
      <c r="D11" s="247">
        <v>1128.3</v>
      </c>
      <c r="E11" s="247">
        <v>318</v>
      </c>
      <c r="F11" s="247">
        <v>299.77</v>
      </c>
      <c r="G11" s="247">
        <v>7362.82</v>
      </c>
      <c r="H11" s="247">
        <v>591.32000000000005</v>
      </c>
      <c r="I11" s="247">
        <v>1065.07</v>
      </c>
      <c r="J11" s="247">
        <v>2094.3000000000002</v>
      </c>
      <c r="K11" s="247">
        <v>2375.08</v>
      </c>
      <c r="L11" s="248">
        <v>15279.65</v>
      </c>
      <c r="M11" s="249">
        <v>19762</v>
      </c>
    </row>
    <row r="12" spans="1:38" ht="15.75" thickBot="1" x14ac:dyDescent="0.3">
      <c r="A12" s="336" t="s">
        <v>240</v>
      </c>
      <c r="B12" s="337"/>
      <c r="C12" s="247">
        <v>58.07</v>
      </c>
      <c r="D12" s="247">
        <v>1177.9000000000001</v>
      </c>
      <c r="E12" s="247">
        <v>399.08</v>
      </c>
      <c r="F12" s="247">
        <v>282.27</v>
      </c>
      <c r="G12" s="247">
        <v>7669.35</v>
      </c>
      <c r="H12" s="247">
        <v>738.7</v>
      </c>
      <c r="I12" s="247">
        <v>1057.8</v>
      </c>
      <c r="J12" s="247">
        <v>2205.1</v>
      </c>
      <c r="K12" s="247">
        <v>2376.52</v>
      </c>
      <c r="L12" s="248">
        <v>15964.78</v>
      </c>
      <c r="M12" s="249">
        <v>20407</v>
      </c>
    </row>
    <row r="13" spans="1:38" ht="15.75" thickBot="1" x14ac:dyDescent="0.3">
      <c r="A13" s="336" t="s">
        <v>241</v>
      </c>
      <c r="B13" s="337"/>
      <c r="C13" s="247">
        <v>75.930000000000007</v>
      </c>
      <c r="D13" s="247">
        <v>1301.23</v>
      </c>
      <c r="E13" s="247">
        <v>510.67</v>
      </c>
      <c r="F13" s="247">
        <v>325.14999999999998</v>
      </c>
      <c r="G13" s="247">
        <v>7899.22</v>
      </c>
      <c r="H13" s="247">
        <v>1019.9</v>
      </c>
      <c r="I13" s="247">
        <v>996.63</v>
      </c>
      <c r="J13" s="247">
        <v>2113.13</v>
      </c>
      <c r="K13" s="247">
        <v>2793.53</v>
      </c>
      <c r="L13" s="248">
        <v>17035.400000000001</v>
      </c>
      <c r="M13" s="249">
        <v>21429</v>
      </c>
    </row>
    <row r="14" spans="1:38" ht="15.75" thickBot="1" x14ac:dyDescent="0.3">
      <c r="A14" s="336" t="s">
        <v>242</v>
      </c>
      <c r="B14" s="337"/>
      <c r="C14" s="247">
        <v>81.73</v>
      </c>
      <c r="D14" s="247">
        <v>1354.57</v>
      </c>
      <c r="E14" s="247">
        <v>561.16999999999996</v>
      </c>
      <c r="F14" s="247">
        <v>430.95</v>
      </c>
      <c r="G14" s="247">
        <v>8252.08</v>
      </c>
      <c r="H14" s="247">
        <v>1008.35</v>
      </c>
      <c r="I14" s="247">
        <v>956.4</v>
      </c>
      <c r="J14" s="247">
        <v>2437.4699999999998</v>
      </c>
      <c r="K14" s="247">
        <v>2711.57</v>
      </c>
      <c r="L14" s="248">
        <v>17794.28</v>
      </c>
      <c r="M14" s="249">
        <v>22063</v>
      </c>
    </row>
    <row r="15" spans="1:38" ht="15.75" thickBot="1" x14ac:dyDescent="0.3">
      <c r="A15" s="336" t="s">
        <v>243</v>
      </c>
      <c r="B15" s="337"/>
      <c r="C15" s="247">
        <v>86.53</v>
      </c>
      <c r="D15" s="247">
        <v>1524.67</v>
      </c>
      <c r="E15" s="247">
        <v>604.75</v>
      </c>
      <c r="F15" s="247">
        <v>548.15</v>
      </c>
      <c r="G15" s="247">
        <v>8801.9500000000007</v>
      </c>
      <c r="H15" s="247">
        <v>1101.05</v>
      </c>
      <c r="I15" s="247">
        <v>839.12</v>
      </c>
      <c r="J15" s="247">
        <v>2546.52</v>
      </c>
      <c r="K15" s="247">
        <v>2361.77</v>
      </c>
      <c r="L15" s="248">
        <v>18414.5</v>
      </c>
      <c r="M15" s="249">
        <v>22565</v>
      </c>
    </row>
    <row r="16" spans="1:38" ht="15.75" thickBot="1" x14ac:dyDescent="0.3">
      <c r="A16" s="336" t="s">
        <v>244</v>
      </c>
      <c r="B16" s="337"/>
      <c r="C16" s="247">
        <v>101.73</v>
      </c>
      <c r="D16" s="247">
        <v>1653.82</v>
      </c>
      <c r="E16" s="247">
        <v>615.25</v>
      </c>
      <c r="F16" s="247">
        <v>758.93</v>
      </c>
      <c r="G16" s="247">
        <v>9109.4500000000007</v>
      </c>
      <c r="H16" s="247">
        <v>1244.22</v>
      </c>
      <c r="I16" s="247">
        <v>826.38</v>
      </c>
      <c r="J16" s="247">
        <v>2760.28</v>
      </c>
      <c r="K16" s="247">
        <v>2007.99</v>
      </c>
      <c r="L16" s="248">
        <v>19078.060000000001</v>
      </c>
      <c r="M16" s="249">
        <v>23295</v>
      </c>
    </row>
    <row r="17" spans="1:13" ht="15.75" thickBot="1" x14ac:dyDescent="0.3">
      <c r="A17" s="336" t="s">
        <v>245</v>
      </c>
      <c r="B17" s="337"/>
      <c r="C17" s="247">
        <v>87.27</v>
      </c>
      <c r="D17" s="247">
        <v>1688.95</v>
      </c>
      <c r="E17" s="247">
        <v>572.91999999999996</v>
      </c>
      <c r="F17" s="247">
        <v>918.12</v>
      </c>
      <c r="G17" s="247">
        <v>9145</v>
      </c>
      <c r="H17" s="247">
        <v>1264.67</v>
      </c>
      <c r="I17" s="247">
        <v>915.47</v>
      </c>
      <c r="J17" s="247">
        <v>2788.34</v>
      </c>
      <c r="K17" s="247">
        <v>1896.82</v>
      </c>
      <c r="L17" s="248">
        <v>19277.54</v>
      </c>
      <c r="M17" s="249">
        <v>23464</v>
      </c>
    </row>
    <row r="18" spans="1:13" ht="15.75" thickBot="1" x14ac:dyDescent="0.3">
      <c r="A18" s="336" t="s">
        <v>246</v>
      </c>
      <c r="B18" s="337"/>
      <c r="C18" s="247">
        <v>99.2</v>
      </c>
      <c r="D18" s="247">
        <v>1698.2</v>
      </c>
      <c r="E18" s="247">
        <v>556.5</v>
      </c>
      <c r="F18" s="247">
        <v>1039.9000000000001</v>
      </c>
      <c r="G18" s="247">
        <v>9578.15</v>
      </c>
      <c r="H18" s="247">
        <v>1346.58</v>
      </c>
      <c r="I18" s="247">
        <v>1012.91</v>
      </c>
      <c r="J18" s="247">
        <v>2928.98</v>
      </c>
      <c r="K18" s="247">
        <v>1766.13</v>
      </c>
      <c r="L18" s="248">
        <v>20026.560000000001</v>
      </c>
      <c r="M18" s="249">
        <v>23892</v>
      </c>
    </row>
    <row r="19" spans="1:13" ht="15.75" thickBot="1" x14ac:dyDescent="0.3">
      <c r="A19" s="336" t="s">
        <v>247</v>
      </c>
      <c r="B19" s="337"/>
      <c r="C19" s="247">
        <v>120.53</v>
      </c>
      <c r="D19" s="247">
        <v>1912.23</v>
      </c>
      <c r="E19" s="247">
        <v>572.58000000000004</v>
      </c>
      <c r="F19" s="247">
        <v>1466.93</v>
      </c>
      <c r="G19" s="247">
        <v>9590.83</v>
      </c>
      <c r="H19" s="247">
        <v>1326.08</v>
      </c>
      <c r="I19" s="247">
        <v>975.7</v>
      </c>
      <c r="J19" s="247">
        <v>2850.13</v>
      </c>
      <c r="K19" s="247">
        <v>1788.57</v>
      </c>
      <c r="L19" s="248">
        <v>20603.59</v>
      </c>
      <c r="M19" s="249">
        <v>24408</v>
      </c>
    </row>
    <row r="20" spans="1:13" ht="15.75" thickBot="1" x14ac:dyDescent="0.3">
      <c r="A20" s="336" t="s">
        <v>248</v>
      </c>
      <c r="B20" s="337"/>
      <c r="C20" s="247">
        <v>150.6</v>
      </c>
      <c r="D20" s="247">
        <v>2080.5300000000002</v>
      </c>
      <c r="E20" s="247">
        <v>576.13</v>
      </c>
      <c r="F20" s="247">
        <v>1516.02</v>
      </c>
      <c r="G20" s="247">
        <v>10021.48</v>
      </c>
      <c r="H20" s="247">
        <v>1239.68</v>
      </c>
      <c r="I20" s="247">
        <v>1015.82</v>
      </c>
      <c r="J20" s="247">
        <v>2746.97</v>
      </c>
      <c r="K20" s="247">
        <v>1307.72</v>
      </c>
      <c r="L20" s="248">
        <v>20654.95</v>
      </c>
      <c r="M20" s="249">
        <v>24541</v>
      </c>
    </row>
    <row r="21" spans="1:13" ht="15.75" thickBot="1" x14ac:dyDescent="0.3">
      <c r="A21" s="336" t="s">
        <v>249</v>
      </c>
      <c r="B21" s="337"/>
      <c r="C21" s="247">
        <v>168.47</v>
      </c>
      <c r="D21" s="247">
        <v>2019.35</v>
      </c>
      <c r="E21" s="247">
        <v>562.08000000000004</v>
      </c>
      <c r="F21" s="247">
        <v>1639.87</v>
      </c>
      <c r="G21" s="247">
        <v>10209.9</v>
      </c>
      <c r="H21" s="247">
        <v>1077.57</v>
      </c>
      <c r="I21" s="247">
        <v>1098.1400000000001</v>
      </c>
      <c r="J21" s="247">
        <v>2691.48</v>
      </c>
      <c r="K21" s="247">
        <v>1228.26</v>
      </c>
      <c r="L21" s="248">
        <v>20695.12</v>
      </c>
      <c r="M21" s="249">
        <v>24662</v>
      </c>
    </row>
    <row r="22" spans="1:13" ht="15.75" thickBot="1" x14ac:dyDescent="0.3">
      <c r="A22" s="336" t="s">
        <v>250</v>
      </c>
      <c r="B22" s="337"/>
      <c r="C22" s="247">
        <v>183.6</v>
      </c>
      <c r="D22" s="247">
        <v>2061.21</v>
      </c>
      <c r="E22" s="247">
        <v>515.91999999999996</v>
      </c>
      <c r="F22" s="247">
        <v>1712.98</v>
      </c>
      <c r="G22" s="247">
        <v>10192.67</v>
      </c>
      <c r="H22" s="247">
        <v>1045.53</v>
      </c>
      <c r="I22" s="247">
        <v>1253.9000000000001</v>
      </c>
      <c r="J22" s="247">
        <v>2791.1</v>
      </c>
      <c r="K22" s="247">
        <v>1105.67</v>
      </c>
      <c r="L22" s="248">
        <v>20862.57</v>
      </c>
      <c r="M22" s="249">
        <v>24654</v>
      </c>
    </row>
    <row r="23" spans="1:13" ht="15.75" thickBot="1" x14ac:dyDescent="0.3">
      <c r="A23" s="336" t="s">
        <v>251</v>
      </c>
      <c r="B23" s="337"/>
      <c r="C23" s="247">
        <v>222.27</v>
      </c>
      <c r="D23" s="247">
        <v>2152.63</v>
      </c>
      <c r="E23" s="247">
        <v>453.29</v>
      </c>
      <c r="F23" s="247">
        <v>1963.93</v>
      </c>
      <c r="G23" s="247">
        <v>9727.2199999999993</v>
      </c>
      <c r="H23" s="247">
        <v>951.1</v>
      </c>
      <c r="I23" s="247">
        <v>1438.2</v>
      </c>
      <c r="J23" s="247">
        <v>2920.25</v>
      </c>
      <c r="K23" s="247">
        <v>1088.9000000000001</v>
      </c>
      <c r="L23" s="248">
        <v>20917.79</v>
      </c>
      <c r="M23" s="249">
        <v>24477</v>
      </c>
    </row>
    <row r="24" spans="1:13" ht="15.75" thickBot="1" x14ac:dyDescent="0.3">
      <c r="A24" s="336" t="s">
        <v>252</v>
      </c>
      <c r="B24" s="337"/>
      <c r="C24" s="247">
        <v>223.27</v>
      </c>
      <c r="D24" s="247">
        <v>2076.85</v>
      </c>
      <c r="E24" s="247">
        <v>466.08</v>
      </c>
      <c r="F24" s="247">
        <v>2129.6999999999998</v>
      </c>
      <c r="G24" s="247">
        <v>9372.42</v>
      </c>
      <c r="H24" s="247">
        <v>1073.83</v>
      </c>
      <c r="I24" s="247">
        <v>1639.53</v>
      </c>
      <c r="J24" s="247">
        <v>3151.4</v>
      </c>
      <c r="K24" s="247">
        <v>1256.4000000000001</v>
      </c>
      <c r="L24" s="248">
        <v>21389.48</v>
      </c>
      <c r="M24" s="249">
        <v>25094</v>
      </c>
    </row>
    <row r="25" spans="1:13" ht="15.75" thickBot="1" x14ac:dyDescent="0.3">
      <c r="A25" s="336" t="s">
        <v>79</v>
      </c>
      <c r="B25" s="337"/>
      <c r="C25" s="247">
        <v>1735.47</v>
      </c>
      <c r="D25" s="247">
        <v>24982.71</v>
      </c>
      <c r="E25" s="247">
        <v>7588.17</v>
      </c>
      <c r="F25" s="247">
        <v>15356.42</v>
      </c>
      <c r="G25" s="247">
        <v>133711</v>
      </c>
      <c r="H25" s="247">
        <v>15522.45</v>
      </c>
      <c r="I25" s="247">
        <v>16053.03</v>
      </c>
      <c r="J25" s="247">
        <v>38936.199999999997</v>
      </c>
      <c r="K25" s="247">
        <v>28394.99</v>
      </c>
      <c r="L25" s="248">
        <v>282280.40000000002</v>
      </c>
      <c r="M25" s="250"/>
    </row>
    <row r="26" spans="1:13" x14ac:dyDescent="0.25">
      <c r="A26" s="251" t="s">
        <v>253</v>
      </c>
      <c r="B26" s="252"/>
      <c r="C26" s="253">
        <f>C10/$L$10</f>
        <v>2.1888363048635285E-3</v>
      </c>
      <c r="D26" s="253">
        <f t="shared" ref="D26:K26" si="0">D10/$L$10</f>
        <v>8.0656552894310785E-2</v>
      </c>
      <c r="E26" s="253">
        <f t="shared" si="0"/>
        <v>2.1261881279254775E-2</v>
      </c>
      <c r="F26" s="253">
        <f t="shared" si="0"/>
        <v>2.2661840540440275E-2</v>
      </c>
      <c r="G26" s="253">
        <f t="shared" si="0"/>
        <v>0.47447769269914247</v>
      </c>
      <c r="H26" s="253">
        <f t="shared" si="0"/>
        <v>3.4569894016084131E-2</v>
      </c>
      <c r="I26" s="253">
        <f t="shared" si="0"/>
        <v>6.733594052413075E-2</v>
      </c>
      <c r="J26" s="253">
        <f t="shared" si="0"/>
        <v>0.13374860791550966</v>
      </c>
      <c r="K26" s="253">
        <f t="shared" si="0"/>
        <v>0.16310015378552487</v>
      </c>
      <c r="L26" s="254"/>
    </row>
    <row r="27" spans="1:13" x14ac:dyDescent="0.25">
      <c r="A27" s="251" t="s">
        <v>254</v>
      </c>
      <c r="B27" s="252"/>
      <c r="C27" s="255">
        <f>C24/$L$24</f>
        <v>1.0438308925696183E-2</v>
      </c>
      <c r="D27" s="255">
        <f t="shared" ref="D27:K27" si="1">D24/$L$24</f>
        <v>9.7096797117087463E-2</v>
      </c>
      <c r="E27" s="255">
        <f t="shared" si="1"/>
        <v>2.1790151046215241E-2</v>
      </c>
      <c r="F27" s="255">
        <f t="shared" si="1"/>
        <v>9.9567637922941557E-2</v>
      </c>
      <c r="G27" s="255">
        <f t="shared" si="1"/>
        <v>0.43817895526211953</v>
      </c>
      <c r="H27" s="255">
        <f t="shared" si="1"/>
        <v>5.0203651514669823E-2</v>
      </c>
      <c r="I27" s="255">
        <f t="shared" si="1"/>
        <v>7.6651232288021967E-2</v>
      </c>
      <c r="J27" s="255">
        <f t="shared" si="1"/>
        <v>0.14733411003914074</v>
      </c>
      <c r="K27" s="255">
        <f t="shared" si="1"/>
        <v>5.8739155884107518E-2</v>
      </c>
      <c r="L27" s="256"/>
    </row>
    <row r="28" spans="1:13" x14ac:dyDescent="0.25">
      <c r="A28" s="251" t="s">
        <v>255</v>
      </c>
      <c r="B28" s="252"/>
      <c r="C28" s="257">
        <f>C27-C26</f>
        <v>8.2494726208326551E-3</v>
      </c>
      <c r="D28" s="257">
        <f t="shared" ref="D28:K28" si="2">D27-D26</f>
        <v>1.6440244222776679E-2</v>
      </c>
      <c r="E28" s="257">
        <f t="shared" si="2"/>
        <v>5.2826976696046524E-4</v>
      </c>
      <c r="F28" s="257">
        <f t="shared" si="2"/>
        <v>7.6905797382501279E-2</v>
      </c>
      <c r="G28" s="257">
        <f t="shared" si="2"/>
        <v>-3.6298737437022943E-2</v>
      </c>
      <c r="H28" s="257">
        <f t="shared" si="2"/>
        <v>1.5633757498585692E-2</v>
      </c>
      <c r="I28" s="257">
        <f t="shared" si="2"/>
        <v>9.3152917638912175E-3</v>
      </c>
      <c r="J28" s="257">
        <f t="shared" si="2"/>
        <v>1.3585502123631077E-2</v>
      </c>
      <c r="K28" s="257">
        <f t="shared" si="2"/>
        <v>-0.10436099790141734</v>
      </c>
      <c r="L28" s="256"/>
    </row>
    <row r="29" spans="1:13" x14ac:dyDescent="0.25">
      <c r="A29" s="239" t="s">
        <v>256</v>
      </c>
      <c r="C29" s="258">
        <f>(C24-C10)/C10</f>
        <v>6.1400703549728171</v>
      </c>
      <c r="D29" s="258">
        <f t="shared" ref="D29:L29" si="3">(D24-D10)/D10</f>
        <v>0.80239874335008288</v>
      </c>
      <c r="E29" s="258">
        <f t="shared" si="3"/>
        <v>0.53441975308641965</v>
      </c>
      <c r="F29" s="258">
        <f t="shared" si="3"/>
        <v>5.578223938223938</v>
      </c>
      <c r="G29" s="258">
        <f t="shared" si="3"/>
        <v>0.3826789310240542</v>
      </c>
      <c r="H29" s="258">
        <f t="shared" si="3"/>
        <v>1.1743171279891467</v>
      </c>
      <c r="I29" s="258">
        <f t="shared" si="3"/>
        <v>0.70434628938532384</v>
      </c>
      <c r="J29" s="258">
        <f t="shared" si="3"/>
        <v>0.64930001308386764</v>
      </c>
      <c r="K29" s="258">
        <f t="shared" si="3"/>
        <v>-0.46078873166900564</v>
      </c>
      <c r="L29" s="258">
        <f t="shared" si="3"/>
        <v>0.49722003089710093</v>
      </c>
    </row>
    <row r="30" spans="1:13" ht="15.75" thickBot="1" x14ac:dyDescent="0.3"/>
    <row r="31" spans="1:13" ht="45.75" thickBot="1" x14ac:dyDescent="0.3">
      <c r="B31" s="242" t="s">
        <v>228</v>
      </c>
      <c r="C31" s="242" t="s">
        <v>229</v>
      </c>
      <c r="D31" s="242" t="s">
        <v>230</v>
      </c>
      <c r="E31" s="242" t="s">
        <v>231</v>
      </c>
      <c r="F31" s="242" t="s">
        <v>232</v>
      </c>
      <c r="G31" s="242" t="s">
        <v>233</v>
      </c>
      <c r="H31" s="242" t="s">
        <v>234</v>
      </c>
      <c r="I31" s="242" t="s">
        <v>235</v>
      </c>
    </row>
    <row r="32" spans="1:13" ht="30.75" customHeight="1" x14ac:dyDescent="0.25">
      <c r="A32" s="252" t="s">
        <v>253</v>
      </c>
      <c r="B32" s="253">
        <f>C10/$L$10</f>
        <v>2.1888363048635285E-3</v>
      </c>
      <c r="C32" s="253">
        <f t="shared" ref="C32:I32" si="4">D10/$L$10</f>
        <v>8.0656552894310785E-2</v>
      </c>
      <c r="D32" s="253">
        <f t="shared" si="4"/>
        <v>2.1261881279254775E-2</v>
      </c>
      <c r="E32" s="253">
        <f t="shared" si="4"/>
        <v>2.2661840540440275E-2</v>
      </c>
      <c r="F32" s="253">
        <f t="shared" si="4"/>
        <v>0.47447769269914247</v>
      </c>
      <c r="G32" s="253">
        <f t="shared" si="4"/>
        <v>3.4569894016084131E-2</v>
      </c>
      <c r="H32" s="253">
        <f t="shared" si="4"/>
        <v>6.733594052413075E-2</v>
      </c>
      <c r="I32" s="253">
        <f t="shared" si="4"/>
        <v>0.13374860791550966</v>
      </c>
    </row>
    <row r="33" spans="1:19" ht="30" customHeight="1" x14ac:dyDescent="0.25">
      <c r="A33" s="252" t="s">
        <v>254</v>
      </c>
      <c r="B33" s="255">
        <f>C24/$L$24</f>
        <v>1.0438308925696183E-2</v>
      </c>
      <c r="C33" s="255">
        <f t="shared" ref="C33:I33" si="5">D24/$L$24</f>
        <v>9.7096797117087463E-2</v>
      </c>
      <c r="D33" s="255">
        <f t="shared" si="5"/>
        <v>2.1790151046215241E-2</v>
      </c>
      <c r="E33" s="255">
        <f t="shared" si="5"/>
        <v>9.9567637922941557E-2</v>
      </c>
      <c r="F33" s="255">
        <f t="shared" si="5"/>
        <v>0.43817895526211953</v>
      </c>
      <c r="G33" s="255">
        <f t="shared" si="5"/>
        <v>5.0203651514669823E-2</v>
      </c>
      <c r="H33" s="255">
        <f t="shared" si="5"/>
        <v>7.6651232288021967E-2</v>
      </c>
      <c r="I33" s="255">
        <f t="shared" si="5"/>
        <v>0.14733411003914074</v>
      </c>
    </row>
    <row r="34" spans="1:19" x14ac:dyDescent="0.25">
      <c r="A34" s="239" t="s">
        <v>257</v>
      </c>
      <c r="B34" s="259">
        <f>B33-B32</f>
        <v>8.2494726208326551E-3</v>
      </c>
      <c r="C34" s="259">
        <f t="shared" ref="C34:I34" si="6">C33-C32</f>
        <v>1.6440244222776679E-2</v>
      </c>
      <c r="D34" s="259">
        <f t="shared" si="6"/>
        <v>5.2826976696046524E-4</v>
      </c>
      <c r="E34" s="259">
        <f t="shared" si="6"/>
        <v>7.6905797382501279E-2</v>
      </c>
      <c r="F34" s="259">
        <f t="shared" si="6"/>
        <v>-3.6298737437022943E-2</v>
      </c>
      <c r="G34" s="259">
        <f t="shared" si="6"/>
        <v>1.5633757498585692E-2</v>
      </c>
      <c r="H34" s="259">
        <f t="shared" si="6"/>
        <v>9.3152917638912175E-3</v>
      </c>
      <c r="I34" s="259">
        <f t="shared" si="6"/>
        <v>1.3585502123631077E-2</v>
      </c>
    </row>
    <row r="39" spans="1:19" ht="15.75" thickBot="1" x14ac:dyDescent="0.3"/>
    <row r="40" spans="1:19" ht="15.75" thickBot="1" x14ac:dyDescent="0.3">
      <c r="B40" s="352" t="s">
        <v>238</v>
      </c>
      <c r="C40" s="262" t="s">
        <v>239</v>
      </c>
      <c r="D40" s="260" t="s">
        <v>240</v>
      </c>
      <c r="E40" s="260" t="s">
        <v>241</v>
      </c>
      <c r="F40" s="260" t="s">
        <v>242</v>
      </c>
      <c r="G40" s="260" t="s">
        <v>243</v>
      </c>
      <c r="H40" s="260" t="s">
        <v>244</v>
      </c>
      <c r="I40" s="260" t="s">
        <v>245</v>
      </c>
      <c r="J40" s="260" t="s">
        <v>246</v>
      </c>
      <c r="K40" s="260" t="s">
        <v>247</v>
      </c>
      <c r="L40" s="260" t="s">
        <v>248</v>
      </c>
      <c r="M40" s="260" t="s">
        <v>249</v>
      </c>
      <c r="N40" s="260" t="s">
        <v>250</v>
      </c>
      <c r="O40" s="260" t="s">
        <v>251</v>
      </c>
      <c r="P40" s="260" t="s">
        <v>252</v>
      </c>
      <c r="Q40" s="265" t="s">
        <v>79</v>
      </c>
    </row>
    <row r="41" spans="1:19" ht="15.75" thickBot="1" x14ac:dyDescent="0.3">
      <c r="B41" s="353"/>
      <c r="C41" s="261"/>
      <c r="D41" s="261"/>
      <c r="E41" s="261"/>
      <c r="F41" s="261"/>
      <c r="G41" s="261"/>
      <c r="H41" s="261"/>
      <c r="I41" s="261"/>
      <c r="J41" s="261"/>
      <c r="K41" s="261"/>
      <c r="L41" s="261"/>
      <c r="M41" s="261"/>
      <c r="N41" s="261"/>
      <c r="O41" s="261"/>
      <c r="P41" s="261"/>
      <c r="Q41" s="264"/>
    </row>
    <row r="42" spans="1:19" ht="15.75" thickBot="1" x14ac:dyDescent="0.3">
      <c r="E42" s="228" t="s">
        <v>175</v>
      </c>
      <c r="F42" s="228" t="s">
        <v>177</v>
      </c>
      <c r="G42" s="228" t="s">
        <v>178</v>
      </c>
      <c r="H42" s="228" t="s">
        <v>213</v>
      </c>
      <c r="I42" s="228" t="s">
        <v>214</v>
      </c>
      <c r="J42" s="228" t="s">
        <v>179</v>
      </c>
      <c r="K42" s="228" t="s">
        <v>180</v>
      </c>
      <c r="L42" s="228" t="s">
        <v>181</v>
      </c>
      <c r="M42" s="228" t="s">
        <v>182</v>
      </c>
      <c r="N42" s="228" t="s">
        <v>183</v>
      </c>
      <c r="O42" s="228" t="s">
        <v>184</v>
      </c>
      <c r="P42" s="228" t="s">
        <v>185</v>
      </c>
    </row>
    <row r="43" spans="1:19" ht="34.5" thickBot="1" x14ac:dyDescent="0.3">
      <c r="A43" s="242" t="s">
        <v>232</v>
      </c>
      <c r="B43" s="247">
        <v>6778.45</v>
      </c>
      <c r="C43" s="247">
        <v>7362.82</v>
      </c>
      <c r="D43" s="247">
        <v>7669.35</v>
      </c>
      <c r="E43" s="269">
        <v>7899.22</v>
      </c>
      <c r="F43" s="247">
        <v>8252.08</v>
      </c>
      <c r="G43" s="247">
        <v>8801.9500000000007</v>
      </c>
      <c r="H43" s="247">
        <v>9109.4500000000007</v>
      </c>
      <c r="I43" s="247">
        <v>9145</v>
      </c>
      <c r="J43" s="247">
        <v>9578.15</v>
      </c>
      <c r="K43" s="247">
        <v>9590.83</v>
      </c>
      <c r="L43" s="247">
        <v>10021.48</v>
      </c>
      <c r="M43" s="247">
        <v>10209.9</v>
      </c>
      <c r="N43" s="247">
        <v>10192.67</v>
      </c>
      <c r="O43" s="247">
        <v>9727.2199999999993</v>
      </c>
      <c r="P43" s="247">
        <v>9372.42</v>
      </c>
      <c r="Q43" s="247">
        <v>133711</v>
      </c>
      <c r="S43" s="236" t="s">
        <v>61</v>
      </c>
    </row>
    <row r="44" spans="1:19" ht="23.25" thickBot="1" x14ac:dyDescent="0.3">
      <c r="A44" s="242" t="s">
        <v>235</v>
      </c>
      <c r="B44" s="247">
        <v>1910.75</v>
      </c>
      <c r="C44" s="247">
        <v>2094.3000000000002</v>
      </c>
      <c r="D44" s="247">
        <v>2205.1</v>
      </c>
      <c r="E44" s="269">
        <v>2113.13</v>
      </c>
      <c r="F44" s="247">
        <v>2437.4699999999998</v>
      </c>
      <c r="G44" s="247">
        <v>2546.52</v>
      </c>
      <c r="H44" s="247">
        <v>2760.28</v>
      </c>
      <c r="I44" s="247">
        <v>2788.34</v>
      </c>
      <c r="J44" s="247">
        <v>2928.98</v>
      </c>
      <c r="K44" s="247">
        <v>2850.13</v>
      </c>
      <c r="L44" s="247">
        <v>2746.97</v>
      </c>
      <c r="M44" s="247">
        <v>2691.48</v>
      </c>
      <c r="N44" s="247">
        <v>2791.1</v>
      </c>
      <c r="O44" s="247">
        <v>2920.25</v>
      </c>
      <c r="P44" s="247">
        <v>3151.4</v>
      </c>
      <c r="Q44" s="247">
        <v>38936.199999999997</v>
      </c>
      <c r="S44" s="236" t="s">
        <v>58</v>
      </c>
    </row>
    <row r="45" spans="1:19" ht="45" customHeight="1" thickBot="1" x14ac:dyDescent="0.3">
      <c r="A45" s="242" t="s">
        <v>230</v>
      </c>
      <c r="B45" s="247">
        <v>303.75</v>
      </c>
      <c r="C45" s="247">
        <v>318</v>
      </c>
      <c r="D45" s="247">
        <v>399.08</v>
      </c>
      <c r="E45" s="269">
        <v>510.67</v>
      </c>
      <c r="F45" s="247">
        <v>561.16999999999996</v>
      </c>
      <c r="G45" s="247">
        <v>604.75</v>
      </c>
      <c r="H45" s="247">
        <v>615.25</v>
      </c>
      <c r="I45" s="247">
        <v>572.91999999999996</v>
      </c>
      <c r="J45" s="247">
        <v>556.5</v>
      </c>
      <c r="K45" s="247">
        <v>572.58000000000004</v>
      </c>
      <c r="L45" s="247">
        <v>576.13</v>
      </c>
      <c r="M45" s="247">
        <v>562.08000000000004</v>
      </c>
      <c r="N45" s="247">
        <v>515.91999999999996</v>
      </c>
      <c r="O45" s="247">
        <v>453.29</v>
      </c>
      <c r="P45" s="247">
        <v>466.08</v>
      </c>
      <c r="Q45" s="247">
        <v>7588.17</v>
      </c>
      <c r="S45" s="236" t="s">
        <v>60</v>
      </c>
    </row>
    <row r="46" spans="1:19" ht="34.5" thickBot="1" x14ac:dyDescent="0.3">
      <c r="A46" s="242" t="s">
        <v>229</v>
      </c>
      <c r="B46" s="247">
        <v>1152.27</v>
      </c>
      <c r="C46" s="247">
        <v>1128.3</v>
      </c>
      <c r="D46" s="247">
        <v>1177.9000000000001</v>
      </c>
      <c r="E46" s="269">
        <v>1301.23</v>
      </c>
      <c r="F46" s="247">
        <v>1354.57</v>
      </c>
      <c r="G46" s="247">
        <v>1524.67</v>
      </c>
      <c r="H46" s="247">
        <v>1653.82</v>
      </c>
      <c r="I46" s="247">
        <v>1688.95</v>
      </c>
      <c r="J46" s="247">
        <v>1698.2</v>
      </c>
      <c r="K46" s="247">
        <v>1912.23</v>
      </c>
      <c r="L46" s="247">
        <v>2080.5300000000002</v>
      </c>
      <c r="M46" s="247">
        <v>2019.35</v>
      </c>
      <c r="N46" s="247">
        <v>2061.21</v>
      </c>
      <c r="O46" s="247">
        <v>2152.63</v>
      </c>
      <c r="P46" s="247">
        <v>2076.85</v>
      </c>
      <c r="Q46" s="247">
        <v>24982.71</v>
      </c>
      <c r="S46" s="236" t="s">
        <v>59</v>
      </c>
    </row>
    <row r="47" spans="1:19" ht="34.5" thickBot="1" x14ac:dyDescent="0.3">
      <c r="A47" s="242" t="s">
        <v>234</v>
      </c>
      <c r="B47" s="247">
        <v>961.97</v>
      </c>
      <c r="C47" s="247">
        <v>1065.07</v>
      </c>
      <c r="D47" s="247">
        <v>1057.8</v>
      </c>
      <c r="E47" s="269">
        <v>996.63</v>
      </c>
      <c r="F47" s="247">
        <v>956.4</v>
      </c>
      <c r="G47" s="247">
        <v>839.12</v>
      </c>
      <c r="H47" s="247">
        <v>826.38</v>
      </c>
      <c r="I47" s="247">
        <v>915.47</v>
      </c>
      <c r="J47" s="247">
        <v>1012.91</v>
      </c>
      <c r="K47" s="247">
        <v>975.7</v>
      </c>
      <c r="L47" s="247">
        <v>1015.82</v>
      </c>
      <c r="M47" s="247">
        <v>1098.1400000000001</v>
      </c>
      <c r="N47" s="247">
        <v>1253.9000000000001</v>
      </c>
      <c r="O47" s="247">
        <v>1438.2</v>
      </c>
      <c r="P47" s="247">
        <v>1639.53</v>
      </c>
      <c r="Q47" s="247">
        <v>16053.03</v>
      </c>
      <c r="S47" s="236" t="s">
        <v>62</v>
      </c>
    </row>
    <row r="48" spans="1:19" ht="23.25" thickBot="1" x14ac:dyDescent="0.3">
      <c r="A48" s="242" t="s">
        <v>233</v>
      </c>
      <c r="B48" s="247">
        <v>493.87</v>
      </c>
      <c r="C48" s="247">
        <v>591.32000000000005</v>
      </c>
      <c r="D48" s="247">
        <v>738.7</v>
      </c>
      <c r="E48" s="269">
        <v>1019.9</v>
      </c>
      <c r="F48" s="247">
        <v>1008.35</v>
      </c>
      <c r="G48" s="247">
        <v>1101.05</v>
      </c>
      <c r="H48" s="247">
        <v>1244.22</v>
      </c>
      <c r="I48" s="247">
        <v>1264.67</v>
      </c>
      <c r="J48" s="247">
        <v>1346.58</v>
      </c>
      <c r="K48" s="247">
        <v>1326.08</v>
      </c>
      <c r="L48" s="247">
        <v>1239.68</v>
      </c>
      <c r="M48" s="247">
        <v>1077.57</v>
      </c>
      <c r="N48" s="247">
        <v>1045.53</v>
      </c>
      <c r="O48" s="247">
        <v>951.1</v>
      </c>
      <c r="P48" s="247">
        <v>1073.83</v>
      </c>
      <c r="Q48" s="247">
        <v>15522.45</v>
      </c>
      <c r="S48" s="236" t="s">
        <v>64</v>
      </c>
    </row>
    <row r="49" spans="1:19" ht="34.5" thickBot="1" x14ac:dyDescent="0.3">
      <c r="A49" s="242" t="s">
        <v>231</v>
      </c>
      <c r="B49" s="247">
        <v>323.75</v>
      </c>
      <c r="C49" s="247">
        <v>299.77</v>
      </c>
      <c r="D49" s="247">
        <v>282.27</v>
      </c>
      <c r="E49" s="269">
        <v>325.14999999999998</v>
      </c>
      <c r="F49" s="247">
        <v>430.95</v>
      </c>
      <c r="G49" s="247">
        <v>548.15</v>
      </c>
      <c r="H49" s="247">
        <v>758.93</v>
      </c>
      <c r="I49" s="247">
        <v>918.12</v>
      </c>
      <c r="J49" s="247">
        <v>1039.9000000000001</v>
      </c>
      <c r="K49" s="247">
        <v>1466.93</v>
      </c>
      <c r="L49" s="247">
        <v>1516.02</v>
      </c>
      <c r="M49" s="247">
        <v>1639.87</v>
      </c>
      <c r="N49" s="247">
        <v>1712.98</v>
      </c>
      <c r="O49" s="247">
        <v>1963.93</v>
      </c>
      <c r="P49" s="247">
        <v>2129.6999999999998</v>
      </c>
      <c r="Q49" s="247">
        <v>15356.42</v>
      </c>
      <c r="S49" s="236" t="s">
        <v>63</v>
      </c>
    </row>
    <row r="50" spans="1:19" ht="34.5" thickBot="1" x14ac:dyDescent="0.3">
      <c r="A50" s="242" t="s">
        <v>228</v>
      </c>
      <c r="B50" s="263">
        <v>31.27</v>
      </c>
      <c r="C50" s="247">
        <v>45</v>
      </c>
      <c r="D50" s="247">
        <v>58.07</v>
      </c>
      <c r="E50" s="269">
        <v>75.930000000000007</v>
      </c>
      <c r="F50" s="247">
        <v>81.73</v>
      </c>
      <c r="G50" s="247">
        <v>86.53</v>
      </c>
      <c r="H50" s="247">
        <v>101.73</v>
      </c>
      <c r="I50" s="247">
        <v>87.27</v>
      </c>
      <c r="J50" s="247">
        <v>99.2</v>
      </c>
      <c r="K50" s="247">
        <v>120.53</v>
      </c>
      <c r="L50" s="247">
        <v>150.6</v>
      </c>
      <c r="M50" s="247">
        <v>168.47</v>
      </c>
      <c r="N50" s="247">
        <v>183.6</v>
      </c>
      <c r="O50" s="247">
        <v>222.27</v>
      </c>
      <c r="P50" s="247">
        <v>223.27</v>
      </c>
      <c r="Q50" s="247">
        <v>1735.47</v>
      </c>
      <c r="S50" s="236" t="s">
        <v>217</v>
      </c>
    </row>
    <row r="51" spans="1:19" ht="15.75" thickBot="1" x14ac:dyDescent="0.3">
      <c r="A51" s="242" t="s">
        <v>236</v>
      </c>
      <c r="B51" s="247">
        <v>2330.0700000000002</v>
      </c>
      <c r="C51" s="247">
        <v>2375.08</v>
      </c>
      <c r="D51" s="247">
        <v>2376.52</v>
      </c>
      <c r="E51" s="269">
        <v>2793.53</v>
      </c>
      <c r="F51" s="247">
        <v>2711.57</v>
      </c>
      <c r="G51" s="247">
        <v>2361.77</v>
      </c>
      <c r="H51" s="247">
        <v>2007.99</v>
      </c>
      <c r="I51" s="247">
        <v>1896.82</v>
      </c>
      <c r="J51" s="247">
        <v>1766.13</v>
      </c>
      <c r="K51" s="247">
        <v>1788.57</v>
      </c>
      <c r="L51" s="247">
        <v>1307.72</v>
      </c>
      <c r="M51" s="247">
        <v>1228.26</v>
      </c>
      <c r="N51" s="247">
        <v>1105.67</v>
      </c>
      <c r="O51" s="247">
        <v>1088.9000000000001</v>
      </c>
      <c r="P51" s="247">
        <v>1256.4000000000001</v>
      </c>
      <c r="Q51" s="247">
        <v>28394.99</v>
      </c>
    </row>
    <row r="52" spans="1:19" ht="15.75" thickBot="1" x14ac:dyDescent="0.3">
      <c r="A52" s="243" t="s">
        <v>79</v>
      </c>
      <c r="B52" s="248">
        <v>14286.13</v>
      </c>
      <c r="C52" s="248">
        <v>15279.65</v>
      </c>
      <c r="D52" s="248">
        <v>15964.78</v>
      </c>
      <c r="E52" s="270">
        <v>17035.400000000001</v>
      </c>
      <c r="F52" s="248">
        <v>17794.28</v>
      </c>
      <c r="G52" s="248">
        <v>18414.5</v>
      </c>
      <c r="H52" s="248">
        <v>19078.060000000001</v>
      </c>
      <c r="I52" s="248">
        <v>19277.54</v>
      </c>
      <c r="J52" s="248">
        <v>20026.560000000001</v>
      </c>
      <c r="K52" s="248">
        <v>20603.59</v>
      </c>
      <c r="L52" s="248">
        <v>20654.95</v>
      </c>
      <c r="M52" s="248">
        <v>20695.12</v>
      </c>
      <c r="N52" s="248">
        <v>20862.57</v>
      </c>
      <c r="O52" s="248">
        <v>20917.79</v>
      </c>
      <c r="P52" s="248">
        <v>21389.48</v>
      </c>
      <c r="Q52" s="248">
        <v>282280.40000000002</v>
      </c>
    </row>
    <row r="54" spans="1:19" x14ac:dyDescent="0.25">
      <c r="B54" s="240">
        <f>B43+B44+B45+B46+B47+B48+B49+B50</f>
        <v>11956.080000000002</v>
      </c>
      <c r="F54" s="278"/>
    </row>
    <row r="55" spans="1:19" x14ac:dyDescent="0.25">
      <c r="B55" s="240">
        <f>B54+B51</f>
        <v>14286.150000000001</v>
      </c>
    </row>
    <row r="56" spans="1:19" ht="15.75" x14ac:dyDescent="0.25">
      <c r="A56" t="s">
        <v>258</v>
      </c>
      <c r="B56"/>
    </row>
    <row r="58" spans="1:19" x14ac:dyDescent="0.25">
      <c r="A58" s="278" t="s">
        <v>262</v>
      </c>
      <c r="B58" s="278">
        <v>14477</v>
      </c>
      <c r="C58" s="278">
        <v>15512</v>
      </c>
      <c r="D58" s="278">
        <v>16779</v>
      </c>
      <c r="E58" s="278">
        <v>17565.8</v>
      </c>
      <c r="F58" s="278">
        <v>18515</v>
      </c>
      <c r="G58" s="278">
        <v>19400</v>
      </c>
      <c r="H58" s="278">
        <v>19985.900000000001</v>
      </c>
      <c r="I58" s="278">
        <v>20732</v>
      </c>
      <c r="J58" s="278">
        <v>20951</v>
      </c>
      <c r="K58" s="278">
        <v>20951</v>
      </c>
      <c r="L58" s="278">
        <v>21617</v>
      </c>
      <c r="M58" s="278">
        <v>22273</v>
      </c>
      <c r="N58" s="278">
        <v>22407</v>
      </c>
      <c r="O58" s="278">
        <v>22347</v>
      </c>
      <c r="P58" s="278">
        <v>22271</v>
      </c>
    </row>
    <row r="59" spans="1:19" x14ac:dyDescent="0.25">
      <c r="A59" s="266"/>
      <c r="B59" s="279">
        <f>B58/B52-1</f>
        <v>1.336051120912396E-2</v>
      </c>
      <c r="C59" s="279">
        <f t="shared" ref="C59:P59" si="7">C58/C52-1</f>
        <v>1.52065001488908E-2</v>
      </c>
      <c r="D59" s="279">
        <f t="shared" si="7"/>
        <v>5.1001015986440024E-2</v>
      </c>
      <c r="E59" s="279">
        <f t="shared" si="7"/>
        <v>3.1135165596346326E-2</v>
      </c>
      <c r="F59" s="279">
        <f t="shared" si="7"/>
        <v>4.0502903180123173E-2</v>
      </c>
      <c r="G59" s="279">
        <f t="shared" si="7"/>
        <v>5.3517608406418837E-2</v>
      </c>
      <c r="H59" s="279">
        <f t="shared" si="7"/>
        <v>4.7585551151427374E-2</v>
      </c>
      <c r="I59" s="279">
        <f t="shared" si="7"/>
        <v>7.5448423398421172E-2</v>
      </c>
      <c r="J59" s="279">
        <f t="shared" si="7"/>
        <v>4.6160698592269345E-2</v>
      </c>
      <c r="K59" s="279">
        <f t="shared" si="7"/>
        <v>1.6861624600372993E-2</v>
      </c>
      <c r="L59" s="279">
        <f t="shared" si="7"/>
        <v>4.6577212726247152E-2</v>
      </c>
      <c r="M59" s="279">
        <f t="shared" si="7"/>
        <v>7.6244061401915086E-2</v>
      </c>
      <c r="N59" s="279">
        <f t="shared" si="7"/>
        <v>7.4028751011979921E-2</v>
      </c>
      <c r="O59" s="279">
        <f t="shared" si="7"/>
        <v>6.8325095528734003E-2</v>
      </c>
      <c r="P59" s="279">
        <f t="shared" si="7"/>
        <v>4.1212783106461703E-2</v>
      </c>
      <c r="Q59" s="267"/>
    </row>
    <row r="64" spans="1:19" x14ac:dyDescent="0.25">
      <c r="A64" s="239" t="s">
        <v>270</v>
      </c>
      <c r="B64" s="239">
        <v>14477</v>
      </c>
      <c r="C64" s="239">
        <v>15512</v>
      </c>
      <c r="D64" s="239">
        <v>16779</v>
      </c>
      <c r="E64" s="239">
        <v>17565.8</v>
      </c>
      <c r="F64" s="239">
        <v>18515</v>
      </c>
      <c r="G64" s="239">
        <v>19400</v>
      </c>
      <c r="H64" s="239">
        <v>19985.900000000001</v>
      </c>
      <c r="I64" s="239">
        <v>20732</v>
      </c>
      <c r="J64" s="239">
        <v>20951</v>
      </c>
      <c r="K64" s="239">
        <v>21617</v>
      </c>
      <c r="L64" s="239">
        <v>22273</v>
      </c>
      <c r="M64" s="239">
        <v>22407</v>
      </c>
      <c r="N64" s="239">
        <v>22347</v>
      </c>
      <c r="O64" s="239">
        <v>22271</v>
      </c>
      <c r="P64" s="239" t="s">
        <v>271</v>
      </c>
    </row>
    <row r="66" spans="1:20" ht="21" x14ac:dyDescent="0.35">
      <c r="A66" s="286" t="s">
        <v>268</v>
      </c>
      <c r="B66" s="280"/>
      <c r="C66" s="280"/>
      <c r="D66" s="280"/>
      <c r="E66" s="280"/>
      <c r="F66" s="280"/>
      <c r="G66" s="280"/>
      <c r="H66" s="280"/>
      <c r="I66" s="280"/>
      <c r="J66" s="280"/>
      <c r="K66" s="280"/>
      <c r="L66" s="280"/>
      <c r="M66" s="280"/>
      <c r="N66" s="280"/>
      <c r="O66" s="280"/>
      <c r="P66" s="280"/>
      <c r="Q66" s="280"/>
      <c r="R66" s="280"/>
    </row>
    <row r="67" spans="1:20" x14ac:dyDescent="0.25">
      <c r="A67" s="280"/>
      <c r="B67" s="280"/>
      <c r="C67" s="280"/>
      <c r="D67" s="280"/>
      <c r="E67" s="280"/>
      <c r="F67" s="280"/>
      <c r="G67" s="280"/>
      <c r="H67" s="280"/>
      <c r="I67" s="280"/>
      <c r="J67" s="280"/>
      <c r="K67" s="280"/>
      <c r="L67" s="280"/>
      <c r="M67" s="280"/>
      <c r="N67" s="280"/>
      <c r="O67" s="280"/>
      <c r="P67" s="280"/>
      <c r="Q67" s="280"/>
      <c r="R67" s="280"/>
    </row>
    <row r="68" spans="1:20" x14ac:dyDescent="0.25">
      <c r="A68" s="284" t="s">
        <v>225</v>
      </c>
      <c r="B68" s="280"/>
      <c r="C68" s="280"/>
      <c r="D68" s="280"/>
      <c r="E68" s="280"/>
      <c r="F68" s="280"/>
      <c r="G68" s="280"/>
      <c r="H68" s="280"/>
      <c r="I68" s="280"/>
      <c r="J68" s="280"/>
      <c r="K68" s="280"/>
      <c r="L68" s="280"/>
      <c r="M68" s="280"/>
      <c r="N68" s="280"/>
      <c r="O68" s="280"/>
      <c r="P68" s="280"/>
      <c r="Q68" s="280"/>
      <c r="R68" s="280"/>
    </row>
    <row r="69" spans="1:20" ht="15.75" thickBot="1" x14ac:dyDescent="0.3">
      <c r="A69" s="280"/>
      <c r="B69" s="280"/>
      <c r="C69" s="280"/>
      <c r="D69" s="280"/>
      <c r="E69" s="280"/>
      <c r="F69" s="280"/>
      <c r="G69" s="280"/>
      <c r="H69" s="280"/>
      <c r="I69" s="280"/>
      <c r="J69" s="280"/>
      <c r="K69" s="280"/>
      <c r="L69" s="280"/>
      <c r="M69" s="280"/>
      <c r="N69" s="280"/>
      <c r="O69" s="280"/>
      <c r="P69" s="280"/>
      <c r="Q69" s="280"/>
      <c r="R69" s="280"/>
    </row>
    <row r="70" spans="1:20" ht="15.75" thickBot="1" x14ac:dyDescent="0.3">
      <c r="A70" s="345" t="s">
        <v>227</v>
      </c>
      <c r="B70" s="346"/>
      <c r="C70" s="349" t="s">
        <v>226</v>
      </c>
      <c r="D70" s="350"/>
      <c r="E70" s="350"/>
      <c r="F70" s="350"/>
      <c r="G70" s="350"/>
      <c r="H70" s="350"/>
      <c r="I70" s="350"/>
      <c r="J70" s="350"/>
      <c r="K70" s="350"/>
      <c r="L70" s="350"/>
      <c r="M70" s="350"/>
      <c r="N70" s="350"/>
      <c r="O70" s="350"/>
      <c r="P70" s="350"/>
      <c r="Q70" s="350"/>
      <c r="R70" s="351"/>
    </row>
    <row r="71" spans="1:20" ht="15.75" thickBot="1" x14ac:dyDescent="0.3">
      <c r="A71" s="347"/>
      <c r="B71" s="348"/>
      <c r="C71" s="285" t="s">
        <v>238</v>
      </c>
      <c r="D71" s="285" t="s">
        <v>239</v>
      </c>
      <c r="E71" s="285" t="s">
        <v>240</v>
      </c>
      <c r="F71" s="285" t="s">
        <v>241</v>
      </c>
      <c r="G71" s="285" t="s">
        <v>242</v>
      </c>
      <c r="H71" s="285" t="s">
        <v>243</v>
      </c>
      <c r="I71" s="285" t="s">
        <v>244</v>
      </c>
      <c r="J71" s="285" t="s">
        <v>245</v>
      </c>
      <c r="K71" s="285" t="s">
        <v>246</v>
      </c>
      <c r="L71" s="285" t="s">
        <v>247</v>
      </c>
      <c r="M71" s="285" t="s">
        <v>248</v>
      </c>
      <c r="N71" s="285" t="s">
        <v>249</v>
      </c>
      <c r="O71" s="285" t="s">
        <v>250</v>
      </c>
      <c r="P71" s="285" t="s">
        <v>251</v>
      </c>
      <c r="Q71" s="285" t="s">
        <v>252</v>
      </c>
      <c r="R71" s="285" t="s">
        <v>79</v>
      </c>
    </row>
    <row r="72" spans="1:20" ht="36.75" thickBot="1" x14ac:dyDescent="0.3">
      <c r="A72" s="287" t="s">
        <v>232</v>
      </c>
      <c r="B72" s="288"/>
      <c r="C72" s="385">
        <v>6778.45</v>
      </c>
      <c r="D72" s="385">
        <v>7362.82</v>
      </c>
      <c r="E72" s="385">
        <v>7669.35</v>
      </c>
      <c r="F72" s="385">
        <v>7899.22</v>
      </c>
      <c r="G72" s="385">
        <v>8252.08</v>
      </c>
      <c r="H72" s="385">
        <v>8801.9500000000007</v>
      </c>
      <c r="I72" s="385">
        <v>9109.4500000000007</v>
      </c>
      <c r="J72" s="385">
        <v>9145</v>
      </c>
      <c r="K72" s="385">
        <v>9578.15</v>
      </c>
      <c r="L72" s="385">
        <v>9590.83</v>
      </c>
      <c r="M72" s="385">
        <v>10021.48</v>
      </c>
      <c r="N72" s="385">
        <v>10209.9</v>
      </c>
      <c r="O72" s="385">
        <v>10192.67</v>
      </c>
      <c r="P72" s="385">
        <v>9727.2199999999993</v>
      </c>
      <c r="Q72" s="385">
        <v>9372.42</v>
      </c>
      <c r="R72" s="385">
        <v>133711</v>
      </c>
      <c r="T72" s="236" t="s">
        <v>61</v>
      </c>
    </row>
    <row r="73" spans="1:20" ht="36.75" thickBot="1" x14ac:dyDescent="0.3">
      <c r="A73" s="287" t="s">
        <v>235</v>
      </c>
      <c r="B73" s="288"/>
      <c r="C73" s="385">
        <v>1910.75</v>
      </c>
      <c r="D73" s="385">
        <v>2094.3000000000002</v>
      </c>
      <c r="E73" s="385">
        <v>2205.1</v>
      </c>
      <c r="F73" s="385">
        <v>2113.13</v>
      </c>
      <c r="G73" s="385">
        <v>2437.4699999999998</v>
      </c>
      <c r="H73" s="385">
        <v>2546.52</v>
      </c>
      <c r="I73" s="385">
        <v>2760.28</v>
      </c>
      <c r="J73" s="385">
        <v>2788.34</v>
      </c>
      <c r="K73" s="385">
        <v>2928.98</v>
      </c>
      <c r="L73" s="385">
        <v>2850.13</v>
      </c>
      <c r="M73" s="385">
        <v>2746.97</v>
      </c>
      <c r="N73" s="385">
        <v>2691.48</v>
      </c>
      <c r="O73" s="385">
        <v>2791.1</v>
      </c>
      <c r="P73" s="385">
        <v>2920.25</v>
      </c>
      <c r="Q73" s="385">
        <v>3151.4</v>
      </c>
      <c r="R73" s="385">
        <v>38936.199999999997</v>
      </c>
      <c r="T73" s="236" t="s">
        <v>58</v>
      </c>
    </row>
    <row r="74" spans="1:20" ht="24.75" thickBot="1" x14ac:dyDescent="0.3">
      <c r="A74" s="287" t="s">
        <v>230</v>
      </c>
      <c r="B74" s="288"/>
      <c r="C74" s="385">
        <v>303.75</v>
      </c>
      <c r="D74" s="385">
        <v>318</v>
      </c>
      <c r="E74" s="385">
        <v>399.08</v>
      </c>
      <c r="F74" s="385">
        <v>510.67</v>
      </c>
      <c r="G74" s="385">
        <v>561.16999999999996</v>
      </c>
      <c r="H74" s="385">
        <v>604.75</v>
      </c>
      <c r="I74" s="385">
        <v>615.25</v>
      </c>
      <c r="J74" s="385">
        <v>572.91999999999996</v>
      </c>
      <c r="K74" s="385">
        <v>556.5</v>
      </c>
      <c r="L74" s="385">
        <v>572.58000000000004</v>
      </c>
      <c r="M74" s="385">
        <v>576.13</v>
      </c>
      <c r="N74" s="385">
        <v>562.08000000000004</v>
      </c>
      <c r="O74" s="385">
        <v>515.91999999999996</v>
      </c>
      <c r="P74" s="385">
        <v>453.29</v>
      </c>
      <c r="Q74" s="385">
        <v>466.08</v>
      </c>
      <c r="R74" s="385">
        <v>7588.17</v>
      </c>
      <c r="T74" s="236" t="s">
        <v>60</v>
      </c>
    </row>
    <row r="75" spans="1:20" ht="36.75" thickBot="1" x14ac:dyDescent="0.3">
      <c r="A75" s="287" t="s">
        <v>229</v>
      </c>
      <c r="B75" s="288"/>
      <c r="C75" s="385">
        <v>1152.27</v>
      </c>
      <c r="D75" s="385">
        <v>1128.3</v>
      </c>
      <c r="E75" s="385">
        <v>1177.9000000000001</v>
      </c>
      <c r="F75" s="385">
        <v>1301.23</v>
      </c>
      <c r="G75" s="385">
        <v>1354.57</v>
      </c>
      <c r="H75" s="385">
        <v>1524.67</v>
      </c>
      <c r="I75" s="385">
        <v>1653.82</v>
      </c>
      <c r="J75" s="385">
        <v>1688.95</v>
      </c>
      <c r="K75" s="385">
        <v>1698.2</v>
      </c>
      <c r="L75" s="385">
        <v>1912.23</v>
      </c>
      <c r="M75" s="385">
        <v>2080.5300000000002</v>
      </c>
      <c r="N75" s="385">
        <v>2019.35</v>
      </c>
      <c r="O75" s="385">
        <v>2061.21</v>
      </c>
      <c r="P75" s="385">
        <v>2152.63</v>
      </c>
      <c r="Q75" s="385">
        <v>2076.85</v>
      </c>
      <c r="R75" s="385">
        <v>24982.71</v>
      </c>
      <c r="T75" s="236" t="s">
        <v>59</v>
      </c>
    </row>
    <row r="76" spans="1:20" ht="36.75" thickBot="1" x14ac:dyDescent="0.3">
      <c r="A76" s="287" t="s">
        <v>234</v>
      </c>
      <c r="B76" s="288"/>
      <c r="C76" s="385">
        <v>961.97</v>
      </c>
      <c r="D76" s="385">
        <v>1065.07</v>
      </c>
      <c r="E76" s="385">
        <v>1057.8</v>
      </c>
      <c r="F76" s="385">
        <v>996.63</v>
      </c>
      <c r="G76" s="385">
        <v>956.4</v>
      </c>
      <c r="H76" s="385">
        <v>839.12</v>
      </c>
      <c r="I76" s="385">
        <v>826.38</v>
      </c>
      <c r="J76" s="385">
        <v>915.47</v>
      </c>
      <c r="K76" s="385">
        <v>1012.91</v>
      </c>
      <c r="L76" s="385">
        <v>975.7</v>
      </c>
      <c r="M76" s="385">
        <v>1015.82</v>
      </c>
      <c r="N76" s="385">
        <v>1098.1400000000001</v>
      </c>
      <c r="O76" s="385">
        <v>1253.9000000000001</v>
      </c>
      <c r="P76" s="385">
        <v>1438.2</v>
      </c>
      <c r="Q76" s="385">
        <v>1639.53</v>
      </c>
      <c r="R76" s="385">
        <v>16053.03</v>
      </c>
      <c r="T76" s="236" t="s">
        <v>62</v>
      </c>
    </row>
    <row r="77" spans="1:20" ht="36.75" thickBot="1" x14ac:dyDescent="0.3">
      <c r="A77" s="287" t="s">
        <v>233</v>
      </c>
      <c r="B77" s="288"/>
      <c r="C77" s="385">
        <v>493.87</v>
      </c>
      <c r="D77" s="385">
        <v>591.32000000000005</v>
      </c>
      <c r="E77" s="385">
        <v>738.7</v>
      </c>
      <c r="F77" s="385">
        <v>1019.9</v>
      </c>
      <c r="G77" s="385">
        <v>1008.35</v>
      </c>
      <c r="H77" s="385">
        <v>1101.05</v>
      </c>
      <c r="I77" s="385">
        <v>1244.22</v>
      </c>
      <c r="J77" s="385">
        <v>1264.67</v>
      </c>
      <c r="K77" s="385">
        <v>1346.58</v>
      </c>
      <c r="L77" s="385">
        <v>1326.08</v>
      </c>
      <c r="M77" s="385">
        <v>1239.68</v>
      </c>
      <c r="N77" s="385">
        <v>1077.57</v>
      </c>
      <c r="O77" s="385">
        <v>1045.53</v>
      </c>
      <c r="P77" s="385">
        <v>951.1</v>
      </c>
      <c r="Q77" s="385">
        <v>1073.83</v>
      </c>
      <c r="R77" s="385">
        <v>15522.45</v>
      </c>
      <c r="S77" s="239" t="s">
        <v>269</v>
      </c>
      <c r="T77" s="236" t="s">
        <v>64</v>
      </c>
    </row>
    <row r="78" spans="1:20" ht="36.75" thickBot="1" x14ac:dyDescent="0.3">
      <c r="A78" s="287" t="s">
        <v>231</v>
      </c>
      <c r="B78" s="288"/>
      <c r="C78" s="385">
        <v>323.75</v>
      </c>
      <c r="D78" s="385">
        <v>299.77</v>
      </c>
      <c r="E78" s="385">
        <v>282.27</v>
      </c>
      <c r="F78" s="385">
        <v>325.14999999999998</v>
      </c>
      <c r="G78" s="385">
        <v>430.95</v>
      </c>
      <c r="H78" s="385">
        <v>548.15</v>
      </c>
      <c r="I78" s="385">
        <v>758.93</v>
      </c>
      <c r="J78" s="385">
        <v>918.12</v>
      </c>
      <c r="K78" s="385">
        <v>1039.9000000000001</v>
      </c>
      <c r="L78" s="385">
        <v>1466.93</v>
      </c>
      <c r="M78" s="385">
        <v>1516.02</v>
      </c>
      <c r="N78" s="385">
        <v>1639.87</v>
      </c>
      <c r="O78" s="385">
        <v>1712.98</v>
      </c>
      <c r="P78" s="385">
        <v>1963.93</v>
      </c>
      <c r="Q78" s="385">
        <v>2129.6999999999998</v>
      </c>
      <c r="R78" s="385">
        <v>15356.42</v>
      </c>
      <c r="T78" s="236" t="s">
        <v>63</v>
      </c>
    </row>
    <row r="79" spans="1:20" ht="36.75" thickBot="1" x14ac:dyDescent="0.3">
      <c r="A79" s="287" t="s">
        <v>228</v>
      </c>
      <c r="B79" s="288"/>
      <c r="C79" s="385">
        <v>31.27</v>
      </c>
      <c r="D79" s="385">
        <v>45</v>
      </c>
      <c r="E79" s="385">
        <v>58.07</v>
      </c>
      <c r="F79" s="385">
        <v>75.930000000000007</v>
      </c>
      <c r="G79" s="385">
        <v>81.73</v>
      </c>
      <c r="H79" s="385">
        <v>86.53</v>
      </c>
      <c r="I79" s="385">
        <v>101.73</v>
      </c>
      <c r="J79" s="385">
        <v>87.27</v>
      </c>
      <c r="K79" s="385">
        <v>99.2</v>
      </c>
      <c r="L79" s="385">
        <v>120.53</v>
      </c>
      <c r="M79" s="385">
        <v>150.6</v>
      </c>
      <c r="N79" s="385">
        <v>168.47</v>
      </c>
      <c r="O79" s="385">
        <v>183.6</v>
      </c>
      <c r="P79" s="385">
        <v>222.27</v>
      </c>
      <c r="Q79" s="385">
        <v>223.27</v>
      </c>
      <c r="R79" s="385">
        <v>1735.47</v>
      </c>
      <c r="T79" s="236" t="s">
        <v>217</v>
      </c>
    </row>
    <row r="80" spans="1:20" ht="15.75" thickBot="1" x14ac:dyDescent="0.3">
      <c r="A80" s="287" t="s">
        <v>236</v>
      </c>
      <c r="B80" s="288"/>
      <c r="C80" s="385">
        <v>2330.0700000000002</v>
      </c>
      <c r="D80" s="385">
        <v>2375.08</v>
      </c>
      <c r="E80" s="385">
        <v>2376.52</v>
      </c>
      <c r="F80" s="385">
        <v>2793.53</v>
      </c>
      <c r="G80" s="385">
        <v>2711.57</v>
      </c>
      <c r="H80" s="385">
        <v>2361.77</v>
      </c>
      <c r="I80" s="385">
        <v>2007.99</v>
      </c>
      <c r="J80" s="385">
        <v>1896.82</v>
      </c>
      <c r="K80" s="385">
        <v>1766.13</v>
      </c>
      <c r="L80" s="385">
        <v>1788.57</v>
      </c>
      <c r="M80" s="385">
        <v>1307.72</v>
      </c>
      <c r="N80" s="385">
        <v>1228.26</v>
      </c>
      <c r="O80" s="385">
        <v>1105.67</v>
      </c>
      <c r="P80" s="385">
        <v>1088.9000000000001</v>
      </c>
      <c r="Q80" s="385">
        <v>1256.4000000000001</v>
      </c>
      <c r="R80" s="385">
        <v>28394.99</v>
      </c>
    </row>
    <row r="81" spans="1:18" ht="15.75" thickBot="1" x14ac:dyDescent="0.3">
      <c r="A81" s="287" t="s">
        <v>79</v>
      </c>
      <c r="B81" s="288"/>
      <c r="C81" s="385">
        <v>14286.13</v>
      </c>
      <c r="D81" s="385">
        <v>15279.65</v>
      </c>
      <c r="E81" s="385">
        <v>15964.78</v>
      </c>
      <c r="F81" s="385">
        <v>17035.400000000001</v>
      </c>
      <c r="G81" s="385">
        <v>17794.28</v>
      </c>
      <c r="H81" s="385">
        <v>18414.5</v>
      </c>
      <c r="I81" s="385">
        <v>19078.060000000001</v>
      </c>
      <c r="J81" s="385">
        <v>19277.54</v>
      </c>
      <c r="K81" s="385">
        <v>20026.560000000001</v>
      </c>
      <c r="L81" s="385">
        <v>20603.59</v>
      </c>
      <c r="M81" s="385">
        <v>20654.95</v>
      </c>
      <c r="N81" s="385">
        <v>20695.12</v>
      </c>
      <c r="O81" s="385">
        <v>20862.57</v>
      </c>
      <c r="P81" s="385">
        <v>20917.79</v>
      </c>
      <c r="Q81" s="385">
        <v>21389.48</v>
      </c>
      <c r="R81" s="385">
        <v>282280.40000000002</v>
      </c>
    </row>
    <row r="82" spans="1:18" x14ac:dyDescent="0.25">
      <c r="A82" s="280"/>
      <c r="B82" s="280"/>
      <c r="C82" s="280"/>
      <c r="D82" s="280"/>
      <c r="E82" s="280"/>
      <c r="F82" s="280"/>
      <c r="G82" s="280"/>
      <c r="H82" s="280"/>
      <c r="I82" s="280"/>
      <c r="J82" s="280"/>
      <c r="K82" s="280"/>
      <c r="L82" s="280"/>
      <c r="M82" s="280"/>
      <c r="N82" s="280"/>
      <c r="O82" s="280"/>
      <c r="P82" s="280"/>
      <c r="Q82" s="280"/>
      <c r="R82" s="280"/>
    </row>
    <row r="83" spans="1:18" x14ac:dyDescent="0.25">
      <c r="A83" s="284" t="s">
        <v>267</v>
      </c>
      <c r="B83" s="280"/>
      <c r="C83" s="280"/>
      <c r="D83" s="280"/>
      <c r="E83" s="280"/>
      <c r="F83" s="280"/>
      <c r="G83" s="280"/>
      <c r="H83" s="280"/>
      <c r="I83" s="280"/>
      <c r="J83" s="280"/>
      <c r="K83" s="280"/>
      <c r="L83" s="280"/>
      <c r="M83" s="280"/>
      <c r="N83" s="280"/>
      <c r="O83" s="280"/>
      <c r="P83" s="280"/>
      <c r="Q83" s="280"/>
      <c r="R83" s="280"/>
    </row>
    <row r="84" spans="1:18" ht="15.75" thickBot="1" x14ac:dyDescent="0.3">
      <c r="A84" s="280"/>
      <c r="B84" s="280"/>
      <c r="C84" s="280"/>
      <c r="D84" s="280"/>
      <c r="E84" s="280"/>
      <c r="F84" s="280"/>
      <c r="G84" s="280"/>
      <c r="H84" s="280"/>
      <c r="I84" s="280"/>
      <c r="J84" s="280"/>
      <c r="K84" s="280"/>
      <c r="L84" s="280"/>
      <c r="M84" s="280"/>
      <c r="N84" s="280"/>
      <c r="O84" s="280"/>
      <c r="P84" s="280"/>
      <c r="Q84" s="280"/>
      <c r="R84" s="280"/>
    </row>
    <row r="85" spans="1:18" ht="29.25" thickBot="1" x14ac:dyDescent="0.3">
      <c r="A85" s="283" t="s">
        <v>266</v>
      </c>
      <c r="B85" s="283" t="s">
        <v>265</v>
      </c>
      <c r="C85" s="280"/>
      <c r="D85" s="280"/>
      <c r="E85" s="280"/>
      <c r="F85" s="280"/>
      <c r="G85" s="280"/>
      <c r="H85" s="280"/>
      <c r="I85" s="280"/>
      <c r="J85" s="280"/>
      <c r="K85" s="280"/>
      <c r="L85" s="280"/>
      <c r="M85" s="280"/>
      <c r="N85" s="280"/>
      <c r="O85" s="280"/>
      <c r="P85" s="280"/>
      <c r="Q85" s="280"/>
      <c r="R85" s="280"/>
    </row>
    <row r="86" spans="1:18" ht="15.75" thickBot="1" x14ac:dyDescent="0.3">
      <c r="A86" s="281" t="s">
        <v>226</v>
      </c>
      <c r="B86" s="281" t="s">
        <v>252</v>
      </c>
      <c r="C86" s="280"/>
      <c r="D86" s="280"/>
      <c r="E86" s="280"/>
      <c r="F86" s="280"/>
      <c r="G86" s="280"/>
      <c r="H86" s="280"/>
      <c r="I86" s="280"/>
      <c r="J86" s="280"/>
      <c r="K86" s="280"/>
      <c r="L86" s="280"/>
      <c r="M86" s="280"/>
      <c r="N86" s="280"/>
      <c r="O86" s="280"/>
      <c r="P86" s="280"/>
      <c r="Q86" s="280"/>
      <c r="R86" s="280"/>
    </row>
    <row r="87" spans="1:18" ht="15.75" thickBot="1" x14ac:dyDescent="0.3">
      <c r="A87" s="282"/>
      <c r="B87" s="281" t="s">
        <v>251</v>
      </c>
      <c r="C87" s="280"/>
      <c r="D87" s="280"/>
      <c r="E87" s="280"/>
      <c r="F87" s="280"/>
      <c r="G87" s="280"/>
      <c r="H87" s="280"/>
      <c r="I87" s="280"/>
      <c r="J87" s="280"/>
      <c r="K87" s="280"/>
      <c r="L87" s="280"/>
      <c r="M87" s="280"/>
      <c r="N87" s="280"/>
      <c r="O87" s="280"/>
      <c r="P87" s="280"/>
      <c r="Q87" s="280"/>
      <c r="R87" s="280"/>
    </row>
    <row r="88" spans="1:18" ht="15.75" thickBot="1" x14ac:dyDescent="0.3">
      <c r="A88" s="282"/>
      <c r="B88" s="281" t="s">
        <v>250</v>
      </c>
      <c r="C88" s="280"/>
      <c r="D88" s="280"/>
      <c r="E88" s="280"/>
      <c r="F88" s="280"/>
      <c r="G88" s="280"/>
      <c r="H88" s="280"/>
      <c r="I88" s="280"/>
      <c r="J88" s="280"/>
      <c r="K88" s="280"/>
      <c r="L88" s="280"/>
      <c r="M88" s="280"/>
      <c r="N88" s="280"/>
      <c r="O88" s="280"/>
      <c r="P88" s="280"/>
      <c r="Q88" s="280"/>
      <c r="R88" s="280"/>
    </row>
    <row r="89" spans="1:18" ht="15.75" thickBot="1" x14ac:dyDescent="0.3">
      <c r="A89" s="282"/>
      <c r="B89" s="281" t="s">
        <v>249</v>
      </c>
      <c r="C89" s="280"/>
      <c r="D89" s="280"/>
      <c r="E89" s="280"/>
      <c r="F89" s="280"/>
      <c r="G89" s="280"/>
      <c r="H89" s="280"/>
      <c r="I89" s="280"/>
      <c r="J89" s="280"/>
      <c r="K89" s="280"/>
      <c r="L89" s="280"/>
      <c r="M89" s="280"/>
      <c r="N89" s="280"/>
      <c r="O89" s="280"/>
      <c r="P89" s="280"/>
      <c r="Q89" s="280"/>
      <c r="R89" s="280"/>
    </row>
    <row r="90" spans="1:18" ht="15.75" thickBot="1" x14ac:dyDescent="0.3">
      <c r="A90" s="282"/>
      <c r="B90" s="281" t="s">
        <v>248</v>
      </c>
      <c r="C90" s="280"/>
      <c r="D90" s="280"/>
      <c r="E90" s="280"/>
      <c r="F90" s="280"/>
      <c r="G90" s="280"/>
      <c r="H90" s="280"/>
      <c r="I90" s="280"/>
      <c r="J90" s="280"/>
      <c r="K90" s="280"/>
      <c r="L90" s="280"/>
      <c r="M90" s="280"/>
      <c r="N90" s="280"/>
      <c r="O90" s="280"/>
      <c r="P90" s="280"/>
      <c r="Q90" s="280"/>
      <c r="R90" s="280"/>
    </row>
    <row r="91" spans="1:18" ht="15.75" thickBot="1" x14ac:dyDescent="0.3">
      <c r="A91" s="282"/>
      <c r="B91" s="281" t="s">
        <v>247</v>
      </c>
      <c r="C91" s="280"/>
      <c r="D91" s="280"/>
      <c r="E91" s="280"/>
      <c r="F91" s="280"/>
      <c r="G91" s="280"/>
      <c r="H91" s="280"/>
      <c r="I91" s="280"/>
      <c r="J91" s="280"/>
      <c r="K91" s="280"/>
      <c r="L91" s="280"/>
      <c r="M91" s="280"/>
      <c r="N91" s="280"/>
      <c r="O91" s="280"/>
      <c r="P91" s="280"/>
      <c r="Q91" s="280"/>
      <c r="R91" s="280"/>
    </row>
    <row r="92" spans="1:18" ht="15.75" thickBot="1" x14ac:dyDescent="0.3">
      <c r="A92" s="282"/>
      <c r="B92" s="281" t="s">
        <v>246</v>
      </c>
      <c r="C92" s="280"/>
      <c r="D92" s="280"/>
      <c r="E92" s="280"/>
      <c r="F92" s="280"/>
      <c r="G92" s="280"/>
      <c r="H92" s="280"/>
      <c r="I92" s="280"/>
      <c r="J92" s="280"/>
      <c r="K92" s="280"/>
      <c r="L92" s="280"/>
      <c r="M92" s="280"/>
      <c r="N92" s="280"/>
      <c r="O92" s="280"/>
      <c r="P92" s="280"/>
      <c r="Q92" s="280"/>
      <c r="R92" s="280"/>
    </row>
    <row r="93" spans="1:18" ht="15.75" thickBot="1" x14ac:dyDescent="0.3">
      <c r="A93" s="282"/>
      <c r="B93" s="281" t="s">
        <v>245</v>
      </c>
      <c r="C93" s="280"/>
      <c r="D93" s="280"/>
      <c r="E93" s="280"/>
      <c r="F93" s="280"/>
      <c r="G93" s="280"/>
      <c r="H93" s="280"/>
      <c r="I93" s="280"/>
      <c r="J93" s="280"/>
      <c r="K93" s="280"/>
      <c r="L93" s="280"/>
      <c r="M93" s="280"/>
      <c r="N93" s="280"/>
      <c r="O93" s="280"/>
      <c r="P93" s="280"/>
      <c r="Q93" s="280"/>
      <c r="R93" s="280"/>
    </row>
    <row r="94" spans="1:18" ht="15.75" thickBot="1" x14ac:dyDescent="0.3">
      <c r="A94" s="282"/>
      <c r="B94" s="281" t="s">
        <v>244</v>
      </c>
      <c r="C94" s="280"/>
      <c r="D94" s="280"/>
      <c r="E94" s="280"/>
      <c r="F94" s="280"/>
      <c r="G94" s="280"/>
      <c r="H94" s="280"/>
      <c r="I94" s="280"/>
      <c r="J94" s="280"/>
      <c r="K94" s="280"/>
      <c r="L94" s="280"/>
      <c r="M94" s="280"/>
      <c r="N94" s="280"/>
      <c r="O94" s="280"/>
      <c r="P94" s="280"/>
      <c r="Q94" s="280"/>
      <c r="R94" s="280"/>
    </row>
    <row r="95" spans="1:18" ht="15.75" thickBot="1" x14ac:dyDescent="0.3">
      <c r="A95" s="282"/>
      <c r="B95" s="281" t="s">
        <v>243</v>
      </c>
      <c r="C95" s="280"/>
      <c r="D95" s="280"/>
      <c r="E95" s="280"/>
      <c r="F95" s="280"/>
      <c r="G95" s="280"/>
      <c r="H95" s="280"/>
      <c r="I95" s="280"/>
      <c r="J95" s="280"/>
      <c r="K95" s="280"/>
      <c r="L95" s="280"/>
      <c r="M95" s="280"/>
      <c r="N95" s="280"/>
      <c r="O95" s="280"/>
      <c r="P95" s="280"/>
      <c r="Q95" s="280"/>
      <c r="R95" s="280"/>
    </row>
    <row r="96" spans="1:18" ht="15.75" thickBot="1" x14ac:dyDescent="0.3">
      <c r="A96" s="282"/>
      <c r="B96" s="281" t="s">
        <v>242</v>
      </c>
      <c r="C96" s="280"/>
      <c r="D96" s="280"/>
      <c r="E96" s="280"/>
      <c r="F96" s="280"/>
      <c r="G96" s="280"/>
      <c r="H96" s="280"/>
      <c r="I96" s="280"/>
      <c r="J96" s="280"/>
      <c r="K96" s="280"/>
      <c r="L96" s="280"/>
      <c r="M96" s="280"/>
      <c r="N96" s="280"/>
      <c r="O96" s="280"/>
      <c r="P96" s="280"/>
      <c r="Q96" s="280"/>
      <c r="R96" s="280"/>
    </row>
    <row r="97" spans="1:18" ht="15.75" thickBot="1" x14ac:dyDescent="0.3">
      <c r="A97" s="282"/>
      <c r="B97" s="281" t="s">
        <v>241</v>
      </c>
      <c r="C97" s="280"/>
      <c r="D97" s="280"/>
      <c r="E97" s="280"/>
      <c r="F97" s="280"/>
      <c r="G97" s="280"/>
      <c r="H97" s="280"/>
      <c r="I97" s="280"/>
      <c r="J97" s="280"/>
      <c r="K97" s="280"/>
      <c r="L97" s="280"/>
      <c r="M97" s="280"/>
      <c r="N97" s="280"/>
      <c r="O97" s="280"/>
      <c r="P97" s="280"/>
      <c r="Q97" s="280"/>
      <c r="R97" s="280"/>
    </row>
    <row r="98" spans="1:18" ht="15.75" thickBot="1" x14ac:dyDescent="0.3">
      <c r="A98" s="282"/>
      <c r="B98" s="281" t="s">
        <v>240</v>
      </c>
      <c r="C98" s="280"/>
      <c r="D98" s="280"/>
      <c r="E98" s="280"/>
      <c r="F98" s="280"/>
      <c r="G98" s="280"/>
      <c r="H98" s="280"/>
      <c r="I98" s="280"/>
      <c r="J98" s="280"/>
      <c r="K98" s="280"/>
      <c r="L98" s="280"/>
      <c r="M98" s="280"/>
      <c r="N98" s="280"/>
      <c r="O98" s="280"/>
      <c r="P98" s="280"/>
      <c r="Q98" s="280"/>
      <c r="R98" s="280"/>
    </row>
    <row r="99" spans="1:18" ht="15.75" thickBot="1" x14ac:dyDescent="0.3">
      <c r="A99" s="282"/>
      <c r="B99" s="281" t="s">
        <v>239</v>
      </c>
      <c r="C99" s="280"/>
      <c r="D99" s="280"/>
      <c r="E99" s="280"/>
      <c r="F99" s="280"/>
      <c r="G99" s="280"/>
      <c r="H99" s="280"/>
      <c r="I99" s="280"/>
      <c r="J99" s="280"/>
      <c r="K99" s="280"/>
      <c r="L99" s="280"/>
      <c r="M99" s="280"/>
      <c r="N99" s="280"/>
      <c r="O99" s="280"/>
      <c r="P99" s="280"/>
      <c r="Q99" s="280"/>
      <c r="R99" s="280"/>
    </row>
    <row r="100" spans="1:18" ht="15.75" thickBot="1" x14ac:dyDescent="0.3">
      <c r="A100" s="282"/>
      <c r="B100" s="281" t="s">
        <v>238</v>
      </c>
      <c r="C100" s="280"/>
      <c r="D100" s="280"/>
      <c r="E100" s="280"/>
      <c r="F100" s="280"/>
      <c r="G100" s="280"/>
      <c r="H100" s="280"/>
      <c r="I100" s="280"/>
      <c r="J100" s="280"/>
      <c r="K100" s="280"/>
      <c r="L100" s="280"/>
      <c r="M100" s="280"/>
      <c r="N100" s="280"/>
      <c r="O100" s="280"/>
      <c r="P100" s="280"/>
      <c r="Q100" s="280"/>
      <c r="R100" s="280"/>
    </row>
    <row r="101" spans="1:18" x14ac:dyDescent="0.25">
      <c r="A101" s="280"/>
      <c r="B101" s="280"/>
      <c r="C101" s="280"/>
      <c r="D101" s="280"/>
      <c r="E101" s="280"/>
      <c r="F101" s="280"/>
      <c r="G101" s="280"/>
      <c r="H101" s="280"/>
      <c r="I101" s="280"/>
      <c r="J101" s="280"/>
      <c r="K101" s="280"/>
      <c r="L101" s="280"/>
      <c r="M101" s="280"/>
      <c r="N101" s="280"/>
      <c r="O101" s="280"/>
      <c r="P101" s="280"/>
      <c r="Q101" s="280"/>
      <c r="R101" s="280"/>
    </row>
    <row r="102" spans="1:18" x14ac:dyDescent="0.25">
      <c r="A102" s="280" t="s">
        <v>264</v>
      </c>
      <c r="B102" s="280"/>
      <c r="C102" s="280"/>
      <c r="D102" s="280"/>
      <c r="E102" s="280"/>
      <c r="F102" s="280"/>
      <c r="G102" s="280"/>
      <c r="H102" s="280"/>
      <c r="I102" s="280"/>
      <c r="J102" s="280"/>
      <c r="K102" s="280"/>
      <c r="L102" s="280"/>
      <c r="M102" s="280"/>
      <c r="N102" s="280"/>
      <c r="O102" s="280"/>
      <c r="P102" s="280"/>
      <c r="Q102" s="280"/>
      <c r="R102" s="280"/>
    </row>
    <row r="103" spans="1:18" x14ac:dyDescent="0.25">
      <c r="A103" s="280" t="s">
        <v>263</v>
      </c>
      <c r="B103" s="280"/>
      <c r="C103" s="280"/>
      <c r="D103" s="280"/>
      <c r="E103" s="280"/>
      <c r="F103" s="280"/>
      <c r="G103" s="280"/>
      <c r="H103" s="280"/>
      <c r="I103" s="280"/>
      <c r="J103" s="280"/>
      <c r="K103" s="280"/>
      <c r="L103" s="280"/>
      <c r="M103" s="280"/>
      <c r="N103" s="280"/>
      <c r="O103" s="280"/>
      <c r="P103" s="280"/>
      <c r="Q103" s="280"/>
      <c r="R103" s="280"/>
    </row>
  </sheetData>
  <mergeCells count="21">
    <mergeCell ref="A70:B71"/>
    <mergeCell ref="C70:R70"/>
    <mergeCell ref="B40:B41"/>
    <mergeCell ref="A20:B20"/>
    <mergeCell ref="A21:B21"/>
    <mergeCell ref="A22:B22"/>
    <mergeCell ref="A23:B23"/>
    <mergeCell ref="A24:B24"/>
    <mergeCell ref="A25:B25"/>
    <mergeCell ref="A19:B19"/>
    <mergeCell ref="A7:B8"/>
    <mergeCell ref="C7:L7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107"/>
  <sheetViews>
    <sheetView topLeftCell="A15" workbookViewId="0">
      <selection activeCell="C78" sqref="C78"/>
    </sheetView>
  </sheetViews>
  <sheetFormatPr defaultRowHeight="15" x14ac:dyDescent="0.2"/>
  <cols>
    <col min="1" max="1" width="48.44140625" bestFit="1" customWidth="1"/>
    <col min="2" max="2" width="2.21875" customWidth="1"/>
    <col min="3" max="3" width="11.44140625" bestFit="1" customWidth="1"/>
    <col min="4" max="4" width="7" bestFit="1" customWidth="1"/>
  </cols>
  <sheetData>
    <row r="1" spans="1:4" ht="23.25" x14ac:dyDescent="0.35">
      <c r="A1" s="358" t="s">
        <v>72</v>
      </c>
      <c r="B1" s="358"/>
      <c r="C1" s="358"/>
      <c r="D1" s="358"/>
    </row>
    <row r="3" spans="1:4" x14ac:dyDescent="0.2">
      <c r="C3" s="357">
        <v>38541</v>
      </c>
      <c r="D3" s="357"/>
    </row>
    <row r="4" spans="1:4" x14ac:dyDescent="0.2">
      <c r="C4" s="13" t="s">
        <v>0</v>
      </c>
      <c r="D4" s="13" t="s">
        <v>1</v>
      </c>
    </row>
    <row r="5" spans="1:4" ht="18.75" x14ac:dyDescent="0.3">
      <c r="A5" s="4" t="s">
        <v>2</v>
      </c>
      <c r="B5" s="2"/>
      <c r="C5" s="2"/>
      <c r="D5" s="3"/>
    </row>
    <row r="6" spans="1:4" x14ac:dyDescent="0.2">
      <c r="A6" s="1" t="s">
        <v>55</v>
      </c>
      <c r="B6" s="2"/>
      <c r="C6" s="2">
        <v>142835271</v>
      </c>
      <c r="D6" s="3">
        <f>C6/$C$12*100</f>
        <v>70.113693284592074</v>
      </c>
    </row>
    <row r="7" spans="1:4" x14ac:dyDescent="0.2">
      <c r="A7" s="1" t="s">
        <v>56</v>
      </c>
      <c r="B7" s="2"/>
      <c r="C7" s="2">
        <v>56887300</v>
      </c>
      <c r="D7" s="3">
        <f>C7/$C$12*100</f>
        <v>27.924326226038204</v>
      </c>
    </row>
    <row r="8" spans="1:4" x14ac:dyDescent="0.2">
      <c r="A8" s="1" t="s">
        <v>3</v>
      </c>
      <c r="B8" s="2"/>
      <c r="C8" s="2">
        <v>813437</v>
      </c>
      <c r="D8" s="3">
        <f>C8/$C$12*100</f>
        <v>0.39929263917130603</v>
      </c>
    </row>
    <row r="9" spans="1:4" x14ac:dyDescent="0.2">
      <c r="A9" s="1" t="s">
        <v>4</v>
      </c>
      <c r="B9" s="2"/>
      <c r="C9" s="2">
        <v>581110</v>
      </c>
      <c r="D9" s="3">
        <f>C9/$C$12*100</f>
        <v>0.28525005077078824</v>
      </c>
    </row>
    <row r="10" spans="1:4" x14ac:dyDescent="0.2">
      <c r="A10" s="1" t="s">
        <v>5</v>
      </c>
      <c r="B10" s="2"/>
      <c r="C10" s="2">
        <v>2602390</v>
      </c>
      <c r="D10" s="3">
        <f>C10/$C$12*100</f>
        <v>1.2774377994276327</v>
      </c>
    </row>
    <row r="11" spans="1:4" x14ac:dyDescent="0.2">
      <c r="A11" s="1"/>
      <c r="B11" s="1"/>
      <c r="C11" s="5"/>
      <c r="D11" s="5"/>
    </row>
    <row r="12" spans="1:4" x14ac:dyDescent="0.2">
      <c r="A12" s="1" t="s">
        <v>6</v>
      </c>
      <c r="B12" s="2"/>
      <c r="C12" s="2">
        <f>SUM(C6:C10)</f>
        <v>203719508</v>
      </c>
      <c r="D12" s="3">
        <f>C12/$C$12*100</f>
        <v>100</v>
      </c>
    </row>
    <row r="15" spans="1:4" ht="18.75" x14ac:dyDescent="0.3">
      <c r="A15" s="4" t="s">
        <v>7</v>
      </c>
      <c r="B15" s="2"/>
      <c r="C15" s="6"/>
    </row>
    <row r="16" spans="1:4" ht="18" x14ac:dyDescent="0.25">
      <c r="A16" s="7" t="s">
        <v>8</v>
      </c>
      <c r="B16" s="2"/>
      <c r="C16" s="2"/>
      <c r="D16" s="3"/>
    </row>
    <row r="17" spans="1:4" x14ac:dyDescent="0.2">
      <c r="A17" s="8" t="s">
        <v>9</v>
      </c>
      <c r="B17" s="2"/>
      <c r="C17" s="2"/>
      <c r="D17" s="3"/>
    </row>
    <row r="18" spans="1:4" x14ac:dyDescent="0.2">
      <c r="A18" s="1" t="s">
        <v>61</v>
      </c>
      <c r="B18" s="2"/>
      <c r="C18" s="2">
        <v>50847484</v>
      </c>
      <c r="D18" s="3">
        <f t="shared" ref="D18:D34" si="0">C18/$C$107*100</f>
        <v>24.959555665135415</v>
      </c>
    </row>
    <row r="19" spans="1:4" x14ac:dyDescent="0.2">
      <c r="A19" s="1" t="s">
        <v>58</v>
      </c>
      <c r="B19" s="2"/>
      <c r="C19" s="2">
        <v>12247818</v>
      </c>
      <c r="D19" s="3">
        <f t="shared" si="0"/>
        <v>6.0120987529579155</v>
      </c>
    </row>
    <row r="20" spans="1:4" x14ac:dyDescent="0.2">
      <c r="A20" s="1" t="s">
        <v>60</v>
      </c>
      <c r="B20" s="2"/>
      <c r="C20" s="2">
        <v>10777456</v>
      </c>
      <c r="D20" s="3">
        <f t="shared" si="0"/>
        <v>5.2903406776340738</v>
      </c>
    </row>
    <row r="21" spans="1:4" x14ac:dyDescent="0.2">
      <c r="A21" s="1" t="s">
        <v>59</v>
      </c>
      <c r="B21" s="2"/>
      <c r="C21" s="2">
        <v>7528372</v>
      </c>
      <c r="D21" s="3">
        <f t="shared" si="0"/>
        <v>3.6954595433246382</v>
      </c>
    </row>
    <row r="22" spans="1:4" x14ac:dyDescent="0.2">
      <c r="A22" s="1" t="s">
        <v>62</v>
      </c>
      <c r="B22" s="2"/>
      <c r="C22" s="2">
        <v>6154648</v>
      </c>
      <c r="D22" s="3">
        <f t="shared" si="0"/>
        <v>3.0211382603574717</v>
      </c>
    </row>
    <row r="23" spans="1:4" x14ac:dyDescent="0.2">
      <c r="A23" s="1" t="s">
        <v>64</v>
      </c>
      <c r="B23" s="2"/>
      <c r="C23" s="2">
        <v>5469783</v>
      </c>
      <c r="D23" s="3">
        <f t="shared" si="0"/>
        <v>2.6849578882744995</v>
      </c>
    </row>
    <row r="24" spans="1:4" x14ac:dyDescent="0.2">
      <c r="A24" s="1" t="s">
        <v>73</v>
      </c>
      <c r="B24" s="2"/>
      <c r="C24" s="2">
        <v>5214807</v>
      </c>
      <c r="D24" s="3">
        <f t="shared" si="0"/>
        <v>2.5597975624406084</v>
      </c>
    </row>
    <row r="25" spans="1:4" x14ac:dyDescent="0.2">
      <c r="A25" s="1" t="s">
        <v>63</v>
      </c>
      <c r="B25" s="2"/>
      <c r="C25" s="2">
        <v>4266878</v>
      </c>
      <c r="D25" s="3">
        <f t="shared" si="0"/>
        <v>2.0944866998206182</v>
      </c>
    </row>
    <row r="26" spans="1:4" x14ac:dyDescent="0.2">
      <c r="A26" s="1" t="s">
        <v>71</v>
      </c>
      <c r="B26" s="2"/>
      <c r="C26" s="2">
        <v>1691440</v>
      </c>
      <c r="D26" s="3">
        <f t="shared" si="0"/>
        <v>0.83027885576868765</v>
      </c>
    </row>
    <row r="27" spans="1:4" x14ac:dyDescent="0.2">
      <c r="A27" s="1" t="s">
        <v>68</v>
      </c>
      <c r="B27" s="2"/>
      <c r="C27" s="2">
        <v>11701068</v>
      </c>
      <c r="D27" s="3">
        <f t="shared" si="0"/>
        <v>5.7437150299813213</v>
      </c>
    </row>
    <row r="28" spans="1:4" x14ac:dyDescent="0.2">
      <c r="A28" s="1" t="s">
        <v>66</v>
      </c>
      <c r="B28" s="2"/>
      <c r="C28" s="2">
        <v>7654397</v>
      </c>
      <c r="D28" s="3">
        <f t="shared" si="0"/>
        <v>3.7573215619586127</v>
      </c>
    </row>
    <row r="29" spans="1:4" x14ac:dyDescent="0.2">
      <c r="A29" s="1" t="s">
        <v>67</v>
      </c>
      <c r="B29" s="2"/>
      <c r="C29" s="2">
        <v>782330</v>
      </c>
      <c r="D29" s="3">
        <f t="shared" si="0"/>
        <v>0.38402311476228385</v>
      </c>
    </row>
    <row r="30" spans="1:4" x14ac:dyDescent="0.2">
      <c r="A30" s="1" t="s">
        <v>11</v>
      </c>
      <c r="B30" s="2"/>
      <c r="C30" s="2"/>
      <c r="D30" s="3">
        <f t="shared" si="0"/>
        <v>0</v>
      </c>
    </row>
    <row r="31" spans="1:4" x14ac:dyDescent="0.2">
      <c r="A31" s="1" t="s">
        <v>12</v>
      </c>
      <c r="B31" s="2"/>
      <c r="C31" s="2">
        <v>1000</v>
      </c>
      <c r="D31" s="3">
        <f t="shared" si="0"/>
        <v>4.9087100681590096E-4</v>
      </c>
    </row>
    <row r="32" spans="1:4" x14ac:dyDescent="0.2">
      <c r="A32" s="1" t="s">
        <v>13</v>
      </c>
      <c r="B32" s="2"/>
      <c r="C32" s="2">
        <v>1919715</v>
      </c>
      <c r="D32" s="3">
        <f t="shared" si="0"/>
        <v>0.94233243484958751</v>
      </c>
    </row>
    <row r="33" spans="1:4" x14ac:dyDescent="0.2">
      <c r="A33" s="1" t="s">
        <v>14</v>
      </c>
      <c r="B33" s="2"/>
      <c r="C33" s="2">
        <v>235065</v>
      </c>
      <c r="D33" s="3">
        <f t="shared" si="0"/>
        <v>0.11538659321717977</v>
      </c>
    </row>
    <row r="34" spans="1:4" x14ac:dyDescent="0.2">
      <c r="A34" s="1" t="s">
        <v>15</v>
      </c>
      <c r="B34" s="2"/>
      <c r="C34" s="9">
        <f>SUM(C18:C33)</f>
        <v>126492261</v>
      </c>
      <c r="D34" s="10">
        <f t="shared" si="0"/>
        <v>62.091383511489731</v>
      </c>
    </row>
    <row r="35" spans="1:4" x14ac:dyDescent="0.2">
      <c r="A35" s="1"/>
      <c r="B35" s="2"/>
      <c r="C35" s="2"/>
      <c r="D35" s="3"/>
    </row>
    <row r="36" spans="1:4" x14ac:dyDescent="0.2">
      <c r="A36" s="8" t="s">
        <v>16</v>
      </c>
      <c r="B36" s="2"/>
      <c r="C36" s="2"/>
      <c r="D36" s="3"/>
    </row>
    <row r="37" spans="1:4" x14ac:dyDescent="0.2">
      <c r="A37" s="1" t="s">
        <v>69</v>
      </c>
      <c r="B37" s="2"/>
      <c r="C37" s="2">
        <v>2579694</v>
      </c>
      <c r="D37" s="3">
        <f>C37/$C$107*100</f>
        <v>1.2662969910569388</v>
      </c>
    </row>
    <row r="38" spans="1:4" x14ac:dyDescent="0.2">
      <c r="A38" s="1" t="s">
        <v>17</v>
      </c>
      <c r="B38" s="2"/>
      <c r="C38" s="2">
        <v>6156701</v>
      </c>
      <c r="D38" s="3">
        <f>C38/$C$107*100</f>
        <v>3.0221460185344644</v>
      </c>
    </row>
    <row r="39" spans="1:4" x14ac:dyDescent="0.2">
      <c r="A39" s="1" t="s">
        <v>18</v>
      </c>
      <c r="B39" s="2"/>
      <c r="C39" s="9">
        <f>SUM(C37:C38)</f>
        <v>8736395</v>
      </c>
      <c r="D39" s="10">
        <f>C39/$C$107*100</f>
        <v>4.2884430095914032</v>
      </c>
    </row>
    <row r="40" spans="1:4" x14ac:dyDescent="0.2">
      <c r="A40" s="1"/>
      <c r="B40" s="2"/>
      <c r="C40" s="2"/>
      <c r="D40" s="3" t="s">
        <v>10</v>
      </c>
    </row>
    <row r="41" spans="1:4" x14ac:dyDescent="0.2">
      <c r="A41" s="8" t="s">
        <v>65</v>
      </c>
      <c r="B41" s="2"/>
      <c r="C41" s="2" t="s">
        <v>19</v>
      </c>
      <c r="D41" s="3" t="s">
        <v>10</v>
      </c>
    </row>
    <row r="42" spans="1:4" x14ac:dyDescent="0.2">
      <c r="A42" s="1" t="s">
        <v>20</v>
      </c>
      <c r="B42" s="2"/>
      <c r="C42" s="2">
        <v>666592</v>
      </c>
      <c r="D42" s="3">
        <f>C42/$C$107*100</f>
        <v>0.32721068617542509</v>
      </c>
    </row>
    <row r="43" spans="1:4" x14ac:dyDescent="0.2">
      <c r="A43" s="1" t="s">
        <v>21</v>
      </c>
      <c r="B43" s="1"/>
      <c r="C43" s="2">
        <v>691171</v>
      </c>
      <c r="D43" s="3">
        <f>C43/$C$107*100</f>
        <v>0.33927580465195312</v>
      </c>
    </row>
    <row r="44" spans="1:4" x14ac:dyDescent="0.2">
      <c r="A44" s="1" t="s">
        <v>22</v>
      </c>
      <c r="B44" s="2"/>
      <c r="C44" s="2">
        <v>1730916</v>
      </c>
      <c r="D44" s="3">
        <f>C44/$C$107*100</f>
        <v>0.84965647963375224</v>
      </c>
    </row>
    <row r="45" spans="1:4" x14ac:dyDescent="0.2">
      <c r="A45" s="1" t="s">
        <v>23</v>
      </c>
      <c r="B45" s="2"/>
      <c r="C45" s="2">
        <v>2491436</v>
      </c>
      <c r="D45" s="3">
        <f>C45/$C$107*100</f>
        <v>1.2229736977373813</v>
      </c>
    </row>
    <row r="46" spans="1:4" x14ac:dyDescent="0.2">
      <c r="A46" s="1" t="s">
        <v>24</v>
      </c>
      <c r="B46" s="2"/>
      <c r="C46" s="9">
        <f>SUM(C42:C45)</f>
        <v>5580115</v>
      </c>
      <c r="D46" s="10">
        <f>C46/$C$107*100</f>
        <v>2.7391166681985117</v>
      </c>
    </row>
    <row r="47" spans="1:4" x14ac:dyDescent="0.2">
      <c r="A47" s="1"/>
      <c r="B47" s="2"/>
      <c r="C47" s="2"/>
      <c r="D47" s="3" t="s">
        <v>10</v>
      </c>
    </row>
    <row r="48" spans="1:4" x14ac:dyDescent="0.2">
      <c r="A48" s="1" t="s">
        <v>25</v>
      </c>
      <c r="B48" s="2"/>
      <c r="C48" s="2">
        <f>SUM(C34,C39,C46)</f>
        <v>140808771</v>
      </c>
      <c r="D48" s="3">
        <f>C48/$C$107*100</f>
        <v>69.118943189279648</v>
      </c>
    </row>
    <row r="49" spans="1:4" x14ac:dyDescent="0.2">
      <c r="A49" s="1"/>
      <c r="B49" s="2"/>
      <c r="C49" s="2"/>
      <c r="D49" s="3"/>
    </row>
    <row r="51" spans="1:4" x14ac:dyDescent="0.2">
      <c r="C51" s="357">
        <f>+C3</f>
        <v>38541</v>
      </c>
      <c r="D51" s="357"/>
    </row>
    <row r="52" spans="1:4" x14ac:dyDescent="0.2">
      <c r="C52" s="13" t="s">
        <v>0</v>
      </c>
      <c r="D52" s="13" t="s">
        <v>1</v>
      </c>
    </row>
    <row r="53" spans="1:4" ht="18" x14ac:dyDescent="0.25">
      <c r="A53" s="7" t="s">
        <v>26</v>
      </c>
      <c r="B53" s="2"/>
      <c r="C53" s="2"/>
      <c r="D53" s="3" t="s">
        <v>10</v>
      </c>
    </row>
    <row r="54" spans="1:4" x14ac:dyDescent="0.2">
      <c r="A54" s="1" t="s">
        <v>27</v>
      </c>
      <c r="B54" s="2"/>
      <c r="C54" s="2">
        <v>2627913</v>
      </c>
      <c r="D54" s="3">
        <f t="shared" ref="D54:D60" si="1">C54/$C$107*100</f>
        <v>1.2899663001345949</v>
      </c>
    </row>
    <row r="55" spans="1:4" x14ac:dyDescent="0.2">
      <c r="A55" s="1" t="s">
        <v>28</v>
      </c>
      <c r="B55" s="2"/>
      <c r="C55" s="2">
        <v>1227886</v>
      </c>
      <c r="D55" s="3">
        <f t="shared" si="1"/>
        <v>0.60273363707514938</v>
      </c>
    </row>
    <row r="56" spans="1:4" x14ac:dyDescent="0.2">
      <c r="A56" s="1" t="s">
        <v>29</v>
      </c>
      <c r="B56" s="2"/>
      <c r="C56" s="2">
        <v>9978772</v>
      </c>
      <c r="D56" s="3">
        <f t="shared" si="1"/>
        <v>4.8982898584263221</v>
      </c>
    </row>
    <row r="57" spans="1:4" x14ac:dyDescent="0.2">
      <c r="A57" s="1" t="s">
        <v>49</v>
      </c>
      <c r="B57" s="2"/>
      <c r="C57" s="2">
        <v>5178612</v>
      </c>
      <c r="D57" s="3">
        <f t="shared" si="1"/>
        <v>2.5420304863489065</v>
      </c>
    </row>
    <row r="58" spans="1:4" x14ac:dyDescent="0.2">
      <c r="A58" s="1" t="s">
        <v>30</v>
      </c>
      <c r="B58" s="2"/>
      <c r="C58" s="2">
        <v>3816015</v>
      </c>
      <c r="D58" s="3">
        <f t="shared" si="1"/>
        <v>1.8731711250745804</v>
      </c>
    </row>
    <row r="59" spans="1:4" x14ac:dyDescent="0.2">
      <c r="A59" s="1" t="s">
        <v>70</v>
      </c>
      <c r="B59" s="2"/>
      <c r="C59" s="2">
        <v>887762</v>
      </c>
      <c r="D59" s="3">
        <f t="shared" si="1"/>
        <v>0.43577662675289791</v>
      </c>
    </row>
    <row r="60" spans="1:4" x14ac:dyDescent="0.2">
      <c r="A60" s="1" t="s">
        <v>14</v>
      </c>
      <c r="B60" s="2"/>
      <c r="C60" s="2">
        <v>181167</v>
      </c>
      <c r="D60" s="3">
        <f t="shared" si="1"/>
        <v>8.8929627691816338E-2</v>
      </c>
    </row>
    <row r="61" spans="1:4" x14ac:dyDescent="0.2">
      <c r="A61" s="1"/>
      <c r="B61" s="1"/>
      <c r="C61" s="5"/>
      <c r="D61" s="5"/>
    </row>
    <row r="62" spans="1:4" x14ac:dyDescent="0.2">
      <c r="A62" s="1" t="s">
        <v>25</v>
      </c>
      <c r="B62" s="2"/>
      <c r="C62" s="2">
        <f>SUM(C54:C60)</f>
        <v>23898127</v>
      </c>
      <c r="D62" s="3">
        <f>C62/$C$107*100</f>
        <v>11.730897661504267</v>
      </c>
    </row>
    <row r="63" spans="1:4" x14ac:dyDescent="0.2">
      <c r="A63" s="1"/>
      <c r="B63" s="2"/>
      <c r="C63" s="2"/>
    </row>
    <row r="64" spans="1:4" ht="18" x14ac:dyDescent="0.25">
      <c r="A64" s="7" t="s">
        <v>31</v>
      </c>
      <c r="B64" s="2"/>
      <c r="C64" s="2"/>
      <c r="D64" s="3" t="s">
        <v>10</v>
      </c>
    </row>
    <row r="65" spans="1:4" x14ac:dyDescent="0.2">
      <c r="A65" s="1" t="s">
        <v>50</v>
      </c>
      <c r="B65" s="220" t="s">
        <v>132</v>
      </c>
      <c r="C65" s="2">
        <v>947709</v>
      </c>
      <c r="D65" s="3">
        <f>C65/$C$107*100</f>
        <v>0.46520287099849078</v>
      </c>
    </row>
    <row r="66" spans="1:4" x14ac:dyDescent="0.2">
      <c r="A66" s="1" t="s">
        <v>33</v>
      </c>
      <c r="B66" s="220" t="s">
        <v>132</v>
      </c>
      <c r="C66" s="2">
        <v>555280</v>
      </c>
      <c r="D66" s="3">
        <f>C66/$C$107*100</f>
        <v>0.27257085266473352</v>
      </c>
    </row>
    <row r="67" spans="1:4" x14ac:dyDescent="0.2">
      <c r="A67" s="1" t="s">
        <v>34</v>
      </c>
      <c r="B67" s="220" t="s">
        <v>132</v>
      </c>
      <c r="C67" s="2">
        <v>44922</v>
      </c>
      <c r="D67" s="3">
        <f>C67/$C$107*100</f>
        <v>2.2050907368183905E-2</v>
      </c>
    </row>
    <row r="68" spans="1:4" x14ac:dyDescent="0.2">
      <c r="A68" s="1" t="s">
        <v>14</v>
      </c>
      <c r="B68" s="220" t="s">
        <v>132</v>
      </c>
      <c r="C68" s="2">
        <v>25323</v>
      </c>
      <c r="D68" s="3">
        <f>C68/$C$107*100</f>
        <v>1.2430326505599061E-2</v>
      </c>
    </row>
    <row r="69" spans="1:4" x14ac:dyDescent="0.2">
      <c r="A69" s="1"/>
      <c r="B69" s="1"/>
      <c r="C69" s="5"/>
      <c r="D69" s="5"/>
    </row>
    <row r="70" spans="1:4" x14ac:dyDescent="0.2">
      <c r="A70" s="1" t="s">
        <v>25</v>
      </c>
      <c r="B70" s="2"/>
      <c r="C70" s="2">
        <f>SUM(C65:C69)</f>
        <v>1573234</v>
      </c>
      <c r="D70" s="3">
        <f>C70/$C$107*100</f>
        <v>0.77225495753700724</v>
      </c>
    </row>
    <row r="71" spans="1:4" x14ac:dyDescent="0.2">
      <c r="A71" s="1"/>
      <c r="B71" s="2"/>
      <c r="C71" s="2"/>
      <c r="D71" s="3"/>
    </row>
    <row r="72" spans="1:4" ht="18" x14ac:dyDescent="0.25">
      <c r="A72" s="7" t="s">
        <v>51</v>
      </c>
      <c r="B72" s="2"/>
      <c r="C72" s="2"/>
      <c r="D72" s="3" t="s">
        <v>10</v>
      </c>
    </row>
    <row r="73" spans="1:4" x14ac:dyDescent="0.2">
      <c r="A73" s="1" t="s">
        <v>52</v>
      </c>
      <c r="B73" s="220" t="s">
        <v>132</v>
      </c>
      <c r="C73" s="2">
        <v>2241715</v>
      </c>
      <c r="D73" s="3">
        <f>C73/$C$107*100</f>
        <v>1.1003928990443077</v>
      </c>
    </row>
    <row r="74" spans="1:4" x14ac:dyDescent="0.2">
      <c r="A74" s="1" t="s">
        <v>53</v>
      </c>
      <c r="B74" s="220" t="s">
        <v>132</v>
      </c>
      <c r="C74" s="2">
        <v>636967</v>
      </c>
      <c r="D74" s="3">
        <f>C74/$C$107*100</f>
        <v>0.31266863259850403</v>
      </c>
    </row>
    <row r="75" spans="1:4" x14ac:dyDescent="0.2">
      <c r="A75" s="1" t="s">
        <v>54</v>
      </c>
      <c r="B75" s="220" t="s">
        <v>132</v>
      </c>
      <c r="C75" s="2">
        <v>86549</v>
      </c>
      <c r="D75" s="3">
        <f>C75/$C$107*100</f>
        <v>4.2484394768909417E-2</v>
      </c>
    </row>
    <row r="76" spans="1:4" x14ac:dyDescent="0.2">
      <c r="A76" s="1" t="s">
        <v>57</v>
      </c>
      <c r="B76" s="220" t="s">
        <v>132</v>
      </c>
      <c r="C76" s="2">
        <v>430224</v>
      </c>
      <c r="D76" s="3">
        <f>C76/$C$107*100</f>
        <v>0.21118448803636422</v>
      </c>
    </row>
    <row r="77" spans="1:4" x14ac:dyDescent="0.2">
      <c r="A77" s="1" t="s">
        <v>14</v>
      </c>
      <c r="B77" s="2"/>
      <c r="C77" s="2">
        <v>59321</v>
      </c>
      <c r="D77" s="3">
        <f>C77/$C$107*100</f>
        <v>2.9118958995326065E-2</v>
      </c>
    </row>
    <row r="78" spans="1:4" x14ac:dyDescent="0.2">
      <c r="A78" s="1"/>
      <c r="B78" s="1"/>
      <c r="C78" s="5"/>
      <c r="D78" s="5"/>
    </row>
    <row r="79" spans="1:4" x14ac:dyDescent="0.2">
      <c r="A79" s="1" t="s">
        <v>25</v>
      </c>
      <c r="B79" s="2"/>
      <c r="C79" s="2">
        <f>SUM(C73:C78)</f>
        <v>3454776</v>
      </c>
      <c r="D79" s="3">
        <f>C79/$C$107*100</f>
        <v>1.6958493734434112</v>
      </c>
    </row>
    <row r="80" spans="1:4" x14ac:dyDescent="0.2">
      <c r="A80" s="1"/>
      <c r="B80" s="2"/>
      <c r="C80" s="2"/>
      <c r="D80" s="3"/>
    </row>
    <row r="81" spans="1:4" ht="18" x14ac:dyDescent="0.25">
      <c r="A81" s="7" t="s">
        <v>47</v>
      </c>
      <c r="B81" s="2"/>
      <c r="C81" s="2"/>
      <c r="D81" s="3"/>
    </row>
    <row r="82" spans="1:4" x14ac:dyDescent="0.2">
      <c r="A82" s="1" t="s">
        <v>32</v>
      </c>
      <c r="B82" s="2"/>
      <c r="C82" s="2">
        <v>2856554</v>
      </c>
      <c r="D82" s="3">
        <f>C82/$C$107*100</f>
        <v>1.4021995380039893</v>
      </c>
    </row>
    <row r="83" spans="1:4" x14ac:dyDescent="0.2">
      <c r="A83" s="1" t="s">
        <v>14</v>
      </c>
      <c r="B83" s="2"/>
      <c r="C83" s="2">
        <v>0</v>
      </c>
      <c r="D83" s="3">
        <f>C83/$C$107*100</f>
        <v>0</v>
      </c>
    </row>
    <row r="84" spans="1:4" x14ac:dyDescent="0.2">
      <c r="A84" s="1"/>
      <c r="B84" s="2"/>
      <c r="C84" s="5"/>
      <c r="D84" s="5"/>
    </row>
    <row r="85" spans="1:4" x14ac:dyDescent="0.2">
      <c r="A85" s="1" t="s">
        <v>25</v>
      </c>
      <c r="B85" s="2"/>
      <c r="C85" s="2">
        <f>SUM(C82:C84)</f>
        <v>2856554</v>
      </c>
      <c r="D85" s="3">
        <f>C85/$C$107*100</f>
        <v>1.4021995380039893</v>
      </c>
    </row>
    <row r="86" spans="1:4" x14ac:dyDescent="0.2">
      <c r="A86" s="1"/>
      <c r="B86" s="2"/>
      <c r="C86" s="2"/>
      <c r="D86" s="3"/>
    </row>
    <row r="87" spans="1:4" ht="18" x14ac:dyDescent="0.25">
      <c r="A87" s="7" t="s">
        <v>35</v>
      </c>
      <c r="B87" s="2"/>
      <c r="C87" s="2"/>
      <c r="D87" s="3"/>
    </row>
    <row r="88" spans="1:4" x14ac:dyDescent="0.2">
      <c r="A88" s="1" t="s">
        <v>35</v>
      </c>
      <c r="B88" s="220" t="s">
        <v>132</v>
      </c>
      <c r="C88" s="2">
        <v>3053270</v>
      </c>
      <c r="D88" s="3">
        <f>C88/$C$107*100</f>
        <v>1.498761718980786</v>
      </c>
    </row>
    <row r="89" spans="1:4" x14ac:dyDescent="0.2">
      <c r="A89" s="1"/>
      <c r="B89" s="1"/>
      <c r="C89" s="5"/>
      <c r="D89" s="5"/>
    </row>
    <row r="90" spans="1:4" x14ac:dyDescent="0.2">
      <c r="A90" s="1" t="s">
        <v>25</v>
      </c>
      <c r="B90" s="2"/>
      <c r="C90" s="2">
        <f>C88</f>
        <v>3053270</v>
      </c>
      <c r="D90" s="3">
        <f>C90/$C$107*100</f>
        <v>1.498761718980786</v>
      </c>
    </row>
    <row r="91" spans="1:4" x14ac:dyDescent="0.2">
      <c r="A91" s="1"/>
      <c r="B91" s="2"/>
      <c r="C91" s="2"/>
      <c r="D91" s="3"/>
    </row>
    <row r="92" spans="1:4" ht="18" x14ac:dyDescent="0.25">
      <c r="A92" s="7" t="s">
        <v>36</v>
      </c>
      <c r="B92" s="2"/>
      <c r="C92" s="2"/>
      <c r="D92" s="3" t="s">
        <v>10</v>
      </c>
    </row>
    <row r="93" spans="1:4" x14ac:dyDescent="0.2">
      <c r="A93" s="1" t="s">
        <v>48</v>
      </c>
      <c r="B93" s="2"/>
      <c r="C93" s="2">
        <v>0</v>
      </c>
      <c r="D93" s="3">
        <f t="shared" ref="D93:D101" si="2">C93/$C$107*100</f>
        <v>0</v>
      </c>
    </row>
    <row r="94" spans="1:4" x14ac:dyDescent="0.2">
      <c r="A94" s="1" t="s">
        <v>131</v>
      </c>
      <c r="B94" s="1"/>
      <c r="C94" s="2">
        <v>14683596</v>
      </c>
      <c r="D94" s="3">
        <f t="shared" si="2"/>
        <v>7.2077515521979372</v>
      </c>
    </row>
    <row r="95" spans="1:4" x14ac:dyDescent="0.2">
      <c r="A95" s="1" t="s">
        <v>37</v>
      </c>
      <c r="B95" s="2"/>
      <c r="C95" s="2">
        <v>3185804</v>
      </c>
      <c r="D95" s="3">
        <f t="shared" si="2"/>
        <v>1.5638188169981249</v>
      </c>
    </row>
    <row r="96" spans="1:4" x14ac:dyDescent="0.2">
      <c r="A96" s="1" t="s">
        <v>38</v>
      </c>
      <c r="B96" s="2"/>
      <c r="C96" s="2">
        <v>5100070</v>
      </c>
      <c r="D96" s="3">
        <f t="shared" si="2"/>
        <v>2.5034764957315723</v>
      </c>
    </row>
    <row r="97" spans="1:4" x14ac:dyDescent="0.2">
      <c r="A97" s="1" t="s">
        <v>39</v>
      </c>
      <c r="B97" s="2"/>
      <c r="C97" s="2">
        <v>565300</v>
      </c>
      <c r="D97" s="3">
        <f t="shared" si="2"/>
        <v>0.27748938015302882</v>
      </c>
    </row>
    <row r="98" spans="1:4" x14ac:dyDescent="0.2">
      <c r="A98" s="1" t="s">
        <v>40</v>
      </c>
      <c r="B98" s="2"/>
      <c r="C98" s="2">
        <v>397516</v>
      </c>
      <c r="D98" s="3">
        <f t="shared" si="2"/>
        <v>0.19512907914542971</v>
      </c>
    </row>
    <row r="99" spans="1:4" x14ac:dyDescent="0.2">
      <c r="A99" s="1" t="s">
        <v>41</v>
      </c>
      <c r="B99" s="2"/>
      <c r="C99" s="2">
        <v>2000000</v>
      </c>
      <c r="D99" s="3">
        <f t="shared" si="2"/>
        <v>0.98174201363180202</v>
      </c>
    </row>
    <row r="100" spans="1:4" x14ac:dyDescent="0.2">
      <c r="A100" s="1" t="s">
        <v>42</v>
      </c>
      <c r="B100" s="2"/>
      <c r="C100" s="2">
        <v>92041</v>
      </c>
      <c r="D100" s="3">
        <f t="shared" si="2"/>
        <v>4.5180258338342341E-2</v>
      </c>
    </row>
    <row r="101" spans="1:4" x14ac:dyDescent="0.2">
      <c r="A101" s="1" t="s">
        <v>43</v>
      </c>
      <c r="B101" s="2"/>
      <c r="C101" s="9">
        <f>SUM(C93:C100)</f>
        <v>26024327</v>
      </c>
      <c r="D101" s="10">
        <f t="shared" si="2"/>
        <v>12.774587596196238</v>
      </c>
    </row>
    <row r="102" spans="1:4" x14ac:dyDescent="0.2">
      <c r="A102" s="1"/>
      <c r="B102" s="2"/>
      <c r="C102" s="2"/>
    </row>
    <row r="103" spans="1:4" x14ac:dyDescent="0.2">
      <c r="A103" s="1" t="s">
        <v>44</v>
      </c>
      <c r="B103" s="2"/>
      <c r="C103" s="11">
        <v>2050449</v>
      </c>
      <c r="D103" s="12">
        <f>C103/$C$107*100</f>
        <v>1.0065059650546575</v>
      </c>
    </row>
    <row r="105" spans="1:4" x14ac:dyDescent="0.2">
      <c r="A105" s="1" t="s">
        <v>45</v>
      </c>
      <c r="B105" s="2"/>
      <c r="C105" s="2">
        <f>C101+C103</f>
        <v>28074776</v>
      </c>
      <c r="D105" s="3">
        <f>C105/$C$107*100</f>
        <v>13.781093561250893</v>
      </c>
    </row>
    <row r="106" spans="1:4" x14ac:dyDescent="0.2">
      <c r="A106" s="1"/>
      <c r="B106" s="2"/>
      <c r="C106" s="2"/>
      <c r="D106" s="3"/>
    </row>
    <row r="107" spans="1:4" x14ac:dyDescent="0.2">
      <c r="A107" s="1" t="s">
        <v>46</v>
      </c>
      <c r="B107" s="2"/>
      <c r="C107" s="2">
        <f>C48+C62+C70+C79+C85+C90+C105</f>
        <v>203719508</v>
      </c>
      <c r="D107" s="3">
        <f>C107/$C$107*100</f>
        <v>100</v>
      </c>
    </row>
  </sheetData>
  <mergeCells count="3">
    <mergeCell ref="A1:D1"/>
    <mergeCell ref="C3:D3"/>
    <mergeCell ref="C51:D51"/>
  </mergeCells>
  <pageMargins left="0.7" right="0.7" top="0.75" bottom="0.75" header="0.3" footer="0.3"/>
  <pageSetup scale="42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J114"/>
  <sheetViews>
    <sheetView topLeftCell="A12" zoomScaleNormal="100" workbookViewId="0">
      <selection activeCell="G76" sqref="G76"/>
    </sheetView>
  </sheetViews>
  <sheetFormatPr defaultRowHeight="12.75" x14ac:dyDescent="0.2"/>
  <cols>
    <col min="1" max="1" width="42.109375" style="28" customWidth="1"/>
    <col min="2" max="2" width="1.21875" style="28" hidden="1" customWidth="1"/>
    <col min="3" max="6" width="8.88671875" style="28"/>
    <col min="7" max="7" width="13.21875" style="28" bestFit="1" customWidth="1"/>
    <col min="8" max="8" width="7" style="28" bestFit="1" customWidth="1"/>
    <col min="9" max="16384" width="8.88671875" style="28"/>
  </cols>
  <sheetData>
    <row r="1" spans="1:8" ht="18.75" x14ac:dyDescent="0.3">
      <c r="A1" s="365" t="s">
        <v>98</v>
      </c>
      <c r="B1" s="365"/>
      <c r="C1" s="365"/>
      <c r="D1" s="365"/>
      <c r="E1" s="365"/>
      <c r="F1" s="365"/>
      <c r="G1" s="365"/>
      <c r="H1" s="365"/>
    </row>
    <row r="2" spans="1:8" ht="15.75" thickBot="1" x14ac:dyDescent="0.25">
      <c r="A2" s="366"/>
      <c r="B2" s="366"/>
      <c r="C2" s="366"/>
      <c r="D2" s="366"/>
      <c r="E2" s="366"/>
      <c r="F2" s="366"/>
      <c r="G2" s="366"/>
      <c r="H2" s="366"/>
    </row>
    <row r="3" spans="1:8" x14ac:dyDescent="0.2">
      <c r="G3" s="361" t="s">
        <v>99</v>
      </c>
      <c r="H3" s="362"/>
    </row>
    <row r="4" spans="1:8" x14ac:dyDescent="0.2">
      <c r="G4" s="363" t="s">
        <v>100</v>
      </c>
      <c r="H4" s="364"/>
    </row>
    <row r="5" spans="1:8" x14ac:dyDescent="0.2">
      <c r="G5" s="359">
        <v>38908</v>
      </c>
      <c r="H5" s="360"/>
    </row>
    <row r="6" spans="1:8" x14ac:dyDescent="0.2">
      <c r="G6" s="29" t="s">
        <v>0</v>
      </c>
      <c r="H6" s="30" t="s">
        <v>1</v>
      </c>
    </row>
    <row r="7" spans="1:8" ht="18.75" x14ac:dyDescent="0.3">
      <c r="A7" s="31" t="s">
        <v>2</v>
      </c>
      <c r="B7" s="32"/>
      <c r="G7" s="34"/>
      <c r="H7" s="35"/>
    </row>
    <row r="8" spans="1:8" x14ac:dyDescent="0.2">
      <c r="A8" s="36" t="s">
        <v>55</v>
      </c>
      <c r="B8" s="32"/>
      <c r="G8" s="37">
        <v>154336761</v>
      </c>
      <c r="H8" s="38">
        <f t="shared" ref="H8:H13" si="0">G8/$G$15*100</f>
        <v>75.601688226907555</v>
      </c>
    </row>
    <row r="9" spans="1:8" x14ac:dyDescent="0.2">
      <c r="A9" s="36" t="s">
        <v>82</v>
      </c>
      <c r="B9" s="32"/>
      <c r="G9" s="39">
        <v>-17585474</v>
      </c>
      <c r="H9" s="38">
        <f t="shared" si="0"/>
        <v>-8.6142245959819572</v>
      </c>
    </row>
    <row r="10" spans="1:8" ht="15" x14ac:dyDescent="0.2">
      <c r="A10" s="36" t="s">
        <v>56</v>
      </c>
      <c r="B10" s="40">
        <v>1</v>
      </c>
      <c r="G10" s="37">
        <v>64797694</v>
      </c>
      <c r="H10" s="38">
        <f t="shared" si="0"/>
        <v>31.741077290138016</v>
      </c>
    </row>
    <row r="11" spans="1:8" x14ac:dyDescent="0.2">
      <c r="A11" s="36" t="s">
        <v>3</v>
      </c>
      <c r="B11" s="32"/>
      <c r="G11" s="37">
        <v>815000</v>
      </c>
      <c r="H11" s="38">
        <f t="shared" si="0"/>
        <v>0.39922683037860085</v>
      </c>
    </row>
    <row r="12" spans="1:8" ht="15" x14ac:dyDescent="0.2">
      <c r="A12" s="36" t="s">
        <v>4</v>
      </c>
      <c r="B12" s="40">
        <v>2</v>
      </c>
      <c r="G12" s="37">
        <v>291000</v>
      </c>
      <c r="H12" s="38">
        <f t="shared" si="0"/>
        <v>0.14254602164438387</v>
      </c>
    </row>
    <row r="13" spans="1:8" ht="15" x14ac:dyDescent="0.2">
      <c r="A13" s="36" t="s">
        <v>5</v>
      </c>
      <c r="B13" s="40">
        <v>2</v>
      </c>
      <c r="G13" s="37">
        <v>1489615</v>
      </c>
      <c r="H13" s="38">
        <f t="shared" si="0"/>
        <v>0.72968622691339824</v>
      </c>
    </row>
    <row r="14" spans="1:8" x14ac:dyDescent="0.2">
      <c r="A14" s="36"/>
      <c r="B14" s="36"/>
      <c r="G14" s="41"/>
      <c r="H14" s="42"/>
    </row>
    <row r="15" spans="1:8" x14ac:dyDescent="0.2">
      <c r="A15" s="36" t="s">
        <v>6</v>
      </c>
      <c r="B15" s="32"/>
      <c r="G15" s="37">
        <f>SUM(G8:G13)</f>
        <v>204144596</v>
      </c>
      <c r="H15" s="38">
        <f>G15/$G$15*100</f>
        <v>100</v>
      </c>
    </row>
    <row r="16" spans="1:8" x14ac:dyDescent="0.2">
      <c r="G16" s="34"/>
      <c r="H16" s="35"/>
    </row>
    <row r="17" spans="1:10" ht="18.75" x14ac:dyDescent="0.3">
      <c r="A17" s="31" t="s">
        <v>7</v>
      </c>
      <c r="B17" s="32"/>
      <c r="G17" s="34"/>
      <c r="H17" s="35"/>
    </row>
    <row r="18" spans="1:10" ht="18" x14ac:dyDescent="0.25">
      <c r="A18" s="43" t="s">
        <v>8</v>
      </c>
      <c r="B18" s="32"/>
      <c r="G18" s="34"/>
      <c r="H18" s="35"/>
    </row>
    <row r="19" spans="1:10" ht="15" x14ac:dyDescent="0.2">
      <c r="A19" s="44" t="s">
        <v>9</v>
      </c>
      <c r="B19" s="32"/>
      <c r="G19" s="34"/>
      <c r="H19" s="35"/>
      <c r="I19" s="50"/>
      <c r="J19" s="50"/>
    </row>
    <row r="20" spans="1:10" x14ac:dyDescent="0.2">
      <c r="A20" s="36" t="s">
        <v>61</v>
      </c>
      <c r="B20" s="32"/>
      <c r="G20" s="39">
        <v>53963852</v>
      </c>
      <c r="H20" s="38">
        <f t="shared" ref="H20:H36" si="1">G20/$G$104*100</f>
        <v>26.434132011018306</v>
      </c>
      <c r="I20" s="50"/>
      <c r="J20" s="50"/>
    </row>
    <row r="21" spans="1:10" x14ac:dyDescent="0.2">
      <c r="A21" s="36" t="s">
        <v>58</v>
      </c>
      <c r="B21" s="32"/>
      <c r="G21" s="39">
        <v>12869369</v>
      </c>
      <c r="H21" s="38">
        <f t="shared" si="1"/>
        <v>6.3040458832424831</v>
      </c>
      <c r="I21" s="50"/>
      <c r="J21" s="50"/>
    </row>
    <row r="22" spans="1:10" ht="15" x14ac:dyDescent="0.2">
      <c r="A22" s="36" t="s">
        <v>60</v>
      </c>
      <c r="B22" s="40">
        <v>2</v>
      </c>
      <c r="G22" s="39">
        <v>8900630</v>
      </c>
      <c r="H22" s="38">
        <f t="shared" si="1"/>
        <v>4.3599635622977742</v>
      </c>
      <c r="I22" s="50"/>
      <c r="J22" s="50"/>
    </row>
    <row r="23" spans="1:10" x14ac:dyDescent="0.2">
      <c r="A23" s="36" t="s">
        <v>59</v>
      </c>
      <c r="B23" s="32"/>
      <c r="G23" s="39">
        <v>8114159</v>
      </c>
      <c r="H23" s="38">
        <f t="shared" si="1"/>
        <v>3.9747116303779113</v>
      </c>
      <c r="I23" s="50"/>
      <c r="J23" s="50"/>
    </row>
    <row r="24" spans="1:10" x14ac:dyDescent="0.2">
      <c r="A24" s="36" t="s">
        <v>62</v>
      </c>
      <c r="B24" s="32"/>
      <c r="G24" s="39">
        <v>6621292</v>
      </c>
      <c r="H24" s="38">
        <f t="shared" si="1"/>
        <v>3.2434324149339715</v>
      </c>
      <c r="I24" s="50"/>
      <c r="J24" s="50"/>
    </row>
    <row r="25" spans="1:10" x14ac:dyDescent="0.2">
      <c r="A25" s="36" t="s">
        <v>64</v>
      </c>
      <c r="B25" s="32"/>
      <c r="G25" s="39">
        <v>5350540</v>
      </c>
      <c r="H25" s="38">
        <f t="shared" si="1"/>
        <v>2.6209559816121706</v>
      </c>
      <c r="I25" s="50"/>
      <c r="J25" s="50"/>
    </row>
    <row r="26" spans="1:10" x14ac:dyDescent="0.2">
      <c r="A26" s="36" t="s">
        <v>73</v>
      </c>
      <c r="B26" s="32"/>
      <c r="G26" s="39">
        <v>6057382</v>
      </c>
      <c r="H26" s="38">
        <f t="shared" si="1"/>
        <v>2.967201737732994</v>
      </c>
      <c r="I26" s="50"/>
      <c r="J26" s="50"/>
    </row>
    <row r="27" spans="1:10" x14ac:dyDescent="0.2">
      <c r="A27" s="36" t="s">
        <v>63</v>
      </c>
      <c r="B27" s="32"/>
      <c r="G27" s="39">
        <v>4408560</v>
      </c>
      <c r="H27" s="38">
        <f t="shared" si="1"/>
        <v>2.1595281415139689</v>
      </c>
      <c r="I27" s="50"/>
      <c r="J27" s="50"/>
    </row>
    <row r="28" spans="1:10" x14ac:dyDescent="0.2">
      <c r="A28" s="36" t="s">
        <v>71</v>
      </c>
      <c r="B28" s="32"/>
      <c r="G28" s="39">
        <v>1709160</v>
      </c>
      <c r="H28" s="38">
        <f t="shared" si="1"/>
        <v>0.83723009743544718</v>
      </c>
      <c r="I28" s="50"/>
      <c r="J28" s="50"/>
    </row>
    <row r="29" spans="1:10" x14ac:dyDescent="0.2">
      <c r="A29" s="36" t="s">
        <v>68</v>
      </c>
      <c r="B29" s="32"/>
      <c r="G29" s="39">
        <v>12721362</v>
      </c>
      <c r="H29" s="38">
        <f t="shared" si="1"/>
        <v>6.2315448212991145</v>
      </c>
      <c r="I29" s="50"/>
      <c r="J29" s="50"/>
    </row>
    <row r="30" spans="1:10" x14ac:dyDescent="0.2">
      <c r="A30" s="36" t="s">
        <v>66</v>
      </c>
      <c r="B30" s="32"/>
      <c r="G30" s="39">
        <v>8464864</v>
      </c>
      <c r="H30" s="38">
        <f t="shared" si="1"/>
        <v>4.146504078902975</v>
      </c>
      <c r="I30" s="50"/>
      <c r="J30" s="50"/>
    </row>
    <row r="31" spans="1:10" x14ac:dyDescent="0.2">
      <c r="A31" s="36" t="s">
        <v>67</v>
      </c>
      <c r="B31" s="32"/>
      <c r="G31" s="39">
        <v>982409</v>
      </c>
      <c r="H31" s="38">
        <f t="shared" si="1"/>
        <v>0.48123194012933856</v>
      </c>
      <c r="I31" s="50"/>
      <c r="J31" s="50"/>
    </row>
    <row r="32" spans="1:10" x14ac:dyDescent="0.2">
      <c r="A32" s="36" t="s">
        <v>86</v>
      </c>
      <c r="B32" s="32"/>
      <c r="G32" s="39">
        <v>0</v>
      </c>
      <c r="H32" s="38">
        <f t="shared" si="1"/>
        <v>0</v>
      </c>
      <c r="I32" s="50"/>
      <c r="J32" s="50"/>
    </row>
    <row r="33" spans="1:10" x14ac:dyDescent="0.2">
      <c r="A33" s="36" t="s">
        <v>12</v>
      </c>
      <c r="B33" s="32"/>
      <c r="G33" s="39">
        <v>1000</v>
      </c>
      <c r="H33" s="38">
        <f t="shared" si="1"/>
        <v>4.8984887163018511E-4</v>
      </c>
      <c r="I33" s="50"/>
      <c r="J33" s="50"/>
    </row>
    <row r="34" spans="1:10" x14ac:dyDescent="0.2">
      <c r="A34" s="36" t="s">
        <v>13</v>
      </c>
      <c r="B34" s="32"/>
      <c r="G34" s="39">
        <v>2353576</v>
      </c>
      <c r="H34" s="38">
        <f t="shared" si="1"/>
        <v>1.1528965478958846</v>
      </c>
      <c r="I34" s="50"/>
      <c r="J34" s="50"/>
    </row>
    <row r="35" spans="1:10" x14ac:dyDescent="0.2">
      <c r="A35" s="36" t="s">
        <v>14</v>
      </c>
      <c r="B35" s="32"/>
      <c r="G35" s="39">
        <v>85611</v>
      </c>
      <c r="H35" s="45">
        <f t="shared" si="1"/>
        <v>4.1936451749131777E-2</v>
      </c>
      <c r="I35" s="50"/>
      <c r="J35" s="50"/>
    </row>
    <row r="36" spans="1:10" x14ac:dyDescent="0.2">
      <c r="A36" s="36" t="s">
        <v>15</v>
      </c>
      <c r="B36" s="32"/>
      <c r="G36" s="46">
        <f>SUM(G20:G35)</f>
        <v>132603766</v>
      </c>
      <c r="H36" s="38">
        <f t="shared" si="1"/>
        <v>64.955805149013102</v>
      </c>
      <c r="I36" s="50"/>
      <c r="J36" s="50"/>
    </row>
    <row r="37" spans="1:10" x14ac:dyDescent="0.2">
      <c r="A37" s="36"/>
      <c r="B37" s="32"/>
      <c r="G37" s="39"/>
      <c r="H37" s="35"/>
      <c r="I37" s="50"/>
      <c r="J37" s="50"/>
    </row>
    <row r="38" spans="1:10" ht="15" x14ac:dyDescent="0.2">
      <c r="A38" s="44" t="s">
        <v>16</v>
      </c>
      <c r="B38" s="32"/>
      <c r="G38" s="39"/>
      <c r="H38" s="35"/>
      <c r="I38" s="50"/>
      <c r="J38" s="50"/>
    </row>
    <row r="39" spans="1:10" x14ac:dyDescent="0.2">
      <c r="A39" s="36" t="s">
        <v>69</v>
      </c>
      <c r="B39" s="32"/>
      <c r="G39" s="39">
        <v>2462303</v>
      </c>
      <c r="H39" s="38">
        <f>G39/$G$104*100</f>
        <v>1.2061563461616198</v>
      </c>
      <c r="I39" s="50"/>
      <c r="J39" s="50"/>
    </row>
    <row r="40" spans="1:10" x14ac:dyDescent="0.2">
      <c r="A40" s="36" t="s">
        <v>17</v>
      </c>
      <c r="B40" s="32"/>
      <c r="G40" s="39">
        <v>6271688</v>
      </c>
      <c r="H40" s="45">
        <f>G40/$G$104*100</f>
        <v>3.0721792900165723</v>
      </c>
      <c r="I40" s="50"/>
      <c r="J40" s="50"/>
    </row>
    <row r="41" spans="1:10" x14ac:dyDescent="0.2">
      <c r="A41" s="36" t="s">
        <v>18</v>
      </c>
      <c r="B41" s="32"/>
      <c r="G41" s="46">
        <f>SUM(G39:G40)</f>
        <v>8733991</v>
      </c>
      <c r="H41" s="38">
        <f>G41/$G$104*100</f>
        <v>4.2783356361781921</v>
      </c>
      <c r="I41" s="50"/>
      <c r="J41" s="50"/>
    </row>
    <row r="42" spans="1:10" x14ac:dyDescent="0.2">
      <c r="A42" s="36"/>
      <c r="B42" s="32"/>
      <c r="G42" s="39"/>
      <c r="H42" s="35"/>
      <c r="I42" s="50"/>
      <c r="J42" s="50"/>
    </row>
    <row r="43" spans="1:10" ht="15" x14ac:dyDescent="0.2">
      <c r="A43" s="44" t="s">
        <v>65</v>
      </c>
      <c r="B43" s="32"/>
      <c r="G43" s="39"/>
      <c r="H43" s="35"/>
      <c r="I43" s="50"/>
      <c r="J43" s="50"/>
    </row>
    <row r="44" spans="1:10" x14ac:dyDescent="0.2">
      <c r="A44" s="36" t="s">
        <v>20</v>
      </c>
      <c r="B44" s="32"/>
      <c r="G44" s="39">
        <v>753885</v>
      </c>
      <c r="H44" s="38">
        <f>G44/$G$104*100</f>
        <v>0.36928971658892207</v>
      </c>
      <c r="I44" s="50"/>
      <c r="J44" s="50"/>
    </row>
    <row r="45" spans="1:10" x14ac:dyDescent="0.2">
      <c r="A45" s="36" t="s">
        <v>21</v>
      </c>
      <c r="B45" s="36"/>
      <c r="G45" s="39">
        <v>725090</v>
      </c>
      <c r="H45" s="38">
        <f>G45/$G$104*100</f>
        <v>0.35518451833033093</v>
      </c>
      <c r="I45" s="50"/>
      <c r="J45" s="50"/>
    </row>
    <row r="46" spans="1:10" x14ac:dyDescent="0.2">
      <c r="A46" s="36" t="s">
        <v>22</v>
      </c>
      <c r="B46" s="32"/>
      <c r="G46" s="39">
        <v>1881710</v>
      </c>
      <c r="H46" s="38">
        <f>G46/$G$104*100</f>
        <v>0.9217535202352356</v>
      </c>
      <c r="I46" s="50"/>
      <c r="J46" s="50"/>
    </row>
    <row r="47" spans="1:10" x14ac:dyDescent="0.2">
      <c r="A47" s="36" t="s">
        <v>23</v>
      </c>
      <c r="B47" s="32"/>
      <c r="G47" s="39">
        <v>2562404</v>
      </c>
      <c r="H47" s="45">
        <f>G47/$G$104*100</f>
        <v>1.2551907080606728</v>
      </c>
      <c r="I47" s="50"/>
      <c r="J47" s="50"/>
    </row>
    <row r="48" spans="1:10" x14ac:dyDescent="0.2">
      <c r="A48" s="36" t="s">
        <v>24</v>
      </c>
      <c r="B48" s="32"/>
      <c r="G48" s="46">
        <f>SUM(G44:G47)</f>
        <v>5923089</v>
      </c>
      <c r="H48" s="38">
        <f>G48/$G$104*100</f>
        <v>2.9014184632151614</v>
      </c>
      <c r="I48" s="50"/>
      <c r="J48" s="50"/>
    </row>
    <row r="49" spans="1:10" x14ac:dyDescent="0.2">
      <c r="A49" s="36"/>
      <c r="B49" s="32"/>
      <c r="G49" s="39"/>
      <c r="H49" s="35"/>
      <c r="I49" s="50"/>
      <c r="J49" s="50"/>
    </row>
    <row r="50" spans="1:10" ht="13.5" thickBot="1" x14ac:dyDescent="0.25">
      <c r="A50" s="36" t="s">
        <v>25</v>
      </c>
      <c r="B50" s="32"/>
      <c r="G50" s="47">
        <f>SUM(G36,G41,G48)</f>
        <v>147260846</v>
      </c>
      <c r="H50" s="48">
        <f>G50/$G$104*100</f>
        <v>72.135559248406452</v>
      </c>
      <c r="I50" s="50"/>
      <c r="J50" s="50"/>
    </row>
    <row r="51" spans="1:10" ht="13.5" thickBot="1" x14ac:dyDescent="0.25">
      <c r="A51" s="36"/>
      <c r="B51" s="32"/>
      <c r="G51" s="32"/>
      <c r="H51" s="33"/>
      <c r="I51" s="50"/>
      <c r="J51" s="50"/>
    </row>
    <row r="52" spans="1:10" x14ac:dyDescent="0.2">
      <c r="A52" s="36"/>
      <c r="B52" s="32"/>
      <c r="G52" s="361" t="s">
        <v>99</v>
      </c>
      <c r="H52" s="362"/>
      <c r="I52" s="50"/>
      <c r="J52" s="50"/>
    </row>
    <row r="53" spans="1:10" x14ac:dyDescent="0.2">
      <c r="G53" s="363" t="s">
        <v>100</v>
      </c>
      <c r="H53" s="364"/>
      <c r="I53" s="50"/>
      <c r="J53" s="50"/>
    </row>
    <row r="54" spans="1:10" x14ac:dyDescent="0.2">
      <c r="G54" s="359">
        <v>38908</v>
      </c>
      <c r="H54" s="360"/>
      <c r="I54" s="50"/>
      <c r="J54" s="50"/>
    </row>
    <row r="55" spans="1:10" x14ac:dyDescent="0.2">
      <c r="G55" s="29" t="s">
        <v>0</v>
      </c>
      <c r="H55" s="30" t="s">
        <v>1</v>
      </c>
      <c r="I55" s="50"/>
      <c r="J55" s="50"/>
    </row>
    <row r="56" spans="1:10" ht="18" x14ac:dyDescent="0.25">
      <c r="A56" s="43" t="s">
        <v>26</v>
      </c>
      <c r="B56" s="32"/>
      <c r="G56" s="39"/>
      <c r="H56" s="35"/>
      <c r="I56" s="50"/>
      <c r="J56" s="50"/>
    </row>
    <row r="57" spans="1:10" x14ac:dyDescent="0.2">
      <c r="A57" s="36" t="s">
        <v>27</v>
      </c>
      <c r="B57" s="32"/>
      <c r="G57" s="39">
        <v>2883891</v>
      </c>
      <c r="H57" s="38">
        <f t="shared" ref="H57:H64" si="2">G57/$G$104*100</f>
        <v>1.4126707522544462</v>
      </c>
      <c r="I57" s="50"/>
      <c r="J57" s="50"/>
    </row>
    <row r="58" spans="1:10" x14ac:dyDescent="0.2">
      <c r="A58" s="36" t="s">
        <v>28</v>
      </c>
      <c r="B58" s="32"/>
      <c r="G58" s="39">
        <v>1325942</v>
      </c>
      <c r="H58" s="38">
        <f t="shared" si="2"/>
        <v>0.6495111925470709</v>
      </c>
      <c r="I58" s="50"/>
      <c r="J58" s="50"/>
    </row>
    <row r="59" spans="1:10" x14ac:dyDescent="0.2">
      <c r="A59" s="36" t="s">
        <v>29</v>
      </c>
      <c r="B59" s="32"/>
      <c r="G59" s="39">
        <v>10034467</v>
      </c>
      <c r="H59" s="38">
        <f t="shared" si="2"/>
        <v>4.9153723373603286</v>
      </c>
      <c r="I59" s="50"/>
      <c r="J59" s="50"/>
    </row>
    <row r="60" spans="1:10" x14ac:dyDescent="0.2">
      <c r="A60" s="36" t="s">
        <v>49</v>
      </c>
      <c r="B60" s="32"/>
      <c r="G60" s="39">
        <v>4692951</v>
      </c>
      <c r="H60" s="38">
        <f t="shared" si="2"/>
        <v>2.2988367519657489</v>
      </c>
      <c r="I60" s="50"/>
      <c r="J60" s="50"/>
    </row>
    <row r="61" spans="1:10" x14ac:dyDescent="0.2">
      <c r="A61" s="36" t="s">
        <v>30</v>
      </c>
      <c r="B61" s="32"/>
      <c r="G61" s="39">
        <v>4038932</v>
      </c>
      <c r="H61" s="38">
        <f t="shared" si="2"/>
        <v>1.9784662827910466</v>
      </c>
      <c r="I61" s="50"/>
      <c r="J61" s="50"/>
    </row>
    <row r="62" spans="1:10" x14ac:dyDescent="0.2">
      <c r="A62" s="36" t="s">
        <v>70</v>
      </c>
      <c r="B62" s="32"/>
      <c r="G62" s="39">
        <v>1225472</v>
      </c>
      <c r="H62" s="38">
        <f t="shared" si="2"/>
        <v>0.6002960764143862</v>
      </c>
    </row>
    <row r="63" spans="1:10" x14ac:dyDescent="0.2">
      <c r="A63" s="36" t="s">
        <v>14</v>
      </c>
      <c r="B63" s="32"/>
      <c r="G63" s="49">
        <v>182060</v>
      </c>
      <c r="H63" s="45">
        <f t="shared" si="2"/>
        <v>8.9181885568991509E-2</v>
      </c>
    </row>
    <row r="64" spans="1:10" x14ac:dyDescent="0.2">
      <c r="B64" s="32"/>
      <c r="G64" s="37">
        <f>SUM(G57:G63)</f>
        <v>24383715</v>
      </c>
      <c r="H64" s="38">
        <f t="shared" si="2"/>
        <v>11.944335278902019</v>
      </c>
    </row>
    <row r="65" spans="1:8" x14ac:dyDescent="0.2">
      <c r="A65" s="36"/>
      <c r="B65" s="32"/>
      <c r="G65" s="39"/>
      <c r="H65" s="35"/>
    </row>
    <row r="66" spans="1:8" ht="18" x14ac:dyDescent="0.25">
      <c r="A66" s="43" t="s">
        <v>31</v>
      </c>
      <c r="B66" s="32"/>
      <c r="G66" s="39"/>
      <c r="H66" s="35"/>
    </row>
    <row r="67" spans="1:8" x14ac:dyDescent="0.2">
      <c r="A67" s="36" t="s">
        <v>50</v>
      </c>
      <c r="B67" s="32"/>
      <c r="G67" s="39">
        <v>955715</v>
      </c>
      <c r="H67" s="38">
        <f>G67/$G$104*100</f>
        <v>0.46815591435004233</v>
      </c>
    </row>
    <row r="68" spans="1:8" x14ac:dyDescent="0.2">
      <c r="A68" s="36" t="s">
        <v>33</v>
      </c>
      <c r="B68" s="32"/>
      <c r="G68" s="39">
        <v>750280</v>
      </c>
      <c r="H68" s="38">
        <f>G68/$G$104*100</f>
        <v>0.36752381140669527</v>
      </c>
    </row>
    <row r="69" spans="1:8" x14ac:dyDescent="0.2">
      <c r="A69" s="36" t="s">
        <v>34</v>
      </c>
      <c r="B69" s="32"/>
      <c r="G69" s="39">
        <v>44852</v>
      </c>
      <c r="H69" s="38">
        <f>G69/$G$104*100</f>
        <v>2.1970701590357061E-2</v>
      </c>
    </row>
    <row r="70" spans="1:8" x14ac:dyDescent="0.2">
      <c r="A70" s="36" t="s">
        <v>14</v>
      </c>
      <c r="B70" s="32"/>
      <c r="G70" s="49">
        <v>25323</v>
      </c>
      <c r="H70" s="45">
        <f>G70/$G$104*100</f>
        <v>1.2404442976291178E-2</v>
      </c>
    </row>
    <row r="71" spans="1:8" x14ac:dyDescent="0.2">
      <c r="B71" s="32"/>
      <c r="G71" s="37">
        <f>SUM(G67:G70)</f>
        <v>1776170</v>
      </c>
      <c r="H71" s="38">
        <f>G71/$G$104*100</f>
        <v>0.87005487032338591</v>
      </c>
    </row>
    <row r="72" spans="1:8" x14ac:dyDescent="0.2">
      <c r="A72" s="36"/>
      <c r="B72" s="32"/>
      <c r="G72" s="39"/>
      <c r="H72" s="35"/>
    </row>
    <row r="73" spans="1:8" ht="18" x14ac:dyDescent="0.25">
      <c r="A73" s="43" t="s">
        <v>51</v>
      </c>
      <c r="B73" s="32"/>
      <c r="G73" s="39"/>
      <c r="H73" s="35"/>
    </row>
    <row r="74" spans="1:8" x14ac:dyDescent="0.2">
      <c r="A74" s="36" t="s">
        <v>52</v>
      </c>
      <c r="B74" s="32"/>
      <c r="G74" s="39">
        <v>2275993</v>
      </c>
      <c r="H74" s="38">
        <f t="shared" ref="H74:H79" si="3">G74/$G$104*100</f>
        <v>1.1148926028882</v>
      </c>
    </row>
    <row r="75" spans="1:8" x14ac:dyDescent="0.2">
      <c r="A75" s="36" t="s">
        <v>53</v>
      </c>
      <c r="B75" s="32"/>
      <c r="G75" s="39">
        <v>647200</v>
      </c>
      <c r="H75" s="38">
        <f t="shared" si="3"/>
        <v>0.31703018971905578</v>
      </c>
    </row>
    <row r="76" spans="1:8" x14ac:dyDescent="0.2">
      <c r="A76" s="36" t="s">
        <v>54</v>
      </c>
      <c r="B76" s="32"/>
      <c r="G76" s="39">
        <v>82756</v>
      </c>
      <c r="H76" s="38">
        <f t="shared" si="3"/>
        <v>4.0537933220627598E-2</v>
      </c>
    </row>
    <row r="77" spans="1:8" x14ac:dyDescent="0.2">
      <c r="A77" s="36" t="s">
        <v>94</v>
      </c>
      <c r="B77" s="32"/>
      <c r="G77" s="39">
        <v>438146</v>
      </c>
      <c r="H77" s="38">
        <f t="shared" si="3"/>
        <v>0.21462532370927911</v>
      </c>
    </row>
    <row r="78" spans="1:8" x14ac:dyDescent="0.2">
      <c r="A78" s="36" t="s">
        <v>14</v>
      </c>
      <c r="B78" s="32"/>
      <c r="G78" s="49">
        <v>59321</v>
      </c>
      <c r="H78" s="45">
        <f t="shared" si="3"/>
        <v>2.9058324913974212E-2</v>
      </c>
    </row>
    <row r="79" spans="1:8" x14ac:dyDescent="0.2">
      <c r="A79" s="36" t="s">
        <v>25</v>
      </c>
      <c r="B79" s="32"/>
      <c r="G79" s="37">
        <f>SUM(G74:G78)</f>
        <v>3503416</v>
      </c>
      <c r="H79" s="38">
        <f t="shared" si="3"/>
        <v>1.7161443744511364</v>
      </c>
    </row>
    <row r="80" spans="1:8" x14ac:dyDescent="0.2">
      <c r="A80" s="36"/>
      <c r="B80" s="32"/>
      <c r="G80" s="39"/>
      <c r="H80" s="35"/>
    </row>
    <row r="81" spans="1:8" ht="18" x14ac:dyDescent="0.25">
      <c r="A81" s="43" t="s">
        <v>47</v>
      </c>
      <c r="B81" s="32"/>
      <c r="G81" s="39"/>
      <c r="H81" s="35"/>
    </row>
    <row r="82" spans="1:8" x14ac:dyDescent="0.2">
      <c r="A82" s="36" t="s">
        <v>32</v>
      </c>
      <c r="B82" s="32"/>
      <c r="G82" s="39">
        <v>3073447</v>
      </c>
      <c r="H82" s="38">
        <f>G82/$G$104*100</f>
        <v>1.5055245449651775</v>
      </c>
    </row>
    <row r="83" spans="1:8" x14ac:dyDescent="0.2">
      <c r="A83" s="36" t="s">
        <v>14</v>
      </c>
      <c r="B83" s="32"/>
      <c r="G83" s="49">
        <v>0</v>
      </c>
      <c r="H83" s="45">
        <f>G83/$G$104*100</f>
        <v>0</v>
      </c>
    </row>
    <row r="84" spans="1:8" x14ac:dyDescent="0.2">
      <c r="A84" s="36" t="s">
        <v>25</v>
      </c>
      <c r="B84" s="32"/>
      <c r="G84" s="37">
        <f>SUM(G82:G83)</f>
        <v>3073447</v>
      </c>
      <c r="H84" s="38">
        <f>G84/$G$104*100</f>
        <v>1.5055245449651775</v>
      </c>
    </row>
    <row r="85" spans="1:8" x14ac:dyDescent="0.2">
      <c r="A85" s="36"/>
      <c r="B85" s="32"/>
      <c r="G85" s="39"/>
      <c r="H85" s="35"/>
    </row>
    <row r="86" spans="1:8" ht="18" x14ac:dyDescent="0.25">
      <c r="A86" s="43" t="s">
        <v>35</v>
      </c>
      <c r="B86" s="32"/>
      <c r="G86" s="39"/>
      <c r="H86" s="35"/>
    </row>
    <row r="87" spans="1:8" x14ac:dyDescent="0.2">
      <c r="A87" s="36" t="s">
        <v>35</v>
      </c>
      <c r="B87" s="32"/>
      <c r="G87" s="49">
        <v>3498035</v>
      </c>
      <c r="H87" s="45">
        <f>G87/$G$104*100</f>
        <v>1.7135084976728947</v>
      </c>
    </row>
    <row r="88" spans="1:8" x14ac:dyDescent="0.2">
      <c r="A88" s="36" t="s">
        <v>25</v>
      </c>
      <c r="B88" s="32"/>
      <c r="G88" s="37">
        <f>G87</f>
        <v>3498035</v>
      </c>
      <c r="H88" s="38">
        <f>G88/$G$104*100</f>
        <v>1.7135084976728947</v>
      </c>
    </row>
    <row r="89" spans="1:8" x14ac:dyDescent="0.2">
      <c r="A89" s="36"/>
      <c r="B89" s="32"/>
      <c r="G89" s="39"/>
      <c r="H89" s="35"/>
    </row>
    <row r="90" spans="1:8" ht="18" x14ac:dyDescent="0.25">
      <c r="A90" s="43" t="s">
        <v>36</v>
      </c>
      <c r="B90" s="32"/>
      <c r="G90" s="39"/>
      <c r="H90" s="35"/>
    </row>
    <row r="91" spans="1:8" x14ac:dyDescent="0.2">
      <c r="A91" s="36" t="s">
        <v>37</v>
      </c>
      <c r="B91" s="32"/>
      <c r="G91" s="39">
        <v>3147981</v>
      </c>
      <c r="H91" s="38">
        <f t="shared" ref="H91:H99" si="4">G91/$G$104*100</f>
        <v>1.5420349407632616</v>
      </c>
    </row>
    <row r="92" spans="1:8" x14ac:dyDescent="0.2">
      <c r="A92" s="36" t="s">
        <v>38</v>
      </c>
      <c r="B92" s="32"/>
      <c r="G92" s="39">
        <v>6058293</v>
      </c>
      <c r="H92" s="38">
        <f t="shared" si="4"/>
        <v>2.967647990055049</v>
      </c>
    </row>
    <row r="93" spans="1:8" x14ac:dyDescent="0.2">
      <c r="A93" s="36" t="s">
        <v>101</v>
      </c>
      <c r="B93" s="32"/>
      <c r="G93" s="39">
        <v>1853186</v>
      </c>
      <c r="H93" s="38">
        <f t="shared" si="4"/>
        <v>0.90778107102085626</v>
      </c>
    </row>
    <row r="94" spans="1:8" x14ac:dyDescent="0.2">
      <c r="A94" s="36" t="s">
        <v>39</v>
      </c>
      <c r="B94" s="32"/>
      <c r="G94" s="39">
        <v>565300</v>
      </c>
      <c r="H94" s="38">
        <f t="shared" si="4"/>
        <v>0.27691156713254367</v>
      </c>
    </row>
    <row r="95" spans="1:8" x14ac:dyDescent="0.2">
      <c r="A95" s="36" t="s">
        <v>40</v>
      </c>
      <c r="B95" s="32"/>
      <c r="G95" s="39">
        <v>256550</v>
      </c>
      <c r="H95" s="38">
        <f t="shared" si="4"/>
        <v>0.12567072801672399</v>
      </c>
    </row>
    <row r="96" spans="1:8" x14ac:dyDescent="0.2">
      <c r="A96" s="36" t="s">
        <v>97</v>
      </c>
      <c r="B96" s="32"/>
      <c r="G96" s="39">
        <v>705060</v>
      </c>
      <c r="H96" s="38">
        <f t="shared" si="4"/>
        <v>0.34537284543157831</v>
      </c>
    </row>
    <row r="97" spans="1:8" ht="15" x14ac:dyDescent="0.2">
      <c r="A97" s="36" t="s">
        <v>41</v>
      </c>
      <c r="B97" s="40">
        <v>1</v>
      </c>
      <c r="G97" s="39">
        <v>5900000</v>
      </c>
      <c r="H97" s="38">
        <f t="shared" si="4"/>
        <v>2.8901083426180922</v>
      </c>
    </row>
    <row r="98" spans="1:8" x14ac:dyDescent="0.2">
      <c r="A98" s="36" t="s">
        <v>42</v>
      </c>
      <c r="B98" s="32"/>
      <c r="G98" s="49">
        <v>92041</v>
      </c>
      <c r="H98" s="45">
        <f t="shared" si="4"/>
        <v>4.5086179993713865E-2</v>
      </c>
    </row>
    <row r="99" spans="1:8" x14ac:dyDescent="0.2">
      <c r="A99" s="36" t="s">
        <v>43</v>
      </c>
      <c r="B99" s="32"/>
      <c r="G99" s="37">
        <f>SUM(G91:G98)</f>
        <v>18578411</v>
      </c>
      <c r="H99" s="38">
        <f t="shared" si="4"/>
        <v>9.100613665031819</v>
      </c>
    </row>
    <row r="100" spans="1:8" x14ac:dyDescent="0.2">
      <c r="A100" s="36"/>
      <c r="B100" s="32"/>
      <c r="G100" s="39"/>
      <c r="H100" s="38"/>
    </row>
    <row r="101" spans="1:8" ht="15" x14ac:dyDescent="0.2">
      <c r="A101" s="36" t="s">
        <v>44</v>
      </c>
      <c r="B101" s="40"/>
      <c r="G101" s="49">
        <v>2070556</v>
      </c>
      <c r="H101" s="45">
        <f>G101/$G$104*100</f>
        <v>1.0142595202471096</v>
      </c>
    </row>
    <row r="102" spans="1:8" x14ac:dyDescent="0.2">
      <c r="A102" s="36" t="s">
        <v>45</v>
      </c>
      <c r="B102" s="32"/>
      <c r="G102" s="37">
        <f>G99+G101</f>
        <v>20648967</v>
      </c>
      <c r="H102" s="38">
        <f>G102/$G$104*100</f>
        <v>10.114873185278929</v>
      </c>
    </row>
    <row r="103" spans="1:8" x14ac:dyDescent="0.2">
      <c r="A103" s="36"/>
      <c r="B103" s="32"/>
      <c r="G103" s="39"/>
      <c r="H103" s="38"/>
    </row>
    <row r="104" spans="1:8" ht="13.5" thickBot="1" x14ac:dyDescent="0.25">
      <c r="A104" s="36" t="s">
        <v>46</v>
      </c>
      <c r="B104" s="32"/>
      <c r="G104" s="47">
        <f>G50+G64+G71+G79+G84+G88+G102</f>
        <v>204144596</v>
      </c>
      <c r="H104" s="48">
        <f>G104/$G$104*100</f>
        <v>100</v>
      </c>
    </row>
    <row r="105" spans="1:8" ht="15" x14ac:dyDescent="0.2">
      <c r="A105" s="36"/>
      <c r="B105" s="32"/>
      <c r="G105" s="55"/>
    </row>
    <row r="106" spans="1:8" ht="15" x14ac:dyDescent="0.2">
      <c r="A106" s="36"/>
      <c r="B106" s="32"/>
      <c r="G106" s="55"/>
    </row>
    <row r="107" spans="1:8" ht="15" x14ac:dyDescent="0.2">
      <c r="G107" s="55"/>
    </row>
    <row r="108" spans="1:8" ht="15" x14ac:dyDescent="0.2">
      <c r="G108" s="55"/>
    </row>
    <row r="109" spans="1:8" ht="15" x14ac:dyDescent="0.2">
      <c r="G109" s="55"/>
    </row>
    <row r="110" spans="1:8" ht="15" x14ac:dyDescent="0.2">
      <c r="G110" s="55"/>
    </row>
    <row r="111" spans="1:8" ht="15" x14ac:dyDescent="0.2">
      <c r="G111" s="55"/>
    </row>
    <row r="112" spans="1:8" x14ac:dyDescent="0.2">
      <c r="G112" s="32">
        <f>G15-G104</f>
        <v>0</v>
      </c>
    </row>
    <row r="113" spans="7:7" ht="15" x14ac:dyDescent="0.2">
      <c r="G113" s="55"/>
    </row>
    <row r="114" spans="7:7" ht="15" x14ac:dyDescent="0.2">
      <c r="G114" s="55"/>
    </row>
  </sheetData>
  <mergeCells count="8">
    <mergeCell ref="G54:H54"/>
    <mergeCell ref="G5:H5"/>
    <mergeCell ref="G52:H52"/>
    <mergeCell ref="G53:H53"/>
    <mergeCell ref="A1:H1"/>
    <mergeCell ref="A2:H2"/>
    <mergeCell ref="G3:H3"/>
    <mergeCell ref="G4:H4"/>
  </mergeCells>
  <pageMargins left="1" right="0.75" top="1" bottom="1" header="0.17" footer="0.19"/>
  <pageSetup scale="46" orientation="portrait" r:id="rId1"/>
  <headerFooter alignWithMargins="0">
    <oddFooter>&amp;L&amp;D</oddFooter>
  </headerFooter>
  <rowBreaks count="1" manualBreakCount="1">
    <brk id="50" max="16383" man="1"/>
  </rowBreaks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12"/>
  <sheetViews>
    <sheetView topLeftCell="A73" zoomScaleNormal="100" workbookViewId="0">
      <selection activeCell="G23" sqref="G23"/>
    </sheetView>
  </sheetViews>
  <sheetFormatPr defaultRowHeight="12.75" x14ac:dyDescent="0.2"/>
  <cols>
    <col min="1" max="1" width="42.109375" style="28" customWidth="1"/>
    <col min="2" max="2" width="1.21875" style="28" hidden="1" customWidth="1"/>
    <col min="3" max="6" width="8.88671875" style="28"/>
    <col min="7" max="7" width="13.44140625" style="28" bestFit="1" customWidth="1"/>
    <col min="8" max="16384" width="8.88671875" style="28"/>
  </cols>
  <sheetData>
    <row r="1" spans="1:8" ht="18.75" x14ac:dyDescent="0.3">
      <c r="A1" s="365" t="s">
        <v>106</v>
      </c>
      <c r="B1" s="365"/>
      <c r="C1" s="365"/>
      <c r="D1" s="365"/>
      <c r="E1" s="365"/>
      <c r="F1" s="365"/>
      <c r="G1" s="365"/>
      <c r="H1" s="365"/>
    </row>
    <row r="2" spans="1:8" ht="15.75" thickBot="1" x14ac:dyDescent="0.25">
      <c r="A2" s="366"/>
      <c r="B2" s="366"/>
      <c r="C2" s="366"/>
      <c r="D2" s="366"/>
      <c r="E2" s="366"/>
      <c r="F2" s="366"/>
      <c r="G2" s="366"/>
      <c r="H2" s="366"/>
    </row>
    <row r="3" spans="1:8" x14ac:dyDescent="0.2">
      <c r="G3" s="361" t="s">
        <v>99</v>
      </c>
      <c r="H3" s="362"/>
    </row>
    <row r="4" spans="1:8" x14ac:dyDescent="0.2">
      <c r="G4" s="363" t="s">
        <v>104</v>
      </c>
      <c r="H4" s="364"/>
    </row>
    <row r="5" spans="1:8" x14ac:dyDescent="0.2">
      <c r="G5" s="359">
        <v>39276</v>
      </c>
      <c r="H5" s="360"/>
    </row>
    <row r="6" spans="1:8" x14ac:dyDescent="0.2">
      <c r="G6" s="29" t="s">
        <v>0</v>
      </c>
      <c r="H6" s="30" t="s">
        <v>1</v>
      </c>
    </row>
    <row r="7" spans="1:8" ht="18.75" x14ac:dyDescent="0.3">
      <c r="A7" s="31" t="s">
        <v>2</v>
      </c>
      <c r="B7" s="32"/>
      <c r="G7" s="34"/>
      <c r="H7" s="35"/>
    </row>
    <row r="8" spans="1:8" x14ac:dyDescent="0.2">
      <c r="A8" s="36" t="s">
        <v>105</v>
      </c>
      <c r="B8" s="32"/>
      <c r="G8" s="37">
        <f>177641807+60600000</f>
        <v>238241807</v>
      </c>
      <c r="H8" s="38">
        <f>G8/$G$14*100</f>
        <v>108.43735541520616</v>
      </c>
    </row>
    <row r="9" spans="1:8" x14ac:dyDescent="0.2">
      <c r="A9" s="36" t="s">
        <v>82</v>
      </c>
      <c r="B9" s="32"/>
      <c r="G9" s="39">
        <v>-21900000</v>
      </c>
      <c r="H9" s="38">
        <f>G9/$G$14*100</f>
        <v>-9.9679317979359308</v>
      </c>
    </row>
    <row r="10" spans="1:8" x14ac:dyDescent="0.2">
      <c r="A10" s="36" t="s">
        <v>3</v>
      </c>
      <c r="B10" s="32"/>
      <c r="G10" s="37">
        <v>1200000</v>
      </c>
      <c r="H10" s="38">
        <f>G10/$G$14*100</f>
        <v>0.54618804372251673</v>
      </c>
    </row>
    <row r="11" spans="1:8" ht="15" x14ac:dyDescent="0.2">
      <c r="A11" s="36" t="s">
        <v>4</v>
      </c>
      <c r="B11" s="40">
        <v>2</v>
      </c>
      <c r="G11" s="37">
        <v>291000</v>
      </c>
      <c r="H11" s="38">
        <f>G11/$G$14*100</f>
        <v>0.1324506006027103</v>
      </c>
    </row>
    <row r="12" spans="1:8" ht="15" x14ac:dyDescent="0.2">
      <c r="A12" s="36" t="s">
        <v>5</v>
      </c>
      <c r="B12" s="40">
        <v>2</v>
      </c>
      <c r="G12" s="37">
        <v>1871746</v>
      </c>
      <c r="H12" s="38">
        <f>G12/$G$14*100</f>
        <v>0.85193773840453824</v>
      </c>
    </row>
    <row r="13" spans="1:8" x14ac:dyDescent="0.2">
      <c r="A13" s="36"/>
      <c r="B13" s="36"/>
      <c r="G13" s="41"/>
      <c r="H13" s="42"/>
    </row>
    <row r="14" spans="1:8" x14ac:dyDescent="0.2">
      <c r="A14" s="36" t="s">
        <v>6</v>
      </c>
      <c r="B14" s="32"/>
      <c r="G14" s="37">
        <f>SUM(G8:G12)</f>
        <v>219704553</v>
      </c>
      <c r="H14" s="38">
        <f>G14/$G$14*100</f>
        <v>100</v>
      </c>
    </row>
    <row r="15" spans="1:8" x14ac:dyDescent="0.2">
      <c r="G15" s="34"/>
      <c r="H15" s="35"/>
    </row>
    <row r="16" spans="1:8" ht="18.75" x14ac:dyDescent="0.3">
      <c r="A16" s="31" t="s">
        <v>7</v>
      </c>
      <c r="B16" s="32"/>
      <c r="G16" s="34"/>
      <c r="H16" s="35"/>
    </row>
    <row r="17" spans="1:10" ht="18" x14ac:dyDescent="0.25">
      <c r="A17" s="43" t="s">
        <v>8</v>
      </c>
      <c r="B17" s="32"/>
      <c r="G17" s="34"/>
      <c r="H17" s="35"/>
    </row>
    <row r="18" spans="1:10" ht="15" x14ac:dyDescent="0.2">
      <c r="A18" s="44" t="s">
        <v>9</v>
      </c>
      <c r="B18" s="32"/>
      <c r="G18" s="34"/>
      <c r="H18" s="35"/>
      <c r="I18" s="50"/>
      <c r="J18" s="50"/>
    </row>
    <row r="19" spans="1:10" x14ac:dyDescent="0.2">
      <c r="A19" s="36" t="s">
        <v>61</v>
      </c>
      <c r="B19" s="32"/>
      <c r="G19" s="39">
        <v>58223633</v>
      </c>
      <c r="H19" s="38">
        <f t="shared" ref="H19:H35" si="0">G19/$G$104*100</f>
        <v>26.500876838906471</v>
      </c>
      <c r="I19" s="50"/>
      <c r="J19" s="50"/>
    </row>
    <row r="20" spans="1:10" x14ac:dyDescent="0.2">
      <c r="A20" s="36" t="s">
        <v>58</v>
      </c>
      <c r="B20" s="32"/>
      <c r="G20" s="39">
        <v>14582834</v>
      </c>
      <c r="H20" s="38">
        <f t="shared" si="0"/>
        <v>6.6374746453251703</v>
      </c>
      <c r="I20" s="50"/>
      <c r="J20" s="50"/>
    </row>
    <row r="21" spans="1:10" ht="15" x14ac:dyDescent="0.2">
      <c r="A21" s="36" t="s">
        <v>60</v>
      </c>
      <c r="B21" s="40">
        <v>2</v>
      </c>
      <c r="G21" s="39">
        <v>9673022</v>
      </c>
      <c r="H21" s="38">
        <f t="shared" si="0"/>
        <v>4.4027408025540549</v>
      </c>
      <c r="I21" s="50"/>
      <c r="J21" s="50"/>
    </row>
    <row r="22" spans="1:10" x14ac:dyDescent="0.2">
      <c r="A22" s="36" t="s">
        <v>59</v>
      </c>
      <c r="B22" s="32"/>
      <c r="G22" s="39">
        <v>8267088</v>
      </c>
      <c r="H22" s="38">
        <f t="shared" si="0"/>
        <v>3.762820518334911</v>
      </c>
      <c r="I22" s="50"/>
      <c r="J22" s="50"/>
    </row>
    <row r="23" spans="1:10" x14ac:dyDescent="0.2">
      <c r="A23" s="36" t="s">
        <v>62</v>
      </c>
      <c r="B23" s="32"/>
      <c r="G23" s="39">
        <v>7102174</v>
      </c>
      <c r="H23" s="38">
        <f t="shared" si="0"/>
        <v>3.232602102697435</v>
      </c>
      <c r="I23" s="50"/>
      <c r="J23" s="50"/>
    </row>
    <row r="24" spans="1:10" x14ac:dyDescent="0.2">
      <c r="A24" s="36" t="s">
        <v>64</v>
      </c>
      <c r="B24" s="32"/>
      <c r="G24" s="39">
        <v>5636266</v>
      </c>
      <c r="H24" s="38">
        <f t="shared" si="0"/>
        <v>2.5653842503664452</v>
      </c>
      <c r="I24" s="50"/>
      <c r="J24" s="50"/>
    </row>
    <row r="25" spans="1:10" x14ac:dyDescent="0.2">
      <c r="A25" s="36" t="s">
        <v>73</v>
      </c>
      <c r="B25" s="32"/>
      <c r="G25" s="39">
        <v>6667734</v>
      </c>
      <c r="H25" s="38">
        <f t="shared" si="0"/>
        <v>3.0348638246017594</v>
      </c>
      <c r="I25" s="50"/>
      <c r="J25" s="50"/>
    </row>
    <row r="26" spans="1:10" x14ac:dyDescent="0.2">
      <c r="A26" s="36" t="s">
        <v>63</v>
      </c>
      <c r="B26" s="32"/>
      <c r="G26" s="39">
        <v>4733229</v>
      </c>
      <c r="H26" s="38">
        <f t="shared" si="0"/>
        <v>2.1543609066672369</v>
      </c>
      <c r="I26" s="50"/>
      <c r="J26" s="50"/>
    </row>
    <row r="27" spans="1:10" x14ac:dyDescent="0.2">
      <c r="A27" s="36" t="s">
        <v>71</v>
      </c>
      <c r="B27" s="32"/>
      <c r="G27" s="39">
        <v>1491234</v>
      </c>
      <c r="H27" s="38">
        <f t="shared" si="0"/>
        <v>0.67874515099375299</v>
      </c>
      <c r="I27" s="50"/>
      <c r="J27" s="50"/>
    </row>
    <row r="28" spans="1:10" x14ac:dyDescent="0.2">
      <c r="A28" s="36" t="s">
        <v>68</v>
      </c>
      <c r="B28" s="32"/>
      <c r="G28" s="39">
        <v>11506480</v>
      </c>
      <c r="H28" s="38">
        <f t="shared" si="0"/>
        <v>5.2372515011102205</v>
      </c>
      <c r="I28" s="50"/>
      <c r="J28" s="50"/>
    </row>
    <row r="29" spans="1:10" x14ac:dyDescent="0.2">
      <c r="A29" s="36" t="s">
        <v>66</v>
      </c>
      <c r="B29" s="32"/>
      <c r="G29" s="39">
        <v>9191292</v>
      </c>
      <c r="H29" s="38">
        <f t="shared" si="0"/>
        <v>4.1834781639686822</v>
      </c>
      <c r="I29" s="50"/>
      <c r="J29" s="50"/>
    </row>
    <row r="30" spans="1:10" x14ac:dyDescent="0.2">
      <c r="A30" s="36" t="s">
        <v>67</v>
      </c>
      <c r="B30" s="32"/>
      <c r="G30" s="39">
        <v>1212717</v>
      </c>
      <c r="H30" s="38">
        <f t="shared" si="0"/>
        <v>0.55197627151586615</v>
      </c>
      <c r="I30" s="50"/>
      <c r="J30" s="50"/>
    </row>
    <row r="31" spans="1:10" x14ac:dyDescent="0.2">
      <c r="A31" s="36" t="s">
        <v>86</v>
      </c>
      <c r="B31" s="32"/>
      <c r="G31" s="39">
        <v>0</v>
      </c>
      <c r="H31" s="38">
        <f t="shared" si="0"/>
        <v>0</v>
      </c>
      <c r="I31" s="50"/>
      <c r="J31" s="50"/>
    </row>
    <row r="32" spans="1:10" x14ac:dyDescent="0.2">
      <c r="A32" s="36" t="s">
        <v>12</v>
      </c>
      <c r="B32" s="32"/>
      <c r="G32" s="39">
        <v>1000</v>
      </c>
      <c r="H32" s="38">
        <f t="shared" si="0"/>
        <v>4.5515670310209729E-4</v>
      </c>
      <c r="I32" s="50"/>
      <c r="J32" s="50"/>
    </row>
    <row r="33" spans="1:10" x14ac:dyDescent="0.2">
      <c r="A33" s="36" t="s">
        <v>13</v>
      </c>
      <c r="B33" s="32"/>
      <c r="G33" s="39">
        <v>2641909</v>
      </c>
      <c r="H33" s="38">
        <f t="shared" si="0"/>
        <v>1.2024825903357588</v>
      </c>
      <c r="I33" s="50"/>
      <c r="J33" s="50"/>
    </row>
    <row r="34" spans="1:10" x14ac:dyDescent="0.2">
      <c r="A34" s="36" t="s">
        <v>14</v>
      </c>
      <c r="B34" s="32"/>
      <c r="G34" s="39">
        <v>239467</v>
      </c>
      <c r="H34" s="45">
        <f t="shared" si="0"/>
        <v>0.10899501022174993</v>
      </c>
      <c r="I34" s="50"/>
      <c r="J34" s="50"/>
    </row>
    <row r="35" spans="1:10" x14ac:dyDescent="0.2">
      <c r="A35" s="36" t="s">
        <v>15</v>
      </c>
      <c r="B35" s="32"/>
      <c r="G35" s="46">
        <f>SUM(G19:G34)</f>
        <v>141170079</v>
      </c>
      <c r="H35" s="38">
        <f t="shared" si="0"/>
        <v>64.254507734302621</v>
      </c>
      <c r="I35" s="50"/>
      <c r="J35" s="50"/>
    </row>
    <row r="36" spans="1:10" x14ac:dyDescent="0.2">
      <c r="A36" s="36"/>
      <c r="B36" s="32"/>
      <c r="G36" s="39"/>
      <c r="H36" s="35"/>
      <c r="I36" s="50"/>
      <c r="J36" s="50"/>
    </row>
    <row r="37" spans="1:10" ht="15" x14ac:dyDescent="0.2">
      <c r="A37" s="44" t="s">
        <v>16</v>
      </c>
      <c r="B37" s="32"/>
      <c r="G37" s="39"/>
      <c r="H37" s="35"/>
      <c r="I37" s="50"/>
      <c r="J37" s="50"/>
    </row>
    <row r="38" spans="1:10" x14ac:dyDescent="0.2">
      <c r="A38" s="36" t="s">
        <v>69</v>
      </c>
      <c r="B38" s="32"/>
      <c r="G38" s="39">
        <v>2548215</v>
      </c>
      <c r="H38" s="38">
        <f>G38/$G$104*100</f>
        <v>1.159837138195311</v>
      </c>
      <c r="I38" s="50"/>
      <c r="J38" s="50"/>
    </row>
    <row r="39" spans="1:10" x14ac:dyDescent="0.2">
      <c r="A39" s="36" t="s">
        <v>17</v>
      </c>
      <c r="B39" s="32"/>
      <c r="G39" s="39">
        <v>6510554</v>
      </c>
      <c r="H39" s="45">
        <f>G39/$G$104*100</f>
        <v>2.9633222940081718</v>
      </c>
      <c r="I39" s="50"/>
      <c r="J39" s="50"/>
    </row>
    <row r="40" spans="1:10" x14ac:dyDescent="0.2">
      <c r="A40" s="36" t="s">
        <v>18</v>
      </c>
      <c r="B40" s="32"/>
      <c r="G40" s="46">
        <f>SUM(G38:G39)</f>
        <v>9058769</v>
      </c>
      <c r="H40" s="38">
        <f>G40/$G$104*100</f>
        <v>4.123159432203483</v>
      </c>
      <c r="I40" s="50"/>
      <c r="J40" s="50"/>
    </row>
    <row r="41" spans="1:10" x14ac:dyDescent="0.2">
      <c r="A41" s="36"/>
      <c r="B41" s="32"/>
      <c r="G41" s="39"/>
      <c r="H41" s="35"/>
      <c r="I41" s="50"/>
      <c r="J41" s="50"/>
    </row>
    <row r="42" spans="1:10" ht="15" x14ac:dyDescent="0.2">
      <c r="A42" s="44" t="s">
        <v>65</v>
      </c>
      <c r="B42" s="32"/>
      <c r="G42" s="39"/>
      <c r="H42" s="35"/>
      <c r="I42" s="50"/>
      <c r="J42" s="50"/>
    </row>
    <row r="43" spans="1:10" x14ac:dyDescent="0.2">
      <c r="A43" s="36" t="s">
        <v>20</v>
      </c>
      <c r="B43" s="32"/>
      <c r="G43" s="39">
        <v>805509</v>
      </c>
      <c r="H43" s="38">
        <f>G43/$G$104*100</f>
        <v>0.36663282075906728</v>
      </c>
      <c r="I43" s="50"/>
      <c r="J43" s="50"/>
    </row>
    <row r="44" spans="1:10" x14ac:dyDescent="0.2">
      <c r="A44" s="36" t="s">
        <v>21</v>
      </c>
      <c r="B44" s="36"/>
      <c r="G44" s="39">
        <v>755435</v>
      </c>
      <c r="H44" s="38">
        <f>G44/$G$104*100</f>
        <v>0.34384130400793289</v>
      </c>
      <c r="I44" s="50"/>
      <c r="J44" s="50"/>
    </row>
    <row r="45" spans="1:10" x14ac:dyDescent="0.2">
      <c r="A45" s="36" t="s">
        <v>22</v>
      </c>
      <c r="B45" s="32"/>
      <c r="G45" s="39">
        <v>2158609</v>
      </c>
      <c r="H45" s="38">
        <f>G45/$G$104*100</f>
        <v>0.98250535572651509</v>
      </c>
      <c r="I45" s="50"/>
      <c r="J45" s="50"/>
    </row>
    <row r="46" spans="1:10" x14ac:dyDescent="0.2">
      <c r="A46" s="36" t="s">
        <v>23</v>
      </c>
      <c r="B46" s="32"/>
      <c r="G46" s="39">
        <v>2722222</v>
      </c>
      <c r="H46" s="45">
        <f>G46/$G$104*100</f>
        <v>1.2390375906319975</v>
      </c>
      <c r="I46" s="50"/>
      <c r="J46" s="50"/>
    </row>
    <row r="47" spans="1:10" x14ac:dyDescent="0.2">
      <c r="A47" s="36" t="s">
        <v>24</v>
      </c>
      <c r="B47" s="32"/>
      <c r="G47" s="46">
        <f>SUM(G43:G46)</f>
        <v>6441775</v>
      </c>
      <c r="H47" s="38">
        <f>G47/$G$104*100</f>
        <v>2.9320170711255127</v>
      </c>
      <c r="I47" s="50"/>
      <c r="J47" s="50"/>
    </row>
    <row r="48" spans="1:10" x14ac:dyDescent="0.2">
      <c r="A48" s="36"/>
      <c r="B48" s="32"/>
      <c r="G48" s="39"/>
      <c r="H48" s="35"/>
      <c r="I48" s="50"/>
      <c r="J48" s="50"/>
    </row>
    <row r="49" spans="1:10" ht="13.5" thickBot="1" x14ac:dyDescent="0.25">
      <c r="A49" s="36" t="s">
        <v>25</v>
      </c>
      <c r="B49" s="32"/>
      <c r="G49" s="47">
        <f>SUM(G35,G40,G47)</f>
        <v>156670623</v>
      </c>
      <c r="H49" s="48">
        <f>G49/$G$104*100</f>
        <v>71.309684237631615</v>
      </c>
      <c r="I49" s="50"/>
      <c r="J49" s="50"/>
    </row>
    <row r="50" spans="1:10" ht="13.5" thickBot="1" x14ac:dyDescent="0.25">
      <c r="A50" s="36"/>
      <c r="B50" s="32"/>
      <c r="G50" s="32"/>
      <c r="H50" s="33"/>
      <c r="I50" s="50"/>
      <c r="J50" s="50"/>
    </row>
    <row r="51" spans="1:10" x14ac:dyDescent="0.2">
      <c r="A51" s="36"/>
      <c r="B51" s="32"/>
      <c r="G51" s="361" t="str">
        <f>G3</f>
        <v>Proposed</v>
      </c>
      <c r="H51" s="362"/>
      <c r="I51" s="50"/>
      <c r="J51" s="50"/>
    </row>
    <row r="52" spans="1:10" x14ac:dyDescent="0.2">
      <c r="G52" s="363" t="s">
        <v>104</v>
      </c>
      <c r="H52" s="364"/>
      <c r="I52" s="50"/>
      <c r="J52" s="50"/>
    </row>
    <row r="53" spans="1:10" x14ac:dyDescent="0.2">
      <c r="G53" s="359">
        <v>39276</v>
      </c>
      <c r="H53" s="360"/>
      <c r="I53" s="50"/>
      <c r="J53" s="50"/>
    </row>
    <row r="54" spans="1:10" x14ac:dyDescent="0.2">
      <c r="G54" s="29" t="s">
        <v>0</v>
      </c>
      <c r="H54" s="30" t="s">
        <v>1</v>
      </c>
      <c r="I54" s="50"/>
      <c r="J54" s="50"/>
    </row>
    <row r="55" spans="1:10" ht="18" x14ac:dyDescent="0.25">
      <c r="A55" s="43" t="s">
        <v>26</v>
      </c>
      <c r="B55" s="32"/>
      <c r="G55" s="39"/>
      <c r="H55" s="35"/>
      <c r="I55" s="50"/>
      <c r="J55" s="50"/>
    </row>
    <row r="56" spans="1:10" x14ac:dyDescent="0.2">
      <c r="A56" s="36" t="s">
        <v>27</v>
      </c>
      <c r="B56" s="32"/>
      <c r="G56" s="39">
        <v>3255167</v>
      </c>
      <c r="H56" s="38">
        <f t="shared" ref="H56:H63" si="1">G56/$G$104*100</f>
        <v>1.4816110797667448</v>
      </c>
      <c r="I56" s="50"/>
      <c r="J56" s="50"/>
    </row>
    <row r="57" spans="1:10" x14ac:dyDescent="0.2">
      <c r="A57" s="36" t="s">
        <v>28</v>
      </c>
      <c r="B57" s="32"/>
      <c r="G57" s="39">
        <v>1616560</v>
      </c>
      <c r="H57" s="38">
        <f t="shared" si="1"/>
        <v>0.73578811996672633</v>
      </c>
      <c r="I57" s="50"/>
      <c r="J57" s="50"/>
    </row>
    <row r="58" spans="1:10" x14ac:dyDescent="0.2">
      <c r="A58" s="36" t="s">
        <v>29</v>
      </c>
      <c r="B58" s="32"/>
      <c r="G58" s="39">
        <v>10971050</v>
      </c>
      <c r="H58" s="38">
        <f t="shared" si="1"/>
        <v>4.9935469475682641</v>
      </c>
      <c r="I58" s="50"/>
      <c r="J58" s="50"/>
    </row>
    <row r="59" spans="1:10" x14ac:dyDescent="0.2">
      <c r="A59" s="36" t="s">
        <v>49</v>
      </c>
      <c r="B59" s="32"/>
      <c r="G59" s="39">
        <v>5047880</v>
      </c>
      <c r="H59" s="38">
        <f t="shared" si="1"/>
        <v>2.2975764184550149</v>
      </c>
      <c r="I59" s="50"/>
      <c r="J59" s="50"/>
    </row>
    <row r="60" spans="1:10" x14ac:dyDescent="0.2">
      <c r="A60" s="36" t="s">
        <v>30</v>
      </c>
      <c r="B60" s="32"/>
      <c r="G60" s="39">
        <v>4471993</v>
      </c>
      <c r="H60" s="38">
        <f t="shared" si="1"/>
        <v>2.0354575901756577</v>
      </c>
      <c r="I60" s="50"/>
      <c r="J60" s="50"/>
    </row>
    <row r="61" spans="1:10" x14ac:dyDescent="0.2">
      <c r="A61" s="36" t="s">
        <v>70</v>
      </c>
      <c r="B61" s="32"/>
      <c r="G61" s="39">
        <v>840835</v>
      </c>
      <c r="H61" s="38">
        <f t="shared" si="1"/>
        <v>0.38271168645285197</v>
      </c>
    </row>
    <row r="62" spans="1:10" x14ac:dyDescent="0.2">
      <c r="A62" s="36" t="s">
        <v>14</v>
      </c>
      <c r="B62" s="32"/>
      <c r="G62" s="49">
        <v>161125</v>
      </c>
      <c r="H62" s="45">
        <f t="shared" si="1"/>
        <v>7.3337123787325431E-2</v>
      </c>
    </row>
    <row r="63" spans="1:10" x14ac:dyDescent="0.2">
      <c r="A63" s="36" t="s">
        <v>25</v>
      </c>
      <c r="B63" s="32"/>
      <c r="G63" s="37">
        <f>SUM(G56:G62)</f>
        <v>26364610</v>
      </c>
      <c r="H63" s="38">
        <f t="shared" si="1"/>
        <v>12.000028966172586</v>
      </c>
    </row>
    <row r="64" spans="1:10" x14ac:dyDescent="0.2">
      <c r="A64" s="36"/>
      <c r="B64" s="32"/>
      <c r="G64" s="39"/>
      <c r="H64" s="35"/>
    </row>
    <row r="65" spans="1:8" ht="18" x14ac:dyDescent="0.25">
      <c r="A65" s="43" t="s">
        <v>31</v>
      </c>
      <c r="B65" s="32"/>
      <c r="G65" s="39"/>
      <c r="H65" s="35"/>
    </row>
    <row r="66" spans="1:8" x14ac:dyDescent="0.2">
      <c r="A66" s="36" t="s">
        <v>52</v>
      </c>
      <c r="B66" s="32"/>
      <c r="G66" s="39">
        <v>2406234</v>
      </c>
      <c r="H66" s="38">
        <f t="shared" ref="H66:H71" si="2">G66/$G$104*100</f>
        <v>1.0952135343321721</v>
      </c>
    </row>
    <row r="67" spans="1:8" x14ac:dyDescent="0.2">
      <c r="A67" s="36" t="s">
        <v>50</v>
      </c>
      <c r="B67" s="32"/>
      <c r="G67" s="39">
        <v>1147115</v>
      </c>
      <c r="H67" s="38">
        <f t="shared" si="2"/>
        <v>0.52211708147896241</v>
      </c>
    </row>
    <row r="68" spans="1:8" x14ac:dyDescent="0.2">
      <c r="A68" s="36" t="s">
        <v>33</v>
      </c>
      <c r="B68" s="32"/>
      <c r="G68" s="39">
        <v>750280</v>
      </c>
      <c r="H68" s="38">
        <f t="shared" si="2"/>
        <v>0.34149497120344152</v>
      </c>
    </row>
    <row r="69" spans="1:8" x14ac:dyDescent="0.2">
      <c r="A69" s="36" t="s">
        <v>34</v>
      </c>
      <c r="B69" s="32"/>
      <c r="G69" s="39">
        <v>44916</v>
      </c>
      <c r="H69" s="38">
        <f t="shared" si="2"/>
        <v>2.0443818476533801E-2</v>
      </c>
    </row>
    <row r="70" spans="1:8" x14ac:dyDescent="0.2">
      <c r="A70" s="36" t="s">
        <v>14</v>
      </c>
      <c r="B70" s="32"/>
      <c r="G70" s="49">
        <v>25323</v>
      </c>
      <c r="H70" s="45">
        <f t="shared" si="2"/>
        <v>1.152593319265441E-2</v>
      </c>
    </row>
    <row r="71" spans="1:8" x14ac:dyDescent="0.2">
      <c r="A71" s="36" t="s">
        <v>25</v>
      </c>
      <c r="B71" s="32"/>
      <c r="G71" s="37">
        <f>SUM(G66:G70)</f>
        <v>4373868</v>
      </c>
      <c r="H71" s="38">
        <f t="shared" si="2"/>
        <v>1.990795338683764</v>
      </c>
    </row>
    <row r="72" spans="1:8" x14ac:dyDescent="0.2">
      <c r="A72" s="36"/>
      <c r="B72" s="32"/>
      <c r="G72" s="39"/>
      <c r="H72" s="35"/>
    </row>
    <row r="73" spans="1:8" ht="18" x14ac:dyDescent="0.25">
      <c r="A73" s="43" t="s">
        <v>103</v>
      </c>
      <c r="B73" s="32"/>
      <c r="G73" s="39"/>
      <c r="H73" s="35"/>
    </row>
    <row r="74" spans="1:8" x14ac:dyDescent="0.2">
      <c r="A74" s="36" t="s">
        <v>54</v>
      </c>
      <c r="B74" s="32"/>
      <c r="G74" s="39">
        <v>86498</v>
      </c>
      <c r="H74" s="38">
        <f>G74/$G$104*100</f>
        <v>3.9370144504925209E-2</v>
      </c>
    </row>
    <row r="75" spans="1:8" x14ac:dyDescent="0.2">
      <c r="A75" s="36" t="s">
        <v>88</v>
      </c>
      <c r="B75" s="32"/>
      <c r="G75" s="39">
        <v>466712</v>
      </c>
      <c r="H75" s="38">
        <f>G75/$G$104*100</f>
        <v>0.21242709521818604</v>
      </c>
    </row>
    <row r="76" spans="1:8" x14ac:dyDescent="0.2">
      <c r="A76" s="36" t="s">
        <v>102</v>
      </c>
      <c r="B76" s="32"/>
      <c r="G76" s="39">
        <v>84650</v>
      </c>
      <c r="H76" s="38">
        <f>G76/$G$104*100</f>
        <v>3.8529014917592537E-2</v>
      </c>
    </row>
    <row r="77" spans="1:8" x14ac:dyDescent="0.2">
      <c r="A77" s="36" t="s">
        <v>14</v>
      </c>
      <c r="B77" s="32"/>
      <c r="G77" s="49">
        <v>55321</v>
      </c>
      <c r="H77" s="45">
        <f>G77/$G$104*100</f>
        <v>2.5179723972311125E-2</v>
      </c>
    </row>
    <row r="78" spans="1:8" x14ac:dyDescent="0.2">
      <c r="A78" s="36" t="s">
        <v>25</v>
      </c>
      <c r="B78" s="32"/>
      <c r="G78" s="37">
        <f>SUM(G74:G77)</f>
        <v>693181</v>
      </c>
      <c r="H78" s="38">
        <f>G78/$G$104*100</f>
        <v>0.31550597861301494</v>
      </c>
    </row>
    <row r="79" spans="1:8" x14ac:dyDescent="0.2">
      <c r="A79" s="36"/>
      <c r="B79" s="32"/>
      <c r="G79" s="39"/>
      <c r="H79" s="35"/>
    </row>
    <row r="80" spans="1:8" ht="18" x14ac:dyDescent="0.25">
      <c r="A80" s="43" t="s">
        <v>47</v>
      </c>
      <c r="B80" s="32"/>
      <c r="G80" s="39"/>
      <c r="H80" s="35"/>
    </row>
    <row r="81" spans="1:8" x14ac:dyDescent="0.2">
      <c r="A81" s="36" t="s">
        <v>32</v>
      </c>
      <c r="B81" s="32"/>
      <c r="G81" s="39">
        <v>3725266</v>
      </c>
      <c r="H81" s="38">
        <f>G81/$G$104*100</f>
        <v>1.6955797907383374</v>
      </c>
    </row>
    <row r="82" spans="1:8" x14ac:dyDescent="0.2">
      <c r="A82" s="36" t="s">
        <v>94</v>
      </c>
      <c r="B82" s="32"/>
      <c r="G82" s="49">
        <v>449985</v>
      </c>
      <c r="H82" s="45">
        <f>G82/$G$104*100</f>
        <v>0.20481368904539726</v>
      </c>
    </row>
    <row r="83" spans="1:8" x14ac:dyDescent="0.2">
      <c r="A83" s="36" t="s">
        <v>25</v>
      </c>
      <c r="B83" s="32"/>
      <c r="G83" s="37">
        <f>SUM(G81:G82)</f>
        <v>4175251</v>
      </c>
      <c r="H83" s="38">
        <f>G83/$G$104*100</f>
        <v>1.9003934797837347</v>
      </c>
    </row>
    <row r="84" spans="1:8" x14ac:dyDescent="0.2">
      <c r="A84" s="36"/>
      <c r="B84" s="32"/>
      <c r="G84" s="39"/>
      <c r="H84" s="35"/>
    </row>
    <row r="85" spans="1:8" ht="18" x14ac:dyDescent="0.25">
      <c r="A85" s="43" t="s">
        <v>35</v>
      </c>
      <c r="B85" s="32"/>
      <c r="G85" s="39"/>
      <c r="H85" s="35"/>
    </row>
    <row r="86" spans="1:8" x14ac:dyDescent="0.2">
      <c r="A86" s="36" t="s">
        <v>35</v>
      </c>
      <c r="B86" s="32"/>
      <c r="G86" s="39">
        <v>3352429</v>
      </c>
      <c r="H86" s="38">
        <f>G86/$G$104*100</f>
        <v>1.525880531023861</v>
      </c>
    </row>
    <row r="87" spans="1:8" x14ac:dyDescent="0.2">
      <c r="A87" s="36" t="s">
        <v>53</v>
      </c>
      <c r="B87" s="32"/>
      <c r="G87" s="49">
        <v>663487</v>
      </c>
      <c r="H87" s="45">
        <f>G87/$G$104*100</f>
        <v>0.30199055547110121</v>
      </c>
    </row>
    <row r="88" spans="1:8" x14ac:dyDescent="0.2">
      <c r="A88" s="36" t="s">
        <v>25</v>
      </c>
      <c r="B88" s="32"/>
      <c r="G88" s="37">
        <f>SUM(G86:G87)</f>
        <v>4015916</v>
      </c>
      <c r="H88" s="38">
        <f>G88/$G$104*100</f>
        <v>1.8278710864949623</v>
      </c>
    </row>
    <row r="89" spans="1:8" x14ac:dyDescent="0.2">
      <c r="A89" s="36"/>
      <c r="B89" s="32"/>
      <c r="G89" s="39"/>
      <c r="H89" s="35"/>
    </row>
    <row r="90" spans="1:8" ht="18" x14ac:dyDescent="0.25">
      <c r="A90" s="43" t="s">
        <v>36</v>
      </c>
      <c r="B90" s="32"/>
      <c r="G90" s="39"/>
      <c r="H90" s="35"/>
    </row>
    <row r="91" spans="1:8" x14ac:dyDescent="0.2">
      <c r="A91" s="36" t="s">
        <v>37</v>
      </c>
      <c r="B91" s="32"/>
      <c r="G91" s="39">
        <v>5547981</v>
      </c>
      <c r="H91" s="38">
        <f t="shared" ref="H91:H99" si="3">G91/$G$104*100</f>
        <v>2.525200740833077</v>
      </c>
    </row>
    <row r="92" spans="1:8" x14ac:dyDescent="0.2">
      <c r="A92" s="36" t="s">
        <v>38</v>
      </c>
      <c r="B92" s="32"/>
      <c r="G92" s="39">
        <v>5497125</v>
      </c>
      <c r="H92" s="38">
        <f t="shared" si="3"/>
        <v>2.5020532915401166</v>
      </c>
    </row>
    <row r="93" spans="1:8" x14ac:dyDescent="0.2">
      <c r="A93" s="36" t="s">
        <v>101</v>
      </c>
      <c r="B93" s="32"/>
      <c r="G93" s="39">
        <v>1988430</v>
      </c>
      <c r="H93" s="38">
        <f t="shared" si="3"/>
        <v>0.90504724314930329</v>
      </c>
    </row>
    <row r="94" spans="1:8" x14ac:dyDescent="0.2">
      <c r="A94" s="36" t="s">
        <v>39</v>
      </c>
      <c r="B94" s="32"/>
      <c r="G94" s="39">
        <v>565300</v>
      </c>
      <c r="H94" s="38">
        <f t="shared" si="3"/>
        <v>0.25730008426361561</v>
      </c>
    </row>
    <row r="95" spans="1:8" x14ac:dyDescent="0.2">
      <c r="A95" s="36" t="s">
        <v>40</v>
      </c>
      <c r="B95" s="32"/>
      <c r="G95" s="39">
        <v>256550</v>
      </c>
      <c r="H95" s="38">
        <f t="shared" si="3"/>
        <v>0.11677045218084306</v>
      </c>
    </row>
    <row r="96" spans="1:8" x14ac:dyDescent="0.2">
      <c r="A96" s="36" t="s">
        <v>97</v>
      </c>
      <c r="B96" s="32"/>
      <c r="G96" s="39">
        <v>671918</v>
      </c>
      <c r="H96" s="38">
        <f t="shared" si="3"/>
        <v>0.305827981634955</v>
      </c>
    </row>
    <row r="97" spans="1:8" ht="15" x14ac:dyDescent="0.2">
      <c r="A97" s="36" t="s">
        <v>41</v>
      </c>
      <c r="B97" s="40">
        <v>1</v>
      </c>
      <c r="G97" s="39">
        <v>6400000</v>
      </c>
      <c r="H97" s="38">
        <f t="shared" si="3"/>
        <v>2.9130028998534225</v>
      </c>
    </row>
    <row r="98" spans="1:8" x14ac:dyDescent="0.2">
      <c r="A98" s="36" t="s">
        <v>42</v>
      </c>
      <c r="B98" s="32"/>
      <c r="G98" s="49">
        <v>92041</v>
      </c>
      <c r="H98" s="45">
        <f t="shared" si="3"/>
        <v>4.1893078110220139E-2</v>
      </c>
    </row>
    <row r="99" spans="1:8" x14ac:dyDescent="0.2">
      <c r="A99" s="36" t="s">
        <v>43</v>
      </c>
      <c r="B99" s="32"/>
      <c r="G99" s="37">
        <f>SUM(G91:G98)</f>
        <v>21019345</v>
      </c>
      <c r="H99" s="38">
        <f t="shared" si="3"/>
        <v>9.5670957715655529</v>
      </c>
    </row>
    <row r="100" spans="1:8" x14ac:dyDescent="0.2">
      <c r="A100" s="36"/>
      <c r="B100" s="32"/>
      <c r="G100" s="39"/>
      <c r="H100" s="38"/>
    </row>
    <row r="101" spans="1:8" ht="15" x14ac:dyDescent="0.2">
      <c r="A101" s="36" t="s">
        <v>44</v>
      </c>
      <c r="B101" s="40"/>
      <c r="G101" s="49">
        <v>2391759</v>
      </c>
      <c r="H101" s="45">
        <f>G101/$G$104*100</f>
        <v>1.0886251410547692</v>
      </c>
    </row>
    <row r="102" spans="1:8" x14ac:dyDescent="0.2">
      <c r="A102" s="36" t="s">
        <v>45</v>
      </c>
      <c r="B102" s="32"/>
      <c r="G102" s="37">
        <f>G99+G101</f>
        <v>23411104</v>
      </c>
      <c r="H102" s="38">
        <f>G102/$G$104*100</f>
        <v>10.655720912620323</v>
      </c>
    </row>
    <row r="103" spans="1:8" x14ac:dyDescent="0.2">
      <c r="A103" s="36"/>
      <c r="B103" s="32"/>
      <c r="G103" s="39"/>
      <c r="H103" s="38"/>
    </row>
    <row r="104" spans="1:8" ht="13.5" thickBot="1" x14ac:dyDescent="0.25">
      <c r="A104" s="36" t="s">
        <v>46</v>
      </c>
      <c r="B104" s="32"/>
      <c r="G104" s="47">
        <f>G49+G63+G71+G78+G83+G88+G102</f>
        <v>219704553</v>
      </c>
      <c r="H104" s="48">
        <f>G104/$G$104*100</f>
        <v>100</v>
      </c>
    </row>
    <row r="105" spans="1:8" ht="15" x14ac:dyDescent="0.2">
      <c r="A105" s="36"/>
      <c r="B105" s="32"/>
      <c r="G105" s="55"/>
    </row>
    <row r="106" spans="1:8" x14ac:dyDescent="0.2">
      <c r="A106" s="36"/>
      <c r="B106" s="32"/>
      <c r="G106" s="57"/>
      <c r="H106" s="56"/>
    </row>
    <row r="107" spans="1:8" x14ac:dyDescent="0.2">
      <c r="G107" s="57"/>
      <c r="H107" s="56"/>
    </row>
    <row r="108" spans="1:8" ht="15" x14ac:dyDescent="0.2">
      <c r="G108" s="55"/>
    </row>
    <row r="109" spans="1:8" ht="15" x14ac:dyDescent="0.2">
      <c r="G109" s="55"/>
    </row>
    <row r="110" spans="1:8" x14ac:dyDescent="0.2">
      <c r="G110" s="32">
        <f>G14-G104</f>
        <v>0</v>
      </c>
    </row>
    <row r="111" spans="1:8" ht="15" x14ac:dyDescent="0.2">
      <c r="G111" s="55"/>
    </row>
    <row r="112" spans="1:8" ht="15" x14ac:dyDescent="0.2">
      <c r="G112" s="55"/>
    </row>
  </sheetData>
  <mergeCells count="8">
    <mergeCell ref="G53:H53"/>
    <mergeCell ref="G5:H5"/>
    <mergeCell ref="G51:H51"/>
    <mergeCell ref="G52:H52"/>
    <mergeCell ref="A1:H1"/>
    <mergeCell ref="A2:H2"/>
    <mergeCell ref="G3:H3"/>
    <mergeCell ref="G4:H4"/>
  </mergeCells>
  <printOptions horizontalCentered="1"/>
  <pageMargins left="1" right="0.75" top="0.8" bottom="1" header="0.17" footer="0.19"/>
  <pageSetup scale="90" orientation="portrait" r:id="rId1"/>
  <headerFooter alignWithMargins="0">
    <oddFooter>&amp;L&amp;D</oddFooter>
  </headerFooter>
  <rowBreaks count="1" manualBreakCount="1">
    <brk id="49" max="16383" man="1"/>
  </rowBreaks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06"/>
  <sheetViews>
    <sheetView topLeftCell="A78" zoomScaleNormal="100" workbookViewId="0">
      <selection activeCell="G27" sqref="G27"/>
    </sheetView>
  </sheetViews>
  <sheetFormatPr defaultRowHeight="12.75" x14ac:dyDescent="0.2"/>
  <cols>
    <col min="1" max="1" width="42.109375" style="28" customWidth="1"/>
    <col min="2" max="2" width="1.21875" style="28" hidden="1" customWidth="1"/>
    <col min="3" max="6" width="8.88671875" style="28"/>
    <col min="7" max="7" width="13.44140625" style="28" bestFit="1" customWidth="1"/>
    <col min="8" max="16384" width="8.88671875" style="28"/>
  </cols>
  <sheetData>
    <row r="1" spans="1:8" ht="18.75" x14ac:dyDescent="0.3">
      <c r="A1" s="365" t="s">
        <v>110</v>
      </c>
      <c r="B1" s="365"/>
      <c r="C1" s="365"/>
      <c r="D1" s="365"/>
      <c r="E1" s="365"/>
      <c r="F1" s="365"/>
      <c r="G1" s="365"/>
      <c r="H1" s="365"/>
    </row>
    <row r="2" spans="1:8" ht="15.75" thickBot="1" x14ac:dyDescent="0.25">
      <c r="A2" s="68"/>
      <c r="B2" s="54"/>
      <c r="C2" s="54"/>
      <c r="D2" s="54"/>
      <c r="E2" s="54"/>
      <c r="F2" s="54"/>
      <c r="G2" s="54"/>
      <c r="H2" s="54"/>
    </row>
    <row r="3" spans="1:8" x14ac:dyDescent="0.2">
      <c r="G3" s="361" t="s">
        <v>99</v>
      </c>
      <c r="H3" s="362"/>
    </row>
    <row r="4" spans="1:8" x14ac:dyDescent="0.2">
      <c r="G4" s="363" t="s">
        <v>107</v>
      </c>
      <c r="H4" s="364"/>
    </row>
    <row r="5" spans="1:8" x14ac:dyDescent="0.2">
      <c r="G5" s="359">
        <v>39647</v>
      </c>
      <c r="H5" s="360"/>
    </row>
    <row r="6" spans="1:8" x14ac:dyDescent="0.2">
      <c r="G6" s="29" t="s">
        <v>0</v>
      </c>
      <c r="H6" s="30" t="s">
        <v>1</v>
      </c>
    </row>
    <row r="7" spans="1:8" ht="18.75" x14ac:dyDescent="0.3">
      <c r="A7" s="31" t="s">
        <v>2</v>
      </c>
      <c r="B7" s="32"/>
      <c r="G7" s="34"/>
      <c r="H7" s="35"/>
    </row>
    <row r="8" spans="1:8" x14ac:dyDescent="0.2">
      <c r="A8" s="36" t="s">
        <v>55</v>
      </c>
      <c r="B8" s="32"/>
      <c r="G8" s="37">
        <v>198547995</v>
      </c>
      <c r="H8" s="38">
        <f t="shared" ref="H8:H13" si="0">G8/$G$15*100</f>
        <v>81.698775871692874</v>
      </c>
    </row>
    <row r="9" spans="1:8" x14ac:dyDescent="0.2">
      <c r="A9" s="36" t="s">
        <v>82</v>
      </c>
      <c r="B9" s="32"/>
      <c r="G9" s="39">
        <v>-22914205</v>
      </c>
      <c r="H9" s="38">
        <f t="shared" si="0"/>
        <v>-9.428765566597761</v>
      </c>
    </row>
    <row r="10" spans="1:8" x14ac:dyDescent="0.2">
      <c r="A10" s="36" t="s">
        <v>56</v>
      </c>
      <c r="B10" s="32"/>
      <c r="G10" s="37">
        <v>64021400</v>
      </c>
      <c r="H10" s="38">
        <f t="shared" si="0"/>
        <v>26.343605280889381</v>
      </c>
    </row>
    <row r="11" spans="1:8" x14ac:dyDescent="0.2">
      <c r="A11" s="36" t="s">
        <v>3</v>
      </c>
      <c r="B11" s="32"/>
      <c r="G11" s="37">
        <v>1200000</v>
      </c>
      <c r="H11" s="38">
        <f t="shared" si="0"/>
        <v>0.49377749216773226</v>
      </c>
    </row>
    <row r="12" spans="1:8" ht="15" x14ac:dyDescent="0.2">
      <c r="A12" s="36" t="s">
        <v>4</v>
      </c>
      <c r="B12" s="40">
        <v>2</v>
      </c>
      <c r="G12" s="37">
        <v>291000</v>
      </c>
      <c r="H12" s="38">
        <f t="shared" si="0"/>
        <v>0.11974104185067508</v>
      </c>
    </row>
    <row r="13" spans="1:8" ht="15" x14ac:dyDescent="0.2">
      <c r="A13" s="36" t="s">
        <v>5</v>
      </c>
      <c r="B13" s="40">
        <v>2</v>
      </c>
      <c r="G13" s="37">
        <v>1878253</v>
      </c>
      <c r="H13" s="38">
        <f t="shared" si="0"/>
        <v>0.77286587999709966</v>
      </c>
    </row>
    <row r="14" spans="1:8" x14ac:dyDescent="0.2">
      <c r="A14" s="36"/>
      <c r="B14" s="36"/>
      <c r="G14" s="41"/>
      <c r="H14" s="42"/>
    </row>
    <row r="15" spans="1:8" x14ac:dyDescent="0.2">
      <c r="A15" s="36" t="s">
        <v>6</v>
      </c>
      <c r="B15" s="32"/>
      <c r="G15" s="37">
        <f>SUM(G8:G13)</f>
        <v>243024443</v>
      </c>
      <c r="H15" s="38">
        <f>G15/$G$15*100</f>
        <v>100</v>
      </c>
    </row>
    <row r="16" spans="1:8" x14ac:dyDescent="0.2">
      <c r="G16" s="34"/>
      <c r="H16" s="35"/>
    </row>
    <row r="17" spans="1:12" ht="18.75" x14ac:dyDescent="0.3">
      <c r="A17" s="31" t="s">
        <v>7</v>
      </c>
      <c r="B17" s="32"/>
      <c r="G17" s="34"/>
      <c r="H17" s="35"/>
    </row>
    <row r="18" spans="1:12" ht="18" x14ac:dyDescent="0.25">
      <c r="A18" s="43" t="s">
        <v>8</v>
      </c>
      <c r="B18" s="32"/>
      <c r="G18" s="34"/>
      <c r="H18" s="35"/>
    </row>
    <row r="19" spans="1:12" x14ac:dyDescent="0.2">
      <c r="A19" s="36" t="s">
        <v>61</v>
      </c>
      <c r="B19" s="32"/>
      <c r="G19" s="39">
        <v>62114312</v>
      </c>
      <c r="H19" s="38">
        <f t="shared" ref="H19:H39" si="1">G19/$G$99*100</f>
        <v>25.558874339236731</v>
      </c>
      <c r="I19" s="50"/>
      <c r="J19" s="50"/>
      <c r="K19" s="50"/>
      <c r="L19" s="50"/>
    </row>
    <row r="20" spans="1:12" x14ac:dyDescent="0.2">
      <c r="A20" s="36" t="s">
        <v>58</v>
      </c>
      <c r="B20" s="32"/>
      <c r="G20" s="39">
        <v>15375652</v>
      </c>
      <c r="H20" s="38">
        <f t="shared" si="1"/>
        <v>6.3267924041698151</v>
      </c>
      <c r="I20" s="50"/>
      <c r="J20" s="50"/>
      <c r="K20" s="50"/>
      <c r="L20" s="50"/>
    </row>
    <row r="21" spans="1:12" ht="15" x14ac:dyDescent="0.2">
      <c r="A21" s="36" t="s">
        <v>60</v>
      </c>
      <c r="B21" s="40">
        <v>2</v>
      </c>
      <c r="G21" s="39">
        <v>10343237</v>
      </c>
      <c r="H21" s="38">
        <f t="shared" si="1"/>
        <v>4.2560480222970822</v>
      </c>
      <c r="I21" s="50"/>
      <c r="J21" s="50"/>
      <c r="K21" s="50"/>
      <c r="L21" s="50"/>
    </row>
    <row r="22" spans="1:12" x14ac:dyDescent="0.2">
      <c r="A22" s="36" t="s">
        <v>59</v>
      </c>
      <c r="B22" s="32"/>
      <c r="G22" s="39">
        <v>8909222</v>
      </c>
      <c r="H22" s="38">
        <f t="shared" si="1"/>
        <v>3.6659777469379899</v>
      </c>
      <c r="I22" s="50"/>
      <c r="J22" s="50"/>
      <c r="K22" s="50"/>
      <c r="L22" s="50"/>
    </row>
    <row r="23" spans="1:12" x14ac:dyDescent="0.2">
      <c r="A23" s="36" t="s">
        <v>62</v>
      </c>
      <c r="B23" s="32"/>
      <c r="G23" s="39">
        <v>7728807</v>
      </c>
      <c r="H23" s="38">
        <f t="shared" si="1"/>
        <v>3.180259114923679</v>
      </c>
      <c r="I23" s="50"/>
      <c r="J23" s="50"/>
      <c r="K23" s="50"/>
      <c r="L23" s="50"/>
    </row>
    <row r="24" spans="1:12" x14ac:dyDescent="0.2">
      <c r="A24" s="36" t="s">
        <v>64</v>
      </c>
      <c r="B24" s="32"/>
      <c r="G24" s="39">
        <v>5932615</v>
      </c>
      <c r="H24" s="38">
        <f t="shared" si="1"/>
        <v>2.4411597972472259</v>
      </c>
      <c r="I24" s="50"/>
      <c r="J24" s="50"/>
      <c r="K24" s="50"/>
      <c r="L24" s="50"/>
    </row>
    <row r="25" spans="1:12" x14ac:dyDescent="0.2">
      <c r="A25" s="36" t="s">
        <v>63</v>
      </c>
      <c r="B25" s="32"/>
      <c r="G25" s="39">
        <v>5302248</v>
      </c>
      <c r="H25" s="38">
        <f t="shared" si="1"/>
        <v>2.1817756002428119</v>
      </c>
      <c r="I25" s="50"/>
      <c r="J25" s="50"/>
      <c r="K25" s="50"/>
      <c r="L25" s="50"/>
    </row>
    <row r="26" spans="1:12" ht="14.25" x14ac:dyDescent="0.2">
      <c r="A26" s="36" t="s">
        <v>73</v>
      </c>
      <c r="B26" s="32"/>
      <c r="C26" s="67"/>
      <c r="D26" s="67"/>
      <c r="E26" s="67"/>
      <c r="F26" s="67"/>
      <c r="G26" s="39">
        <v>10539151</v>
      </c>
      <c r="H26" s="38">
        <f t="shared" si="1"/>
        <v>4.3366629586308738</v>
      </c>
      <c r="I26" s="50"/>
      <c r="J26" s="50"/>
      <c r="K26" s="50"/>
      <c r="L26" s="50"/>
    </row>
    <row r="27" spans="1:12" x14ac:dyDescent="0.2">
      <c r="A27" s="36" t="s">
        <v>71</v>
      </c>
      <c r="B27" s="32"/>
      <c r="G27" s="39">
        <v>1823894</v>
      </c>
      <c r="H27" s="38">
        <f t="shared" si="1"/>
        <v>0.75049817108314487</v>
      </c>
      <c r="I27" s="50"/>
      <c r="J27" s="50"/>
      <c r="K27" s="50"/>
      <c r="L27" s="50"/>
    </row>
    <row r="28" spans="1:12" x14ac:dyDescent="0.2">
      <c r="A28" s="36" t="s">
        <v>66</v>
      </c>
      <c r="B28" s="32"/>
      <c r="G28" s="39">
        <v>9427948</v>
      </c>
      <c r="H28" s="38">
        <f t="shared" si="1"/>
        <v>3.8794237664398228</v>
      </c>
      <c r="I28" s="50"/>
      <c r="J28" s="50"/>
      <c r="K28" s="50"/>
      <c r="L28" s="50"/>
    </row>
    <row r="29" spans="1:12" x14ac:dyDescent="0.2">
      <c r="A29" s="36" t="s">
        <v>67</v>
      </c>
      <c r="B29" s="32"/>
      <c r="G29" s="39">
        <v>1543568</v>
      </c>
      <c r="H29" s="38">
        <f t="shared" si="1"/>
        <v>0.6351492800253018</v>
      </c>
      <c r="I29" s="50"/>
      <c r="J29" s="50"/>
      <c r="K29" s="50"/>
      <c r="L29" s="50"/>
    </row>
    <row r="30" spans="1:12" x14ac:dyDescent="0.2">
      <c r="A30" s="36" t="s">
        <v>68</v>
      </c>
      <c r="B30" s="32"/>
      <c r="G30" s="39">
        <v>11661216</v>
      </c>
      <c r="H30" s="38">
        <f t="shared" si="1"/>
        <v>4.7983716600885291</v>
      </c>
      <c r="I30" s="50"/>
      <c r="J30" s="50"/>
      <c r="K30" s="50"/>
      <c r="L30" s="50"/>
    </row>
    <row r="31" spans="1:12" x14ac:dyDescent="0.2">
      <c r="A31" s="36" t="s">
        <v>17</v>
      </c>
      <c r="B31" s="32"/>
      <c r="G31" s="39">
        <v>6793357</v>
      </c>
      <c r="H31" s="38">
        <f t="shared" si="1"/>
        <v>2.7953389857167577</v>
      </c>
      <c r="I31" s="50"/>
      <c r="J31" s="50"/>
      <c r="K31" s="50"/>
      <c r="L31" s="50"/>
    </row>
    <row r="32" spans="1:12" x14ac:dyDescent="0.2">
      <c r="A32" s="36" t="s">
        <v>20</v>
      </c>
      <c r="B32" s="32"/>
      <c r="G32" s="39">
        <v>853785</v>
      </c>
      <c r="H32" s="38">
        <f t="shared" si="1"/>
        <v>0.35131651345868942</v>
      </c>
      <c r="I32" s="50"/>
      <c r="J32" s="50"/>
      <c r="K32" s="50"/>
      <c r="L32" s="50"/>
    </row>
    <row r="33" spans="1:12" x14ac:dyDescent="0.2">
      <c r="A33" s="36" t="s">
        <v>21</v>
      </c>
      <c r="B33" s="36"/>
      <c r="G33" s="39">
        <v>709728</v>
      </c>
      <c r="H33" s="38">
        <f t="shared" si="1"/>
        <v>0.29203975996768361</v>
      </c>
      <c r="I33" s="50"/>
      <c r="J33" s="50"/>
      <c r="K33" s="50"/>
      <c r="L33" s="50"/>
    </row>
    <row r="34" spans="1:12" x14ac:dyDescent="0.2">
      <c r="A34" s="36" t="s">
        <v>22</v>
      </c>
      <c r="B34" s="32"/>
      <c r="G34" s="39">
        <v>2238140</v>
      </c>
      <c r="H34" s="38">
        <f t="shared" si="1"/>
        <v>0.92095263026690699</v>
      </c>
      <c r="I34" s="50"/>
      <c r="J34" s="50"/>
      <c r="K34" s="50"/>
      <c r="L34" s="50"/>
    </row>
    <row r="35" spans="1:12" x14ac:dyDescent="0.2">
      <c r="A35" s="36" t="s">
        <v>23</v>
      </c>
      <c r="B35" s="32"/>
      <c r="G35" s="39">
        <v>2998466</v>
      </c>
      <c r="H35" s="38">
        <f t="shared" si="1"/>
        <v>1.2338125181918431</v>
      </c>
      <c r="I35" s="50"/>
      <c r="J35" s="50"/>
      <c r="K35" s="50"/>
      <c r="L35" s="50"/>
    </row>
    <row r="36" spans="1:12" hidden="1" x14ac:dyDescent="0.2">
      <c r="A36" s="36" t="s">
        <v>86</v>
      </c>
      <c r="B36" s="32"/>
      <c r="G36" s="39">
        <v>0</v>
      </c>
      <c r="H36" s="38">
        <f t="shared" si="1"/>
        <v>0</v>
      </c>
      <c r="I36" s="50"/>
      <c r="J36" s="50"/>
      <c r="K36" s="50"/>
      <c r="L36" s="50"/>
    </row>
    <row r="37" spans="1:12" x14ac:dyDescent="0.2">
      <c r="A37" s="36" t="s">
        <v>13</v>
      </c>
      <c r="B37" s="32"/>
      <c r="G37" s="39">
        <v>3319118</v>
      </c>
      <c r="H37" s="38">
        <f t="shared" si="1"/>
        <v>1.3657548018739827</v>
      </c>
      <c r="I37" s="50"/>
      <c r="J37" s="50"/>
      <c r="K37" s="50"/>
      <c r="L37" s="50"/>
    </row>
    <row r="38" spans="1:12" ht="14.25" x14ac:dyDescent="0.2">
      <c r="A38" s="36" t="s">
        <v>14</v>
      </c>
      <c r="B38" s="32"/>
      <c r="C38" s="67"/>
      <c r="D38" s="67"/>
      <c r="E38" s="67"/>
      <c r="F38" s="67"/>
      <c r="G38" s="39">
        <v>1600558</v>
      </c>
      <c r="H38" s="45">
        <f t="shared" si="1"/>
        <v>0.6585995960908344</v>
      </c>
      <c r="I38" s="50"/>
      <c r="J38" s="50"/>
      <c r="K38" s="50"/>
      <c r="L38" s="50"/>
    </row>
    <row r="39" spans="1:12" x14ac:dyDescent="0.2">
      <c r="A39" s="36" t="s">
        <v>25</v>
      </c>
      <c r="B39" s="32"/>
      <c r="G39" s="66">
        <f>SUM(G18:G38)</f>
        <v>169215022</v>
      </c>
      <c r="H39" s="38">
        <f t="shared" si="1"/>
        <v>69.628807666889699</v>
      </c>
      <c r="I39" s="50"/>
      <c r="J39" s="50"/>
      <c r="K39" s="50"/>
      <c r="L39" s="50"/>
    </row>
    <row r="40" spans="1:12" x14ac:dyDescent="0.2">
      <c r="A40" s="36"/>
      <c r="B40" s="32"/>
      <c r="G40" s="65"/>
      <c r="H40" s="64"/>
      <c r="I40" s="50"/>
      <c r="J40" s="50"/>
      <c r="K40" s="50"/>
      <c r="L40" s="50"/>
    </row>
    <row r="41" spans="1:12" ht="18" x14ac:dyDescent="0.25">
      <c r="A41" s="43" t="s">
        <v>103</v>
      </c>
      <c r="B41" s="32"/>
      <c r="G41" s="39"/>
      <c r="H41" s="35"/>
    </row>
    <row r="42" spans="1:12" x14ac:dyDescent="0.2">
      <c r="A42" s="36" t="s">
        <v>54</v>
      </c>
      <c r="B42" s="32"/>
      <c r="G42" s="39">
        <v>187056</v>
      </c>
      <c r="H42" s="38">
        <f>G42/$G$99*100</f>
        <v>7.6970035479106108E-2</v>
      </c>
    </row>
    <row r="43" spans="1:12" x14ac:dyDescent="0.2">
      <c r="A43" s="36" t="s">
        <v>88</v>
      </c>
      <c r="B43" s="32"/>
      <c r="G43" s="39">
        <v>575990</v>
      </c>
      <c r="H43" s="38">
        <f>G43/$G$99*100</f>
        <v>0.23700908142807675</v>
      </c>
    </row>
    <row r="44" spans="1:12" x14ac:dyDescent="0.2">
      <c r="A44" s="36" t="s">
        <v>102</v>
      </c>
      <c r="B44" s="32"/>
      <c r="G44" s="39">
        <v>115254</v>
      </c>
      <c r="H44" s="38">
        <f>G44/$G$99*100</f>
        <v>4.7424859235249847E-2</v>
      </c>
    </row>
    <row r="45" spans="1:12" x14ac:dyDescent="0.2">
      <c r="A45" s="36" t="s">
        <v>14</v>
      </c>
      <c r="B45" s="32"/>
      <c r="G45" s="49">
        <v>55321</v>
      </c>
      <c r="H45" s="45">
        <f>G45/$G$99*100</f>
        <v>2.276355387017593E-2</v>
      </c>
    </row>
    <row r="46" spans="1:12" ht="13.5" thickBot="1" x14ac:dyDescent="0.25">
      <c r="A46" s="36" t="s">
        <v>25</v>
      </c>
      <c r="B46" s="32"/>
      <c r="G46" s="63">
        <f>SUM(G42:G45)</f>
        <v>933621</v>
      </c>
      <c r="H46" s="62">
        <f>G46/$G$99*100</f>
        <v>0.38416753001260862</v>
      </c>
    </row>
    <row r="47" spans="1:12" x14ac:dyDescent="0.2">
      <c r="A47" s="36"/>
      <c r="B47" s="32"/>
      <c r="G47" s="61"/>
      <c r="H47" s="60"/>
    </row>
    <row r="48" spans="1:12" x14ac:dyDescent="0.2">
      <c r="A48" s="36"/>
      <c r="B48" s="32"/>
      <c r="G48" s="59"/>
      <c r="H48" s="58"/>
    </row>
    <row r="49" spans="1:12" x14ac:dyDescent="0.2">
      <c r="A49" s="36"/>
      <c r="B49" s="32"/>
      <c r="G49" s="59"/>
      <c r="H49" s="58"/>
    </row>
    <row r="50" spans="1:12" x14ac:dyDescent="0.2">
      <c r="A50" s="36" t="s">
        <v>109</v>
      </c>
      <c r="B50" s="32"/>
      <c r="G50" s="59"/>
      <c r="H50" s="58"/>
    </row>
    <row r="51" spans="1:12" x14ac:dyDescent="0.2">
      <c r="A51" s="36" t="s">
        <v>108</v>
      </c>
      <c r="B51" s="32"/>
      <c r="G51" s="59"/>
      <c r="H51" s="58"/>
    </row>
    <row r="52" spans="1:12" ht="13.5" thickBot="1" x14ac:dyDescent="0.25">
      <c r="A52" s="36"/>
      <c r="B52" s="32"/>
      <c r="G52" s="59"/>
      <c r="H52" s="58"/>
    </row>
    <row r="53" spans="1:12" x14ac:dyDescent="0.2">
      <c r="A53" s="36"/>
      <c r="B53" s="32"/>
      <c r="G53" s="361" t="s">
        <v>99</v>
      </c>
      <c r="H53" s="362"/>
      <c r="I53" s="50"/>
      <c r="J53" s="50"/>
      <c r="K53" s="50"/>
      <c r="L53" s="50"/>
    </row>
    <row r="54" spans="1:12" x14ac:dyDescent="0.2">
      <c r="G54" s="363" t="s">
        <v>107</v>
      </c>
      <c r="H54" s="364"/>
      <c r="I54" s="50"/>
      <c r="J54" s="50"/>
      <c r="K54" s="50"/>
      <c r="L54" s="50"/>
    </row>
    <row r="55" spans="1:12" x14ac:dyDescent="0.2">
      <c r="G55" s="359">
        <v>39647</v>
      </c>
      <c r="H55" s="360"/>
      <c r="I55" s="50"/>
      <c r="J55" s="50"/>
      <c r="K55" s="50"/>
      <c r="L55" s="50"/>
    </row>
    <row r="56" spans="1:12" x14ac:dyDescent="0.2">
      <c r="G56" s="29" t="s">
        <v>0</v>
      </c>
      <c r="H56" s="30" t="s">
        <v>1</v>
      </c>
      <c r="I56" s="50"/>
      <c r="J56" s="50"/>
      <c r="K56" s="50"/>
      <c r="L56" s="50"/>
    </row>
    <row r="57" spans="1:12" ht="18" x14ac:dyDescent="0.25">
      <c r="A57" s="43" t="s">
        <v>26</v>
      </c>
      <c r="B57" s="32"/>
      <c r="G57" s="39"/>
      <c r="H57" s="35"/>
      <c r="I57" s="50"/>
      <c r="J57" s="50"/>
      <c r="K57" s="50"/>
      <c r="L57" s="50"/>
    </row>
    <row r="58" spans="1:12" x14ac:dyDescent="0.2">
      <c r="A58" s="36" t="s">
        <v>27</v>
      </c>
      <c r="B58" s="32"/>
      <c r="G58" s="39">
        <v>3528925</v>
      </c>
      <c r="H58" s="38">
        <f t="shared" ref="H58:H65" si="2">G58/$G$99*100</f>
        <v>1.4520864471233454</v>
      </c>
      <c r="I58" s="50"/>
      <c r="J58" s="50"/>
      <c r="K58" s="50"/>
      <c r="L58" s="50"/>
    </row>
    <row r="59" spans="1:12" x14ac:dyDescent="0.2">
      <c r="A59" s="36" t="s">
        <v>28</v>
      </c>
      <c r="B59" s="32"/>
      <c r="G59" s="39">
        <v>1691744</v>
      </c>
      <c r="H59" s="38">
        <f t="shared" si="2"/>
        <v>0.69612092475817344</v>
      </c>
      <c r="I59" s="50"/>
      <c r="J59" s="50"/>
      <c r="K59" s="50"/>
      <c r="L59" s="50"/>
    </row>
    <row r="60" spans="1:12" x14ac:dyDescent="0.2">
      <c r="A60" s="36" t="s">
        <v>29</v>
      </c>
      <c r="B60" s="32"/>
      <c r="G60" s="39">
        <v>11745690</v>
      </c>
      <c r="H60" s="38">
        <f t="shared" si="2"/>
        <v>4.8331311266496764</v>
      </c>
      <c r="I60" s="50"/>
      <c r="J60" s="50"/>
      <c r="K60" s="50"/>
      <c r="L60" s="50"/>
    </row>
    <row r="61" spans="1:12" x14ac:dyDescent="0.2">
      <c r="A61" s="36" t="s">
        <v>49</v>
      </c>
      <c r="B61" s="32"/>
      <c r="G61" s="39">
        <v>5326178</v>
      </c>
      <c r="H61" s="38">
        <f t="shared" si="2"/>
        <v>2.1916223463991233</v>
      </c>
      <c r="I61" s="50"/>
      <c r="J61" s="50"/>
      <c r="K61" s="50"/>
      <c r="L61" s="50"/>
    </row>
    <row r="62" spans="1:12" x14ac:dyDescent="0.2">
      <c r="A62" s="36" t="s">
        <v>30</v>
      </c>
      <c r="B62" s="32"/>
      <c r="G62" s="39">
        <v>5100481</v>
      </c>
      <c r="H62" s="38">
        <f t="shared" si="2"/>
        <v>2.0987522641909728</v>
      </c>
      <c r="I62" s="50"/>
      <c r="J62" s="50"/>
      <c r="K62" s="50"/>
      <c r="L62" s="50"/>
    </row>
    <row r="63" spans="1:12" x14ac:dyDescent="0.2">
      <c r="A63" s="36" t="s">
        <v>70</v>
      </c>
      <c r="B63" s="32"/>
      <c r="G63" s="39">
        <v>820391</v>
      </c>
      <c r="H63" s="38">
        <f t="shared" si="2"/>
        <v>0.33757550881414838</v>
      </c>
    </row>
    <row r="64" spans="1:12" x14ac:dyDescent="0.2">
      <c r="A64" s="36" t="s">
        <v>14</v>
      </c>
      <c r="B64" s="32"/>
      <c r="G64" s="49">
        <v>233731</v>
      </c>
      <c r="H64" s="45">
        <f t="shared" si="2"/>
        <v>9.6175922518213525E-2</v>
      </c>
    </row>
    <row r="65" spans="1:8" x14ac:dyDescent="0.2">
      <c r="A65" s="36" t="s">
        <v>25</v>
      </c>
      <c r="B65" s="32"/>
      <c r="G65" s="37">
        <f>SUM(G58:G64)</f>
        <v>28447140</v>
      </c>
      <c r="H65" s="38">
        <f t="shared" si="2"/>
        <v>11.705464540453653</v>
      </c>
    </row>
    <row r="66" spans="1:8" x14ac:dyDescent="0.2">
      <c r="A66" s="36"/>
      <c r="B66" s="32"/>
      <c r="G66" s="39"/>
      <c r="H66" s="35"/>
    </row>
    <row r="67" spans="1:8" ht="18" x14ac:dyDescent="0.25">
      <c r="A67" s="43" t="s">
        <v>31</v>
      </c>
      <c r="B67" s="32"/>
      <c r="G67" s="39"/>
      <c r="H67" s="35"/>
    </row>
    <row r="68" spans="1:8" x14ac:dyDescent="0.2">
      <c r="A68" s="36" t="s">
        <v>52</v>
      </c>
      <c r="B68" s="32"/>
      <c r="G68" s="39">
        <v>2674243</v>
      </c>
      <c r="H68" s="38">
        <f t="shared" ref="H68:H73" si="3">G68/$G$99*100</f>
        <v>1.1004008349892607</v>
      </c>
    </row>
    <row r="69" spans="1:8" x14ac:dyDescent="0.2">
      <c r="A69" s="36" t="s">
        <v>50</v>
      </c>
      <c r="B69" s="32"/>
      <c r="G69" s="39">
        <v>1240612</v>
      </c>
      <c r="H69" s="38">
        <f t="shared" si="3"/>
        <v>0.51048856842766221</v>
      </c>
    </row>
    <row r="70" spans="1:8" x14ac:dyDescent="0.2">
      <c r="A70" s="36" t="s">
        <v>33</v>
      </c>
      <c r="B70" s="32"/>
      <c r="G70" s="39">
        <v>773280</v>
      </c>
      <c r="H70" s="38">
        <f t="shared" si="3"/>
        <v>0.31819021595288671</v>
      </c>
    </row>
    <row r="71" spans="1:8" x14ac:dyDescent="0.2">
      <c r="A71" s="36" t="s">
        <v>34</v>
      </c>
      <c r="B71" s="32"/>
      <c r="G71" s="39">
        <v>44986</v>
      </c>
      <c r="H71" s="38">
        <f t="shared" si="3"/>
        <v>1.851089521888134E-2</v>
      </c>
    </row>
    <row r="72" spans="1:8" x14ac:dyDescent="0.2">
      <c r="A72" s="36" t="s">
        <v>14</v>
      </c>
      <c r="B72" s="32"/>
      <c r="G72" s="49">
        <v>25323</v>
      </c>
      <c r="H72" s="45">
        <f t="shared" si="3"/>
        <v>1.041993952846957E-2</v>
      </c>
    </row>
    <row r="73" spans="1:8" x14ac:dyDescent="0.2">
      <c r="A73" s="36" t="s">
        <v>25</v>
      </c>
      <c r="B73" s="32"/>
      <c r="G73" s="37">
        <f>SUM(G68:G72)</f>
        <v>4758444</v>
      </c>
      <c r="H73" s="38">
        <f t="shared" si="3"/>
        <v>1.9580104541171606</v>
      </c>
    </row>
    <row r="74" spans="1:8" x14ac:dyDescent="0.2">
      <c r="A74" s="36"/>
      <c r="B74" s="32"/>
      <c r="G74" s="39"/>
      <c r="H74" s="35"/>
    </row>
    <row r="75" spans="1:8" ht="18" x14ac:dyDescent="0.25">
      <c r="A75" s="43" t="s">
        <v>47</v>
      </c>
      <c r="B75" s="32"/>
      <c r="G75" s="39"/>
      <c r="H75" s="35"/>
    </row>
    <row r="76" spans="1:8" x14ac:dyDescent="0.2">
      <c r="A76" s="36" t="s">
        <v>32</v>
      </c>
      <c r="B76" s="32"/>
      <c r="G76" s="39">
        <v>4089059</v>
      </c>
      <c r="H76" s="38">
        <f>G76/$G$99*100</f>
        <v>1.6825710819549127</v>
      </c>
    </row>
    <row r="77" spans="1:8" x14ac:dyDescent="0.2">
      <c r="A77" s="36" t="s">
        <v>94</v>
      </c>
      <c r="B77" s="32"/>
      <c r="G77" s="49">
        <v>534032</v>
      </c>
      <c r="H77" s="45">
        <f>G77/$G$99*100</f>
        <v>0.21974415141443202</v>
      </c>
    </row>
    <row r="78" spans="1:8" x14ac:dyDescent="0.2">
      <c r="A78" s="36" t="s">
        <v>25</v>
      </c>
      <c r="B78" s="32"/>
      <c r="G78" s="37">
        <f>SUM(G76:G77)</f>
        <v>4623091</v>
      </c>
      <c r="H78" s="38">
        <f>G78/$G$99*100</f>
        <v>1.9023152333693445</v>
      </c>
    </row>
    <row r="79" spans="1:8" x14ac:dyDescent="0.2">
      <c r="A79" s="36"/>
      <c r="B79" s="32"/>
      <c r="G79" s="39"/>
      <c r="H79" s="35"/>
    </row>
    <row r="80" spans="1:8" ht="18" x14ac:dyDescent="0.25">
      <c r="A80" s="43" t="s">
        <v>35</v>
      </c>
      <c r="B80" s="32"/>
      <c r="G80" s="39"/>
      <c r="H80" s="35"/>
    </row>
    <row r="81" spans="1:8" x14ac:dyDescent="0.2">
      <c r="A81" s="36" t="s">
        <v>35</v>
      </c>
      <c r="B81" s="32"/>
      <c r="G81" s="39">
        <v>3511583</v>
      </c>
      <c r="H81" s="38">
        <f>G81/$G$99*100</f>
        <v>1.4449505393990349</v>
      </c>
    </row>
    <row r="82" spans="1:8" x14ac:dyDescent="0.2">
      <c r="A82" s="36" t="s">
        <v>53</v>
      </c>
      <c r="B82" s="32"/>
      <c r="G82" s="49">
        <v>776242</v>
      </c>
      <c r="H82" s="45">
        <f>G82/$G$99*100</f>
        <v>0.31940902339605404</v>
      </c>
    </row>
    <row r="83" spans="1:8" x14ac:dyDescent="0.2">
      <c r="A83" s="36" t="s">
        <v>25</v>
      </c>
      <c r="B83" s="32"/>
      <c r="G83" s="37">
        <f>SUM(G81:G82)</f>
        <v>4287825</v>
      </c>
      <c r="H83" s="38">
        <f>G83/$G$99*100</f>
        <v>1.7643595627950888</v>
      </c>
    </row>
    <row r="84" spans="1:8" x14ac:dyDescent="0.2">
      <c r="A84" s="36"/>
      <c r="B84" s="32"/>
      <c r="G84" s="39"/>
      <c r="H84" s="35"/>
    </row>
    <row r="85" spans="1:8" ht="18" x14ac:dyDescent="0.25">
      <c r="A85" s="43" t="s">
        <v>36</v>
      </c>
      <c r="B85" s="32"/>
      <c r="G85" s="39"/>
      <c r="H85" s="35"/>
    </row>
    <row r="86" spans="1:8" x14ac:dyDescent="0.2">
      <c r="A86" s="36" t="s">
        <v>37</v>
      </c>
      <c r="B86" s="32"/>
      <c r="G86" s="39">
        <v>5639335</v>
      </c>
      <c r="H86" s="38">
        <f t="shared" ref="H86:H94" si="4">G86/$G$99*100</f>
        <v>2.3204805781614319</v>
      </c>
    </row>
    <row r="87" spans="1:8" x14ac:dyDescent="0.2">
      <c r="A87" s="36" t="s">
        <v>38</v>
      </c>
      <c r="B87" s="32"/>
      <c r="G87" s="39">
        <v>6286764</v>
      </c>
      <c r="H87" s="38">
        <f t="shared" si="4"/>
        <v>2.5868854681419844</v>
      </c>
    </row>
    <row r="88" spans="1:8" x14ac:dyDescent="0.2">
      <c r="A88" s="36" t="s">
        <v>101</v>
      </c>
      <c r="B88" s="32"/>
      <c r="G88" s="39">
        <v>1908246</v>
      </c>
      <c r="H88" s="38">
        <f t="shared" si="4"/>
        <v>0.78520743693258865</v>
      </c>
    </row>
    <row r="89" spans="1:8" x14ac:dyDescent="0.2">
      <c r="A89" s="36" t="s">
        <v>39</v>
      </c>
      <c r="B89" s="32"/>
      <c r="G89" s="39">
        <v>565300</v>
      </c>
      <c r="H89" s="38">
        <f t="shared" si="4"/>
        <v>0.23261034693534921</v>
      </c>
    </row>
    <row r="90" spans="1:8" x14ac:dyDescent="0.2">
      <c r="A90" s="36" t="s">
        <v>40</v>
      </c>
      <c r="B90" s="32"/>
      <c r="G90" s="39">
        <v>654250</v>
      </c>
      <c r="H90" s="38">
        <f t="shared" si="4"/>
        <v>0.26921160354228235</v>
      </c>
    </row>
    <row r="91" spans="1:8" x14ac:dyDescent="0.2">
      <c r="A91" s="36" t="s">
        <v>97</v>
      </c>
      <c r="B91" s="32"/>
      <c r="G91" s="39">
        <v>716668</v>
      </c>
      <c r="H91" s="38">
        <f t="shared" si="4"/>
        <v>0.29489543979738697</v>
      </c>
    </row>
    <row r="92" spans="1:8" ht="15" x14ac:dyDescent="0.2">
      <c r="A92" s="36" t="s">
        <v>41</v>
      </c>
      <c r="B92" s="40">
        <v>1</v>
      </c>
      <c r="G92" s="39">
        <v>9900000</v>
      </c>
      <c r="H92" s="38">
        <f t="shared" si="4"/>
        <v>4.0736643103837915</v>
      </c>
    </row>
    <row r="93" spans="1:8" x14ac:dyDescent="0.2">
      <c r="A93" s="36" t="s">
        <v>42</v>
      </c>
      <c r="B93" s="32"/>
      <c r="G93" s="49">
        <v>92041</v>
      </c>
      <c r="H93" s="45">
        <f t="shared" si="4"/>
        <v>3.7873145130508538E-2</v>
      </c>
    </row>
    <row r="94" spans="1:8" x14ac:dyDescent="0.2">
      <c r="A94" s="36" t="s">
        <v>43</v>
      </c>
      <c r="B94" s="32"/>
      <c r="G94" s="37">
        <f>SUM(G86:G93)</f>
        <v>25762604</v>
      </c>
      <c r="H94" s="38">
        <f t="shared" si="4"/>
        <v>10.600828329025322</v>
      </c>
    </row>
    <row r="95" spans="1:8" x14ac:dyDescent="0.2">
      <c r="A95" s="36"/>
      <c r="B95" s="32"/>
      <c r="G95" s="39"/>
      <c r="H95" s="38"/>
    </row>
    <row r="96" spans="1:8" ht="15" x14ac:dyDescent="0.2">
      <c r="A96" s="36" t="s">
        <v>44</v>
      </c>
      <c r="B96" s="40"/>
      <c r="G96" s="49">
        <v>4996696</v>
      </c>
      <c r="H96" s="45">
        <f>G96/$G$99*100</f>
        <v>2.056046683337116</v>
      </c>
    </row>
    <row r="97" spans="1:8" x14ac:dyDescent="0.2">
      <c r="A97" s="36" t="s">
        <v>45</v>
      </c>
      <c r="B97" s="32"/>
      <c r="G97" s="37">
        <f>G94+G96</f>
        <v>30759300</v>
      </c>
      <c r="H97" s="38">
        <f>G97/$G$99*100</f>
        <v>12.656875012362439</v>
      </c>
    </row>
    <row r="98" spans="1:8" x14ac:dyDescent="0.2">
      <c r="A98" s="36"/>
      <c r="B98" s="32"/>
      <c r="G98" s="39"/>
      <c r="H98" s="38"/>
    </row>
    <row r="99" spans="1:8" ht="13.5" thickBot="1" x14ac:dyDescent="0.25">
      <c r="A99" s="36" t="s">
        <v>46</v>
      </c>
      <c r="B99" s="32"/>
      <c r="G99" s="47">
        <f>G39+G65+G73+G46+G78+G83+G97</f>
        <v>243024443</v>
      </c>
      <c r="H99" s="48">
        <f>G99/$G$99*100</f>
        <v>100</v>
      </c>
    </row>
    <row r="100" spans="1:8" ht="15" x14ac:dyDescent="0.2">
      <c r="A100" s="36"/>
      <c r="B100" s="32"/>
      <c r="G100" s="55"/>
    </row>
    <row r="101" spans="1:8" x14ac:dyDescent="0.2">
      <c r="A101" s="36"/>
      <c r="B101" s="32"/>
      <c r="G101" s="57"/>
      <c r="H101" s="56"/>
    </row>
    <row r="102" spans="1:8" x14ac:dyDescent="0.2">
      <c r="G102" s="57"/>
      <c r="H102" s="56"/>
    </row>
    <row r="103" spans="1:8" x14ac:dyDescent="0.2">
      <c r="G103" s="57"/>
    </row>
    <row r="104" spans="1:8" x14ac:dyDescent="0.2">
      <c r="G104" s="57"/>
      <c r="H104" s="56"/>
    </row>
    <row r="105" spans="1:8" ht="15" x14ac:dyDescent="0.2">
      <c r="G105" s="55"/>
    </row>
    <row r="106" spans="1:8" ht="15" x14ac:dyDescent="0.2">
      <c r="G106" s="55"/>
    </row>
  </sheetData>
  <mergeCells count="7">
    <mergeCell ref="A1:H1"/>
    <mergeCell ref="G3:H3"/>
    <mergeCell ref="G4:H4"/>
    <mergeCell ref="G55:H55"/>
    <mergeCell ref="G5:H5"/>
    <mergeCell ref="G53:H53"/>
    <mergeCell ref="G54:H54"/>
  </mergeCells>
  <printOptions horizontalCentered="1"/>
  <pageMargins left="1" right="0.75" top="0.82" bottom="0.7" header="0.17" footer="0.19"/>
  <pageSetup scale="95" orientation="portrait" r:id="rId1"/>
  <headerFooter alignWithMargins="0">
    <oddFooter>&amp;L7/18/2008</oddFooter>
  </headerFooter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04"/>
  <sheetViews>
    <sheetView topLeftCell="A42" zoomScaleNormal="100" workbookViewId="0">
      <selection activeCell="G28" sqref="G28"/>
    </sheetView>
  </sheetViews>
  <sheetFormatPr defaultRowHeight="12.75" x14ac:dyDescent="0.2"/>
  <cols>
    <col min="1" max="1" width="42.109375" style="28" customWidth="1"/>
    <col min="2" max="2" width="1.21875" style="28" hidden="1" customWidth="1"/>
    <col min="3" max="6" width="6.21875" style="28" customWidth="1"/>
    <col min="7" max="7" width="13.44140625" style="28" bestFit="1" customWidth="1"/>
    <col min="8" max="16384" width="8.88671875" style="28"/>
  </cols>
  <sheetData>
    <row r="1" spans="1:8" ht="18.75" x14ac:dyDescent="0.3">
      <c r="A1" s="365" t="s">
        <v>112</v>
      </c>
      <c r="B1" s="365"/>
      <c r="C1" s="365"/>
      <c r="D1" s="365"/>
      <c r="E1" s="365"/>
      <c r="F1" s="365"/>
      <c r="G1" s="365"/>
      <c r="H1" s="365"/>
    </row>
    <row r="2" spans="1:8" ht="15" x14ac:dyDescent="0.2">
      <c r="A2" s="366"/>
      <c r="B2" s="366"/>
      <c r="C2" s="366"/>
      <c r="D2" s="366"/>
      <c r="E2" s="366"/>
      <c r="F2" s="366"/>
      <c r="G2" s="366"/>
      <c r="H2" s="366"/>
    </row>
    <row r="3" spans="1:8" ht="15.75" thickBot="1" x14ac:dyDescent="0.25">
      <c r="A3" s="68"/>
      <c r="B3" s="54"/>
      <c r="C3" s="54"/>
      <c r="D3" s="54"/>
      <c r="E3" s="54"/>
      <c r="F3" s="54"/>
      <c r="G3" s="54"/>
      <c r="H3" s="54"/>
    </row>
    <row r="4" spans="1:8" x14ac:dyDescent="0.2">
      <c r="G4" s="361" t="s">
        <v>75</v>
      </c>
      <c r="H4" s="362"/>
    </row>
    <row r="5" spans="1:8" x14ac:dyDescent="0.2">
      <c r="G5" s="363" t="s">
        <v>111</v>
      </c>
      <c r="H5" s="364"/>
    </row>
    <row r="6" spans="1:8" x14ac:dyDescent="0.2">
      <c r="G6" s="359">
        <v>40014</v>
      </c>
      <c r="H6" s="360"/>
    </row>
    <row r="7" spans="1:8" x14ac:dyDescent="0.2">
      <c r="G7" s="29" t="s">
        <v>0</v>
      </c>
      <c r="H7" s="30" t="s">
        <v>1</v>
      </c>
    </row>
    <row r="8" spans="1:8" ht="18.75" x14ac:dyDescent="0.3">
      <c r="A8" s="31" t="s">
        <v>2</v>
      </c>
      <c r="B8" s="32"/>
      <c r="C8" s="32"/>
      <c r="D8" s="32"/>
      <c r="E8" s="32"/>
      <c r="F8" s="32"/>
      <c r="G8" s="34"/>
      <c r="H8" s="35"/>
    </row>
    <row r="9" spans="1:8" x14ac:dyDescent="0.2">
      <c r="A9" s="36" t="s">
        <v>55</v>
      </c>
      <c r="B9" s="32"/>
      <c r="C9" s="32"/>
      <c r="D9" s="32"/>
      <c r="E9" s="32"/>
      <c r="F9" s="32"/>
      <c r="G9" s="37">
        <v>214678598</v>
      </c>
      <c r="H9" s="38">
        <f t="shared" ref="H9:H14" si="0">G9/$G$16*100</f>
        <v>84.11007893450217</v>
      </c>
    </row>
    <row r="10" spans="1:8" x14ac:dyDescent="0.2">
      <c r="A10" s="36" t="s">
        <v>82</v>
      </c>
      <c r="B10" s="32"/>
      <c r="C10" s="32"/>
      <c r="D10" s="32"/>
      <c r="E10" s="32"/>
      <c r="F10" s="32"/>
      <c r="G10" s="39">
        <v>-24545728</v>
      </c>
      <c r="H10" s="38">
        <f t="shared" si="0"/>
        <v>-9.6169023778738296</v>
      </c>
    </row>
    <row r="11" spans="1:8" x14ac:dyDescent="0.2">
      <c r="A11" s="36" t="s">
        <v>56</v>
      </c>
      <c r="B11" s="32"/>
      <c r="C11" s="32"/>
      <c r="D11" s="32"/>
      <c r="E11" s="32"/>
      <c r="F11" s="32"/>
      <c r="G11" s="37">
        <v>62018400</v>
      </c>
      <c r="H11" s="38">
        <f t="shared" si="0"/>
        <v>24.298521454809993</v>
      </c>
    </row>
    <row r="12" spans="1:8" x14ac:dyDescent="0.2">
      <c r="A12" s="36" t="s">
        <v>3</v>
      </c>
      <c r="B12" s="32"/>
      <c r="C12" s="32"/>
      <c r="D12" s="32"/>
      <c r="E12" s="32"/>
      <c r="F12" s="32"/>
      <c r="G12" s="37">
        <v>800000</v>
      </c>
      <c r="H12" s="38">
        <f t="shared" si="0"/>
        <v>0.31343628929233891</v>
      </c>
    </row>
    <row r="13" spans="1:8" ht="15" x14ac:dyDescent="0.2">
      <c r="A13" s="36" t="s">
        <v>4</v>
      </c>
      <c r="B13" s="40">
        <v>2</v>
      </c>
      <c r="C13" s="40"/>
      <c r="D13" s="40"/>
      <c r="E13" s="40"/>
      <c r="F13" s="40"/>
      <c r="G13" s="37">
        <v>291000</v>
      </c>
      <c r="H13" s="38">
        <f t="shared" si="0"/>
        <v>0.1140124502300883</v>
      </c>
    </row>
    <row r="14" spans="1:8" ht="15" x14ac:dyDescent="0.2">
      <c r="A14" s="36" t="s">
        <v>5</v>
      </c>
      <c r="B14" s="40">
        <v>2</v>
      </c>
      <c r="C14" s="40"/>
      <c r="D14" s="40"/>
      <c r="E14" s="40"/>
      <c r="F14" s="40"/>
      <c r="G14" s="37">
        <v>1993013</v>
      </c>
      <c r="H14" s="38">
        <f t="shared" si="0"/>
        <v>0.78085324903924036</v>
      </c>
    </row>
    <row r="15" spans="1:8" x14ac:dyDescent="0.2">
      <c r="A15" s="36"/>
      <c r="B15" s="36"/>
      <c r="C15" s="36"/>
      <c r="D15" s="36"/>
      <c r="E15" s="36"/>
      <c r="F15" s="36"/>
      <c r="G15" s="41"/>
      <c r="H15" s="42"/>
    </row>
    <row r="16" spans="1:8" x14ac:dyDescent="0.2">
      <c r="A16" s="36" t="s">
        <v>6</v>
      </c>
      <c r="B16" s="32"/>
      <c r="C16" s="32"/>
      <c r="D16" s="32"/>
      <c r="E16" s="32"/>
      <c r="F16" s="32"/>
      <c r="G16" s="37">
        <f>SUM(G9:G14)</f>
        <v>255235283</v>
      </c>
      <c r="H16" s="38">
        <f>G16/$G$16*100</f>
        <v>100</v>
      </c>
    </row>
    <row r="17" spans="1:9" x14ac:dyDescent="0.2">
      <c r="G17" s="34"/>
      <c r="H17" s="35"/>
    </row>
    <row r="18" spans="1:9" ht="18.75" x14ac:dyDescent="0.3">
      <c r="A18" s="31" t="s">
        <v>7</v>
      </c>
      <c r="B18" s="32"/>
      <c r="C18" s="32"/>
      <c r="D18" s="32"/>
      <c r="E18" s="32"/>
      <c r="F18" s="32"/>
      <c r="G18" s="34"/>
      <c r="H18" s="35"/>
    </row>
    <row r="19" spans="1:9" ht="18" x14ac:dyDescent="0.25">
      <c r="A19" s="43" t="s">
        <v>8</v>
      </c>
      <c r="B19" s="32"/>
      <c r="C19" s="32"/>
      <c r="D19" s="32"/>
      <c r="E19" s="32"/>
      <c r="F19" s="32"/>
      <c r="G19" s="34"/>
      <c r="H19" s="35"/>
      <c r="I19" s="50"/>
    </row>
    <row r="20" spans="1:9" x14ac:dyDescent="0.2">
      <c r="A20" s="36" t="s">
        <v>61</v>
      </c>
      <c r="B20" s="32"/>
      <c r="C20" s="32"/>
      <c r="D20" s="32"/>
      <c r="E20" s="32"/>
      <c r="F20" s="32"/>
      <c r="G20" s="39">
        <v>64850223</v>
      </c>
      <c r="H20" s="38">
        <f t="shared" ref="H20:H40" si="1">G20/$G$97*100</f>
        <v>25.408016571125863</v>
      </c>
      <c r="I20" s="50"/>
    </row>
    <row r="21" spans="1:9" x14ac:dyDescent="0.2">
      <c r="A21" s="36" t="s">
        <v>58</v>
      </c>
      <c r="B21" s="32"/>
      <c r="C21" s="32"/>
      <c r="D21" s="32"/>
      <c r="E21" s="32"/>
      <c r="F21" s="32"/>
      <c r="G21" s="39">
        <v>15970458</v>
      </c>
      <c r="H21" s="38">
        <f t="shared" si="1"/>
        <v>6.2571513672739361</v>
      </c>
      <c r="I21" s="50"/>
    </row>
    <row r="22" spans="1:9" ht="15" x14ac:dyDescent="0.2">
      <c r="A22" s="36" t="s">
        <v>60</v>
      </c>
      <c r="B22" s="40">
        <v>2</v>
      </c>
      <c r="C22" s="40"/>
      <c r="D22" s="40"/>
      <c r="E22" s="40"/>
      <c r="F22" s="40"/>
      <c r="G22" s="39">
        <v>10616537</v>
      </c>
      <c r="H22" s="38">
        <f t="shared" si="1"/>
        <v>4.1595099530185253</v>
      </c>
      <c r="I22" s="50"/>
    </row>
    <row r="23" spans="1:9" x14ac:dyDescent="0.2">
      <c r="A23" s="36" t="s">
        <v>59</v>
      </c>
      <c r="B23" s="32"/>
      <c r="C23" s="32"/>
      <c r="D23" s="32"/>
      <c r="E23" s="32"/>
      <c r="F23" s="32"/>
      <c r="G23" s="39">
        <v>9253728</v>
      </c>
      <c r="H23" s="38">
        <f t="shared" si="1"/>
        <v>3.6255677080507711</v>
      </c>
      <c r="I23" s="50"/>
    </row>
    <row r="24" spans="1:9" x14ac:dyDescent="0.2">
      <c r="A24" s="36" t="s">
        <v>62</v>
      </c>
      <c r="B24" s="32"/>
      <c r="C24" s="32"/>
      <c r="D24" s="32"/>
      <c r="E24" s="32"/>
      <c r="F24" s="32"/>
      <c r="G24" s="39">
        <v>8109637</v>
      </c>
      <c r="H24" s="38">
        <f t="shared" si="1"/>
        <v>3.1773181609848198</v>
      </c>
      <c r="I24" s="50"/>
    </row>
    <row r="25" spans="1:9" x14ac:dyDescent="0.2">
      <c r="A25" s="36" t="s">
        <v>64</v>
      </c>
      <c r="B25" s="32"/>
      <c r="C25" s="32"/>
      <c r="D25" s="32"/>
      <c r="E25" s="32"/>
      <c r="F25" s="32"/>
      <c r="G25" s="39">
        <v>6344941</v>
      </c>
      <c r="H25" s="38">
        <f t="shared" si="1"/>
        <v>2.4859184535235279</v>
      </c>
      <c r="I25" s="50"/>
    </row>
    <row r="26" spans="1:9" x14ac:dyDescent="0.2">
      <c r="A26" s="36" t="s">
        <v>63</v>
      </c>
      <c r="B26" s="32"/>
      <c r="C26" s="32"/>
      <c r="D26" s="32"/>
      <c r="E26" s="32"/>
      <c r="F26" s="32"/>
      <c r="G26" s="39">
        <v>5607804</v>
      </c>
      <c r="H26" s="38">
        <f t="shared" si="1"/>
        <v>2.1971115960484195</v>
      </c>
      <c r="I26" s="50"/>
    </row>
    <row r="27" spans="1:9" x14ac:dyDescent="0.2">
      <c r="A27" s="36" t="s">
        <v>73</v>
      </c>
      <c r="B27" s="32"/>
      <c r="C27" s="32"/>
      <c r="D27" s="32"/>
      <c r="E27" s="32"/>
      <c r="F27" s="32"/>
      <c r="G27" s="39">
        <v>10955276</v>
      </c>
      <c r="H27" s="38">
        <f t="shared" si="1"/>
        <v>4.2922263220167718</v>
      </c>
      <c r="I27" s="50"/>
    </row>
    <row r="28" spans="1:9" x14ac:dyDescent="0.2">
      <c r="A28" s="36" t="s">
        <v>71</v>
      </c>
      <c r="B28" s="32"/>
      <c r="C28" s="32"/>
      <c r="D28" s="32"/>
      <c r="E28" s="32"/>
      <c r="F28" s="32"/>
      <c r="G28" s="39">
        <v>2061134</v>
      </c>
      <c r="H28" s="38">
        <f t="shared" si="1"/>
        <v>0.80754274086784461</v>
      </c>
      <c r="I28" s="50"/>
    </row>
    <row r="29" spans="1:9" x14ac:dyDescent="0.2">
      <c r="A29" s="36" t="s">
        <v>66</v>
      </c>
      <c r="B29" s="32"/>
      <c r="C29" s="32"/>
      <c r="D29" s="32"/>
      <c r="E29" s="32"/>
      <c r="F29" s="32"/>
      <c r="G29" s="39">
        <v>9827034</v>
      </c>
      <c r="H29" s="38">
        <f t="shared" si="1"/>
        <v>3.8501863396370637</v>
      </c>
      <c r="I29" s="50"/>
    </row>
    <row r="30" spans="1:9" x14ac:dyDescent="0.2">
      <c r="A30" s="36" t="s">
        <v>85</v>
      </c>
      <c r="B30" s="32"/>
      <c r="C30" s="32"/>
      <c r="D30" s="32"/>
      <c r="E30" s="32"/>
      <c r="F30" s="32"/>
      <c r="G30" s="39">
        <v>466689</v>
      </c>
      <c r="H30" s="38">
        <f t="shared" si="1"/>
        <v>0.18284658551694044</v>
      </c>
      <c r="I30" s="50"/>
    </row>
    <row r="31" spans="1:9" x14ac:dyDescent="0.2">
      <c r="A31" s="36" t="s">
        <v>68</v>
      </c>
      <c r="B31" s="32"/>
      <c r="C31" s="32"/>
      <c r="D31" s="32"/>
      <c r="E31" s="32"/>
      <c r="F31" s="32"/>
      <c r="G31" s="39">
        <v>12150180</v>
      </c>
      <c r="H31" s="38">
        <f t="shared" si="1"/>
        <v>4.7603841667924884</v>
      </c>
      <c r="I31" s="50"/>
    </row>
    <row r="32" spans="1:9" x14ac:dyDescent="0.2">
      <c r="A32" s="36" t="s">
        <v>17</v>
      </c>
      <c r="B32" s="32"/>
      <c r="C32" s="32"/>
      <c r="D32" s="32"/>
      <c r="E32" s="32"/>
      <c r="F32" s="32"/>
      <c r="G32" s="39">
        <v>7214663</v>
      </c>
      <c r="H32" s="38">
        <f t="shared" si="1"/>
        <v>2.8266714990184174</v>
      </c>
      <c r="I32" s="50"/>
    </row>
    <row r="33" spans="1:9" x14ac:dyDescent="0.2">
      <c r="A33" s="36" t="s">
        <v>20</v>
      </c>
      <c r="B33" s="32"/>
      <c r="C33" s="32"/>
      <c r="D33" s="32"/>
      <c r="E33" s="32"/>
      <c r="F33" s="32"/>
      <c r="G33" s="39">
        <v>896965</v>
      </c>
      <c r="H33" s="38">
        <f t="shared" si="1"/>
        <v>0.35142672653137852</v>
      </c>
      <c r="I33" s="50"/>
    </row>
    <row r="34" spans="1:9" x14ac:dyDescent="0.2">
      <c r="A34" s="36" t="s">
        <v>21</v>
      </c>
      <c r="B34" s="36"/>
      <c r="C34" s="36"/>
      <c r="D34" s="36"/>
      <c r="E34" s="36"/>
      <c r="F34" s="36"/>
      <c r="G34" s="39">
        <v>715506</v>
      </c>
      <c r="H34" s="38">
        <f t="shared" si="1"/>
        <v>0.28033193200800532</v>
      </c>
      <c r="I34" s="50"/>
    </row>
    <row r="35" spans="1:9" x14ac:dyDescent="0.2">
      <c r="A35" s="36" t="s">
        <v>22</v>
      </c>
      <c r="B35" s="32"/>
      <c r="C35" s="32"/>
      <c r="D35" s="32"/>
      <c r="E35" s="32"/>
      <c r="F35" s="32"/>
      <c r="G35" s="39">
        <v>2416518</v>
      </c>
      <c r="H35" s="38">
        <f t="shared" si="1"/>
        <v>0.94678054366018038</v>
      </c>
      <c r="I35" s="50"/>
    </row>
    <row r="36" spans="1:9" x14ac:dyDescent="0.2">
      <c r="A36" s="36" t="s">
        <v>23</v>
      </c>
      <c r="B36" s="32"/>
      <c r="C36" s="32"/>
      <c r="D36" s="32"/>
      <c r="E36" s="32"/>
      <c r="F36" s="32"/>
      <c r="G36" s="39">
        <v>3106814</v>
      </c>
      <c r="H36" s="38">
        <f t="shared" si="1"/>
        <v>1.2172353146018609</v>
      </c>
      <c r="I36" s="50"/>
    </row>
    <row r="37" spans="1:9" hidden="1" x14ac:dyDescent="0.2">
      <c r="A37" s="36" t="s">
        <v>86</v>
      </c>
      <c r="B37" s="32"/>
      <c r="C37" s="32"/>
      <c r="D37" s="32"/>
      <c r="E37" s="32"/>
      <c r="F37" s="32"/>
      <c r="G37" s="39">
        <v>0</v>
      </c>
      <c r="H37" s="38">
        <f t="shared" si="1"/>
        <v>0</v>
      </c>
      <c r="I37" s="50"/>
    </row>
    <row r="38" spans="1:9" x14ac:dyDescent="0.2">
      <c r="A38" s="36" t="s">
        <v>13</v>
      </c>
      <c r="B38" s="32"/>
      <c r="C38" s="32"/>
      <c r="D38" s="32"/>
      <c r="E38" s="32"/>
      <c r="F38" s="32"/>
      <c r="G38" s="39">
        <v>4387068</v>
      </c>
      <c r="H38" s="38">
        <f t="shared" si="1"/>
        <v>1.7188328934914534</v>
      </c>
      <c r="I38" s="50"/>
    </row>
    <row r="39" spans="1:9" x14ac:dyDescent="0.2">
      <c r="A39" s="36" t="s">
        <v>14</v>
      </c>
      <c r="B39" s="32"/>
      <c r="C39" s="32"/>
      <c r="D39" s="32"/>
      <c r="E39" s="32"/>
      <c r="F39" s="32"/>
      <c r="G39" s="39">
        <v>463004</v>
      </c>
      <c r="H39" s="45">
        <f t="shared" si="1"/>
        <v>0.18140281960938762</v>
      </c>
      <c r="I39" s="50"/>
    </row>
    <row r="40" spans="1:9" x14ac:dyDescent="0.2">
      <c r="A40" s="36" t="s">
        <v>25</v>
      </c>
      <c r="B40" s="32"/>
      <c r="C40" s="32"/>
      <c r="D40" s="32"/>
      <c r="E40" s="32"/>
      <c r="F40" s="32"/>
      <c r="G40" s="66">
        <f>SUM(G18:G39)</f>
        <v>175414179</v>
      </c>
      <c r="H40" s="38">
        <f t="shared" si="1"/>
        <v>68.726461693777665</v>
      </c>
      <c r="I40" s="50"/>
    </row>
    <row r="41" spans="1:9" x14ac:dyDescent="0.2">
      <c r="A41" s="36"/>
      <c r="B41" s="32"/>
      <c r="C41" s="32"/>
      <c r="D41" s="32"/>
      <c r="E41" s="32"/>
      <c r="F41" s="32"/>
      <c r="G41" s="65"/>
      <c r="H41" s="64"/>
      <c r="I41" s="50"/>
    </row>
    <row r="42" spans="1:9" ht="18" x14ac:dyDescent="0.25">
      <c r="A42" s="43" t="s">
        <v>87</v>
      </c>
      <c r="B42" s="32"/>
      <c r="C42" s="32"/>
      <c r="D42" s="32"/>
      <c r="E42" s="32"/>
      <c r="F42" s="32"/>
      <c r="G42" s="39"/>
      <c r="H42" s="35"/>
    </row>
    <row r="43" spans="1:9" x14ac:dyDescent="0.2">
      <c r="A43" s="36" t="s">
        <v>54</v>
      </c>
      <c r="B43" s="32"/>
      <c r="C43" s="32"/>
      <c r="D43" s="32"/>
      <c r="E43" s="32"/>
      <c r="F43" s="32"/>
      <c r="G43" s="39">
        <v>188161</v>
      </c>
      <c r="H43" s="38">
        <f>G43/$G$97*100</f>
        <v>7.3720607036919739E-2</v>
      </c>
    </row>
    <row r="44" spans="1:9" x14ac:dyDescent="0.2">
      <c r="A44" s="36" t="s">
        <v>88</v>
      </c>
      <c r="B44" s="32"/>
      <c r="C44" s="32"/>
      <c r="D44" s="32"/>
      <c r="E44" s="32"/>
      <c r="F44" s="32"/>
      <c r="G44" s="39">
        <v>637875</v>
      </c>
      <c r="H44" s="38">
        <f>G44/$G$97*100</f>
        <v>0.24991646629043837</v>
      </c>
    </row>
    <row r="45" spans="1:9" x14ac:dyDescent="0.2">
      <c r="A45" s="36" t="s">
        <v>102</v>
      </c>
      <c r="B45" s="32"/>
      <c r="C45" s="32"/>
      <c r="D45" s="32"/>
      <c r="E45" s="32"/>
      <c r="F45" s="32"/>
      <c r="G45" s="39">
        <v>117565</v>
      </c>
      <c r="H45" s="38">
        <f>G45/$G$97*100</f>
        <v>4.6061421688317283E-2</v>
      </c>
    </row>
    <row r="46" spans="1:9" x14ac:dyDescent="0.2">
      <c r="A46" s="36" t="s">
        <v>14</v>
      </c>
      <c r="B46" s="32"/>
      <c r="C46" s="32"/>
      <c r="D46" s="32"/>
      <c r="E46" s="32"/>
      <c r="F46" s="32"/>
      <c r="G46" s="49">
        <v>55321</v>
      </c>
      <c r="H46" s="45">
        <f>G46/$G$97*100</f>
        <v>2.1674511199926853E-2</v>
      </c>
    </row>
    <row r="47" spans="1:9" ht="13.5" thickBot="1" x14ac:dyDescent="0.25">
      <c r="A47" s="36" t="s">
        <v>25</v>
      </c>
      <c r="B47" s="32"/>
      <c r="C47" s="32"/>
      <c r="D47" s="32"/>
      <c r="E47" s="32"/>
      <c r="F47" s="32"/>
      <c r="G47" s="63">
        <f>SUM(G43:G46)</f>
        <v>998922</v>
      </c>
      <c r="H47" s="62">
        <f>G47/$G$97*100</f>
        <v>0.39137300621560223</v>
      </c>
    </row>
    <row r="48" spans="1:9" x14ac:dyDescent="0.2">
      <c r="A48" s="36"/>
      <c r="B48" s="32"/>
      <c r="C48" s="32"/>
      <c r="D48" s="32"/>
      <c r="E48" s="32"/>
      <c r="F48" s="32"/>
      <c r="G48" s="70"/>
      <c r="H48" s="69"/>
    </row>
    <row r="49" spans="1:9" x14ac:dyDescent="0.2">
      <c r="A49" s="36"/>
      <c r="B49" s="32"/>
      <c r="C49" s="32"/>
      <c r="D49" s="32"/>
      <c r="E49" s="32"/>
      <c r="F49" s="32"/>
      <c r="G49" s="59"/>
      <c r="H49" s="58"/>
    </row>
    <row r="50" spans="1:9" ht="13.5" thickBot="1" x14ac:dyDescent="0.25">
      <c r="A50" s="36"/>
      <c r="B50" s="32"/>
      <c r="C50" s="32"/>
      <c r="D50" s="32"/>
      <c r="E50" s="32"/>
      <c r="F50" s="32"/>
      <c r="G50" s="59"/>
      <c r="H50" s="58"/>
    </row>
    <row r="51" spans="1:9" x14ac:dyDescent="0.2">
      <c r="A51" s="36"/>
      <c r="B51" s="32"/>
      <c r="C51" s="32"/>
      <c r="D51" s="32"/>
      <c r="E51" s="32"/>
      <c r="F51" s="32"/>
      <c r="G51" s="361" t="s">
        <v>75</v>
      </c>
      <c r="H51" s="362"/>
      <c r="I51" s="50"/>
    </row>
    <row r="52" spans="1:9" x14ac:dyDescent="0.2">
      <c r="G52" s="363" t="s">
        <v>111</v>
      </c>
      <c r="H52" s="364"/>
      <c r="I52" s="50"/>
    </row>
    <row r="53" spans="1:9" x14ac:dyDescent="0.2">
      <c r="G53" s="359">
        <v>40014</v>
      </c>
      <c r="H53" s="360"/>
      <c r="I53" s="50"/>
    </row>
    <row r="54" spans="1:9" x14ac:dyDescent="0.2">
      <c r="G54" s="29" t="s">
        <v>0</v>
      </c>
      <c r="H54" s="30" t="s">
        <v>1</v>
      </c>
      <c r="I54" s="50"/>
    </row>
    <row r="55" spans="1:9" ht="18" x14ac:dyDescent="0.25">
      <c r="A55" s="43" t="s">
        <v>90</v>
      </c>
      <c r="B55" s="32"/>
      <c r="C55" s="32"/>
      <c r="D55" s="32"/>
      <c r="E55" s="32"/>
      <c r="F55" s="32"/>
      <c r="G55" s="39"/>
      <c r="H55" s="35"/>
      <c r="I55" s="50"/>
    </row>
    <row r="56" spans="1:9" x14ac:dyDescent="0.2">
      <c r="A56" s="36" t="s">
        <v>27</v>
      </c>
      <c r="B56" s="32"/>
      <c r="C56" s="32"/>
      <c r="D56" s="32"/>
      <c r="E56" s="32"/>
      <c r="F56" s="32"/>
      <c r="G56" s="39">
        <v>3729093</v>
      </c>
      <c r="H56" s="38">
        <f t="shared" ref="H56:H63" si="2">G56/$G$97*100</f>
        <v>1.4610413404325451</v>
      </c>
      <c r="I56" s="50"/>
    </row>
    <row r="57" spans="1:9" x14ac:dyDescent="0.2">
      <c r="A57" s="36" t="s">
        <v>28</v>
      </c>
      <c r="B57" s="32"/>
      <c r="C57" s="32"/>
      <c r="D57" s="32"/>
      <c r="E57" s="32"/>
      <c r="F57" s="32"/>
      <c r="G57" s="39">
        <v>1749892</v>
      </c>
      <c r="H57" s="38">
        <f t="shared" si="2"/>
        <v>0.68559956892793694</v>
      </c>
      <c r="I57" s="50"/>
    </row>
    <row r="58" spans="1:9" x14ac:dyDescent="0.2">
      <c r="A58" s="36" t="s">
        <v>29</v>
      </c>
      <c r="B58" s="32"/>
      <c r="C58" s="32"/>
      <c r="D58" s="32"/>
      <c r="E58" s="32"/>
      <c r="F58" s="32"/>
      <c r="G58" s="39">
        <v>11993779</v>
      </c>
      <c r="H58" s="38">
        <f t="shared" si="2"/>
        <v>4.699106980440475</v>
      </c>
      <c r="I58" s="50"/>
    </row>
    <row r="59" spans="1:9" x14ac:dyDescent="0.2">
      <c r="A59" s="36" t="s">
        <v>49</v>
      </c>
      <c r="B59" s="32"/>
      <c r="C59" s="32"/>
      <c r="D59" s="32"/>
      <c r="E59" s="32"/>
      <c r="F59" s="32"/>
      <c r="G59" s="39">
        <v>5257646</v>
      </c>
      <c r="H59" s="38">
        <f t="shared" si="2"/>
        <v>2.059921315815886</v>
      </c>
      <c r="I59" s="50"/>
    </row>
    <row r="60" spans="1:9" x14ac:dyDescent="0.2">
      <c r="A60" s="36" t="s">
        <v>30</v>
      </c>
      <c r="B60" s="32"/>
      <c r="C60" s="32"/>
      <c r="D60" s="32"/>
      <c r="E60" s="32"/>
      <c r="F60" s="32"/>
      <c r="G60" s="39">
        <v>5439273</v>
      </c>
      <c r="H60" s="38">
        <f t="shared" si="2"/>
        <v>2.1310819319600105</v>
      </c>
      <c r="I60" s="50"/>
    </row>
    <row r="61" spans="1:9" x14ac:dyDescent="0.2">
      <c r="A61" s="36" t="s">
        <v>70</v>
      </c>
      <c r="B61" s="32"/>
      <c r="C61" s="32"/>
      <c r="D61" s="32"/>
      <c r="E61" s="32"/>
      <c r="F61" s="32"/>
      <c r="G61" s="39">
        <v>941653</v>
      </c>
      <c r="H61" s="38">
        <f t="shared" si="2"/>
        <v>0.36893527765124856</v>
      </c>
    </row>
    <row r="62" spans="1:9" x14ac:dyDescent="0.2">
      <c r="A62" s="36" t="s">
        <v>14</v>
      </c>
      <c r="B62" s="32"/>
      <c r="C62" s="32"/>
      <c r="D62" s="32"/>
      <c r="E62" s="32"/>
      <c r="F62" s="32"/>
      <c r="G62" s="49">
        <v>208731</v>
      </c>
      <c r="H62" s="45">
        <f t="shared" si="2"/>
        <v>8.1779837625348989E-2</v>
      </c>
    </row>
    <row r="63" spans="1:9" x14ac:dyDescent="0.2">
      <c r="A63" s="36" t="s">
        <v>25</v>
      </c>
      <c r="B63" s="32"/>
      <c r="C63" s="32"/>
      <c r="D63" s="32"/>
      <c r="E63" s="32"/>
      <c r="F63" s="32"/>
      <c r="G63" s="37">
        <f>SUM(G56:G62)</f>
        <v>29320067</v>
      </c>
      <c r="H63" s="38">
        <f t="shared" si="2"/>
        <v>11.487466252853451</v>
      </c>
    </row>
    <row r="64" spans="1:9" x14ac:dyDescent="0.2">
      <c r="A64" s="36"/>
      <c r="B64" s="32"/>
      <c r="C64" s="32"/>
      <c r="D64" s="32"/>
      <c r="E64" s="32"/>
      <c r="F64" s="32"/>
      <c r="G64" s="39"/>
      <c r="H64" s="35"/>
    </row>
    <row r="65" spans="1:8" ht="18" x14ac:dyDescent="0.25">
      <c r="A65" s="43" t="s">
        <v>31</v>
      </c>
      <c r="B65" s="32"/>
      <c r="C65" s="32"/>
      <c r="D65" s="32"/>
      <c r="E65" s="32"/>
      <c r="F65" s="32"/>
      <c r="G65" s="39"/>
      <c r="H65" s="35"/>
    </row>
    <row r="66" spans="1:8" x14ac:dyDescent="0.2">
      <c r="A66" s="36" t="s">
        <v>50</v>
      </c>
      <c r="B66" s="32"/>
      <c r="C66" s="32"/>
      <c r="D66" s="32"/>
      <c r="E66" s="32"/>
      <c r="F66" s="32"/>
      <c r="G66" s="39">
        <v>1315478</v>
      </c>
      <c r="H66" s="38">
        <f t="shared" ref="H66:H71" si="3">G66/$G$97*100</f>
        <v>0.51539817870713434</v>
      </c>
    </row>
    <row r="67" spans="1:8" x14ac:dyDescent="0.2">
      <c r="A67" s="36" t="s">
        <v>52</v>
      </c>
      <c r="B67" s="32"/>
      <c r="C67" s="32"/>
      <c r="D67" s="32"/>
      <c r="E67" s="32"/>
      <c r="F67" s="32"/>
      <c r="G67" s="39">
        <v>2779456</v>
      </c>
      <c r="H67" s="38">
        <f t="shared" si="3"/>
        <v>1.088977968614159</v>
      </c>
    </row>
    <row r="68" spans="1:8" x14ac:dyDescent="0.2">
      <c r="A68" s="36" t="s">
        <v>33</v>
      </c>
      <c r="B68" s="32"/>
      <c r="C68" s="32"/>
      <c r="D68" s="32"/>
      <c r="E68" s="32"/>
      <c r="F68" s="32"/>
      <c r="G68" s="39">
        <v>773280</v>
      </c>
      <c r="H68" s="38">
        <f t="shared" si="3"/>
        <v>0.30296751722997484</v>
      </c>
    </row>
    <row r="69" spans="1:8" x14ac:dyDescent="0.2">
      <c r="A69" s="36" t="s">
        <v>34</v>
      </c>
      <c r="B69" s="32"/>
      <c r="C69" s="32"/>
      <c r="D69" s="32"/>
      <c r="E69" s="32"/>
      <c r="F69" s="32"/>
      <c r="G69" s="39">
        <v>45107</v>
      </c>
      <c r="H69" s="38">
        <f t="shared" si="3"/>
        <v>1.7672713376386914E-2</v>
      </c>
    </row>
    <row r="70" spans="1:8" x14ac:dyDescent="0.2">
      <c r="A70" s="36" t="s">
        <v>14</v>
      </c>
      <c r="B70" s="32"/>
      <c r="C70" s="32"/>
      <c r="D70" s="32"/>
      <c r="E70" s="32"/>
      <c r="F70" s="32"/>
      <c r="G70" s="49">
        <v>25323</v>
      </c>
      <c r="H70" s="45">
        <f t="shared" si="3"/>
        <v>9.9214339421873736E-3</v>
      </c>
    </row>
    <row r="71" spans="1:8" x14ac:dyDescent="0.2">
      <c r="A71" s="36" t="s">
        <v>25</v>
      </c>
      <c r="B71" s="32"/>
      <c r="C71" s="32"/>
      <c r="D71" s="32"/>
      <c r="E71" s="32"/>
      <c r="F71" s="32"/>
      <c r="G71" s="37">
        <f>SUM(G66:G70)</f>
        <v>4938644</v>
      </c>
      <c r="H71" s="38">
        <f t="shared" si="3"/>
        <v>1.9349378118698424</v>
      </c>
    </row>
    <row r="72" spans="1:8" x14ac:dyDescent="0.2">
      <c r="A72" s="36"/>
      <c r="B72" s="32"/>
      <c r="C72" s="32"/>
      <c r="D72" s="32"/>
      <c r="E72" s="32"/>
      <c r="F72" s="32"/>
      <c r="G72" s="39"/>
      <c r="H72" s="35"/>
    </row>
    <row r="73" spans="1:8" ht="18" x14ac:dyDescent="0.25">
      <c r="A73" s="43" t="s">
        <v>47</v>
      </c>
      <c r="B73" s="32"/>
      <c r="C73" s="32"/>
      <c r="D73" s="32"/>
      <c r="E73" s="32"/>
      <c r="F73" s="32"/>
      <c r="G73" s="39"/>
      <c r="H73" s="35"/>
    </row>
    <row r="74" spans="1:8" x14ac:dyDescent="0.2">
      <c r="A74" s="36" t="s">
        <v>32</v>
      </c>
      <c r="B74" s="32"/>
      <c r="C74" s="32"/>
      <c r="D74" s="32"/>
      <c r="E74" s="32"/>
      <c r="F74" s="32"/>
      <c r="G74" s="39">
        <v>4362680</v>
      </c>
      <c r="H74" s="38">
        <f>G74/$G$97*100</f>
        <v>1.7092777882123766</v>
      </c>
    </row>
    <row r="75" spans="1:8" x14ac:dyDescent="0.2">
      <c r="A75" s="36" t="s">
        <v>94</v>
      </c>
      <c r="B75" s="32"/>
      <c r="C75" s="32"/>
      <c r="D75" s="32"/>
      <c r="E75" s="32"/>
      <c r="F75" s="32"/>
      <c r="G75" s="49">
        <v>520999</v>
      </c>
      <c r="H75" s="45">
        <f>G75/$G$97*100</f>
        <v>0.20412499160627409</v>
      </c>
    </row>
    <row r="76" spans="1:8" x14ac:dyDescent="0.2">
      <c r="A76" s="36" t="s">
        <v>25</v>
      </c>
      <c r="B76" s="32"/>
      <c r="C76" s="32"/>
      <c r="D76" s="32"/>
      <c r="E76" s="32"/>
      <c r="F76" s="32"/>
      <c r="G76" s="37">
        <f>SUM(G74:G75)</f>
        <v>4883679</v>
      </c>
      <c r="H76" s="38">
        <f>G76/$G$97*100</f>
        <v>1.9134027798186508</v>
      </c>
    </row>
    <row r="77" spans="1:8" x14ac:dyDescent="0.2">
      <c r="A77" s="36"/>
      <c r="B77" s="32"/>
      <c r="C77" s="32"/>
      <c r="D77" s="32"/>
      <c r="E77" s="32"/>
      <c r="F77" s="32"/>
      <c r="G77" s="39"/>
      <c r="H77" s="35"/>
    </row>
    <row r="78" spans="1:8" ht="18" x14ac:dyDescent="0.25">
      <c r="A78" s="43" t="s">
        <v>35</v>
      </c>
      <c r="B78" s="32"/>
      <c r="C78" s="32"/>
      <c r="D78" s="32"/>
      <c r="E78" s="32"/>
      <c r="F78" s="32"/>
      <c r="G78" s="39"/>
      <c r="H78" s="35"/>
    </row>
    <row r="79" spans="1:8" x14ac:dyDescent="0.2">
      <c r="A79" s="36" t="s">
        <v>35</v>
      </c>
      <c r="B79" s="32"/>
      <c r="C79" s="32"/>
      <c r="D79" s="32"/>
      <c r="E79" s="32"/>
      <c r="F79" s="32"/>
      <c r="G79" s="39">
        <v>3433398</v>
      </c>
      <c r="H79" s="38">
        <f>G79/$G$97*100</f>
        <v>1.3451894109796725</v>
      </c>
    </row>
    <row r="80" spans="1:8" x14ac:dyDescent="0.2">
      <c r="A80" s="36" t="s">
        <v>53</v>
      </c>
      <c r="B80" s="32"/>
      <c r="C80" s="32"/>
      <c r="D80" s="32"/>
      <c r="E80" s="32"/>
      <c r="F80" s="32"/>
      <c r="G80" s="49">
        <v>769352</v>
      </c>
      <c r="H80" s="45">
        <f>G80/$G$97*100</f>
        <v>0.30142854504954947</v>
      </c>
    </row>
    <row r="81" spans="1:8" x14ac:dyDescent="0.2">
      <c r="A81" s="36" t="s">
        <v>25</v>
      </c>
      <c r="B81" s="32"/>
      <c r="C81" s="32"/>
      <c r="D81" s="32"/>
      <c r="E81" s="32"/>
      <c r="F81" s="32"/>
      <c r="G81" s="37">
        <f>SUM(G79:G80)</f>
        <v>4202750</v>
      </c>
      <c r="H81" s="38">
        <f>G81/$G$97*100</f>
        <v>1.646617956029222</v>
      </c>
    </row>
    <row r="82" spans="1:8" x14ac:dyDescent="0.2">
      <c r="A82" s="36"/>
      <c r="B82" s="32"/>
      <c r="C82" s="32"/>
      <c r="D82" s="32"/>
      <c r="E82" s="32"/>
      <c r="F82" s="32"/>
      <c r="G82" s="39"/>
      <c r="H82" s="35"/>
    </row>
    <row r="83" spans="1:8" ht="18" x14ac:dyDescent="0.25">
      <c r="A83" s="43" t="s">
        <v>36</v>
      </c>
      <c r="B83" s="32"/>
      <c r="C83" s="32"/>
      <c r="D83" s="32"/>
      <c r="E83" s="32"/>
      <c r="F83" s="32"/>
      <c r="G83" s="39"/>
      <c r="H83" s="35"/>
    </row>
    <row r="84" spans="1:8" x14ac:dyDescent="0.2">
      <c r="A84" s="36" t="s">
        <v>95</v>
      </c>
      <c r="B84" s="32"/>
      <c r="C84" s="32"/>
      <c r="D84" s="32"/>
      <c r="E84" s="32"/>
      <c r="F84" s="32"/>
      <c r="G84" s="39">
        <v>13199335</v>
      </c>
      <c r="H84" s="38">
        <f t="shared" ref="H84:H92" si="4">G84/$G$97*100</f>
        <v>5.1714382294081185</v>
      </c>
    </row>
    <row r="85" spans="1:8" x14ac:dyDescent="0.2">
      <c r="A85" s="36" t="s">
        <v>38</v>
      </c>
      <c r="B85" s="32"/>
      <c r="C85" s="32"/>
      <c r="D85" s="32"/>
      <c r="E85" s="32"/>
      <c r="F85" s="32"/>
      <c r="G85" s="39">
        <v>5952264</v>
      </c>
      <c r="H85" s="38">
        <f t="shared" si="4"/>
        <v>2.3320694263104684</v>
      </c>
    </row>
    <row r="86" spans="1:8" x14ac:dyDescent="0.2">
      <c r="A86" s="36" t="s">
        <v>96</v>
      </c>
      <c r="B86" s="32"/>
      <c r="C86" s="32"/>
      <c r="D86" s="32"/>
      <c r="E86" s="32"/>
      <c r="F86" s="32"/>
      <c r="G86" s="39">
        <v>2745000</v>
      </c>
      <c r="H86" s="38">
        <f t="shared" si="4"/>
        <v>1.075478267634338</v>
      </c>
    </row>
    <row r="87" spans="1:8" x14ac:dyDescent="0.2">
      <c r="A87" s="36" t="s">
        <v>39</v>
      </c>
      <c r="B87" s="32"/>
      <c r="C87" s="32"/>
      <c r="D87" s="32"/>
      <c r="E87" s="32"/>
      <c r="F87" s="32"/>
      <c r="G87" s="39">
        <v>565300</v>
      </c>
      <c r="H87" s="38">
        <f t="shared" si="4"/>
        <v>0.22148191792119901</v>
      </c>
    </row>
    <row r="88" spans="1:8" x14ac:dyDescent="0.2">
      <c r="A88" s="36" t="s">
        <v>40</v>
      </c>
      <c r="B88" s="32"/>
      <c r="C88" s="32"/>
      <c r="D88" s="32"/>
      <c r="E88" s="32"/>
      <c r="F88" s="32"/>
      <c r="G88" s="39">
        <v>631590</v>
      </c>
      <c r="H88" s="38">
        <f t="shared" si="4"/>
        <v>0.24745403244268543</v>
      </c>
    </row>
    <row r="89" spans="1:8" x14ac:dyDescent="0.2">
      <c r="A89" s="36" t="s">
        <v>97</v>
      </c>
      <c r="B89" s="32"/>
      <c r="C89" s="32"/>
      <c r="D89" s="32"/>
      <c r="E89" s="32"/>
      <c r="F89" s="32"/>
      <c r="G89" s="39">
        <v>748846</v>
      </c>
      <c r="H89" s="38">
        <f t="shared" si="4"/>
        <v>0.29339438936426354</v>
      </c>
    </row>
    <row r="90" spans="1:8" ht="15" x14ac:dyDescent="0.2">
      <c r="A90" s="36" t="s">
        <v>41</v>
      </c>
      <c r="B90" s="40">
        <v>1</v>
      </c>
      <c r="C90" s="40"/>
      <c r="D90" s="40"/>
      <c r="E90" s="40"/>
      <c r="F90" s="40"/>
      <c r="G90" s="39">
        <v>4063420</v>
      </c>
      <c r="H90" s="38">
        <f t="shared" si="4"/>
        <v>1.5920291082953448</v>
      </c>
    </row>
    <row r="91" spans="1:8" x14ac:dyDescent="0.2">
      <c r="A91" s="36" t="s">
        <v>42</v>
      </c>
      <c r="B91" s="32"/>
      <c r="C91" s="32"/>
      <c r="D91" s="32"/>
      <c r="E91" s="32"/>
      <c r="F91" s="32"/>
      <c r="G91" s="49">
        <v>92041</v>
      </c>
      <c r="H91" s="45">
        <f t="shared" si="4"/>
        <v>3.6061236878445209E-2</v>
      </c>
    </row>
    <row r="92" spans="1:8" x14ac:dyDescent="0.2">
      <c r="A92" s="36" t="s">
        <v>43</v>
      </c>
      <c r="B92" s="32"/>
      <c r="C92" s="32"/>
      <c r="D92" s="32"/>
      <c r="E92" s="32"/>
      <c r="F92" s="32"/>
      <c r="G92" s="37">
        <f>SUM(G84:G91)</f>
        <v>27997796</v>
      </c>
      <c r="H92" s="38">
        <f t="shared" si="4"/>
        <v>10.969406608254863</v>
      </c>
    </row>
    <row r="93" spans="1:8" x14ac:dyDescent="0.2">
      <c r="A93" s="36"/>
      <c r="B93" s="32"/>
      <c r="C93" s="32"/>
      <c r="D93" s="32"/>
      <c r="E93" s="32"/>
      <c r="F93" s="32"/>
      <c r="G93" s="39"/>
      <c r="H93" s="38"/>
    </row>
    <row r="94" spans="1:8" ht="15" x14ac:dyDescent="0.2">
      <c r="A94" s="36" t="s">
        <v>44</v>
      </c>
      <c r="B94" s="40"/>
      <c r="C94" s="40"/>
      <c r="D94" s="40"/>
      <c r="E94" s="40"/>
      <c r="F94" s="40"/>
      <c r="G94" s="49">
        <v>7479246</v>
      </c>
      <c r="H94" s="45">
        <f>G94/$G$97*100</f>
        <v>2.9303338911807111</v>
      </c>
    </row>
    <row r="95" spans="1:8" x14ac:dyDescent="0.2">
      <c r="A95" s="36" t="s">
        <v>45</v>
      </c>
      <c r="B95" s="32"/>
      <c r="C95" s="32"/>
      <c r="D95" s="32"/>
      <c r="E95" s="32"/>
      <c r="F95" s="32"/>
      <c r="G95" s="37">
        <f>G92+G94</f>
        <v>35477042</v>
      </c>
      <c r="H95" s="38">
        <f>G95/$G$97*100</f>
        <v>13.899740499435573</v>
      </c>
    </row>
    <row r="96" spans="1:8" x14ac:dyDescent="0.2">
      <c r="A96" s="36"/>
      <c r="B96" s="32"/>
      <c r="C96" s="32"/>
      <c r="D96" s="32"/>
      <c r="E96" s="32"/>
      <c r="F96" s="32"/>
      <c r="G96" s="39"/>
      <c r="H96" s="38"/>
    </row>
    <row r="97" spans="1:8" ht="13.5" thickBot="1" x14ac:dyDescent="0.25">
      <c r="A97" s="36" t="s">
        <v>46</v>
      </c>
      <c r="B97" s="32"/>
      <c r="C97" s="32"/>
      <c r="D97" s="32"/>
      <c r="E97" s="32"/>
      <c r="F97" s="32"/>
      <c r="G97" s="47">
        <f>G40+G63+G71+G47+G76+G81+G95</f>
        <v>255235283</v>
      </c>
      <c r="H97" s="48">
        <f>G97/$G$97*100</f>
        <v>100</v>
      </c>
    </row>
    <row r="98" spans="1:8" ht="15" x14ac:dyDescent="0.2">
      <c r="A98" s="36"/>
      <c r="B98" s="32"/>
      <c r="C98" s="32"/>
      <c r="D98" s="32"/>
      <c r="E98" s="32"/>
      <c r="F98" s="32"/>
      <c r="G98" s="55"/>
    </row>
    <row r="99" spans="1:8" x14ac:dyDescent="0.2">
      <c r="A99" s="36"/>
      <c r="B99" s="32"/>
      <c r="C99" s="32"/>
      <c r="D99" s="32"/>
      <c r="E99" s="32"/>
      <c r="F99" s="32"/>
      <c r="G99" s="57"/>
      <c r="H99" s="56"/>
    </row>
    <row r="100" spans="1:8" x14ac:dyDescent="0.2">
      <c r="G100" s="57"/>
      <c r="H100" s="56"/>
    </row>
    <row r="101" spans="1:8" x14ac:dyDescent="0.2">
      <c r="G101" s="57"/>
    </row>
    <row r="102" spans="1:8" x14ac:dyDescent="0.2">
      <c r="G102" s="57"/>
      <c r="H102" s="56"/>
    </row>
    <row r="103" spans="1:8" ht="15" x14ac:dyDescent="0.2">
      <c r="G103" s="55"/>
    </row>
    <row r="104" spans="1:8" ht="15" x14ac:dyDescent="0.2">
      <c r="G104" s="55"/>
    </row>
  </sheetData>
  <mergeCells count="8">
    <mergeCell ref="A1:H1"/>
    <mergeCell ref="A2:H2"/>
    <mergeCell ref="G4:H4"/>
    <mergeCell ref="G5:H5"/>
    <mergeCell ref="G53:H53"/>
    <mergeCell ref="G6:H6"/>
    <mergeCell ref="G51:H51"/>
    <mergeCell ref="G52:H52"/>
  </mergeCells>
  <printOptions horizontalCentered="1"/>
  <pageMargins left="0.91" right="0.79" top="0.82" bottom="0.7" header="0.17" footer="0.44"/>
  <pageSetup scale="95" orientation="portrait" r:id="rId1"/>
  <headerFooter alignWithMargins="0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04"/>
  <sheetViews>
    <sheetView topLeftCell="A76" zoomScaleNormal="100" workbookViewId="0">
      <selection activeCell="G9" sqref="G9"/>
    </sheetView>
  </sheetViews>
  <sheetFormatPr defaultRowHeight="12.75" x14ac:dyDescent="0.2"/>
  <cols>
    <col min="1" max="1" width="42.109375" style="28" customWidth="1"/>
    <col min="2" max="2" width="1.21875" style="28" hidden="1" customWidth="1"/>
    <col min="3" max="6" width="1.21875" style="28" customWidth="1"/>
    <col min="7" max="7" width="13.44140625" style="28" bestFit="1" customWidth="1"/>
    <col min="8" max="16384" width="8.88671875" style="28"/>
  </cols>
  <sheetData>
    <row r="1" spans="1:8" ht="18.75" x14ac:dyDescent="0.3">
      <c r="A1" s="365" t="s">
        <v>114</v>
      </c>
      <c r="B1" s="365"/>
      <c r="C1" s="365"/>
      <c r="D1" s="365"/>
      <c r="E1" s="365"/>
      <c r="F1" s="365"/>
      <c r="G1" s="365"/>
      <c r="H1" s="365"/>
    </row>
    <row r="2" spans="1:8" ht="15" x14ac:dyDescent="0.2">
      <c r="A2" s="366"/>
      <c r="B2" s="366"/>
      <c r="C2" s="366"/>
      <c r="D2" s="366"/>
      <c r="E2" s="366"/>
      <c r="F2" s="366"/>
      <c r="G2" s="366"/>
      <c r="H2" s="366"/>
    </row>
    <row r="3" spans="1:8" ht="15.75" thickBot="1" x14ac:dyDescent="0.25">
      <c r="A3" s="68"/>
      <c r="B3" s="54"/>
      <c r="C3" s="54"/>
      <c r="D3" s="54"/>
      <c r="E3" s="54"/>
      <c r="F3" s="54"/>
      <c r="G3" s="54"/>
      <c r="H3" s="54"/>
    </row>
    <row r="4" spans="1:8" x14ac:dyDescent="0.2">
      <c r="G4" s="92" t="s">
        <v>75</v>
      </c>
      <c r="H4" s="93"/>
    </row>
    <row r="5" spans="1:8" x14ac:dyDescent="0.2">
      <c r="G5" s="363" t="s">
        <v>113</v>
      </c>
      <c r="H5" s="364"/>
    </row>
    <row r="6" spans="1:8" x14ac:dyDescent="0.2">
      <c r="G6" s="359">
        <v>40375</v>
      </c>
      <c r="H6" s="360"/>
    </row>
    <row r="7" spans="1:8" x14ac:dyDescent="0.2">
      <c r="G7" s="29" t="s">
        <v>0</v>
      </c>
      <c r="H7" s="30" t="s">
        <v>1</v>
      </c>
    </row>
    <row r="8" spans="1:8" ht="18.75" x14ac:dyDescent="0.3">
      <c r="A8" s="31" t="s">
        <v>2</v>
      </c>
      <c r="B8" s="32"/>
      <c r="C8" s="32"/>
      <c r="D8" s="32"/>
      <c r="E8" s="32"/>
      <c r="F8" s="32"/>
      <c r="G8" s="34"/>
      <c r="H8" s="35"/>
    </row>
    <row r="9" spans="1:8" x14ac:dyDescent="0.2">
      <c r="A9" s="36" t="s">
        <v>105</v>
      </c>
      <c r="B9" s="32"/>
      <c r="C9" s="32"/>
      <c r="D9" s="32"/>
      <c r="E9" s="32"/>
      <c r="F9" s="32"/>
      <c r="G9" s="37">
        <f>233036779+61759500</f>
        <v>294796279</v>
      </c>
      <c r="H9" s="38">
        <f>G9/$G$15*100</f>
        <v>108.52729328372872</v>
      </c>
    </row>
    <row r="10" spans="1:8" x14ac:dyDescent="0.2">
      <c r="A10" s="36" t="s">
        <v>82</v>
      </c>
      <c r="B10" s="32"/>
      <c r="C10" s="32"/>
      <c r="D10" s="32"/>
      <c r="E10" s="32"/>
      <c r="F10" s="32"/>
      <c r="G10" s="39">
        <v>-26096965</v>
      </c>
      <c r="H10" s="38">
        <f>G10/$G$15*100</f>
        <v>-9.6074244355377481</v>
      </c>
    </row>
    <row r="11" spans="1:8" x14ac:dyDescent="0.2">
      <c r="A11" s="36" t="s">
        <v>3</v>
      </c>
      <c r="B11" s="32"/>
      <c r="C11" s="32"/>
      <c r="D11" s="32"/>
      <c r="E11" s="32"/>
      <c r="F11" s="32"/>
      <c r="G11" s="37">
        <v>800000</v>
      </c>
      <c r="H11" s="38">
        <f>G11/$G$15*100</f>
        <v>0.2945146896748414</v>
      </c>
    </row>
    <row r="12" spans="1:8" ht="15" x14ac:dyDescent="0.2">
      <c r="A12" s="36" t="s">
        <v>4</v>
      </c>
      <c r="B12" s="40">
        <v>2</v>
      </c>
      <c r="C12" s="40"/>
      <c r="D12" s="40"/>
      <c r="E12" s="40"/>
      <c r="F12" s="40"/>
      <c r="G12" s="37">
        <v>291000</v>
      </c>
      <c r="H12" s="38">
        <f>G12/$G$15*100</f>
        <v>0.10712971836922355</v>
      </c>
    </row>
    <row r="13" spans="1:8" ht="15" x14ac:dyDescent="0.2">
      <c r="A13" s="36" t="s">
        <v>5</v>
      </c>
      <c r="B13" s="40">
        <v>2</v>
      </c>
      <c r="C13" s="40"/>
      <c r="D13" s="40"/>
      <c r="E13" s="40"/>
      <c r="F13" s="40"/>
      <c r="G13" s="37">
        <v>1842996</v>
      </c>
      <c r="H13" s="38">
        <f>G13/$G$15*100</f>
        <v>0.67848674376496754</v>
      </c>
    </row>
    <row r="14" spans="1:8" x14ac:dyDescent="0.2">
      <c r="A14" s="36"/>
      <c r="B14" s="36"/>
      <c r="C14" s="36"/>
      <c r="D14" s="36"/>
      <c r="E14" s="36"/>
      <c r="F14" s="36"/>
      <c r="G14" s="41"/>
      <c r="H14" s="42"/>
    </row>
    <row r="15" spans="1:8" x14ac:dyDescent="0.2">
      <c r="A15" s="36" t="s">
        <v>6</v>
      </c>
      <c r="B15" s="32"/>
      <c r="C15" s="32"/>
      <c r="D15" s="32"/>
      <c r="E15" s="32"/>
      <c r="F15" s="32"/>
      <c r="G15" s="37">
        <f>SUM(G9:G13)</f>
        <v>271633310</v>
      </c>
      <c r="H15" s="38">
        <f>G15/$G$15*100</f>
        <v>100</v>
      </c>
    </row>
    <row r="16" spans="1:8" x14ac:dyDescent="0.2">
      <c r="G16" s="34"/>
      <c r="H16" s="35"/>
    </row>
    <row r="17" spans="1:9" ht="18.75" x14ac:dyDescent="0.3">
      <c r="A17" s="31" t="s">
        <v>7</v>
      </c>
      <c r="B17" s="32"/>
      <c r="C17" s="32"/>
      <c r="D17" s="32"/>
      <c r="E17" s="32"/>
      <c r="F17" s="32"/>
      <c r="G17" s="34"/>
      <c r="H17" s="35"/>
    </row>
    <row r="18" spans="1:9" ht="18" x14ac:dyDescent="0.25">
      <c r="A18" s="43" t="s">
        <v>8</v>
      </c>
      <c r="B18" s="32"/>
      <c r="C18" s="32"/>
      <c r="D18" s="32"/>
      <c r="E18" s="32"/>
      <c r="F18" s="32"/>
      <c r="G18" s="34"/>
      <c r="H18" s="35"/>
      <c r="I18" s="50"/>
    </row>
    <row r="19" spans="1:9" x14ac:dyDescent="0.2">
      <c r="A19" s="36" t="s">
        <v>61</v>
      </c>
      <c r="B19" s="32"/>
      <c r="C19" s="32"/>
      <c r="D19" s="32"/>
      <c r="E19" s="32"/>
      <c r="F19" s="32"/>
      <c r="G19" s="39">
        <v>67220285</v>
      </c>
      <c r="H19" s="38">
        <f t="shared" ref="H19:H40" si="0">G19/$G$97*100</f>
        <v>24.746701720786749</v>
      </c>
      <c r="I19" s="50"/>
    </row>
    <row r="20" spans="1:9" x14ac:dyDescent="0.2">
      <c r="A20" s="36" t="s">
        <v>58</v>
      </c>
      <c r="B20" s="32"/>
      <c r="C20" s="32"/>
      <c r="D20" s="32"/>
      <c r="E20" s="32"/>
      <c r="F20" s="32"/>
      <c r="G20" s="39">
        <v>16564101</v>
      </c>
      <c r="H20" s="38">
        <f t="shared" si="0"/>
        <v>6.0979638321971636</v>
      </c>
      <c r="I20" s="50"/>
    </row>
    <row r="21" spans="1:9" ht="15" x14ac:dyDescent="0.2">
      <c r="A21" s="36" t="s">
        <v>60</v>
      </c>
      <c r="B21" s="40">
        <v>2</v>
      </c>
      <c r="C21" s="40"/>
      <c r="D21" s="40"/>
      <c r="E21" s="40"/>
      <c r="F21" s="40"/>
      <c r="G21" s="39">
        <v>10919580</v>
      </c>
      <c r="H21" s="38">
        <f t="shared" si="0"/>
        <v>4.0199708938495062</v>
      </c>
      <c r="I21" s="50"/>
    </row>
    <row r="22" spans="1:9" x14ac:dyDescent="0.2">
      <c r="A22" s="36" t="s">
        <v>59</v>
      </c>
      <c r="B22" s="32"/>
      <c r="C22" s="32"/>
      <c r="D22" s="32"/>
      <c r="E22" s="32"/>
      <c r="F22" s="32"/>
      <c r="G22" s="39">
        <v>9805519</v>
      </c>
      <c r="H22" s="38">
        <f t="shared" si="0"/>
        <v>3.6098367317322015</v>
      </c>
      <c r="I22" s="50"/>
    </row>
    <row r="23" spans="1:9" x14ac:dyDescent="0.2">
      <c r="A23" s="36" t="s">
        <v>62</v>
      </c>
      <c r="B23" s="32"/>
      <c r="C23" s="32"/>
      <c r="D23" s="32"/>
      <c r="E23" s="32"/>
      <c r="F23" s="32"/>
      <c r="G23" s="39">
        <v>8305634</v>
      </c>
      <c r="H23" s="38">
        <f t="shared" si="0"/>
        <v>3.0576640250785148</v>
      </c>
      <c r="I23" s="50"/>
    </row>
    <row r="24" spans="1:9" x14ac:dyDescent="0.2">
      <c r="A24" s="36" t="s">
        <v>64</v>
      </c>
      <c r="B24" s="32"/>
      <c r="C24" s="32"/>
      <c r="D24" s="32"/>
      <c r="E24" s="32"/>
      <c r="F24" s="32"/>
      <c r="G24" s="39">
        <v>6794859</v>
      </c>
      <c r="H24" s="38">
        <f t="shared" si="0"/>
        <v>2.5014822372116292</v>
      </c>
      <c r="I24" s="50"/>
    </row>
    <row r="25" spans="1:9" x14ac:dyDescent="0.2">
      <c r="A25" s="36" t="s">
        <v>63</v>
      </c>
      <c r="B25" s="32"/>
      <c r="C25" s="32"/>
      <c r="D25" s="32"/>
      <c r="E25" s="32"/>
      <c r="F25" s="32"/>
      <c r="G25" s="39">
        <v>6777048</v>
      </c>
      <c r="H25" s="38">
        <f t="shared" si="0"/>
        <v>2.4949252357893812</v>
      </c>
      <c r="I25" s="50"/>
    </row>
    <row r="26" spans="1:9" x14ac:dyDescent="0.2">
      <c r="A26" s="36" t="s">
        <v>73</v>
      </c>
      <c r="B26" s="32"/>
      <c r="C26" s="32"/>
      <c r="D26" s="32"/>
      <c r="E26" s="32"/>
      <c r="F26" s="32"/>
      <c r="G26" s="39">
        <v>11750302</v>
      </c>
      <c r="H26" s="38">
        <f t="shared" si="0"/>
        <v>4.3257956838945857</v>
      </c>
      <c r="I26" s="50"/>
    </row>
    <row r="27" spans="1:9" x14ac:dyDescent="0.2">
      <c r="A27" s="36" t="s">
        <v>71</v>
      </c>
      <c r="B27" s="32"/>
      <c r="C27" s="32"/>
      <c r="D27" s="32"/>
      <c r="E27" s="32"/>
      <c r="F27" s="32"/>
      <c r="G27" s="39">
        <v>1422156</v>
      </c>
      <c r="H27" s="38">
        <f t="shared" si="0"/>
        <v>0.52355729126151729</v>
      </c>
      <c r="I27" s="50"/>
    </row>
    <row r="28" spans="1:9" x14ac:dyDescent="0.2">
      <c r="A28" s="36" t="s">
        <v>66</v>
      </c>
      <c r="B28" s="32"/>
      <c r="C28" s="32"/>
      <c r="D28" s="32"/>
      <c r="E28" s="32"/>
      <c r="F28" s="32"/>
      <c r="G28" s="39">
        <v>10194948</v>
      </c>
      <c r="H28" s="38">
        <f t="shared" si="0"/>
        <v>3.7532024330889313</v>
      </c>
      <c r="I28" s="50"/>
    </row>
    <row r="29" spans="1:9" x14ac:dyDescent="0.2">
      <c r="A29" s="36" t="s">
        <v>84</v>
      </c>
      <c r="B29" s="32"/>
      <c r="C29" s="32"/>
      <c r="D29" s="32"/>
      <c r="E29" s="32"/>
      <c r="F29" s="32"/>
      <c r="G29" s="39">
        <v>1309654</v>
      </c>
      <c r="H29" s="38">
        <f t="shared" si="0"/>
        <v>0.48214042673926849</v>
      </c>
      <c r="I29" s="50"/>
    </row>
    <row r="30" spans="1:9" x14ac:dyDescent="0.2">
      <c r="A30" s="36" t="s">
        <v>85</v>
      </c>
      <c r="B30" s="32"/>
      <c r="C30" s="32"/>
      <c r="D30" s="32"/>
      <c r="E30" s="32"/>
      <c r="F30" s="32"/>
      <c r="G30" s="39">
        <v>603334</v>
      </c>
      <c r="H30" s="38">
        <f t="shared" si="0"/>
        <v>0.22211340722535097</v>
      </c>
      <c r="I30" s="50"/>
    </row>
    <row r="31" spans="1:9" x14ac:dyDescent="0.2">
      <c r="A31" s="36" t="s">
        <v>68</v>
      </c>
      <c r="B31" s="32"/>
      <c r="C31" s="32"/>
      <c r="D31" s="32"/>
      <c r="E31" s="32"/>
      <c r="F31" s="32"/>
      <c r="G31" s="39">
        <v>12455650</v>
      </c>
      <c r="H31" s="38">
        <f t="shared" si="0"/>
        <v>4.5854648680605479</v>
      </c>
      <c r="I31" s="50"/>
    </row>
    <row r="32" spans="1:9" x14ac:dyDescent="0.2">
      <c r="A32" s="36" t="s">
        <v>17</v>
      </c>
      <c r="B32" s="32"/>
      <c r="C32" s="32"/>
      <c r="D32" s="32"/>
      <c r="E32" s="32"/>
      <c r="F32" s="32"/>
      <c r="G32" s="39">
        <v>7637186</v>
      </c>
      <c r="H32" s="38">
        <f t="shared" si="0"/>
        <v>2.8115793309738044</v>
      </c>
      <c r="I32" s="50"/>
    </row>
    <row r="33" spans="1:9" x14ac:dyDescent="0.2">
      <c r="A33" s="36" t="s">
        <v>20</v>
      </c>
      <c r="B33" s="32"/>
      <c r="C33" s="32"/>
      <c r="D33" s="32"/>
      <c r="E33" s="32"/>
      <c r="F33" s="32"/>
      <c r="G33" s="39">
        <v>918716</v>
      </c>
      <c r="H33" s="38">
        <f t="shared" si="0"/>
        <v>0.3382191970491395</v>
      </c>
      <c r="I33" s="50"/>
    </row>
    <row r="34" spans="1:9" x14ac:dyDescent="0.2">
      <c r="A34" s="36" t="s">
        <v>21</v>
      </c>
      <c r="B34" s="36"/>
      <c r="C34" s="36"/>
      <c r="D34" s="36"/>
      <c r="E34" s="36"/>
      <c r="F34" s="36"/>
      <c r="G34" s="39">
        <v>743709</v>
      </c>
      <c r="H34" s="38">
        <f t="shared" si="0"/>
        <v>0.27379153167923331</v>
      </c>
      <c r="I34" s="50"/>
    </row>
    <row r="35" spans="1:9" x14ac:dyDescent="0.2">
      <c r="A35" s="36" t="s">
        <v>22</v>
      </c>
      <c r="B35" s="32"/>
      <c r="C35" s="32"/>
      <c r="D35" s="32"/>
      <c r="E35" s="32"/>
      <c r="F35" s="32"/>
      <c r="G35" s="39">
        <v>2484694</v>
      </c>
      <c r="H35" s="38">
        <f t="shared" si="0"/>
        <v>0.91472360293367549</v>
      </c>
      <c r="I35" s="50"/>
    </row>
    <row r="36" spans="1:9" x14ac:dyDescent="0.2">
      <c r="A36" s="36" t="s">
        <v>23</v>
      </c>
      <c r="B36" s="32"/>
      <c r="C36" s="32"/>
      <c r="D36" s="32"/>
      <c r="E36" s="32"/>
      <c r="F36" s="32"/>
      <c r="G36" s="39">
        <v>3330152</v>
      </c>
      <c r="H36" s="38">
        <f t="shared" si="0"/>
        <v>1.2259733535625656</v>
      </c>
      <c r="I36" s="50"/>
    </row>
    <row r="37" spans="1:9" hidden="1" x14ac:dyDescent="0.2">
      <c r="A37" s="36" t="s">
        <v>86</v>
      </c>
      <c r="B37" s="32"/>
      <c r="C37" s="32"/>
      <c r="D37" s="32"/>
      <c r="E37" s="32"/>
      <c r="F37" s="32"/>
      <c r="G37" s="39">
        <v>0</v>
      </c>
      <c r="H37" s="38">
        <f t="shared" si="0"/>
        <v>0</v>
      </c>
      <c r="I37" s="50"/>
    </row>
    <row r="38" spans="1:9" x14ac:dyDescent="0.2">
      <c r="A38" s="36" t="s">
        <v>13</v>
      </c>
      <c r="B38" s="32"/>
      <c r="C38" s="32"/>
      <c r="D38" s="32"/>
      <c r="E38" s="32"/>
      <c r="F38" s="32"/>
      <c r="G38" s="39">
        <v>3640483</v>
      </c>
      <c r="H38" s="38">
        <f t="shared" si="0"/>
        <v>1.3402196512644196</v>
      </c>
      <c r="I38" s="50"/>
    </row>
    <row r="39" spans="1:9" x14ac:dyDescent="0.2">
      <c r="A39" s="36" t="s">
        <v>14</v>
      </c>
      <c r="B39" s="32"/>
      <c r="C39" s="32"/>
      <c r="D39" s="32"/>
      <c r="E39" s="32"/>
      <c r="F39" s="32"/>
      <c r="G39" s="39">
        <v>733320</v>
      </c>
      <c r="H39" s="45">
        <f t="shared" si="0"/>
        <v>0.26996689029044341</v>
      </c>
      <c r="I39" s="50"/>
    </row>
    <row r="40" spans="1:9" x14ac:dyDescent="0.2">
      <c r="A40" s="36" t="s">
        <v>25</v>
      </c>
      <c r="B40" s="32"/>
      <c r="C40" s="32"/>
      <c r="D40" s="32"/>
      <c r="E40" s="32"/>
      <c r="F40" s="32"/>
      <c r="G40" s="66">
        <f>SUM(G17:G39)</f>
        <v>183611330</v>
      </c>
      <c r="H40" s="38">
        <f t="shared" si="0"/>
        <v>67.595292344668621</v>
      </c>
      <c r="I40" s="50"/>
    </row>
    <row r="41" spans="1:9" x14ac:dyDescent="0.2">
      <c r="A41" s="36"/>
      <c r="B41" s="32"/>
      <c r="C41" s="32"/>
      <c r="D41" s="32"/>
      <c r="E41" s="32"/>
      <c r="F41" s="32"/>
      <c r="G41" s="65"/>
      <c r="H41" s="64"/>
      <c r="I41" s="50"/>
    </row>
    <row r="42" spans="1:9" ht="18" x14ac:dyDescent="0.25">
      <c r="A42" s="43" t="s">
        <v>87</v>
      </c>
      <c r="B42" s="32"/>
      <c r="C42" s="32"/>
      <c r="D42" s="32"/>
      <c r="E42" s="32"/>
      <c r="F42" s="32"/>
      <c r="G42" s="39"/>
      <c r="H42" s="35"/>
    </row>
    <row r="43" spans="1:9" x14ac:dyDescent="0.2">
      <c r="A43" s="36" t="s">
        <v>54</v>
      </c>
      <c r="B43" s="32"/>
      <c r="C43" s="32"/>
      <c r="D43" s="32"/>
      <c r="E43" s="32"/>
      <c r="F43" s="32"/>
      <c r="G43" s="39">
        <v>240885</v>
      </c>
      <c r="H43" s="38">
        <f>G43/$G$97*100</f>
        <v>8.868021377790522E-2</v>
      </c>
    </row>
    <row r="44" spans="1:9" x14ac:dyDescent="0.2">
      <c r="A44" s="36" t="s">
        <v>88</v>
      </c>
      <c r="B44" s="32"/>
      <c r="C44" s="32"/>
      <c r="D44" s="32"/>
      <c r="E44" s="32"/>
      <c r="F44" s="32"/>
      <c r="G44" s="39">
        <v>678120</v>
      </c>
      <c r="H44" s="38">
        <f>G44/$G$97*100</f>
        <v>0.24964537670287934</v>
      </c>
    </row>
    <row r="45" spans="1:9" x14ac:dyDescent="0.2">
      <c r="A45" s="36" t="s">
        <v>102</v>
      </c>
      <c r="B45" s="32"/>
      <c r="C45" s="32"/>
      <c r="D45" s="32"/>
      <c r="E45" s="32"/>
      <c r="F45" s="32"/>
      <c r="G45" s="39">
        <v>119981</v>
      </c>
      <c r="H45" s="38">
        <f>G45/$G$97*100</f>
        <v>4.4170208727346436E-2</v>
      </c>
    </row>
    <row r="46" spans="1:9" x14ac:dyDescent="0.2">
      <c r="A46" s="36" t="s">
        <v>14</v>
      </c>
      <c r="B46" s="32"/>
      <c r="C46" s="32"/>
      <c r="D46" s="32"/>
      <c r="E46" s="32"/>
      <c r="F46" s="32"/>
      <c r="G46" s="49">
        <v>55321</v>
      </c>
      <c r="H46" s="45">
        <f>G46/$G$97*100</f>
        <v>2.0366058934377377E-2</v>
      </c>
    </row>
    <row r="47" spans="1:9" ht="13.5" thickBot="1" x14ac:dyDescent="0.25">
      <c r="A47" s="36" t="s">
        <v>25</v>
      </c>
      <c r="B47" s="32"/>
      <c r="C47" s="32"/>
      <c r="D47" s="32"/>
      <c r="E47" s="32"/>
      <c r="F47" s="32"/>
      <c r="G47" s="63">
        <f>SUM(G43:G46)</f>
        <v>1094307</v>
      </c>
      <c r="H47" s="62">
        <f>G47/$G$97*100</f>
        <v>0.40286185814250836</v>
      </c>
    </row>
    <row r="48" spans="1:9" x14ac:dyDescent="0.2">
      <c r="A48" s="36"/>
      <c r="B48" s="32"/>
      <c r="C48" s="32"/>
      <c r="D48" s="32"/>
      <c r="E48" s="32"/>
      <c r="F48" s="32"/>
      <c r="G48" s="70"/>
      <c r="H48" s="69"/>
    </row>
    <row r="49" spans="1:9" x14ac:dyDescent="0.2">
      <c r="A49" s="36"/>
      <c r="B49" s="32"/>
      <c r="C49" s="32"/>
      <c r="D49" s="32"/>
      <c r="E49" s="32"/>
      <c r="F49" s="32"/>
      <c r="G49" s="59"/>
      <c r="H49" s="58"/>
    </row>
    <row r="50" spans="1:9" ht="13.5" thickBot="1" x14ac:dyDescent="0.25">
      <c r="A50" s="36"/>
      <c r="B50" s="32"/>
      <c r="C50" s="32"/>
      <c r="D50" s="32"/>
      <c r="E50" s="32"/>
      <c r="F50" s="32"/>
      <c r="G50" s="59"/>
      <c r="H50" s="58"/>
    </row>
    <row r="51" spans="1:9" x14ac:dyDescent="0.2">
      <c r="A51" s="36"/>
      <c r="B51" s="32"/>
      <c r="C51" s="32"/>
      <c r="D51" s="32"/>
      <c r="E51" s="32"/>
      <c r="F51" s="32"/>
      <c r="G51" s="361" t="s">
        <v>99</v>
      </c>
      <c r="H51" s="362"/>
      <c r="I51" s="50"/>
    </row>
    <row r="52" spans="1:9" x14ac:dyDescent="0.2">
      <c r="G52" s="363" t="s">
        <v>113</v>
      </c>
      <c r="H52" s="364"/>
      <c r="I52" s="50"/>
    </row>
    <row r="53" spans="1:9" x14ac:dyDescent="0.2">
      <c r="G53" s="359">
        <v>40375</v>
      </c>
      <c r="H53" s="360"/>
      <c r="I53" s="50"/>
    </row>
    <row r="54" spans="1:9" x14ac:dyDescent="0.2">
      <c r="G54" s="29" t="s">
        <v>0</v>
      </c>
      <c r="H54" s="30" t="s">
        <v>1</v>
      </c>
      <c r="I54" s="50"/>
    </row>
    <row r="55" spans="1:9" ht="18" x14ac:dyDescent="0.25">
      <c r="A55" s="43" t="s">
        <v>90</v>
      </c>
      <c r="B55" s="32"/>
      <c r="C55" s="32"/>
      <c r="D55" s="32"/>
      <c r="E55" s="32"/>
      <c r="F55" s="32"/>
      <c r="G55" s="39"/>
      <c r="H55" s="35"/>
      <c r="I55" s="50"/>
    </row>
    <row r="56" spans="1:9" x14ac:dyDescent="0.2">
      <c r="A56" s="36" t="s">
        <v>27</v>
      </c>
      <c r="B56" s="32"/>
      <c r="C56" s="32"/>
      <c r="D56" s="32"/>
      <c r="E56" s="32"/>
      <c r="F56" s="32"/>
      <c r="G56" s="39">
        <v>3850925</v>
      </c>
      <c r="H56" s="38">
        <f t="shared" ref="H56:H63" si="1">G56/$G$97*100</f>
        <v>1.4176924766701109</v>
      </c>
      <c r="I56" s="50"/>
    </row>
    <row r="57" spans="1:9" x14ac:dyDescent="0.2">
      <c r="A57" s="36" t="s">
        <v>28</v>
      </c>
      <c r="B57" s="32"/>
      <c r="C57" s="32"/>
      <c r="D57" s="32"/>
      <c r="E57" s="32"/>
      <c r="F57" s="32"/>
      <c r="G57" s="39">
        <v>1798282</v>
      </c>
      <c r="H57" s="38">
        <f t="shared" si="1"/>
        <v>0.66202558147231649</v>
      </c>
      <c r="I57" s="50"/>
    </row>
    <row r="58" spans="1:9" x14ac:dyDescent="0.2">
      <c r="A58" s="36" t="s">
        <v>29</v>
      </c>
      <c r="B58" s="32"/>
      <c r="C58" s="32"/>
      <c r="D58" s="32"/>
      <c r="E58" s="32"/>
      <c r="F58" s="32"/>
      <c r="G58" s="39">
        <v>12557521</v>
      </c>
      <c r="H58" s="38">
        <f t="shared" si="1"/>
        <v>4.6229680005003804</v>
      </c>
      <c r="I58" s="50"/>
    </row>
    <row r="59" spans="1:9" x14ac:dyDescent="0.2">
      <c r="A59" s="36" t="s">
        <v>49</v>
      </c>
      <c r="B59" s="32"/>
      <c r="C59" s="32"/>
      <c r="D59" s="32"/>
      <c r="E59" s="32"/>
      <c r="F59" s="32"/>
      <c r="G59" s="39">
        <v>5315402</v>
      </c>
      <c r="H59" s="38">
        <f t="shared" si="1"/>
        <v>1.9568299631587893</v>
      </c>
      <c r="I59" s="50"/>
    </row>
    <row r="60" spans="1:9" x14ac:dyDescent="0.2">
      <c r="A60" s="36" t="s">
        <v>30</v>
      </c>
      <c r="B60" s="32"/>
      <c r="C60" s="32"/>
      <c r="D60" s="32"/>
      <c r="E60" s="32"/>
      <c r="F60" s="32"/>
      <c r="G60" s="39">
        <v>5597302</v>
      </c>
      <c r="H60" s="38">
        <f t="shared" si="1"/>
        <v>2.0606095769329613</v>
      </c>
      <c r="I60" s="50"/>
    </row>
    <row r="61" spans="1:9" x14ac:dyDescent="0.2">
      <c r="A61" s="36" t="s">
        <v>70</v>
      </c>
      <c r="B61" s="32"/>
      <c r="C61" s="32"/>
      <c r="D61" s="32"/>
      <c r="E61" s="32"/>
      <c r="F61" s="32"/>
      <c r="G61" s="39">
        <v>679622</v>
      </c>
      <c r="H61" s="38">
        <f t="shared" si="1"/>
        <v>0.25019832803274383</v>
      </c>
    </row>
    <row r="62" spans="1:9" x14ac:dyDescent="0.2">
      <c r="A62" s="36" t="s">
        <v>14</v>
      </c>
      <c r="B62" s="32"/>
      <c r="C62" s="32"/>
      <c r="D62" s="32"/>
      <c r="E62" s="32"/>
      <c r="F62" s="32"/>
      <c r="G62" s="49">
        <v>208731</v>
      </c>
      <c r="H62" s="45">
        <f t="shared" si="1"/>
        <v>7.6842932113149159E-2</v>
      </c>
    </row>
    <row r="63" spans="1:9" x14ac:dyDescent="0.2">
      <c r="A63" s="36" t="s">
        <v>25</v>
      </c>
      <c r="B63" s="32"/>
      <c r="C63" s="32"/>
      <c r="D63" s="32"/>
      <c r="E63" s="32"/>
      <c r="F63" s="32"/>
      <c r="G63" s="37">
        <f>SUM(G56:G62)</f>
        <v>30007785</v>
      </c>
      <c r="H63" s="38">
        <f t="shared" si="1"/>
        <v>11.047166858880452</v>
      </c>
    </row>
    <row r="64" spans="1:9" x14ac:dyDescent="0.2">
      <c r="A64" s="36"/>
      <c r="B64" s="32"/>
      <c r="C64" s="32"/>
      <c r="D64" s="32"/>
      <c r="E64" s="32"/>
      <c r="F64" s="32"/>
      <c r="G64" s="39"/>
      <c r="H64" s="35"/>
    </row>
    <row r="65" spans="1:8" ht="18" x14ac:dyDescent="0.25">
      <c r="A65" s="43" t="s">
        <v>31</v>
      </c>
      <c r="B65" s="32"/>
      <c r="C65" s="32"/>
      <c r="D65" s="32"/>
      <c r="E65" s="32"/>
      <c r="F65" s="32"/>
      <c r="G65" s="39"/>
      <c r="H65" s="35"/>
    </row>
    <row r="66" spans="1:8" x14ac:dyDescent="0.2">
      <c r="A66" s="36" t="s">
        <v>50</v>
      </c>
      <c r="B66" s="32"/>
      <c r="C66" s="32"/>
      <c r="D66" s="32"/>
      <c r="E66" s="32"/>
      <c r="F66" s="32"/>
      <c r="G66" s="39">
        <v>1407890</v>
      </c>
      <c r="H66" s="38">
        <f t="shared" ref="H66:H71" si="2">G66/$G$97*100</f>
        <v>0.51830535805789058</v>
      </c>
    </row>
    <row r="67" spans="1:8" x14ac:dyDescent="0.2">
      <c r="A67" s="36" t="s">
        <v>52</v>
      </c>
      <c r="B67" s="32"/>
      <c r="C67" s="32"/>
      <c r="D67" s="32"/>
      <c r="E67" s="32"/>
      <c r="F67" s="32"/>
      <c r="G67" s="39">
        <v>3066075</v>
      </c>
      <c r="H67" s="38">
        <f t="shared" si="2"/>
        <v>1.1287551589309868</v>
      </c>
    </row>
    <row r="68" spans="1:8" x14ac:dyDescent="0.2">
      <c r="A68" s="36" t="s">
        <v>33</v>
      </c>
      <c r="B68" s="32"/>
      <c r="C68" s="32"/>
      <c r="D68" s="32"/>
      <c r="E68" s="32"/>
      <c r="F68" s="32"/>
      <c r="G68" s="39">
        <v>899480</v>
      </c>
      <c r="H68" s="38">
        <f t="shared" si="2"/>
        <v>0.33113759133590792</v>
      </c>
    </row>
    <row r="69" spans="1:8" x14ac:dyDescent="0.2">
      <c r="A69" s="36" t="s">
        <v>34</v>
      </c>
      <c r="B69" s="32"/>
      <c r="C69" s="32"/>
      <c r="D69" s="32"/>
      <c r="E69" s="32"/>
      <c r="F69" s="32"/>
      <c r="G69" s="39">
        <v>45301</v>
      </c>
      <c r="H69" s="38">
        <f t="shared" si="2"/>
        <v>1.6677262446199988E-2</v>
      </c>
    </row>
    <row r="70" spans="1:8" x14ac:dyDescent="0.2">
      <c r="A70" s="36" t="s">
        <v>14</v>
      </c>
      <c r="B70" s="32"/>
      <c r="C70" s="32"/>
      <c r="D70" s="32"/>
      <c r="E70" s="32"/>
      <c r="F70" s="32"/>
      <c r="G70" s="49">
        <v>25323</v>
      </c>
      <c r="H70" s="45">
        <f t="shared" si="2"/>
        <v>9.3224943582950106E-3</v>
      </c>
    </row>
    <row r="71" spans="1:8" x14ac:dyDescent="0.2">
      <c r="A71" s="36" t="s">
        <v>25</v>
      </c>
      <c r="B71" s="32"/>
      <c r="C71" s="32"/>
      <c r="D71" s="32"/>
      <c r="E71" s="32"/>
      <c r="F71" s="32"/>
      <c r="G71" s="37">
        <f>SUM(G66:G70)</f>
        <v>5444069</v>
      </c>
      <c r="H71" s="38">
        <f t="shared" si="2"/>
        <v>2.0041978651292802</v>
      </c>
    </row>
    <row r="72" spans="1:8" x14ac:dyDescent="0.2">
      <c r="A72" s="36"/>
      <c r="B72" s="32"/>
      <c r="C72" s="32"/>
      <c r="D72" s="32"/>
      <c r="E72" s="32"/>
      <c r="F72" s="32"/>
      <c r="G72" s="39"/>
      <c r="H72" s="35"/>
    </row>
    <row r="73" spans="1:8" ht="18" x14ac:dyDescent="0.25">
      <c r="A73" s="43" t="s">
        <v>47</v>
      </c>
      <c r="B73" s="32"/>
      <c r="C73" s="32"/>
      <c r="D73" s="32"/>
      <c r="E73" s="32"/>
      <c r="F73" s="32"/>
      <c r="G73" s="39"/>
      <c r="H73" s="35"/>
    </row>
    <row r="74" spans="1:8" x14ac:dyDescent="0.2">
      <c r="A74" s="36" t="s">
        <v>32</v>
      </c>
      <c r="B74" s="32"/>
      <c r="C74" s="32"/>
      <c r="D74" s="32"/>
      <c r="E74" s="32"/>
      <c r="F74" s="32"/>
      <c r="G74" s="39">
        <v>4486205</v>
      </c>
      <c r="H74" s="38">
        <f>G74/$G$97*100</f>
        <v>1.6515665917409026</v>
      </c>
    </row>
    <row r="75" spans="1:8" x14ac:dyDescent="0.2">
      <c r="A75" s="36" t="s">
        <v>94</v>
      </c>
      <c r="B75" s="32"/>
      <c r="C75" s="32"/>
      <c r="D75" s="32"/>
      <c r="E75" s="32"/>
      <c r="F75" s="32"/>
      <c r="G75" s="49">
        <v>560029</v>
      </c>
      <c r="H75" s="45">
        <f>G75/$G$97*100</f>
        <v>0.20617095892988971</v>
      </c>
    </row>
    <row r="76" spans="1:8" x14ac:dyDescent="0.2">
      <c r="A76" s="36" t="s">
        <v>25</v>
      </c>
      <c r="B76" s="32"/>
      <c r="C76" s="32"/>
      <c r="D76" s="32"/>
      <c r="E76" s="32"/>
      <c r="F76" s="32"/>
      <c r="G76" s="37">
        <f>SUM(G74:G75)</f>
        <v>5046234</v>
      </c>
      <c r="H76" s="38">
        <f>G76/$G$97*100</f>
        <v>1.8577375506707923</v>
      </c>
    </row>
    <row r="77" spans="1:8" x14ac:dyDescent="0.2">
      <c r="A77" s="36"/>
      <c r="B77" s="32"/>
      <c r="C77" s="32"/>
      <c r="D77" s="32"/>
      <c r="E77" s="32"/>
      <c r="F77" s="32"/>
      <c r="G77" s="39"/>
      <c r="H77" s="35"/>
    </row>
    <row r="78" spans="1:8" ht="18" x14ac:dyDescent="0.25">
      <c r="A78" s="43" t="s">
        <v>35</v>
      </c>
      <c r="B78" s="32"/>
      <c r="C78" s="32"/>
      <c r="D78" s="32"/>
      <c r="E78" s="32"/>
      <c r="F78" s="32"/>
      <c r="G78" s="39"/>
      <c r="H78" s="35"/>
    </row>
    <row r="79" spans="1:8" x14ac:dyDescent="0.2">
      <c r="A79" s="36" t="s">
        <v>35</v>
      </c>
      <c r="B79" s="32"/>
      <c r="C79" s="32"/>
      <c r="D79" s="32"/>
      <c r="E79" s="32"/>
      <c r="F79" s="32"/>
      <c r="G79" s="39">
        <v>3566419</v>
      </c>
      <c r="H79" s="38">
        <f>G79/$G$97*100</f>
        <v>1.3129534812943229</v>
      </c>
    </row>
    <row r="80" spans="1:8" x14ac:dyDescent="0.2">
      <c r="A80" s="36" t="s">
        <v>53</v>
      </c>
      <c r="B80" s="32"/>
      <c r="C80" s="32"/>
      <c r="D80" s="32"/>
      <c r="E80" s="32"/>
      <c r="F80" s="32"/>
      <c r="G80" s="49">
        <v>817077</v>
      </c>
      <c r="H80" s="45">
        <f>G80/$G$97*100</f>
        <v>0.300801473869313</v>
      </c>
    </row>
    <row r="81" spans="1:8" x14ac:dyDescent="0.2">
      <c r="A81" s="36" t="s">
        <v>25</v>
      </c>
      <c r="B81" s="32"/>
      <c r="C81" s="32"/>
      <c r="D81" s="32"/>
      <c r="E81" s="32"/>
      <c r="F81" s="32"/>
      <c r="G81" s="37">
        <f>SUM(G79:G80)</f>
        <v>4383496</v>
      </c>
      <c r="H81" s="38">
        <f>G81/$G$97*100</f>
        <v>1.6137549551636359</v>
      </c>
    </row>
    <row r="82" spans="1:8" x14ac:dyDescent="0.2">
      <c r="A82" s="36"/>
      <c r="B82" s="32"/>
      <c r="C82" s="32"/>
      <c r="D82" s="32"/>
      <c r="E82" s="32"/>
      <c r="F82" s="32"/>
      <c r="G82" s="39"/>
      <c r="H82" s="35"/>
    </row>
    <row r="83" spans="1:8" ht="18" x14ac:dyDescent="0.25">
      <c r="A83" s="43" t="s">
        <v>36</v>
      </c>
      <c r="B83" s="32"/>
      <c r="C83" s="32"/>
      <c r="D83" s="32"/>
      <c r="E83" s="32"/>
      <c r="F83" s="32"/>
      <c r="G83" s="39"/>
      <c r="H83" s="35"/>
    </row>
    <row r="84" spans="1:8" x14ac:dyDescent="0.2">
      <c r="A84" s="36" t="s">
        <v>95</v>
      </c>
      <c r="B84" s="32"/>
      <c r="C84" s="32"/>
      <c r="D84" s="32"/>
      <c r="E84" s="32"/>
      <c r="F84" s="32"/>
      <c r="G84" s="39">
        <v>13652515</v>
      </c>
      <c r="H84" s="38">
        <f t="shared" ref="H84:H92" si="3">G84/$G$97*100</f>
        <v>5.0260827731326474</v>
      </c>
    </row>
    <row r="85" spans="1:8" x14ac:dyDescent="0.2">
      <c r="A85" s="36" t="s">
        <v>38</v>
      </c>
      <c r="B85" s="32"/>
      <c r="C85" s="32"/>
      <c r="D85" s="32"/>
      <c r="E85" s="32"/>
      <c r="F85" s="32"/>
      <c r="G85" s="39">
        <v>5589037</v>
      </c>
      <c r="H85" s="38">
        <f t="shared" si="3"/>
        <v>2.0575668720452587</v>
      </c>
    </row>
    <row r="86" spans="1:8" x14ac:dyDescent="0.2">
      <c r="A86" s="36" t="s">
        <v>96</v>
      </c>
      <c r="B86" s="32"/>
      <c r="C86" s="32"/>
      <c r="D86" s="32"/>
      <c r="E86" s="32"/>
      <c r="F86" s="32"/>
      <c r="G86" s="39">
        <v>2745000</v>
      </c>
      <c r="H86" s="38">
        <f t="shared" si="3"/>
        <v>1.0105535289467997</v>
      </c>
    </row>
    <row r="87" spans="1:8" x14ac:dyDescent="0.2">
      <c r="A87" s="36" t="s">
        <v>39</v>
      </c>
      <c r="B87" s="32"/>
      <c r="C87" s="32"/>
      <c r="D87" s="32"/>
      <c r="E87" s="32"/>
      <c r="F87" s="32"/>
      <c r="G87" s="39">
        <v>565300</v>
      </c>
      <c r="H87" s="38">
        <f t="shared" si="3"/>
        <v>0.20811144259148484</v>
      </c>
    </row>
    <row r="88" spans="1:8" x14ac:dyDescent="0.2">
      <c r="A88" s="36" t="s">
        <v>40</v>
      </c>
      <c r="B88" s="32"/>
      <c r="C88" s="32"/>
      <c r="D88" s="32"/>
      <c r="E88" s="32"/>
      <c r="F88" s="32"/>
      <c r="G88" s="39">
        <v>902632</v>
      </c>
      <c r="H88" s="38">
        <f t="shared" si="3"/>
        <v>0.33229797921322685</v>
      </c>
    </row>
    <row r="89" spans="1:8" x14ac:dyDescent="0.2">
      <c r="A89" s="36" t="s">
        <v>97</v>
      </c>
      <c r="B89" s="32"/>
      <c r="C89" s="32"/>
      <c r="D89" s="32"/>
      <c r="E89" s="32"/>
      <c r="F89" s="32"/>
      <c r="G89" s="39">
        <v>767363</v>
      </c>
      <c r="H89" s="38">
        <f t="shared" si="3"/>
        <v>0.28249959476619418</v>
      </c>
    </row>
    <row r="90" spans="1:8" ht="15" x14ac:dyDescent="0.2">
      <c r="A90" s="36" t="s">
        <v>41</v>
      </c>
      <c r="B90" s="40">
        <v>1</v>
      </c>
      <c r="C90" s="40"/>
      <c r="D90" s="40"/>
      <c r="E90" s="40"/>
      <c r="F90" s="40"/>
      <c r="G90" s="39">
        <v>3700000</v>
      </c>
      <c r="H90" s="38">
        <f t="shared" si="3"/>
        <v>1.3621304397461416</v>
      </c>
    </row>
    <row r="91" spans="1:8" x14ac:dyDescent="0.2">
      <c r="A91" s="36" t="s">
        <v>42</v>
      </c>
      <c r="B91" s="32"/>
      <c r="C91" s="32"/>
      <c r="D91" s="32"/>
      <c r="E91" s="32"/>
      <c r="F91" s="32"/>
      <c r="G91" s="49">
        <v>92041</v>
      </c>
      <c r="H91" s="45">
        <f t="shared" si="3"/>
        <v>3.3884283190452599E-2</v>
      </c>
    </row>
    <row r="92" spans="1:8" x14ac:dyDescent="0.2">
      <c r="A92" s="36" t="s">
        <v>43</v>
      </c>
      <c r="B92" s="32"/>
      <c r="C92" s="32"/>
      <c r="D92" s="32"/>
      <c r="E92" s="32"/>
      <c r="F92" s="32"/>
      <c r="G92" s="37">
        <f>SUM(G84:G91)</f>
        <v>28013888</v>
      </c>
      <c r="H92" s="38">
        <f t="shared" si="3"/>
        <v>10.313126913632205</v>
      </c>
    </row>
    <row r="93" spans="1:8" x14ac:dyDescent="0.2">
      <c r="A93" s="36"/>
      <c r="B93" s="32"/>
      <c r="C93" s="32"/>
      <c r="D93" s="32"/>
      <c r="E93" s="32"/>
      <c r="F93" s="32"/>
      <c r="G93" s="39"/>
      <c r="H93" s="38"/>
    </row>
    <row r="94" spans="1:8" ht="15" x14ac:dyDescent="0.2">
      <c r="A94" s="36" t="s">
        <v>44</v>
      </c>
      <c r="B94" s="40"/>
      <c r="C94" s="40"/>
      <c r="D94" s="40"/>
      <c r="E94" s="40"/>
      <c r="F94" s="40"/>
      <c r="G94" s="49">
        <v>14032201</v>
      </c>
      <c r="H94" s="45">
        <f>G94/$G$97*100</f>
        <v>5.1658616537124997</v>
      </c>
    </row>
    <row r="95" spans="1:8" x14ac:dyDescent="0.2">
      <c r="A95" s="36" t="s">
        <v>45</v>
      </c>
      <c r="B95" s="32"/>
      <c r="C95" s="32"/>
      <c r="D95" s="32"/>
      <c r="E95" s="32"/>
      <c r="F95" s="32"/>
      <c r="G95" s="37">
        <f>G92+G94</f>
        <v>42046089</v>
      </c>
      <c r="H95" s="38">
        <f>G95/$G$97*100</f>
        <v>15.478988567344704</v>
      </c>
    </row>
    <row r="96" spans="1:8" x14ac:dyDescent="0.2">
      <c r="A96" s="36"/>
      <c r="B96" s="32"/>
      <c r="C96" s="32"/>
      <c r="D96" s="32"/>
      <c r="E96" s="32"/>
      <c r="F96" s="32"/>
      <c r="G96" s="39"/>
      <c r="H96" s="38"/>
    </row>
    <row r="97" spans="1:8" ht="13.5" thickBot="1" x14ac:dyDescent="0.25">
      <c r="A97" s="36" t="s">
        <v>46</v>
      </c>
      <c r="B97" s="32"/>
      <c r="C97" s="32"/>
      <c r="D97" s="32"/>
      <c r="E97" s="32"/>
      <c r="F97" s="32"/>
      <c r="G97" s="47">
        <f>G40+G63+G71+G47+G76+G81+G95</f>
        <v>271633310</v>
      </c>
      <c r="H97" s="48">
        <f>G97/$G$97*100</f>
        <v>100</v>
      </c>
    </row>
    <row r="98" spans="1:8" ht="15" x14ac:dyDescent="0.2">
      <c r="A98" s="36"/>
      <c r="B98" s="32"/>
      <c r="C98" s="32"/>
      <c r="D98" s="32"/>
      <c r="E98" s="32"/>
      <c r="F98" s="32"/>
      <c r="G98" s="55"/>
    </row>
    <row r="99" spans="1:8" x14ac:dyDescent="0.2">
      <c r="A99" s="36"/>
      <c r="B99" s="32"/>
      <c r="C99" s="32"/>
      <c r="D99" s="32"/>
      <c r="E99" s="32"/>
      <c r="F99" s="32"/>
      <c r="G99" s="57"/>
      <c r="H99" s="56"/>
    </row>
    <row r="100" spans="1:8" x14ac:dyDescent="0.2">
      <c r="G100" s="57"/>
      <c r="H100" s="56"/>
    </row>
    <row r="101" spans="1:8" x14ac:dyDescent="0.2">
      <c r="G101" s="57"/>
    </row>
    <row r="102" spans="1:8" x14ac:dyDescent="0.2">
      <c r="G102" s="57"/>
      <c r="H102" s="56"/>
    </row>
    <row r="103" spans="1:8" ht="15" x14ac:dyDescent="0.2">
      <c r="G103" s="55"/>
    </row>
    <row r="104" spans="1:8" ht="15" x14ac:dyDescent="0.2">
      <c r="G104" s="55"/>
    </row>
  </sheetData>
  <mergeCells count="7">
    <mergeCell ref="G53:H53"/>
    <mergeCell ref="G6:H6"/>
    <mergeCell ref="G51:H51"/>
    <mergeCell ref="G52:H52"/>
    <mergeCell ref="A1:H1"/>
    <mergeCell ref="A2:H2"/>
    <mergeCell ref="G5:H5"/>
  </mergeCells>
  <printOptions horizontalCentered="1"/>
  <pageMargins left="0.91" right="0.79" top="0.82" bottom="0.7" header="0.17" footer="0.44"/>
  <pageSetup scale="95" orientation="portrait" r:id="rId1"/>
  <headerFooter alignWithMargins="0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09"/>
  <sheetViews>
    <sheetView topLeftCell="A78" zoomScaleNormal="100" workbookViewId="0">
      <selection activeCell="F29" sqref="F29"/>
    </sheetView>
  </sheetViews>
  <sheetFormatPr defaultRowHeight="12.75" x14ac:dyDescent="0.2"/>
  <cols>
    <col min="1" max="1" width="46.21875" style="28" bestFit="1" customWidth="1"/>
    <col min="2" max="2" width="1.21875" style="28" hidden="1" customWidth="1"/>
    <col min="3" max="3" width="1.21875" style="28" customWidth="1"/>
    <col min="4" max="4" width="9" style="28" bestFit="1" customWidth="1"/>
    <col min="5" max="6" width="9" style="28" customWidth="1"/>
    <col min="7" max="8" width="7.109375" style="28" customWidth="1"/>
    <col min="9" max="16384" width="8.88671875" style="28"/>
  </cols>
  <sheetData>
    <row r="1" spans="1:8" ht="18.75" x14ac:dyDescent="0.3">
      <c r="A1" s="365" t="s">
        <v>117</v>
      </c>
      <c r="B1" s="365"/>
      <c r="C1" s="365"/>
      <c r="D1" s="365"/>
      <c r="E1" s="365"/>
      <c r="F1" s="365"/>
      <c r="G1" s="365"/>
      <c r="H1" s="53"/>
    </row>
    <row r="2" spans="1:8" ht="15" x14ac:dyDescent="0.2">
      <c r="A2" s="366"/>
      <c r="B2" s="366"/>
      <c r="C2" s="366"/>
      <c r="D2" s="366"/>
      <c r="E2" s="366"/>
      <c r="F2" s="366"/>
      <c r="G2" s="366"/>
      <c r="H2" s="54"/>
    </row>
    <row r="3" spans="1:8" ht="15.75" thickBot="1" x14ac:dyDescent="0.25">
      <c r="A3" s="68"/>
      <c r="B3" s="54"/>
      <c r="C3" s="54"/>
      <c r="D3" s="54"/>
      <c r="E3" s="54"/>
      <c r="F3" s="54"/>
      <c r="G3" s="54"/>
      <c r="H3" s="54"/>
    </row>
    <row r="4" spans="1:8" x14ac:dyDescent="0.2">
      <c r="D4" s="361" t="s">
        <v>75</v>
      </c>
      <c r="E4" s="368"/>
      <c r="F4" s="368"/>
      <c r="G4" s="362"/>
      <c r="H4" s="80"/>
    </row>
    <row r="5" spans="1:8" x14ac:dyDescent="0.2">
      <c r="D5" s="359">
        <v>40739</v>
      </c>
      <c r="E5" s="367"/>
      <c r="F5" s="367"/>
      <c r="G5" s="360"/>
      <c r="H5" s="81"/>
    </row>
    <row r="6" spans="1:8" x14ac:dyDescent="0.2">
      <c r="D6" s="29"/>
      <c r="F6" s="80"/>
      <c r="G6" s="30"/>
      <c r="H6" s="80"/>
    </row>
    <row r="7" spans="1:8" x14ac:dyDescent="0.2">
      <c r="D7" s="29" t="s">
        <v>76</v>
      </c>
      <c r="E7" s="80" t="s">
        <v>55</v>
      </c>
      <c r="F7" s="80"/>
      <c r="G7" s="30"/>
      <c r="H7" s="80"/>
    </row>
    <row r="8" spans="1:8" x14ac:dyDescent="0.2">
      <c r="D8" s="29" t="s">
        <v>77</v>
      </c>
      <c r="E8" s="80" t="s">
        <v>78</v>
      </c>
      <c r="F8" s="80" t="s">
        <v>79</v>
      </c>
      <c r="G8" s="30" t="s">
        <v>1</v>
      </c>
      <c r="H8" s="80"/>
    </row>
    <row r="9" spans="1:8" ht="18.75" x14ac:dyDescent="0.3">
      <c r="A9" s="31" t="s">
        <v>2</v>
      </c>
      <c r="B9" s="32"/>
      <c r="C9" s="32"/>
      <c r="D9" s="34"/>
      <c r="E9" s="58"/>
      <c r="F9" s="58"/>
      <c r="G9" s="35"/>
      <c r="H9" s="58"/>
    </row>
    <row r="10" spans="1:8" x14ac:dyDescent="0.2">
      <c r="A10" s="77" t="s">
        <v>80</v>
      </c>
      <c r="B10" s="32"/>
      <c r="C10" s="32"/>
      <c r="D10" s="14"/>
      <c r="E10" s="15">
        <v>253307038</v>
      </c>
      <c r="F10" s="16">
        <v>253307038</v>
      </c>
      <c r="G10" s="17">
        <f t="shared" ref="G10:G16" si="0">F10/$F$18*100</f>
        <v>91.131389262558386</v>
      </c>
      <c r="H10" s="71"/>
    </row>
    <row r="11" spans="1:8" x14ac:dyDescent="0.2">
      <c r="A11" s="77" t="s">
        <v>116</v>
      </c>
      <c r="B11" s="32"/>
      <c r="C11" s="32"/>
      <c r="D11" s="87">
        <v>48431500</v>
      </c>
      <c r="E11" s="18"/>
      <c r="F11" s="16">
        <v>48431500</v>
      </c>
      <c r="G11" s="17">
        <f t="shared" si="0"/>
        <v>17.424031775499248</v>
      </c>
      <c r="H11" s="71"/>
    </row>
    <row r="12" spans="1:8" x14ac:dyDescent="0.2">
      <c r="A12" s="77" t="s">
        <v>115</v>
      </c>
      <c r="B12" s="32"/>
      <c r="C12" s="32"/>
      <c r="D12" s="87">
        <v>4245900</v>
      </c>
      <c r="E12" s="18"/>
      <c r="F12" s="16">
        <v>4245900</v>
      </c>
      <c r="G12" s="17">
        <f t="shared" si="0"/>
        <v>1.5275326288798048</v>
      </c>
      <c r="H12" s="71"/>
    </row>
    <row r="13" spans="1:8" x14ac:dyDescent="0.2">
      <c r="A13" s="36" t="s">
        <v>82</v>
      </c>
      <c r="B13" s="32"/>
      <c r="C13" s="32"/>
      <c r="D13" s="87">
        <v>-30969758</v>
      </c>
      <c r="E13" s="18"/>
      <c r="F13" s="16">
        <v>-30969758</v>
      </c>
      <c r="G13" s="17">
        <f t="shared" si="0"/>
        <v>-11.141881780897187</v>
      </c>
      <c r="H13" s="71"/>
    </row>
    <row r="14" spans="1:8" x14ac:dyDescent="0.2">
      <c r="A14" s="36" t="s">
        <v>3</v>
      </c>
      <c r="B14" s="32"/>
      <c r="C14" s="32"/>
      <c r="D14" s="14"/>
      <c r="E14" s="19">
        <v>800000</v>
      </c>
      <c r="F14" s="16">
        <v>800000</v>
      </c>
      <c r="G14" s="17">
        <f t="shared" si="0"/>
        <v>0.28781320876700905</v>
      </c>
      <c r="H14" s="71"/>
    </row>
    <row r="15" spans="1:8" ht="15" x14ac:dyDescent="0.2">
      <c r="A15" s="36" t="s">
        <v>4</v>
      </c>
      <c r="B15" s="40">
        <v>2</v>
      </c>
      <c r="C15" s="40"/>
      <c r="D15" s="14"/>
      <c r="E15" s="19">
        <v>291000</v>
      </c>
      <c r="F15" s="16">
        <v>291000</v>
      </c>
      <c r="G15" s="17">
        <f t="shared" si="0"/>
        <v>0.10469205468899956</v>
      </c>
      <c r="H15" s="71"/>
    </row>
    <row r="16" spans="1:8" ht="15" x14ac:dyDescent="0.2">
      <c r="A16" s="36" t="s">
        <v>5</v>
      </c>
      <c r="B16" s="40">
        <v>2</v>
      </c>
      <c r="C16" s="40"/>
      <c r="D16" s="20"/>
      <c r="E16" s="21">
        <v>1852376</v>
      </c>
      <c r="F16" s="16">
        <v>1852376</v>
      </c>
      <c r="G16" s="17">
        <f t="shared" si="0"/>
        <v>0.6664228505037465</v>
      </c>
      <c r="H16" s="71"/>
    </row>
    <row r="17" spans="1:11" x14ac:dyDescent="0.2">
      <c r="A17" s="36"/>
      <c r="B17" s="36"/>
      <c r="C17" s="36"/>
      <c r="D17" s="22"/>
      <c r="E17" s="23"/>
      <c r="F17" s="24"/>
      <c r="G17" s="25"/>
      <c r="H17" s="88"/>
    </row>
    <row r="18" spans="1:11" x14ac:dyDescent="0.2">
      <c r="A18" s="36" t="s">
        <v>6</v>
      </c>
      <c r="B18" s="32"/>
      <c r="C18" s="32"/>
      <c r="D18" s="87">
        <f>SUM(D11:D17)</f>
        <v>21707642</v>
      </c>
      <c r="E18" s="86">
        <f>SUM(E10:E17)</f>
        <v>256250414</v>
      </c>
      <c r="F18" s="19">
        <f>SUM(F10:F16)</f>
        <v>277958056</v>
      </c>
      <c r="G18" s="17">
        <f>F18/$F$18*100</f>
        <v>100</v>
      </c>
      <c r="H18" s="71"/>
    </row>
    <row r="19" spans="1:11" x14ac:dyDescent="0.2">
      <c r="D19" s="34"/>
      <c r="E19" s="58"/>
      <c r="F19" s="58"/>
      <c r="G19" s="35"/>
      <c r="H19" s="58"/>
    </row>
    <row r="20" spans="1:11" ht="18.75" x14ac:dyDescent="0.3">
      <c r="A20" s="31" t="s">
        <v>7</v>
      </c>
      <c r="B20" s="32"/>
      <c r="C20" s="32"/>
      <c r="D20" s="34"/>
      <c r="E20" s="58"/>
      <c r="F20" s="58"/>
      <c r="G20" s="35"/>
      <c r="H20" s="58"/>
    </row>
    <row r="21" spans="1:11" ht="18" x14ac:dyDescent="0.25">
      <c r="A21" s="43" t="s">
        <v>8</v>
      </c>
      <c r="B21" s="32"/>
      <c r="C21" s="32"/>
      <c r="D21" s="34"/>
      <c r="E21" s="58"/>
      <c r="F21" s="58"/>
      <c r="G21" s="35"/>
      <c r="H21" s="58"/>
      <c r="I21" s="50"/>
      <c r="J21" s="50"/>
      <c r="K21" s="50"/>
    </row>
    <row r="22" spans="1:11" x14ac:dyDescent="0.2">
      <c r="A22" s="36" t="s">
        <v>61</v>
      </c>
      <c r="B22" s="32"/>
      <c r="C22" s="32"/>
      <c r="D22" s="39"/>
      <c r="E22" s="59">
        <v>70374756</v>
      </c>
      <c r="F22" s="15">
        <v>70374756</v>
      </c>
      <c r="G22" s="38">
        <f t="shared" ref="G22:G43" si="1">F22/$F$102*100</f>
        <v>25.318480425694155</v>
      </c>
      <c r="H22" s="71"/>
      <c r="I22" s="50"/>
      <c r="J22" s="50"/>
      <c r="K22" s="50"/>
    </row>
    <row r="23" spans="1:11" x14ac:dyDescent="0.2">
      <c r="A23" s="36" t="s">
        <v>58</v>
      </c>
      <c r="B23" s="32"/>
      <c r="C23" s="32"/>
      <c r="D23" s="39"/>
      <c r="E23" s="59">
        <v>17378287</v>
      </c>
      <c r="F23" s="15">
        <v>17378287</v>
      </c>
      <c r="G23" s="38">
        <f t="shared" si="1"/>
        <v>6.2521256804299998</v>
      </c>
      <c r="H23" s="71"/>
      <c r="I23" s="50"/>
      <c r="J23" s="50"/>
      <c r="K23" s="50"/>
    </row>
    <row r="24" spans="1:11" ht="15" x14ac:dyDescent="0.2">
      <c r="A24" s="36" t="s">
        <v>60</v>
      </c>
      <c r="B24" s="40">
        <v>2</v>
      </c>
      <c r="C24" s="40"/>
      <c r="D24" s="39"/>
      <c r="E24" s="59">
        <v>11236352</v>
      </c>
      <c r="F24" s="15">
        <v>11236352</v>
      </c>
      <c r="G24" s="38">
        <f t="shared" si="1"/>
        <v>4.0424631549444996</v>
      </c>
      <c r="H24" s="71"/>
      <c r="I24" s="50"/>
      <c r="J24" s="50"/>
      <c r="K24" s="50"/>
    </row>
    <row r="25" spans="1:11" x14ac:dyDescent="0.2">
      <c r="A25" s="36" t="s">
        <v>59</v>
      </c>
      <c r="B25" s="32"/>
      <c r="C25" s="32"/>
      <c r="D25" s="39"/>
      <c r="E25" s="59">
        <v>10479499</v>
      </c>
      <c r="F25" s="15">
        <v>10479499</v>
      </c>
      <c r="G25" s="38">
        <f t="shared" si="1"/>
        <v>3.7701727918258285</v>
      </c>
      <c r="H25" s="71"/>
      <c r="I25" s="50"/>
      <c r="J25" s="50"/>
      <c r="K25" s="50"/>
    </row>
    <row r="26" spans="1:11" x14ac:dyDescent="0.2">
      <c r="A26" s="36" t="s">
        <v>62</v>
      </c>
      <c r="B26" s="32"/>
      <c r="C26" s="32"/>
      <c r="D26" s="39"/>
      <c r="E26" s="59">
        <v>9189957</v>
      </c>
      <c r="F26" s="15">
        <v>9189957</v>
      </c>
      <c r="G26" s="38">
        <f t="shared" si="1"/>
        <v>3.3062387657510452</v>
      </c>
      <c r="H26" s="71"/>
      <c r="I26" s="50"/>
      <c r="J26" s="50"/>
      <c r="K26" s="50"/>
    </row>
    <row r="27" spans="1:11" x14ac:dyDescent="0.2">
      <c r="A27" s="36" t="s">
        <v>64</v>
      </c>
      <c r="B27" s="32"/>
      <c r="C27" s="32"/>
      <c r="D27" s="39"/>
      <c r="E27" s="59">
        <v>7189184</v>
      </c>
      <c r="F27" s="15">
        <v>7189184</v>
      </c>
      <c r="G27" s="38">
        <f t="shared" si="1"/>
        <v>2.5864276443205516</v>
      </c>
      <c r="H27" s="71"/>
      <c r="I27" s="50"/>
      <c r="J27" s="50"/>
      <c r="K27" s="50"/>
    </row>
    <row r="28" spans="1:11" x14ac:dyDescent="0.2">
      <c r="A28" s="36" t="s">
        <v>63</v>
      </c>
      <c r="B28" s="32"/>
      <c r="C28" s="32"/>
      <c r="D28" s="39"/>
      <c r="E28" s="59">
        <v>7688797</v>
      </c>
      <c r="F28" s="15">
        <v>7688797</v>
      </c>
      <c r="G28" s="38">
        <f t="shared" si="1"/>
        <v>2.7661716701601913</v>
      </c>
      <c r="H28" s="71"/>
      <c r="I28" s="50"/>
      <c r="J28" s="50"/>
      <c r="K28" s="50"/>
    </row>
    <row r="29" spans="1:11" x14ac:dyDescent="0.2">
      <c r="A29" s="36" t="s">
        <v>73</v>
      </c>
      <c r="B29" s="32"/>
      <c r="C29" s="32"/>
      <c r="D29" s="39"/>
      <c r="E29" s="59">
        <v>10917711</v>
      </c>
      <c r="F29" s="15">
        <v>10917711</v>
      </c>
      <c r="G29" s="38">
        <f t="shared" si="1"/>
        <v>3.9278267941260894</v>
      </c>
      <c r="H29" s="71"/>
      <c r="I29" s="50"/>
      <c r="J29" s="50"/>
      <c r="K29" s="50"/>
    </row>
    <row r="30" spans="1:11" x14ac:dyDescent="0.2">
      <c r="A30" s="77" t="s">
        <v>83</v>
      </c>
      <c r="B30" s="32"/>
      <c r="C30" s="32"/>
      <c r="D30" s="39"/>
      <c r="E30" s="59">
        <v>1462303</v>
      </c>
      <c r="F30" s="15">
        <v>1462303</v>
      </c>
      <c r="G30" s="38">
        <f t="shared" si="1"/>
        <v>0.52608764827452958</v>
      </c>
      <c r="H30" s="71"/>
      <c r="I30" s="50"/>
      <c r="J30" s="50"/>
      <c r="K30" s="50"/>
    </row>
    <row r="31" spans="1:11" x14ac:dyDescent="0.2">
      <c r="A31" s="36" t="s">
        <v>66</v>
      </c>
      <c r="B31" s="32"/>
      <c r="C31" s="32"/>
      <c r="D31" s="39"/>
      <c r="E31" s="59">
        <v>10178684</v>
      </c>
      <c r="F31" s="15">
        <v>10178684</v>
      </c>
      <c r="G31" s="38">
        <f t="shared" si="1"/>
        <v>3.6619496288317692</v>
      </c>
      <c r="H31" s="71"/>
      <c r="I31" s="50"/>
      <c r="J31" s="50"/>
      <c r="K31" s="50"/>
    </row>
    <row r="32" spans="1:11" x14ac:dyDescent="0.2">
      <c r="A32" s="36" t="s">
        <v>84</v>
      </c>
      <c r="B32" s="32"/>
      <c r="C32" s="32"/>
      <c r="D32" s="39"/>
      <c r="E32" s="59">
        <v>1367198</v>
      </c>
      <c r="F32" s="15">
        <v>1367198</v>
      </c>
      <c r="G32" s="38">
        <f t="shared" si="1"/>
        <v>0.49187205424979663</v>
      </c>
      <c r="H32" s="71"/>
      <c r="I32" s="50"/>
      <c r="J32" s="50"/>
      <c r="K32" s="50"/>
    </row>
    <row r="33" spans="1:11" x14ac:dyDescent="0.2">
      <c r="A33" s="36" t="s">
        <v>85</v>
      </c>
      <c r="B33" s="32"/>
      <c r="C33" s="32"/>
      <c r="D33" s="39"/>
      <c r="E33" s="59">
        <v>806208</v>
      </c>
      <c r="F33" s="15">
        <v>806208</v>
      </c>
      <c r="G33" s="38">
        <f t="shared" si="1"/>
        <v>0.29004663926704105</v>
      </c>
      <c r="H33" s="71"/>
      <c r="I33" s="50"/>
      <c r="J33" s="50"/>
      <c r="K33" s="50"/>
    </row>
    <row r="34" spans="1:11" x14ac:dyDescent="0.2">
      <c r="A34" s="36" t="s">
        <v>68</v>
      </c>
      <c r="B34" s="32"/>
      <c r="C34" s="32"/>
      <c r="D34" s="39"/>
      <c r="E34" s="59">
        <v>12718357</v>
      </c>
      <c r="F34" s="15">
        <v>12718357</v>
      </c>
      <c r="G34" s="38">
        <f t="shared" si="1"/>
        <v>4.5756389230179391</v>
      </c>
      <c r="H34" s="71"/>
      <c r="I34" s="50"/>
      <c r="J34" s="50"/>
      <c r="K34" s="50"/>
    </row>
    <row r="35" spans="1:11" x14ac:dyDescent="0.2">
      <c r="A35" s="36" t="s">
        <v>17</v>
      </c>
      <c r="B35" s="32"/>
      <c r="C35" s="32"/>
      <c r="D35" s="39"/>
      <c r="E35" s="59">
        <v>7945181</v>
      </c>
      <c r="F35" s="15">
        <v>7945181</v>
      </c>
      <c r="G35" s="38">
        <f t="shared" si="1"/>
        <v>2.8584100473058425</v>
      </c>
      <c r="H35" s="71"/>
      <c r="I35" s="50"/>
      <c r="J35" s="50"/>
      <c r="K35" s="50"/>
    </row>
    <row r="36" spans="1:11" x14ac:dyDescent="0.2">
      <c r="A36" s="36" t="s">
        <v>20</v>
      </c>
      <c r="B36" s="32"/>
      <c r="C36" s="32"/>
      <c r="D36" s="39"/>
      <c r="E36" s="59">
        <v>933038</v>
      </c>
      <c r="F36" s="15">
        <v>933038</v>
      </c>
      <c r="G36" s="38">
        <f t="shared" si="1"/>
        <v>0.33567582585194078</v>
      </c>
      <c r="H36" s="71"/>
      <c r="I36" s="50"/>
      <c r="J36" s="50"/>
      <c r="K36" s="50"/>
    </row>
    <row r="37" spans="1:11" x14ac:dyDescent="0.2">
      <c r="A37" s="36" t="s">
        <v>21</v>
      </c>
      <c r="B37" s="36"/>
      <c r="C37" s="36"/>
      <c r="D37" s="39"/>
      <c r="E37" s="59">
        <v>593787</v>
      </c>
      <c r="F37" s="15">
        <v>593787</v>
      </c>
      <c r="G37" s="38">
        <f t="shared" si="1"/>
        <v>0.21362467724267004</v>
      </c>
      <c r="H37" s="71"/>
      <c r="I37" s="50"/>
      <c r="J37" s="50"/>
      <c r="K37" s="50"/>
    </row>
    <row r="38" spans="1:11" x14ac:dyDescent="0.2">
      <c r="A38" s="36" t="s">
        <v>22</v>
      </c>
      <c r="B38" s="32"/>
      <c r="C38" s="32"/>
      <c r="D38" s="39"/>
      <c r="E38" s="59">
        <v>2648221</v>
      </c>
      <c r="F38" s="15">
        <v>2648221</v>
      </c>
      <c r="G38" s="38">
        <f t="shared" si="1"/>
        <v>0.95274122941772199</v>
      </c>
      <c r="H38" s="71"/>
      <c r="I38" s="50"/>
      <c r="J38" s="50"/>
      <c r="K38" s="50"/>
    </row>
    <row r="39" spans="1:11" x14ac:dyDescent="0.2">
      <c r="A39" s="36" t="s">
        <v>23</v>
      </c>
      <c r="B39" s="32"/>
      <c r="C39" s="32"/>
      <c r="D39" s="39"/>
      <c r="E39" s="59">
        <v>3470664</v>
      </c>
      <c r="F39" s="15">
        <v>3470664</v>
      </c>
      <c r="G39" s="38">
        <f t="shared" si="1"/>
        <v>1.2486286779901785</v>
      </c>
      <c r="H39" s="71"/>
      <c r="I39" s="50"/>
      <c r="J39" s="50"/>
      <c r="K39" s="50"/>
    </row>
    <row r="40" spans="1:11" hidden="1" x14ac:dyDescent="0.2">
      <c r="A40" s="36" t="s">
        <v>86</v>
      </c>
      <c r="B40" s="32"/>
      <c r="C40" s="32"/>
      <c r="D40" s="39"/>
      <c r="E40" s="59">
        <v>0</v>
      </c>
      <c r="F40" s="15">
        <v>0</v>
      </c>
      <c r="G40" s="38">
        <f t="shared" si="1"/>
        <v>0</v>
      </c>
      <c r="H40" s="71"/>
      <c r="I40" s="50"/>
      <c r="J40" s="50"/>
      <c r="K40" s="50"/>
    </row>
    <row r="41" spans="1:11" x14ac:dyDescent="0.2">
      <c r="A41" s="85" t="s">
        <v>13</v>
      </c>
      <c r="B41" s="32"/>
      <c r="C41" s="32"/>
      <c r="D41" s="39"/>
      <c r="E41" s="59">
        <v>5244817</v>
      </c>
      <c r="F41" s="15">
        <v>5244817</v>
      </c>
      <c r="G41" s="38">
        <f t="shared" si="1"/>
        <v>1.8869095127071978</v>
      </c>
      <c r="H41" s="71"/>
      <c r="I41" s="50"/>
      <c r="J41" s="50"/>
      <c r="K41" s="50"/>
    </row>
    <row r="42" spans="1:11" x14ac:dyDescent="0.2">
      <c r="A42" s="36" t="s">
        <v>14</v>
      </c>
      <c r="B42" s="32"/>
      <c r="C42" s="32"/>
      <c r="D42" s="39"/>
      <c r="E42" s="59">
        <v>185415</v>
      </c>
      <c r="F42" s="74">
        <v>185415</v>
      </c>
      <c r="G42" s="45">
        <f t="shared" si="1"/>
        <v>6.670610762941874E-2</v>
      </c>
      <c r="H42" s="71"/>
      <c r="I42" s="50"/>
      <c r="J42" s="50"/>
      <c r="K42" s="50"/>
    </row>
    <row r="43" spans="1:11" x14ac:dyDescent="0.2">
      <c r="A43" s="36" t="s">
        <v>25</v>
      </c>
      <c r="B43" s="32"/>
      <c r="C43" s="32"/>
      <c r="D43" s="66">
        <f>SUM(D20:D42)</f>
        <v>0</v>
      </c>
      <c r="E43" s="73">
        <f>SUM(E20:E42)</f>
        <v>192008416</v>
      </c>
      <c r="F43" s="15">
        <f>SUM(F22:F42)</f>
        <v>192008416</v>
      </c>
      <c r="G43" s="38">
        <f t="shared" si="1"/>
        <v>69.0781978990384</v>
      </c>
      <c r="H43" s="71"/>
      <c r="I43" s="50"/>
      <c r="J43" s="50"/>
      <c r="K43" s="50"/>
    </row>
    <row r="44" spans="1:11" x14ac:dyDescent="0.2">
      <c r="A44" s="36"/>
      <c r="B44" s="32"/>
      <c r="C44" s="32"/>
      <c r="D44" s="65"/>
      <c r="E44" s="84"/>
      <c r="F44" s="84"/>
      <c r="G44" s="64"/>
      <c r="H44" s="83"/>
      <c r="I44" s="50"/>
      <c r="J44" s="50"/>
      <c r="K44" s="50"/>
    </row>
    <row r="45" spans="1:11" ht="18" x14ac:dyDescent="0.25">
      <c r="A45" s="43" t="s">
        <v>87</v>
      </c>
      <c r="B45" s="32"/>
      <c r="C45" s="32"/>
      <c r="D45" s="39"/>
      <c r="E45" s="59"/>
      <c r="F45" s="59"/>
      <c r="G45" s="35"/>
      <c r="H45" s="58"/>
    </row>
    <row r="46" spans="1:11" x14ac:dyDescent="0.2">
      <c r="A46" s="36" t="s">
        <v>54</v>
      </c>
      <c r="B46" s="32"/>
      <c r="C46" s="32"/>
      <c r="D46" s="39" t="s">
        <v>10</v>
      </c>
      <c r="E46" s="59">
        <v>244370</v>
      </c>
      <c r="F46" s="15">
        <v>244370</v>
      </c>
      <c r="G46" s="38">
        <f>F46/$F$102*100</f>
        <v>8.7916142282992507E-2</v>
      </c>
      <c r="H46" s="71"/>
    </row>
    <row r="47" spans="1:11" x14ac:dyDescent="0.2">
      <c r="A47" s="36" t="s">
        <v>88</v>
      </c>
      <c r="B47" s="32"/>
      <c r="C47" s="32"/>
      <c r="D47" s="39" t="s">
        <v>10</v>
      </c>
      <c r="E47" s="59">
        <v>696684</v>
      </c>
      <c r="F47" s="15">
        <v>696684</v>
      </c>
      <c r="G47" s="38">
        <f>F47/$F$102*100</f>
        <v>0.25064357192079367</v>
      </c>
      <c r="H47" s="71"/>
    </row>
    <row r="48" spans="1:11" x14ac:dyDescent="0.2">
      <c r="A48" s="77" t="s">
        <v>89</v>
      </c>
      <c r="B48" s="32"/>
      <c r="C48" s="32"/>
      <c r="D48" s="39" t="s">
        <v>10</v>
      </c>
      <c r="E48" s="59">
        <v>118974</v>
      </c>
      <c r="F48" s="15">
        <v>118974</v>
      </c>
      <c r="G48" s="38">
        <f>F48/$F$102*100</f>
        <v>4.2802860874807676E-2</v>
      </c>
      <c r="H48" s="71"/>
    </row>
    <row r="49" spans="1:11" x14ac:dyDescent="0.2">
      <c r="A49" s="36" t="s">
        <v>14</v>
      </c>
      <c r="B49" s="32"/>
      <c r="C49" s="32"/>
      <c r="D49" s="49" t="s">
        <v>10</v>
      </c>
      <c r="E49" s="75">
        <v>205201</v>
      </c>
      <c r="F49" s="74">
        <v>205201</v>
      </c>
      <c r="G49" s="38">
        <f>F49/$F$102*100</f>
        <v>7.3824447815248787E-2</v>
      </c>
      <c r="H49" s="71"/>
    </row>
    <row r="50" spans="1:11" ht="13.5" thickBot="1" x14ac:dyDescent="0.25">
      <c r="A50" s="36" t="s">
        <v>25</v>
      </c>
      <c r="B50" s="32"/>
      <c r="C50" s="32"/>
      <c r="D50" s="63">
        <f>SUM(D46:D49)</f>
        <v>0</v>
      </c>
      <c r="E50" s="82">
        <f>SUM(E46:E49)</f>
        <v>1265229</v>
      </c>
      <c r="F50" s="82">
        <f>SUM(F46:F49)</f>
        <v>1265229</v>
      </c>
      <c r="G50" s="62">
        <f>F50/$F$102*100</f>
        <v>0.45518702289384266</v>
      </c>
      <c r="H50" s="71"/>
    </row>
    <row r="51" spans="1:11" x14ac:dyDescent="0.2">
      <c r="A51" s="36"/>
      <c r="B51" s="32"/>
      <c r="C51" s="32"/>
      <c r="D51" s="70"/>
      <c r="E51" s="70"/>
      <c r="F51" s="70"/>
      <c r="G51" s="69"/>
      <c r="H51" s="71"/>
    </row>
    <row r="52" spans="1:11" x14ac:dyDescent="0.2">
      <c r="A52" s="36"/>
      <c r="B52" s="32"/>
      <c r="C52" s="32"/>
      <c r="D52" s="59"/>
      <c r="E52" s="59"/>
      <c r="F52" s="59"/>
      <c r="G52" s="58"/>
      <c r="H52" s="58"/>
    </row>
    <row r="53" spans="1:11" ht="13.5" thickBot="1" x14ac:dyDescent="0.25">
      <c r="A53" s="36"/>
      <c r="B53" s="32"/>
      <c r="C53" s="32"/>
      <c r="D53" s="59"/>
      <c r="E53" s="59"/>
      <c r="F53" s="59"/>
      <c r="G53" s="58"/>
      <c r="H53" s="58"/>
    </row>
    <row r="54" spans="1:11" x14ac:dyDescent="0.2">
      <c r="A54" s="36"/>
      <c r="B54" s="32"/>
      <c r="C54" s="32"/>
      <c r="D54" s="361" t="str">
        <f>D4</f>
        <v>Approved</v>
      </c>
      <c r="E54" s="368"/>
      <c r="F54" s="368"/>
      <c r="G54" s="362"/>
      <c r="H54" s="80"/>
      <c r="I54" s="50"/>
      <c r="J54" s="50"/>
      <c r="K54" s="50"/>
    </row>
    <row r="55" spans="1:11" x14ac:dyDescent="0.2">
      <c r="D55" s="359">
        <f>D5</f>
        <v>40739</v>
      </c>
      <c r="E55" s="367"/>
      <c r="F55" s="367"/>
      <c r="G55" s="360"/>
      <c r="H55" s="81"/>
      <c r="I55" s="50"/>
      <c r="J55" s="50"/>
      <c r="K55" s="50"/>
    </row>
    <row r="56" spans="1:11" x14ac:dyDescent="0.2">
      <c r="D56" s="51"/>
      <c r="E56" s="81"/>
      <c r="F56" s="81"/>
      <c r="G56" s="52"/>
      <c r="H56" s="81"/>
      <c r="I56" s="50"/>
      <c r="J56" s="50"/>
      <c r="K56" s="50"/>
    </row>
    <row r="57" spans="1:11" x14ac:dyDescent="0.2">
      <c r="D57" s="29" t="s">
        <v>76</v>
      </c>
      <c r="E57" s="80" t="s">
        <v>55</v>
      </c>
      <c r="F57" s="80"/>
      <c r="G57" s="30"/>
      <c r="H57" s="81"/>
      <c r="I57" s="50"/>
      <c r="J57" s="50"/>
      <c r="K57" s="50"/>
    </row>
    <row r="58" spans="1:11" x14ac:dyDescent="0.2">
      <c r="D58" s="29" t="s">
        <v>77</v>
      </c>
      <c r="E58" s="80" t="s">
        <v>78</v>
      </c>
      <c r="F58" s="80" t="s">
        <v>79</v>
      </c>
      <c r="G58" s="30" t="s">
        <v>1</v>
      </c>
      <c r="H58" s="80"/>
      <c r="I58" s="50"/>
      <c r="J58" s="50"/>
      <c r="K58" s="50"/>
    </row>
    <row r="59" spans="1:11" ht="18" x14ac:dyDescent="0.25">
      <c r="A59" s="43" t="s">
        <v>90</v>
      </c>
      <c r="B59" s="32"/>
      <c r="C59" s="32"/>
      <c r="D59" s="79"/>
      <c r="G59" s="78"/>
      <c r="H59" s="58"/>
      <c r="I59" s="50"/>
      <c r="J59" s="50"/>
      <c r="K59" s="50"/>
    </row>
    <row r="60" spans="1:11" x14ac:dyDescent="0.2">
      <c r="A60" s="36" t="s">
        <v>27</v>
      </c>
      <c r="B60" s="32"/>
      <c r="C60" s="32"/>
      <c r="D60" s="39" t="s">
        <v>10</v>
      </c>
      <c r="E60" s="59">
        <v>3891825</v>
      </c>
      <c r="F60" s="15">
        <v>3891825</v>
      </c>
      <c r="G60" s="38">
        <f t="shared" ref="G60:G67" si="2">F60/$F$102*100</f>
        <v>1.4001483015120813</v>
      </c>
      <c r="H60" s="71"/>
      <c r="I60" s="50"/>
      <c r="J60" s="50"/>
      <c r="K60" s="50"/>
    </row>
    <row r="61" spans="1:11" x14ac:dyDescent="0.2">
      <c r="A61" s="36" t="s">
        <v>28</v>
      </c>
      <c r="B61" s="32"/>
      <c r="C61" s="32"/>
      <c r="D61" s="39" t="s">
        <v>10</v>
      </c>
      <c r="E61" s="59">
        <v>1935565</v>
      </c>
      <c r="F61" s="15">
        <v>1935565</v>
      </c>
      <c r="G61" s="38">
        <f t="shared" si="2"/>
        <v>0.69635146678389492</v>
      </c>
      <c r="H61" s="71"/>
      <c r="I61" s="50"/>
      <c r="J61" s="50"/>
      <c r="K61" s="50"/>
    </row>
    <row r="62" spans="1:11" x14ac:dyDescent="0.2">
      <c r="A62" s="36" t="s">
        <v>29</v>
      </c>
      <c r="B62" s="32"/>
      <c r="C62" s="32"/>
      <c r="D62" s="39" t="s">
        <v>10</v>
      </c>
      <c r="E62" s="59">
        <v>13362846</v>
      </c>
      <c r="F62" s="15">
        <v>13362846</v>
      </c>
      <c r="G62" s="38">
        <f t="shared" si="2"/>
        <v>4.8075044818992403</v>
      </c>
      <c r="H62" s="71"/>
      <c r="I62" s="50"/>
      <c r="J62" s="50"/>
      <c r="K62" s="50"/>
    </row>
    <row r="63" spans="1:11" x14ac:dyDescent="0.2">
      <c r="A63" s="36" t="s">
        <v>49</v>
      </c>
      <c r="B63" s="32"/>
      <c r="C63" s="32"/>
      <c r="D63" s="39" t="s">
        <v>10</v>
      </c>
      <c r="E63" s="59">
        <v>5439002</v>
      </c>
      <c r="F63" s="15">
        <v>5439002</v>
      </c>
      <c r="G63" s="38">
        <f t="shared" si="2"/>
        <v>1.956770772637725</v>
      </c>
      <c r="H63" s="71"/>
      <c r="I63" s="50"/>
      <c r="J63" s="50"/>
      <c r="K63" s="50"/>
    </row>
    <row r="64" spans="1:11" x14ac:dyDescent="0.2">
      <c r="A64" s="36" t="s">
        <v>30</v>
      </c>
      <c r="B64" s="32"/>
      <c r="C64" s="32"/>
      <c r="D64" s="39" t="s">
        <v>10</v>
      </c>
      <c r="E64" s="59">
        <v>5867932</v>
      </c>
      <c r="F64" s="15">
        <v>5867932</v>
      </c>
      <c r="G64" s="38">
        <f t="shared" si="2"/>
        <v>2.1110854221832667</v>
      </c>
      <c r="H64" s="71"/>
      <c r="I64" s="50"/>
      <c r="J64" s="50"/>
      <c r="K64" s="50"/>
    </row>
    <row r="65" spans="1:8" x14ac:dyDescent="0.2">
      <c r="A65" s="36" t="s">
        <v>70</v>
      </c>
      <c r="B65" s="32"/>
      <c r="C65" s="32"/>
      <c r="D65" s="39" t="s">
        <v>10</v>
      </c>
      <c r="E65" s="59">
        <v>536754</v>
      </c>
      <c r="F65" s="15">
        <v>536754</v>
      </c>
      <c r="G65" s="38">
        <f t="shared" si="2"/>
        <v>0.19310611382315898</v>
      </c>
      <c r="H65" s="71"/>
    </row>
    <row r="66" spans="1:8" x14ac:dyDescent="0.2">
      <c r="A66" s="36" t="s">
        <v>14</v>
      </c>
      <c r="B66" s="32"/>
      <c r="C66" s="32"/>
      <c r="D66" s="49" t="s">
        <v>10</v>
      </c>
      <c r="E66" s="75">
        <v>208731</v>
      </c>
      <c r="F66" s="74">
        <v>208731</v>
      </c>
      <c r="G66" s="45">
        <f t="shared" si="2"/>
        <v>7.5094423598933216E-2</v>
      </c>
      <c r="H66" s="71"/>
    </row>
    <row r="67" spans="1:8" x14ac:dyDescent="0.2">
      <c r="A67" s="36" t="s">
        <v>25</v>
      </c>
      <c r="B67" s="32"/>
      <c r="C67" s="32"/>
      <c r="D67" s="37">
        <f>SUM(D60:D66)</f>
        <v>0</v>
      </c>
      <c r="E67" s="73">
        <f>SUM(E60:E66)</f>
        <v>31242655</v>
      </c>
      <c r="F67" s="15">
        <f>SUM(F60:F66)</f>
        <v>31242655</v>
      </c>
      <c r="G67" s="38">
        <f t="shared" si="2"/>
        <v>11.240060982438301</v>
      </c>
      <c r="H67" s="71"/>
    </row>
    <row r="68" spans="1:8" x14ac:dyDescent="0.2">
      <c r="A68" s="36"/>
      <c r="B68" s="32"/>
      <c r="C68" s="32"/>
      <c r="D68" s="39"/>
      <c r="E68" s="59"/>
      <c r="F68" s="59"/>
      <c r="G68" s="35"/>
      <c r="H68" s="58"/>
    </row>
    <row r="69" spans="1:8" ht="18" x14ac:dyDescent="0.25">
      <c r="A69" s="43" t="s">
        <v>31</v>
      </c>
      <c r="B69" s="32"/>
      <c r="C69" s="32"/>
      <c r="D69" s="39"/>
      <c r="E69" s="59"/>
      <c r="F69" s="59"/>
      <c r="G69" s="35"/>
      <c r="H69" s="58"/>
    </row>
    <row r="70" spans="1:8" x14ac:dyDescent="0.2">
      <c r="A70" s="36" t="s">
        <v>50</v>
      </c>
      <c r="B70" s="32"/>
      <c r="C70" s="32"/>
      <c r="D70" s="39" t="s">
        <v>10</v>
      </c>
      <c r="E70" s="59">
        <v>1509371</v>
      </c>
      <c r="F70" s="15">
        <v>1509371</v>
      </c>
      <c r="G70" s="38">
        <f t="shared" ref="G70:G75" si="3">F70/$F$102*100</f>
        <v>0.54302113841233657</v>
      </c>
      <c r="H70" s="71"/>
    </row>
    <row r="71" spans="1:8" x14ac:dyDescent="0.2">
      <c r="A71" s="36" t="s">
        <v>52</v>
      </c>
      <c r="B71" s="32"/>
      <c r="C71" s="32"/>
      <c r="D71" s="39" t="s">
        <v>10</v>
      </c>
      <c r="E71" s="59">
        <v>3287660</v>
      </c>
      <c r="F71" s="15">
        <v>3287660</v>
      </c>
      <c r="G71" s="38">
        <f t="shared" si="3"/>
        <v>1.1827899674186813</v>
      </c>
      <c r="H71" s="71"/>
    </row>
    <row r="72" spans="1:8" x14ac:dyDescent="0.2">
      <c r="A72" s="36" t="s">
        <v>33</v>
      </c>
      <c r="B72" s="32"/>
      <c r="C72" s="32"/>
      <c r="D72" s="39" t="s">
        <v>10</v>
      </c>
      <c r="E72" s="59">
        <v>926480</v>
      </c>
      <c r="F72" s="15">
        <v>926480</v>
      </c>
      <c r="G72" s="38">
        <f t="shared" si="3"/>
        <v>0.33331647707307321</v>
      </c>
      <c r="H72" s="71"/>
    </row>
    <row r="73" spans="1:8" x14ac:dyDescent="0.2">
      <c r="A73" s="36" t="s">
        <v>34</v>
      </c>
      <c r="B73" s="32"/>
      <c r="C73" s="32"/>
      <c r="D73" s="39" t="s">
        <v>10</v>
      </c>
      <c r="E73" s="59">
        <v>45222</v>
      </c>
      <c r="F73" s="15">
        <v>45222</v>
      </c>
      <c r="G73" s="38">
        <f t="shared" si="3"/>
        <v>1.6269361158577106E-2</v>
      </c>
      <c r="H73" s="71"/>
    </row>
    <row r="74" spans="1:8" x14ac:dyDescent="0.2">
      <c r="A74" s="36" t="s">
        <v>14</v>
      </c>
      <c r="B74" s="32"/>
      <c r="C74" s="32"/>
      <c r="D74" s="49" t="s">
        <v>10</v>
      </c>
      <c r="E74" s="75">
        <v>25323</v>
      </c>
      <c r="F74" s="74">
        <v>25323</v>
      </c>
      <c r="G74" s="45">
        <f t="shared" si="3"/>
        <v>9.1103673570087137E-3</v>
      </c>
      <c r="H74" s="71"/>
    </row>
    <row r="75" spans="1:8" x14ac:dyDescent="0.2">
      <c r="A75" s="36" t="s">
        <v>25</v>
      </c>
      <c r="B75" s="32"/>
      <c r="C75" s="32"/>
      <c r="D75" s="37">
        <f>SUM(D70:D74)</f>
        <v>0</v>
      </c>
      <c r="E75" s="15">
        <f>SUM(E70:E74)</f>
        <v>5794056</v>
      </c>
      <c r="F75" s="15">
        <f>SUM(F70:F74)</f>
        <v>5794056</v>
      </c>
      <c r="G75" s="38">
        <f t="shared" si="3"/>
        <v>2.084507311419677</v>
      </c>
      <c r="H75" s="71"/>
    </row>
    <row r="76" spans="1:8" x14ac:dyDescent="0.2">
      <c r="A76" s="36"/>
      <c r="B76" s="32"/>
      <c r="C76" s="32"/>
      <c r="D76" s="39"/>
      <c r="E76" s="59"/>
      <c r="F76" s="59"/>
      <c r="G76" s="35"/>
      <c r="H76" s="58"/>
    </row>
    <row r="77" spans="1:8" ht="18" x14ac:dyDescent="0.25">
      <c r="A77" s="43" t="s">
        <v>47</v>
      </c>
      <c r="B77" s="32"/>
      <c r="C77" s="32"/>
      <c r="D77" s="39"/>
      <c r="E77" s="59"/>
      <c r="F77" s="59"/>
      <c r="G77" s="35"/>
      <c r="H77" s="58"/>
    </row>
    <row r="78" spans="1:8" x14ac:dyDescent="0.2">
      <c r="A78" s="77" t="s">
        <v>92</v>
      </c>
      <c r="B78" s="32"/>
      <c r="C78" s="32"/>
      <c r="D78" s="39" t="s">
        <v>10</v>
      </c>
      <c r="E78" s="59">
        <v>3869606</v>
      </c>
      <c r="F78" s="15">
        <v>3869606</v>
      </c>
      <c r="G78" s="38">
        <f>F78/$F$102*100</f>
        <v>1.3921546494050887</v>
      </c>
      <c r="H78" s="71"/>
    </row>
    <row r="79" spans="1:8" x14ac:dyDescent="0.2">
      <c r="A79" s="77" t="s">
        <v>93</v>
      </c>
      <c r="B79" s="32"/>
      <c r="C79" s="32"/>
      <c r="D79" s="39"/>
      <c r="E79" s="59">
        <v>767849</v>
      </c>
      <c r="F79" s="15">
        <v>767849</v>
      </c>
      <c r="G79" s="38">
        <f>F79/$F$102*100</f>
        <v>0.27624635567317396</v>
      </c>
      <c r="H79" s="71"/>
    </row>
    <row r="80" spans="1:8" x14ac:dyDescent="0.2">
      <c r="A80" s="36" t="s">
        <v>94</v>
      </c>
      <c r="B80" s="32"/>
      <c r="C80" s="32"/>
      <c r="D80" s="49" t="s">
        <v>10</v>
      </c>
      <c r="E80" s="75">
        <v>575532</v>
      </c>
      <c r="F80" s="74">
        <v>575532</v>
      </c>
      <c r="G80" s="45">
        <f>F80/$F$102*100</f>
        <v>0.20705713958511784</v>
      </c>
      <c r="H80" s="71"/>
    </row>
    <row r="81" spans="1:8" x14ac:dyDescent="0.2">
      <c r="A81" s="36" t="s">
        <v>25</v>
      </c>
      <c r="B81" s="32"/>
      <c r="C81" s="32"/>
      <c r="D81" s="37">
        <f>SUM(D78:D80)</f>
        <v>0</v>
      </c>
      <c r="E81" s="15">
        <f>SUM(E78:E80)</f>
        <v>5212987</v>
      </c>
      <c r="F81" s="15">
        <f>SUM(F78:F80)</f>
        <v>5212987</v>
      </c>
      <c r="G81" s="38">
        <f>F81/$F$102*100</f>
        <v>1.8754581446633805</v>
      </c>
      <c r="H81" s="71"/>
    </row>
    <row r="82" spans="1:8" x14ac:dyDescent="0.2">
      <c r="A82" s="36"/>
      <c r="B82" s="32"/>
      <c r="C82" s="32"/>
      <c r="D82" s="39"/>
      <c r="E82" s="59"/>
      <c r="F82" s="59"/>
      <c r="G82" s="35"/>
      <c r="H82" s="58"/>
    </row>
    <row r="83" spans="1:8" ht="18" x14ac:dyDescent="0.25">
      <c r="A83" s="43" t="s">
        <v>35</v>
      </c>
      <c r="B83" s="32"/>
      <c r="C83" s="32"/>
      <c r="D83" s="39"/>
      <c r="E83" s="59"/>
      <c r="F83" s="59"/>
      <c r="G83" s="35"/>
      <c r="H83" s="58"/>
    </row>
    <row r="84" spans="1:8" x14ac:dyDescent="0.2">
      <c r="A84" s="36" t="s">
        <v>35</v>
      </c>
      <c r="B84" s="32"/>
      <c r="C84" s="32"/>
      <c r="D84" s="39" t="s">
        <v>10</v>
      </c>
      <c r="E84" s="59">
        <v>4001170</v>
      </c>
      <c r="F84" s="15">
        <v>4001170</v>
      </c>
      <c r="G84" s="38">
        <f>F84/$F$102*100</f>
        <v>1.4394869706528672</v>
      </c>
      <c r="H84" s="71"/>
    </row>
    <row r="85" spans="1:8" x14ac:dyDescent="0.2">
      <c r="A85" s="36" t="s">
        <v>53</v>
      </c>
      <c r="B85" s="32"/>
      <c r="C85" s="32"/>
      <c r="D85" s="49" t="s">
        <v>10</v>
      </c>
      <c r="E85" s="75">
        <v>871716</v>
      </c>
      <c r="F85" s="74">
        <v>871716</v>
      </c>
      <c r="G85" s="45">
        <f>F85/$F$102*100</f>
        <v>0.31361422386692761</v>
      </c>
      <c r="H85" s="71"/>
    </row>
    <row r="86" spans="1:8" x14ac:dyDescent="0.2">
      <c r="A86" s="36" t="s">
        <v>25</v>
      </c>
      <c r="B86" s="32"/>
      <c r="C86" s="32"/>
      <c r="D86" s="37">
        <f>SUM(D84:D85)</f>
        <v>0</v>
      </c>
      <c r="E86" s="15">
        <f>SUM(E84:E85)</f>
        <v>4872886</v>
      </c>
      <c r="F86" s="15">
        <f>SUM(F84:F85)</f>
        <v>4872886</v>
      </c>
      <c r="G86" s="38">
        <f>F86/$F$102*100</f>
        <v>1.7531011945197947</v>
      </c>
      <c r="H86" s="71"/>
    </row>
    <row r="87" spans="1:8" x14ac:dyDescent="0.2">
      <c r="A87" s="36"/>
      <c r="B87" s="32"/>
      <c r="C87" s="32"/>
      <c r="D87" s="39"/>
      <c r="E87" s="59"/>
      <c r="F87" s="59"/>
      <c r="G87" s="35"/>
      <c r="H87" s="58"/>
    </row>
    <row r="88" spans="1:8" ht="18" x14ac:dyDescent="0.25">
      <c r="A88" s="43" t="s">
        <v>36</v>
      </c>
      <c r="B88" s="32"/>
      <c r="C88" s="32"/>
      <c r="D88" s="39"/>
      <c r="E88" s="59"/>
      <c r="F88" s="59"/>
      <c r="G88" s="35"/>
      <c r="H88" s="58"/>
    </row>
    <row r="89" spans="1:8" x14ac:dyDescent="0.2">
      <c r="A89" s="36" t="s">
        <v>95</v>
      </c>
      <c r="B89" s="32"/>
      <c r="C89" s="32"/>
      <c r="D89" s="39">
        <v>12505305</v>
      </c>
      <c r="E89" s="59">
        <v>2454799</v>
      </c>
      <c r="F89" s="15">
        <v>14960104</v>
      </c>
      <c r="G89" s="38">
        <f t="shared" ref="G89:G97" si="4">F89/$F$102*100</f>
        <v>5.3821444196602091</v>
      </c>
      <c r="H89" s="71"/>
    </row>
    <row r="90" spans="1:8" x14ac:dyDescent="0.2">
      <c r="A90" s="36" t="s">
        <v>38</v>
      </c>
      <c r="B90" s="32"/>
      <c r="C90" s="32"/>
      <c r="D90" s="39">
        <v>5132337</v>
      </c>
      <c r="E90" s="59"/>
      <c r="F90" s="15">
        <v>5132337</v>
      </c>
      <c r="G90" s="38">
        <f t="shared" si="4"/>
        <v>1.8464429755545564</v>
      </c>
      <c r="H90" s="71"/>
    </row>
    <row r="91" spans="1:8" x14ac:dyDescent="0.2">
      <c r="A91" s="36" t="s">
        <v>96</v>
      </c>
      <c r="B91" s="32"/>
      <c r="C91" s="32"/>
      <c r="D91" s="39" t="s">
        <v>10</v>
      </c>
      <c r="E91" s="59">
        <v>2745000</v>
      </c>
      <c r="F91" s="15">
        <v>2745000</v>
      </c>
      <c r="G91" s="38">
        <f t="shared" si="4"/>
        <v>0.98755907258179998</v>
      </c>
      <c r="H91" s="71"/>
    </row>
    <row r="92" spans="1:8" x14ac:dyDescent="0.2">
      <c r="A92" s="36" t="s">
        <v>39</v>
      </c>
      <c r="B92" s="32"/>
      <c r="C92" s="32"/>
      <c r="D92" s="39" t="s">
        <v>10</v>
      </c>
      <c r="E92" s="59">
        <v>565300</v>
      </c>
      <c r="F92" s="15">
        <v>565300</v>
      </c>
      <c r="G92" s="38">
        <f t="shared" si="4"/>
        <v>0.20337600864498781</v>
      </c>
      <c r="H92" s="71"/>
    </row>
    <row r="93" spans="1:8" x14ac:dyDescent="0.2">
      <c r="A93" s="36" t="s">
        <v>40</v>
      </c>
      <c r="B93" s="32"/>
      <c r="C93" s="32"/>
      <c r="D93" s="39" t="s">
        <v>10</v>
      </c>
      <c r="E93" s="59">
        <v>902632</v>
      </c>
      <c r="F93" s="15">
        <v>902632</v>
      </c>
      <c r="G93" s="38">
        <f t="shared" si="4"/>
        <v>0.32473676531972867</v>
      </c>
      <c r="H93" s="71"/>
    </row>
    <row r="94" spans="1:8" x14ac:dyDescent="0.2">
      <c r="A94" s="36" t="s">
        <v>97</v>
      </c>
      <c r="B94" s="32"/>
      <c r="C94" s="32"/>
      <c r="D94" s="39" t="s">
        <v>10</v>
      </c>
      <c r="E94" s="59">
        <v>774376</v>
      </c>
      <c r="F94" s="15">
        <v>774376</v>
      </c>
      <c r="G94" s="38">
        <f t="shared" si="4"/>
        <v>0.27859455169020181</v>
      </c>
      <c r="H94" s="71"/>
    </row>
    <row r="95" spans="1:8" ht="15" x14ac:dyDescent="0.2">
      <c r="A95" s="36" t="s">
        <v>41</v>
      </c>
      <c r="B95" s="40">
        <v>1</v>
      </c>
      <c r="C95" s="40"/>
      <c r="D95" s="39">
        <v>4070000</v>
      </c>
      <c r="E95" s="59" t="s">
        <v>10</v>
      </c>
      <c r="F95" s="15">
        <v>4070000</v>
      </c>
      <c r="G95" s="38">
        <f t="shared" si="4"/>
        <v>1.4642496996021586</v>
      </c>
      <c r="H95" s="71"/>
    </row>
    <row r="96" spans="1:8" x14ac:dyDescent="0.2">
      <c r="A96" s="36" t="s">
        <v>42</v>
      </c>
      <c r="B96" s="32"/>
      <c r="C96" s="32"/>
      <c r="D96" s="49"/>
      <c r="E96" s="75">
        <v>92041</v>
      </c>
      <c r="F96" s="74">
        <v>92041</v>
      </c>
      <c r="G96" s="76">
        <f t="shared" si="4"/>
        <v>3.311326943515535E-2</v>
      </c>
      <c r="H96" s="71"/>
    </row>
    <row r="97" spans="1:8" x14ac:dyDescent="0.2">
      <c r="A97" s="36" t="s">
        <v>43</v>
      </c>
      <c r="B97" s="32"/>
      <c r="C97" s="32"/>
      <c r="D97" s="37">
        <f>SUM(D89:D96)</f>
        <v>21707642</v>
      </c>
      <c r="E97" s="15">
        <f>SUM(E89:E96)</f>
        <v>7534148</v>
      </c>
      <c r="F97" s="73">
        <f>SUM(F89:F96)</f>
        <v>29241790</v>
      </c>
      <c r="G97" s="38">
        <f t="shared" si="4"/>
        <v>10.520216762488797</v>
      </c>
      <c r="H97" s="71"/>
    </row>
    <row r="98" spans="1:8" x14ac:dyDescent="0.2">
      <c r="A98" s="36"/>
      <c r="B98" s="32"/>
      <c r="C98" s="32"/>
      <c r="D98" s="39"/>
      <c r="E98" s="59"/>
      <c r="F98" s="59"/>
      <c r="G98" s="38"/>
      <c r="H98" s="71"/>
    </row>
    <row r="99" spans="1:8" ht="15" x14ac:dyDescent="0.2">
      <c r="A99" s="36" t="s">
        <v>44</v>
      </c>
      <c r="B99" s="40"/>
      <c r="C99" s="40"/>
      <c r="D99" s="49"/>
      <c r="E99" s="75">
        <v>8320037</v>
      </c>
      <c r="F99" s="74">
        <f>SUM(D99:E99)</f>
        <v>8320037</v>
      </c>
      <c r="G99" s="45">
        <f>F99/$F$102*100</f>
        <v>2.9932706825377999</v>
      </c>
      <c r="H99" s="71"/>
    </row>
    <row r="100" spans="1:8" x14ac:dyDescent="0.2">
      <c r="A100" s="36" t="s">
        <v>45</v>
      </c>
      <c r="B100" s="32"/>
      <c r="C100" s="32"/>
      <c r="D100" s="66">
        <f>D97+D99</f>
        <v>21707642</v>
      </c>
      <c r="E100" s="73">
        <f>E97+E99</f>
        <v>15854185</v>
      </c>
      <c r="F100" s="15">
        <f>F97+F99</f>
        <v>37561827</v>
      </c>
      <c r="G100" s="38">
        <f>F100/$F$102*100</f>
        <v>13.513487445026598</v>
      </c>
      <c r="H100" s="71"/>
    </row>
    <row r="101" spans="1:8" x14ac:dyDescent="0.2">
      <c r="A101" s="36"/>
      <c r="B101" s="32"/>
      <c r="C101" s="32"/>
      <c r="D101" s="39"/>
      <c r="E101" s="59"/>
      <c r="F101" s="59"/>
      <c r="G101" s="38"/>
      <c r="H101" s="71"/>
    </row>
    <row r="102" spans="1:8" ht="13.5" thickBot="1" x14ac:dyDescent="0.25">
      <c r="A102" s="36" t="s">
        <v>46</v>
      </c>
      <c r="B102" s="32"/>
      <c r="C102" s="32"/>
      <c r="D102" s="47">
        <f>D43+D67+D75+D50+D81+D86+D100</f>
        <v>21707642</v>
      </c>
      <c r="E102" s="72">
        <f>E43+E67+E75+E50+E81+E86+E100</f>
        <v>256250414</v>
      </c>
      <c r="F102" s="72">
        <f>F43+F67+F75+F50+F81+F86+F100</f>
        <v>277958056</v>
      </c>
      <c r="G102" s="48">
        <f>F102/$F$102*100</f>
        <v>100</v>
      </c>
      <c r="H102" s="71"/>
    </row>
    <row r="103" spans="1:8" ht="15" x14ac:dyDescent="0.2">
      <c r="A103" s="36"/>
      <c r="B103" s="32"/>
      <c r="C103" s="32"/>
      <c r="D103" s="55"/>
      <c r="E103" s="55"/>
      <c r="F103" s="55"/>
    </row>
    <row r="104" spans="1:8" x14ac:dyDescent="0.2">
      <c r="A104" s="36"/>
      <c r="B104" s="32"/>
      <c r="C104" s="32"/>
      <c r="D104" s="57"/>
      <c r="E104" s="57"/>
      <c r="F104" s="57"/>
      <c r="G104" s="56"/>
      <c r="H104" s="56"/>
    </row>
    <row r="105" spans="1:8" x14ac:dyDescent="0.2">
      <c r="D105" s="57"/>
      <c r="E105" s="57"/>
      <c r="F105" s="57"/>
      <c r="G105" s="56"/>
      <c r="H105" s="56"/>
    </row>
    <row r="106" spans="1:8" x14ac:dyDescent="0.2">
      <c r="D106" s="57"/>
      <c r="E106" s="57"/>
      <c r="F106" s="57"/>
    </row>
    <row r="107" spans="1:8" x14ac:dyDescent="0.2">
      <c r="D107" s="57"/>
      <c r="E107" s="57"/>
      <c r="F107" s="57"/>
      <c r="G107" s="56"/>
      <c r="H107" s="56"/>
    </row>
    <row r="108" spans="1:8" ht="15" x14ac:dyDescent="0.2">
      <c r="D108" s="55"/>
      <c r="E108" s="55"/>
      <c r="F108" s="55"/>
    </row>
    <row r="109" spans="1:8" ht="15" x14ac:dyDescent="0.2">
      <c r="D109" s="55"/>
      <c r="E109" s="55"/>
      <c r="F109" s="55"/>
    </row>
  </sheetData>
  <mergeCells count="6">
    <mergeCell ref="D55:G55"/>
    <mergeCell ref="D5:G5"/>
    <mergeCell ref="D54:G54"/>
    <mergeCell ref="A1:G1"/>
    <mergeCell ref="A2:G2"/>
    <mergeCell ref="D4:G4"/>
  </mergeCells>
  <printOptions horizontalCentered="1"/>
  <pageMargins left="0.25" right="0.25" top="0.75" bottom="0.75" header="0.3" footer="0.3"/>
  <pageSetup scale="90" orientation="portrait" r:id="rId1"/>
  <headerFooter alignWithMargins="0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5"/>
  <sheetViews>
    <sheetView topLeftCell="A81" workbookViewId="0">
      <selection activeCell="B1" sqref="B1:G1"/>
    </sheetView>
  </sheetViews>
  <sheetFormatPr defaultRowHeight="15" x14ac:dyDescent="0.2"/>
  <cols>
    <col min="1" max="1" width="2.33203125" customWidth="1"/>
    <col min="2" max="2" width="48.44140625" bestFit="1" customWidth="1"/>
  </cols>
  <sheetData>
    <row r="1" spans="2:7" ht="18.75" x14ac:dyDescent="0.3">
      <c r="B1" s="375" t="s">
        <v>130</v>
      </c>
      <c r="C1" s="375"/>
      <c r="D1" s="375"/>
      <c r="E1" s="375"/>
      <c r="F1" s="375"/>
      <c r="G1" s="375"/>
    </row>
    <row r="3" spans="2:7" ht="15.75" thickBot="1" x14ac:dyDescent="0.25">
      <c r="B3" s="119"/>
      <c r="C3" s="118"/>
      <c r="D3" s="118"/>
      <c r="E3" s="118"/>
      <c r="F3" s="118"/>
    </row>
    <row r="4" spans="2:7" x14ac:dyDescent="0.2">
      <c r="B4" s="99"/>
      <c r="C4" s="372" t="s">
        <v>99</v>
      </c>
      <c r="D4" s="373"/>
      <c r="E4" s="373"/>
      <c r="F4" s="374"/>
    </row>
    <row r="5" spans="2:7" x14ac:dyDescent="0.2">
      <c r="B5" s="99"/>
      <c r="C5" s="369">
        <v>41103</v>
      </c>
      <c r="D5" s="370"/>
      <c r="E5" s="370"/>
      <c r="F5" s="371"/>
    </row>
    <row r="6" spans="2:7" x14ac:dyDescent="0.2">
      <c r="B6" s="99"/>
      <c r="C6" s="100"/>
      <c r="D6" s="99"/>
      <c r="E6" s="129"/>
      <c r="F6" s="101"/>
    </row>
    <row r="7" spans="2:7" x14ac:dyDescent="0.2">
      <c r="B7" s="99"/>
      <c r="C7" s="100" t="s">
        <v>76</v>
      </c>
      <c r="D7" s="129" t="s">
        <v>55</v>
      </c>
      <c r="E7" s="129"/>
      <c r="F7" s="101"/>
    </row>
    <row r="8" spans="2:7" x14ac:dyDescent="0.2">
      <c r="B8" s="99"/>
      <c r="C8" s="100" t="s">
        <v>77</v>
      </c>
      <c r="D8" s="129" t="s">
        <v>78</v>
      </c>
      <c r="E8" s="129" t="s">
        <v>79</v>
      </c>
      <c r="F8" s="101" t="s">
        <v>1</v>
      </c>
    </row>
    <row r="9" spans="2:7" ht="18.75" x14ac:dyDescent="0.3">
      <c r="B9" s="102" t="s">
        <v>2</v>
      </c>
      <c r="C9" s="103"/>
      <c r="D9" s="125"/>
      <c r="E9" s="125"/>
      <c r="F9" s="104"/>
    </row>
    <row r="10" spans="2:7" x14ac:dyDescent="0.2">
      <c r="B10" s="139" t="s">
        <v>80</v>
      </c>
      <c r="C10" s="144"/>
      <c r="D10" s="145">
        <v>260471939</v>
      </c>
      <c r="E10" s="146">
        <v>260471939</v>
      </c>
      <c r="F10" s="142">
        <v>91.33015694318631</v>
      </c>
    </row>
    <row r="11" spans="2:7" x14ac:dyDescent="0.2">
      <c r="B11" s="139" t="s">
        <v>116</v>
      </c>
      <c r="C11" s="141">
        <v>52677400</v>
      </c>
      <c r="D11" s="147"/>
      <c r="E11" s="146">
        <v>52677400</v>
      </c>
      <c r="F11" s="142">
        <v>18.470454928194787</v>
      </c>
    </row>
    <row r="12" spans="2:7" x14ac:dyDescent="0.2">
      <c r="B12" s="139" t="s">
        <v>118</v>
      </c>
      <c r="C12" s="141">
        <v>2800000</v>
      </c>
      <c r="D12" s="147"/>
      <c r="E12" s="146">
        <v>2800000</v>
      </c>
      <c r="F12" s="142">
        <v>0.98177347019680949</v>
      </c>
    </row>
    <row r="13" spans="2:7" x14ac:dyDescent="0.2">
      <c r="B13" s="105" t="s">
        <v>82</v>
      </c>
      <c r="C13" s="141">
        <v>-33688333</v>
      </c>
      <c r="D13" s="147"/>
      <c r="E13" s="146">
        <v>-33688333</v>
      </c>
      <c r="F13" s="142">
        <v>-11.812254140912746</v>
      </c>
    </row>
    <row r="14" spans="2:7" x14ac:dyDescent="0.2">
      <c r="B14" s="105" t="s">
        <v>3</v>
      </c>
      <c r="C14" s="144"/>
      <c r="D14" s="148">
        <v>800000</v>
      </c>
      <c r="E14" s="146">
        <v>800000</v>
      </c>
      <c r="F14" s="142">
        <v>0.28050670577051695</v>
      </c>
    </row>
    <row r="15" spans="2:7" x14ac:dyDescent="0.2">
      <c r="B15" s="105" t="s">
        <v>4</v>
      </c>
      <c r="C15" s="144"/>
      <c r="D15" s="148">
        <v>291000</v>
      </c>
      <c r="E15" s="146">
        <v>291000</v>
      </c>
      <c r="F15" s="142">
        <v>0.10203431422402555</v>
      </c>
    </row>
    <row r="16" spans="2:7" x14ac:dyDescent="0.2">
      <c r="B16" s="105" t="s">
        <v>5</v>
      </c>
      <c r="C16" s="149"/>
      <c r="D16" s="150">
        <v>1846167</v>
      </c>
      <c r="E16" s="146">
        <v>1846167</v>
      </c>
      <c r="F16" s="142">
        <v>0.64732777934029762</v>
      </c>
    </row>
    <row r="17" spans="1:6" x14ac:dyDescent="0.2">
      <c r="A17" s="99"/>
      <c r="B17" s="105"/>
      <c r="C17" s="151"/>
      <c r="D17" s="152"/>
      <c r="E17" s="153"/>
      <c r="F17" s="143"/>
    </row>
    <row r="18" spans="1:6" x14ac:dyDescent="0.2">
      <c r="A18" s="99"/>
      <c r="B18" s="105" t="s">
        <v>6</v>
      </c>
      <c r="C18" s="141">
        <v>21789067</v>
      </c>
      <c r="D18" s="154">
        <v>263409106</v>
      </c>
      <c r="E18" s="148">
        <v>285198173</v>
      </c>
      <c r="F18" s="142">
        <v>100</v>
      </c>
    </row>
    <row r="19" spans="1:6" x14ac:dyDescent="0.2">
      <c r="A19" s="99"/>
      <c r="B19" s="99"/>
      <c r="C19" s="103"/>
      <c r="D19" s="125"/>
      <c r="E19" s="125"/>
      <c r="F19" s="104"/>
    </row>
    <row r="20" spans="1:6" ht="18.75" x14ac:dyDescent="0.3">
      <c r="A20" s="99"/>
      <c r="B20" s="102" t="s">
        <v>7</v>
      </c>
      <c r="C20" s="103"/>
      <c r="D20" s="125"/>
      <c r="E20" s="125"/>
      <c r="F20" s="104"/>
    </row>
    <row r="21" spans="1:6" ht="18" x14ac:dyDescent="0.25">
      <c r="A21" s="99"/>
      <c r="B21" s="109" t="s">
        <v>8</v>
      </c>
      <c r="C21" s="103"/>
      <c r="D21" s="125"/>
      <c r="E21" s="125"/>
      <c r="F21" s="104"/>
    </row>
    <row r="22" spans="1:6" x14ac:dyDescent="0.2">
      <c r="A22" s="99"/>
      <c r="B22" s="105" t="s">
        <v>61</v>
      </c>
      <c r="C22" s="108"/>
      <c r="D22" s="115">
        <v>72844047</v>
      </c>
      <c r="E22" s="132">
        <v>72844047</v>
      </c>
      <c r="F22" s="107">
        <v>25.54155457370339</v>
      </c>
    </row>
    <row r="23" spans="1:6" x14ac:dyDescent="0.2">
      <c r="A23" s="99"/>
      <c r="B23" s="105" t="s">
        <v>58</v>
      </c>
      <c r="C23" s="108"/>
      <c r="D23" s="115">
        <v>17970705</v>
      </c>
      <c r="E23" s="132">
        <v>17970705</v>
      </c>
      <c r="F23" s="107">
        <v>6.3011290749046971</v>
      </c>
    </row>
    <row r="24" spans="1:6" x14ac:dyDescent="0.2">
      <c r="A24" s="99"/>
      <c r="B24" s="105" t="s">
        <v>60</v>
      </c>
      <c r="C24" s="108"/>
      <c r="D24" s="115">
        <v>11201651</v>
      </c>
      <c r="E24" s="132">
        <v>11201651</v>
      </c>
      <c r="F24" s="107">
        <v>3.9276727765012716</v>
      </c>
    </row>
    <row r="25" spans="1:6" x14ac:dyDescent="0.2">
      <c r="A25" s="99"/>
      <c r="B25" s="105" t="s">
        <v>59</v>
      </c>
      <c r="C25" s="108"/>
      <c r="D25" s="115">
        <v>10833510</v>
      </c>
      <c r="E25" s="132">
        <v>10833510</v>
      </c>
      <c r="F25" s="107">
        <v>3.7985902525399422</v>
      </c>
    </row>
    <row r="26" spans="1:6" x14ac:dyDescent="0.2">
      <c r="A26" s="99"/>
      <c r="B26" s="105" t="s">
        <v>62</v>
      </c>
      <c r="C26" s="108"/>
      <c r="D26" s="115">
        <v>9603635</v>
      </c>
      <c r="E26" s="132">
        <v>9603635</v>
      </c>
      <c r="F26" s="107">
        <v>3.3673550215905483</v>
      </c>
    </row>
    <row r="27" spans="1:6" x14ac:dyDescent="0.2">
      <c r="A27" s="99"/>
      <c r="B27" s="105" t="s">
        <v>64</v>
      </c>
      <c r="C27" s="108"/>
      <c r="D27" s="115">
        <v>7381025</v>
      </c>
      <c r="E27" s="132">
        <v>7381025</v>
      </c>
      <c r="F27" s="107">
        <v>2.5880337599497873</v>
      </c>
    </row>
    <row r="28" spans="1:6" x14ac:dyDescent="0.2">
      <c r="A28" s="99"/>
      <c r="B28" s="105" t="s">
        <v>63</v>
      </c>
      <c r="C28" s="108"/>
      <c r="D28" s="115">
        <v>8000454</v>
      </c>
      <c r="E28" s="132">
        <v>8000454</v>
      </c>
      <c r="F28" s="107">
        <v>2.8052262452606946</v>
      </c>
    </row>
    <row r="29" spans="1:6" x14ac:dyDescent="0.2">
      <c r="A29" s="126"/>
      <c r="B29" s="105" t="s">
        <v>73</v>
      </c>
      <c r="C29" s="108"/>
      <c r="D29" s="115">
        <v>11718583</v>
      </c>
      <c r="E29" s="132">
        <v>11718583</v>
      </c>
      <c r="F29" s="107">
        <v>4.1089263920354782</v>
      </c>
    </row>
    <row r="30" spans="1:6" x14ac:dyDescent="0.2">
      <c r="A30" s="99"/>
      <c r="B30" s="139" t="s">
        <v>83</v>
      </c>
      <c r="C30" s="108"/>
      <c r="D30" s="115">
        <v>1492358</v>
      </c>
      <c r="E30" s="132">
        <v>1492358</v>
      </c>
      <c r="F30" s="107">
        <v>0.52327053301284643</v>
      </c>
    </row>
    <row r="31" spans="1:6" x14ac:dyDescent="0.2">
      <c r="A31" s="99"/>
      <c r="B31" s="105" t="s">
        <v>66</v>
      </c>
      <c r="C31" s="108"/>
      <c r="D31" s="115">
        <v>10759434</v>
      </c>
      <c r="E31" s="132">
        <v>10759434</v>
      </c>
      <c r="F31" s="107">
        <v>3.7726167341191204</v>
      </c>
    </row>
    <row r="32" spans="1:6" x14ac:dyDescent="0.2">
      <c r="A32" s="99"/>
      <c r="B32" s="105" t="s">
        <v>84</v>
      </c>
      <c r="C32" s="108"/>
      <c r="D32" s="115">
        <v>1404627</v>
      </c>
      <c r="E32" s="132">
        <v>1404627</v>
      </c>
      <c r="F32" s="107">
        <v>0.4925091157579049</v>
      </c>
    </row>
    <row r="33" spans="1:6" x14ac:dyDescent="0.2">
      <c r="A33" s="126"/>
      <c r="B33" s="105" t="s">
        <v>85</v>
      </c>
      <c r="C33" s="108"/>
      <c r="D33" s="115">
        <v>822951</v>
      </c>
      <c r="E33" s="132">
        <v>822951</v>
      </c>
      <c r="F33" s="107">
        <v>0.28855409252569092</v>
      </c>
    </row>
    <row r="34" spans="1:6" x14ac:dyDescent="0.2">
      <c r="A34" s="126"/>
      <c r="B34" s="105" t="s">
        <v>68</v>
      </c>
      <c r="C34" s="108"/>
      <c r="D34" s="115">
        <v>13035290</v>
      </c>
      <c r="E34" s="132">
        <v>13035290</v>
      </c>
      <c r="F34" s="107">
        <v>4.5706078208292027</v>
      </c>
    </row>
    <row r="35" spans="1:6" x14ac:dyDescent="0.2">
      <c r="A35" s="126"/>
      <c r="B35" s="105" t="s">
        <v>17</v>
      </c>
      <c r="C35" s="108"/>
      <c r="D35" s="115">
        <v>8062347</v>
      </c>
      <c r="E35" s="132">
        <v>8062347</v>
      </c>
      <c r="F35" s="107">
        <v>2.8269279971860128</v>
      </c>
    </row>
    <row r="36" spans="1:6" x14ac:dyDescent="0.2">
      <c r="A36" s="126"/>
      <c r="B36" s="105" t="s">
        <v>20</v>
      </c>
      <c r="C36" s="108"/>
      <c r="D36" s="115">
        <v>950322</v>
      </c>
      <c r="E36" s="132">
        <v>950322</v>
      </c>
      <c r="F36" s="107">
        <v>0.33321461705156152</v>
      </c>
    </row>
    <row r="37" spans="1:6" x14ac:dyDescent="0.2">
      <c r="A37" s="126"/>
      <c r="B37" s="105" t="s">
        <v>21</v>
      </c>
      <c r="C37" s="108"/>
      <c r="D37" s="115">
        <v>587835</v>
      </c>
      <c r="E37" s="132">
        <v>587835</v>
      </c>
      <c r="F37" s="107">
        <v>0.20611457423326479</v>
      </c>
    </row>
    <row r="38" spans="1:6" x14ac:dyDescent="0.2">
      <c r="A38" s="126"/>
      <c r="B38" s="105" t="s">
        <v>22</v>
      </c>
      <c r="C38" s="108"/>
      <c r="D38" s="115">
        <v>2777888</v>
      </c>
      <c r="E38" s="132">
        <v>2777888</v>
      </c>
      <c r="F38" s="107">
        <v>0.97402026484931237</v>
      </c>
    </row>
    <row r="39" spans="1:6" x14ac:dyDescent="0.2">
      <c r="A39" s="126"/>
      <c r="B39" s="105" t="s">
        <v>23</v>
      </c>
      <c r="C39" s="108"/>
      <c r="D39" s="115">
        <v>3522192</v>
      </c>
      <c r="E39" s="132">
        <v>3522192</v>
      </c>
      <c r="F39" s="107">
        <v>1.2349980937640859</v>
      </c>
    </row>
    <row r="40" spans="1:6" x14ac:dyDescent="0.2">
      <c r="A40" s="126"/>
      <c r="B40" s="105" t="s">
        <v>86</v>
      </c>
      <c r="C40" s="108"/>
      <c r="D40" s="115">
        <v>0</v>
      </c>
      <c r="E40" s="132">
        <v>0</v>
      </c>
      <c r="F40" s="107">
        <v>0</v>
      </c>
    </row>
    <row r="41" spans="1:6" x14ac:dyDescent="0.2">
      <c r="A41" s="126"/>
      <c r="B41" s="155" t="s">
        <v>13</v>
      </c>
      <c r="C41" s="108"/>
      <c r="D41" s="115">
        <v>5395672</v>
      </c>
      <c r="E41" s="132">
        <v>5395672</v>
      </c>
      <c r="F41" s="107">
        <v>1.8919027226727712</v>
      </c>
    </row>
    <row r="42" spans="1:6" x14ac:dyDescent="0.2">
      <c r="A42" s="99"/>
      <c r="B42" s="105" t="s">
        <v>14</v>
      </c>
      <c r="C42" s="108"/>
      <c r="D42" s="115">
        <v>157846</v>
      </c>
      <c r="E42" s="137">
        <v>157846</v>
      </c>
      <c r="F42" s="110">
        <v>5.5346076848816282E-2</v>
      </c>
    </row>
    <row r="43" spans="1:6" x14ac:dyDescent="0.2">
      <c r="A43" s="99"/>
      <c r="B43" s="105" t="s">
        <v>25</v>
      </c>
      <c r="C43" s="121">
        <v>0</v>
      </c>
      <c r="D43" s="138">
        <v>198522372</v>
      </c>
      <c r="E43" s="132">
        <v>198522372</v>
      </c>
      <c r="F43" s="107">
        <v>69.6085707393364</v>
      </c>
    </row>
    <row r="44" spans="1:6" x14ac:dyDescent="0.2">
      <c r="A44" s="99"/>
      <c r="B44" s="105"/>
      <c r="C44" s="122"/>
      <c r="D44" s="133"/>
      <c r="E44" s="133"/>
      <c r="F44" s="123"/>
    </row>
    <row r="45" spans="1:6" ht="18" x14ac:dyDescent="0.25">
      <c r="A45" s="99"/>
      <c r="B45" s="109" t="s">
        <v>87</v>
      </c>
      <c r="C45" s="108"/>
      <c r="D45" s="115"/>
      <c r="E45" s="115"/>
      <c r="F45" s="104"/>
    </row>
    <row r="46" spans="1:6" x14ac:dyDescent="0.2">
      <c r="A46" s="99"/>
      <c r="B46" s="105" t="s">
        <v>54</v>
      </c>
      <c r="C46" s="108" t="s">
        <v>10</v>
      </c>
      <c r="D46" s="115">
        <v>181757</v>
      </c>
      <c r="E46" s="132">
        <v>181757</v>
      </c>
      <c r="F46" s="107">
        <v>6.3730071650914821E-2</v>
      </c>
    </row>
    <row r="47" spans="1:6" x14ac:dyDescent="0.2">
      <c r="A47" s="99"/>
      <c r="B47" s="105" t="s">
        <v>88</v>
      </c>
      <c r="C47" s="108" t="s">
        <v>10</v>
      </c>
      <c r="D47" s="115">
        <v>698380</v>
      </c>
      <c r="E47" s="132">
        <v>698380</v>
      </c>
      <c r="F47" s="107">
        <v>0.24487534147001705</v>
      </c>
    </row>
    <row r="48" spans="1:6" x14ac:dyDescent="0.2">
      <c r="A48" s="99"/>
      <c r="B48" s="139" t="s">
        <v>89</v>
      </c>
      <c r="C48" s="108" t="s">
        <v>10</v>
      </c>
      <c r="D48" s="115">
        <v>121587</v>
      </c>
      <c r="E48" s="132">
        <v>121587</v>
      </c>
      <c r="F48" s="107">
        <v>4.2632461043149814E-2</v>
      </c>
    </row>
    <row r="49" spans="2:6" x14ac:dyDescent="0.2">
      <c r="B49" s="105" t="s">
        <v>14</v>
      </c>
      <c r="C49" s="113" t="s">
        <v>10</v>
      </c>
      <c r="D49" s="134">
        <v>248210</v>
      </c>
      <c r="E49" s="137">
        <v>248210</v>
      </c>
      <c r="F49" s="107">
        <v>8.7030711799125013E-2</v>
      </c>
    </row>
    <row r="50" spans="2:6" ht="15.75" thickBot="1" x14ac:dyDescent="0.25">
      <c r="B50" s="105" t="s">
        <v>25</v>
      </c>
      <c r="C50" s="120">
        <v>0</v>
      </c>
      <c r="D50" s="135">
        <v>1249934</v>
      </c>
      <c r="E50" s="135">
        <v>1249934</v>
      </c>
      <c r="F50" s="124">
        <v>0.43826858596320667</v>
      </c>
    </row>
    <row r="51" spans="2:6" x14ac:dyDescent="0.2">
      <c r="B51" s="105"/>
      <c r="C51" s="127"/>
      <c r="D51" s="127"/>
      <c r="E51" s="127"/>
      <c r="F51" s="128"/>
    </row>
    <row r="52" spans="2:6" ht="15.75" x14ac:dyDescent="0.25">
      <c r="B52" s="161"/>
      <c r="C52" s="132"/>
      <c r="D52" s="132"/>
      <c r="E52" s="132"/>
      <c r="F52" s="131"/>
    </row>
    <row r="53" spans="2:6" x14ac:dyDescent="0.2">
      <c r="B53" s="105"/>
      <c r="C53" s="115"/>
      <c r="D53" s="115"/>
      <c r="E53" s="115"/>
      <c r="F53" s="125"/>
    </row>
    <row r="54" spans="2:6" ht="15.75" thickBot="1" x14ac:dyDescent="0.25">
      <c r="B54" s="105"/>
      <c r="C54" s="115"/>
      <c r="D54" s="115"/>
      <c r="E54" s="115"/>
      <c r="F54" s="125"/>
    </row>
    <row r="55" spans="2:6" x14ac:dyDescent="0.2">
      <c r="B55" s="105"/>
      <c r="C55" s="372" t="s">
        <v>99</v>
      </c>
      <c r="D55" s="373"/>
      <c r="E55" s="373"/>
      <c r="F55" s="374"/>
    </row>
    <row r="56" spans="2:6" x14ac:dyDescent="0.2">
      <c r="B56" s="99"/>
      <c r="C56" s="369">
        <v>41103</v>
      </c>
      <c r="D56" s="370"/>
      <c r="E56" s="370"/>
      <c r="F56" s="371"/>
    </row>
    <row r="57" spans="2:6" x14ac:dyDescent="0.2">
      <c r="B57" s="99"/>
      <c r="C57" s="157"/>
      <c r="D57" s="130"/>
      <c r="E57" s="130"/>
      <c r="F57" s="158"/>
    </row>
    <row r="58" spans="2:6" x14ac:dyDescent="0.2">
      <c r="B58" s="99"/>
      <c r="C58" s="100" t="s">
        <v>76</v>
      </c>
      <c r="D58" s="129" t="s">
        <v>55</v>
      </c>
      <c r="E58" s="129"/>
      <c r="F58" s="101"/>
    </row>
    <row r="59" spans="2:6" x14ac:dyDescent="0.2">
      <c r="B59" s="99"/>
      <c r="C59" s="100" t="s">
        <v>77</v>
      </c>
      <c r="D59" s="129" t="s">
        <v>78</v>
      </c>
      <c r="E59" s="129" t="s">
        <v>79</v>
      </c>
      <c r="F59" s="101" t="s">
        <v>1</v>
      </c>
    </row>
    <row r="60" spans="2:6" ht="18" x14ac:dyDescent="0.25">
      <c r="B60" s="109" t="s">
        <v>90</v>
      </c>
      <c r="C60" s="159"/>
      <c r="D60" s="99"/>
      <c r="E60" s="99"/>
      <c r="F60" s="160"/>
    </row>
    <row r="61" spans="2:6" x14ac:dyDescent="0.2">
      <c r="B61" s="105" t="s">
        <v>27</v>
      </c>
      <c r="C61" s="108" t="s">
        <v>10</v>
      </c>
      <c r="D61" s="115">
        <v>3994180</v>
      </c>
      <c r="E61" s="132">
        <v>3994180</v>
      </c>
      <c r="F61" s="107">
        <v>1.4004928425681045</v>
      </c>
    </row>
    <row r="62" spans="2:6" x14ac:dyDescent="0.2">
      <c r="B62" s="105" t="s">
        <v>28</v>
      </c>
      <c r="C62" s="108" t="s">
        <v>10</v>
      </c>
      <c r="D62" s="115">
        <v>1848326</v>
      </c>
      <c r="E62" s="132">
        <v>1848326</v>
      </c>
      <c r="F62" s="107">
        <v>0.64808479681249576</v>
      </c>
    </row>
    <row r="63" spans="2:6" x14ac:dyDescent="0.2">
      <c r="B63" s="105" t="s">
        <v>29</v>
      </c>
      <c r="C63" s="108" t="s">
        <v>10</v>
      </c>
      <c r="D63" s="115">
        <v>13656613</v>
      </c>
      <c r="E63" s="132">
        <v>13656613</v>
      </c>
      <c r="F63" s="107">
        <v>4.7884644057660211</v>
      </c>
    </row>
    <row r="64" spans="2:6" x14ac:dyDescent="0.2">
      <c r="B64" s="105" t="s">
        <v>49</v>
      </c>
      <c r="C64" s="108" t="s">
        <v>10</v>
      </c>
      <c r="D64" s="115">
        <v>5543712</v>
      </c>
      <c r="E64" s="132">
        <v>5543712</v>
      </c>
      <c r="F64" s="107">
        <v>1.9438104885756053</v>
      </c>
    </row>
    <row r="65" spans="2:6" x14ac:dyDescent="0.2">
      <c r="B65" s="105" t="s">
        <v>30</v>
      </c>
      <c r="C65" s="108" t="s">
        <v>10</v>
      </c>
      <c r="D65" s="115">
        <v>5989733</v>
      </c>
      <c r="E65" s="132">
        <v>5989733</v>
      </c>
      <c r="F65" s="107">
        <v>2.1002003403436951</v>
      </c>
    </row>
    <row r="66" spans="2:6" x14ac:dyDescent="0.2">
      <c r="B66" s="105" t="s">
        <v>70</v>
      </c>
      <c r="C66" s="108" t="s">
        <v>10</v>
      </c>
      <c r="D66" s="115">
        <v>600809</v>
      </c>
      <c r="E66" s="132">
        <v>600809</v>
      </c>
      <c r="F66" s="107">
        <v>0.21066369173409816</v>
      </c>
    </row>
    <row r="67" spans="2:6" x14ac:dyDescent="0.2">
      <c r="B67" s="105" t="s">
        <v>14</v>
      </c>
      <c r="C67" s="113" t="s">
        <v>10</v>
      </c>
      <c r="D67" s="134">
        <v>193306</v>
      </c>
      <c r="E67" s="137">
        <v>193306</v>
      </c>
      <c r="F67" s="110">
        <v>6.7779536582094443E-2</v>
      </c>
    </row>
    <row r="68" spans="2:6" x14ac:dyDescent="0.2">
      <c r="B68" s="105" t="s">
        <v>25</v>
      </c>
      <c r="C68" s="106">
        <v>0</v>
      </c>
      <c r="D68" s="138">
        <v>31826679</v>
      </c>
      <c r="E68" s="132">
        <v>31826679</v>
      </c>
      <c r="F68" s="107">
        <v>11.159496102382114</v>
      </c>
    </row>
    <row r="69" spans="2:6" x14ac:dyDescent="0.2">
      <c r="B69" s="105"/>
      <c r="C69" s="108"/>
      <c r="D69" s="115"/>
      <c r="E69" s="115"/>
      <c r="F69" s="104"/>
    </row>
    <row r="70" spans="2:6" ht="18" x14ac:dyDescent="0.25">
      <c r="B70" s="109" t="s">
        <v>31</v>
      </c>
      <c r="C70" s="108"/>
      <c r="D70" s="115"/>
      <c r="E70" s="115"/>
      <c r="F70" s="104"/>
    </row>
    <row r="71" spans="2:6" x14ac:dyDescent="0.2">
      <c r="B71" s="105" t="s">
        <v>50</v>
      </c>
      <c r="C71" s="108" t="s">
        <v>10</v>
      </c>
      <c r="D71" s="115">
        <v>1532856</v>
      </c>
      <c r="E71" s="132">
        <v>1532856</v>
      </c>
      <c r="F71" s="107">
        <v>0.53747048372571449</v>
      </c>
    </row>
    <row r="72" spans="2:6" x14ac:dyDescent="0.2">
      <c r="B72" s="105" t="s">
        <v>52</v>
      </c>
      <c r="C72" s="108" t="s">
        <v>10</v>
      </c>
      <c r="D72" s="115">
        <v>3353053</v>
      </c>
      <c r="E72" s="132">
        <v>3353053</v>
      </c>
      <c r="F72" s="107">
        <v>1.1756923141299365</v>
      </c>
    </row>
    <row r="73" spans="2:6" x14ac:dyDescent="0.2">
      <c r="B73" s="105" t="s">
        <v>33</v>
      </c>
      <c r="C73" s="108" t="s">
        <v>10</v>
      </c>
      <c r="D73" s="115">
        <v>926480</v>
      </c>
      <c r="E73" s="132">
        <v>926480</v>
      </c>
      <c r="F73" s="107">
        <v>0.32485481595283572</v>
      </c>
    </row>
    <row r="74" spans="2:6" x14ac:dyDescent="0.2">
      <c r="B74" s="105" t="s">
        <v>34</v>
      </c>
      <c r="C74" s="108" t="s">
        <v>10</v>
      </c>
      <c r="D74" s="115">
        <v>45168</v>
      </c>
      <c r="E74" s="132">
        <v>45168</v>
      </c>
      <c r="F74" s="107">
        <v>1.5837408607803388E-2</v>
      </c>
    </row>
    <row r="75" spans="2:6" x14ac:dyDescent="0.2">
      <c r="B75" s="105" t="s">
        <v>14</v>
      </c>
      <c r="C75" s="113" t="s">
        <v>10</v>
      </c>
      <c r="D75" s="134">
        <v>25323</v>
      </c>
      <c r="E75" s="137">
        <v>25323</v>
      </c>
      <c r="F75" s="110">
        <v>8.8790891377835031E-3</v>
      </c>
    </row>
    <row r="76" spans="2:6" x14ac:dyDescent="0.2">
      <c r="B76" s="105" t="s">
        <v>25</v>
      </c>
      <c r="C76" s="106">
        <v>0</v>
      </c>
      <c r="D76" s="132">
        <v>5882880</v>
      </c>
      <c r="E76" s="132">
        <v>5882880</v>
      </c>
      <c r="F76" s="107">
        <v>2.0627341115540738</v>
      </c>
    </row>
    <row r="77" spans="2:6" x14ac:dyDescent="0.2">
      <c r="B77" s="105"/>
      <c r="C77" s="108"/>
      <c r="D77" s="115"/>
      <c r="E77" s="115"/>
      <c r="F77" s="104"/>
    </row>
    <row r="78" spans="2:6" ht="18" x14ac:dyDescent="0.25">
      <c r="B78" s="109" t="s">
        <v>47</v>
      </c>
      <c r="C78" s="108"/>
      <c r="D78" s="115"/>
      <c r="E78" s="115"/>
      <c r="F78" s="104"/>
    </row>
    <row r="79" spans="2:6" x14ac:dyDescent="0.2">
      <c r="B79" s="139" t="s">
        <v>92</v>
      </c>
      <c r="C79" s="108" t="s">
        <v>10</v>
      </c>
      <c r="D79" s="115">
        <v>4211709</v>
      </c>
      <c r="E79" s="132">
        <v>4211709</v>
      </c>
      <c r="F79" s="107">
        <v>1.476765771567548</v>
      </c>
    </row>
    <row r="80" spans="2:6" x14ac:dyDescent="0.2">
      <c r="B80" s="140" t="s">
        <v>93</v>
      </c>
      <c r="C80" s="108"/>
      <c r="D80" s="115">
        <v>785868</v>
      </c>
      <c r="E80" s="132">
        <v>785868</v>
      </c>
      <c r="F80" s="107">
        <v>0.2755515548130808</v>
      </c>
    </row>
    <row r="81" spans="2:6" x14ac:dyDescent="0.2">
      <c r="B81" s="105" t="s">
        <v>94</v>
      </c>
      <c r="C81" s="113" t="s">
        <v>10</v>
      </c>
      <c r="D81" s="134">
        <v>585699</v>
      </c>
      <c r="E81" s="137">
        <v>585699</v>
      </c>
      <c r="F81" s="110">
        <v>0.20536562132885752</v>
      </c>
    </row>
    <row r="82" spans="2:6" x14ac:dyDescent="0.2">
      <c r="B82" s="105" t="s">
        <v>25</v>
      </c>
      <c r="C82" s="106">
        <v>0</v>
      </c>
      <c r="D82" s="132">
        <v>5583276</v>
      </c>
      <c r="E82" s="132">
        <v>5583276</v>
      </c>
      <c r="F82" s="107">
        <v>1.9576829477094861</v>
      </c>
    </row>
    <row r="83" spans="2:6" x14ac:dyDescent="0.2">
      <c r="B83" s="105"/>
      <c r="C83" s="108"/>
      <c r="D83" s="115"/>
      <c r="E83" s="115"/>
      <c r="F83" s="104"/>
    </row>
    <row r="84" spans="2:6" ht="18" x14ac:dyDescent="0.25">
      <c r="B84" s="109" t="s">
        <v>35</v>
      </c>
      <c r="C84" s="108"/>
      <c r="D84" s="115"/>
      <c r="E84" s="115"/>
      <c r="F84" s="104"/>
    </row>
    <row r="85" spans="2:6" x14ac:dyDescent="0.2">
      <c r="B85" s="105" t="s">
        <v>35</v>
      </c>
      <c r="C85" s="108" t="s">
        <v>10</v>
      </c>
      <c r="D85" s="115">
        <v>4106856</v>
      </c>
      <c r="E85" s="132">
        <v>4106856</v>
      </c>
      <c r="F85" s="107">
        <v>1.4400008095423529</v>
      </c>
    </row>
    <row r="86" spans="2:6" x14ac:dyDescent="0.2">
      <c r="B86" s="105" t="s">
        <v>53</v>
      </c>
      <c r="C86" s="113" t="s">
        <v>10</v>
      </c>
      <c r="D86" s="134">
        <v>900258</v>
      </c>
      <c r="E86" s="137">
        <v>900258</v>
      </c>
      <c r="F86" s="110">
        <v>0.31566050740444257</v>
      </c>
    </row>
    <row r="87" spans="2:6" x14ac:dyDescent="0.2">
      <c r="B87" s="105" t="s">
        <v>25</v>
      </c>
      <c r="C87" s="106">
        <v>0</v>
      </c>
      <c r="D87" s="132">
        <v>5007114</v>
      </c>
      <c r="E87" s="132">
        <v>5007114</v>
      </c>
      <c r="F87" s="107">
        <v>1.7556613169467956</v>
      </c>
    </row>
    <row r="88" spans="2:6" x14ac:dyDescent="0.2">
      <c r="B88" s="105"/>
      <c r="C88" s="108"/>
      <c r="D88" s="115"/>
      <c r="E88" s="115"/>
      <c r="F88" s="104"/>
    </row>
    <row r="89" spans="2:6" ht="18" x14ac:dyDescent="0.25">
      <c r="B89" s="109" t="s">
        <v>36</v>
      </c>
      <c r="C89" s="108"/>
      <c r="D89" s="115"/>
      <c r="E89" s="115"/>
      <c r="F89" s="104"/>
    </row>
    <row r="90" spans="2:6" x14ac:dyDescent="0.2">
      <c r="B90" s="105" t="s">
        <v>95</v>
      </c>
      <c r="C90" s="108">
        <v>11115001</v>
      </c>
      <c r="D90" s="162">
        <v>3299380</v>
      </c>
      <c r="E90" s="132">
        <v>14414381</v>
      </c>
      <c r="F90" s="107">
        <v>5.054163162538913</v>
      </c>
    </row>
    <row r="91" spans="2:6" x14ac:dyDescent="0.2">
      <c r="B91" s="105" t="s">
        <v>38</v>
      </c>
      <c r="C91" s="108">
        <v>4982025</v>
      </c>
      <c r="D91" s="115"/>
      <c r="E91" s="132">
        <v>4982025</v>
      </c>
      <c r="F91" s="107">
        <v>1.74686427602045</v>
      </c>
    </row>
    <row r="92" spans="2:6" x14ac:dyDescent="0.2">
      <c r="B92" s="105" t="s">
        <v>96</v>
      </c>
      <c r="C92" s="108" t="s">
        <v>10</v>
      </c>
      <c r="D92" s="115">
        <v>2645000</v>
      </c>
      <c r="E92" s="132">
        <v>2645000</v>
      </c>
      <c r="F92" s="107">
        <v>0.92742529595377166</v>
      </c>
    </row>
    <row r="93" spans="2:6" x14ac:dyDescent="0.2">
      <c r="B93" s="105" t="s">
        <v>39</v>
      </c>
      <c r="C93" s="108" t="s">
        <v>10</v>
      </c>
      <c r="D93" s="115">
        <v>565300</v>
      </c>
      <c r="E93" s="132">
        <v>565300</v>
      </c>
      <c r="F93" s="107">
        <v>0.19821305096509156</v>
      </c>
    </row>
    <row r="94" spans="2:6" x14ac:dyDescent="0.2">
      <c r="B94" s="105" t="s">
        <v>40</v>
      </c>
      <c r="C94" s="108" t="s">
        <v>10</v>
      </c>
      <c r="D94" s="115">
        <v>1012632</v>
      </c>
      <c r="E94" s="132">
        <v>1012632</v>
      </c>
      <c r="F94" s="107">
        <v>0.35506258309726269</v>
      </c>
    </row>
    <row r="95" spans="2:6" x14ac:dyDescent="0.2">
      <c r="B95" s="105" t="s">
        <v>97</v>
      </c>
      <c r="C95" s="108" t="s">
        <v>10</v>
      </c>
      <c r="D95" s="115">
        <v>705416</v>
      </c>
      <c r="E95" s="132">
        <v>705416</v>
      </c>
      <c r="F95" s="107">
        <v>0.24734239794726876</v>
      </c>
    </row>
    <row r="96" spans="2:6" x14ac:dyDescent="0.2">
      <c r="B96" s="105" t="s">
        <v>41</v>
      </c>
      <c r="C96" s="108">
        <v>3700000</v>
      </c>
      <c r="D96" s="115" t="s">
        <v>10</v>
      </c>
      <c r="E96" s="132">
        <v>3700000</v>
      </c>
      <c r="F96" s="107">
        <v>1.2973435141886411</v>
      </c>
    </row>
    <row r="97" spans="2:6" x14ac:dyDescent="0.2">
      <c r="B97" s="105" t="s">
        <v>42</v>
      </c>
      <c r="C97" s="113">
        <v>92041</v>
      </c>
      <c r="D97" s="134" t="s">
        <v>10</v>
      </c>
      <c r="E97" s="137">
        <v>92041</v>
      </c>
      <c r="F97" s="156">
        <v>3.2272647132280195E-2</v>
      </c>
    </row>
    <row r="98" spans="2:6" x14ac:dyDescent="0.2">
      <c r="B98" s="105" t="s">
        <v>43</v>
      </c>
      <c r="C98" s="106">
        <v>19889067</v>
      </c>
      <c r="D98" s="132">
        <v>8227728</v>
      </c>
      <c r="E98" s="138">
        <v>28116795</v>
      </c>
      <c r="F98" s="107">
        <v>9.8586869278436779</v>
      </c>
    </row>
    <row r="99" spans="2:6" x14ac:dyDescent="0.2">
      <c r="B99" s="105"/>
      <c r="C99" s="108"/>
      <c r="D99" s="115"/>
      <c r="E99" s="115"/>
      <c r="F99" s="107"/>
    </row>
    <row r="100" spans="2:6" x14ac:dyDescent="0.2">
      <c r="B100" s="105" t="s">
        <v>44</v>
      </c>
      <c r="C100" s="113">
        <v>1900000</v>
      </c>
      <c r="D100" s="134">
        <v>7109123</v>
      </c>
      <c r="E100" s="137">
        <v>9009123</v>
      </c>
      <c r="F100" s="110">
        <v>3.1588992682642467</v>
      </c>
    </row>
    <row r="101" spans="2:6" x14ac:dyDescent="0.2">
      <c r="B101" s="105" t="s">
        <v>45</v>
      </c>
      <c r="C101" s="121">
        <v>21789067</v>
      </c>
      <c r="D101" s="138">
        <v>15336851</v>
      </c>
      <c r="E101" s="132">
        <v>37125918</v>
      </c>
      <c r="F101" s="107">
        <v>13.017586196107924</v>
      </c>
    </row>
    <row r="102" spans="2:6" x14ac:dyDescent="0.2">
      <c r="B102" s="105"/>
      <c r="C102" s="108"/>
      <c r="D102" s="115"/>
      <c r="E102" s="115"/>
      <c r="F102" s="107"/>
    </row>
    <row r="103" spans="2:6" ht="15.75" thickBot="1" x14ac:dyDescent="0.25">
      <c r="B103" s="105" t="s">
        <v>46</v>
      </c>
      <c r="C103" s="111">
        <v>21789067</v>
      </c>
      <c r="D103" s="136">
        <v>263409106</v>
      </c>
      <c r="E103" s="136">
        <v>285198173</v>
      </c>
      <c r="F103" s="112">
        <v>100</v>
      </c>
    </row>
    <row r="104" spans="2:6" x14ac:dyDescent="0.2">
      <c r="B104" s="105"/>
      <c r="C104" s="114"/>
      <c r="D104" s="114"/>
      <c r="E104" s="114"/>
      <c r="F104" s="99"/>
    </row>
    <row r="105" spans="2:6" x14ac:dyDescent="0.2">
      <c r="B105" s="105"/>
      <c r="C105" s="116"/>
      <c r="D105" s="116"/>
      <c r="E105" s="116"/>
      <c r="F105" s="117"/>
    </row>
  </sheetData>
  <mergeCells count="5">
    <mergeCell ref="C56:F56"/>
    <mergeCell ref="C5:F5"/>
    <mergeCell ref="C55:F55"/>
    <mergeCell ref="C4:F4"/>
    <mergeCell ref="B1:G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03"/>
  <sheetViews>
    <sheetView topLeftCell="A59" workbookViewId="0"/>
  </sheetViews>
  <sheetFormatPr defaultRowHeight="15" x14ac:dyDescent="0.2"/>
  <cols>
    <col min="1" max="1" width="2.109375" customWidth="1"/>
    <col min="2" max="2" width="48.44140625" bestFit="1" customWidth="1"/>
  </cols>
  <sheetData>
    <row r="1" spans="2:6" ht="18.75" x14ac:dyDescent="0.3">
      <c r="B1" s="379" t="s">
        <v>119</v>
      </c>
      <c r="C1" s="379"/>
      <c r="D1" s="379"/>
      <c r="E1" s="379"/>
      <c r="F1" s="379"/>
    </row>
    <row r="2" spans="2:6" x14ac:dyDescent="0.2">
      <c r="B2" s="380"/>
      <c r="C2" s="380"/>
      <c r="D2" s="380"/>
      <c r="E2" s="380"/>
      <c r="F2" s="380"/>
    </row>
    <row r="3" spans="2:6" ht="15.75" thickBot="1" x14ac:dyDescent="0.25">
      <c r="B3" s="98"/>
      <c r="C3" s="97"/>
      <c r="D3" s="97"/>
      <c r="E3" s="97"/>
      <c r="F3" s="97"/>
    </row>
    <row r="4" spans="2:6" x14ac:dyDescent="0.2">
      <c r="C4" s="381" t="s">
        <v>75</v>
      </c>
      <c r="D4" s="382"/>
      <c r="E4" s="382"/>
      <c r="F4" s="383"/>
    </row>
    <row r="5" spans="2:6" x14ac:dyDescent="0.2">
      <c r="C5" s="376">
        <v>41467</v>
      </c>
      <c r="D5" s="377"/>
      <c r="E5" s="377"/>
      <c r="F5" s="378"/>
    </row>
    <row r="6" spans="2:6" x14ac:dyDescent="0.2">
      <c r="C6" s="183"/>
      <c r="E6" s="184"/>
      <c r="F6" s="185"/>
    </row>
    <row r="7" spans="2:6" x14ac:dyDescent="0.2">
      <c r="C7" s="183" t="s">
        <v>76</v>
      </c>
      <c r="D7" s="184" t="s">
        <v>55</v>
      </c>
      <c r="E7" s="184"/>
      <c r="F7" s="185"/>
    </row>
    <row r="8" spans="2:6" x14ac:dyDescent="0.2">
      <c r="C8" s="183" t="s">
        <v>77</v>
      </c>
      <c r="D8" s="184" t="s">
        <v>78</v>
      </c>
      <c r="E8" s="184" t="s">
        <v>79</v>
      </c>
      <c r="F8" s="185" t="s">
        <v>1</v>
      </c>
    </row>
    <row r="9" spans="2:6" ht="18.75" x14ac:dyDescent="0.3">
      <c r="B9" s="4" t="s">
        <v>2</v>
      </c>
      <c r="C9" s="186"/>
      <c r="D9" s="187"/>
      <c r="E9" s="187"/>
      <c r="F9" s="188"/>
    </row>
    <row r="10" spans="2:6" x14ac:dyDescent="0.2">
      <c r="B10" s="189" t="s">
        <v>80</v>
      </c>
      <c r="C10" s="170"/>
      <c r="D10" s="171">
        <f>269982524+500000+1982000+280000</f>
        <v>272744524</v>
      </c>
      <c r="E10" s="172">
        <f t="shared" ref="E10:E16" si="0">+C10+D10</f>
        <v>272744524</v>
      </c>
      <c r="F10" s="168">
        <f t="shared" ref="F10:F16" si="1">E10/$E$18*100</f>
        <v>91.296698600577784</v>
      </c>
    </row>
    <row r="11" spans="2:6" x14ac:dyDescent="0.2">
      <c r="B11" s="189" t="s">
        <v>116</v>
      </c>
      <c r="C11" s="167">
        <f>52677400+2758600</f>
        <v>55436000</v>
      </c>
      <c r="D11" s="173"/>
      <c r="E11" s="172">
        <f t="shared" si="0"/>
        <v>55436000</v>
      </c>
      <c r="F11" s="168">
        <f t="shared" si="1"/>
        <v>18.556280101966887</v>
      </c>
    </row>
    <row r="12" spans="2:6" x14ac:dyDescent="0.2">
      <c r="B12" s="189" t="s">
        <v>118</v>
      </c>
      <c r="C12" s="167">
        <v>2329100</v>
      </c>
      <c r="D12" s="173"/>
      <c r="E12" s="172">
        <f t="shared" si="0"/>
        <v>2329100</v>
      </c>
      <c r="F12" s="168">
        <f t="shared" si="1"/>
        <v>0.77962753419242148</v>
      </c>
    </row>
    <row r="13" spans="2:6" x14ac:dyDescent="0.2">
      <c r="B13" s="1" t="s">
        <v>82</v>
      </c>
      <c r="C13" s="167">
        <v>-35134477</v>
      </c>
      <c r="D13" s="173"/>
      <c r="E13" s="172">
        <f t="shared" si="0"/>
        <v>-35134477</v>
      </c>
      <c r="F13" s="168">
        <f t="shared" si="1"/>
        <v>-11.760682524859535</v>
      </c>
    </row>
    <row r="14" spans="2:6" x14ac:dyDescent="0.2">
      <c r="B14" s="1" t="s">
        <v>3</v>
      </c>
      <c r="C14" s="170"/>
      <c r="D14" s="174">
        <f>800000+120000</f>
        <v>920000</v>
      </c>
      <c r="E14" s="172">
        <f t="shared" si="0"/>
        <v>920000</v>
      </c>
      <c r="F14" s="168">
        <f t="shared" si="1"/>
        <v>0.30795471703964095</v>
      </c>
    </row>
    <row r="15" spans="2:6" x14ac:dyDescent="0.2">
      <c r="B15" s="1" t="s">
        <v>4</v>
      </c>
      <c r="C15" s="170"/>
      <c r="D15" s="174">
        <v>591000</v>
      </c>
      <c r="E15" s="172">
        <f t="shared" si="0"/>
        <v>591000</v>
      </c>
      <c r="F15" s="168">
        <f t="shared" si="1"/>
        <v>0.19782743235916064</v>
      </c>
    </row>
    <row r="16" spans="2:6" x14ac:dyDescent="0.2">
      <c r="B16" s="1" t="s">
        <v>5</v>
      </c>
      <c r="C16" s="175"/>
      <c r="D16" s="176">
        <f>350000+200000+711074+268000+300000+30000</f>
        <v>1859074</v>
      </c>
      <c r="E16" s="172">
        <f t="shared" si="0"/>
        <v>1859074</v>
      </c>
      <c r="F16" s="168">
        <f t="shared" si="1"/>
        <v>0.62229413872364503</v>
      </c>
    </row>
    <row r="17" spans="1:6" x14ac:dyDescent="0.2">
      <c r="B17" s="1"/>
      <c r="C17" s="177"/>
      <c r="D17" s="178"/>
      <c r="E17" s="179"/>
      <c r="F17" s="169"/>
    </row>
    <row r="18" spans="1:6" x14ac:dyDescent="0.2">
      <c r="B18" s="1" t="s">
        <v>6</v>
      </c>
      <c r="C18" s="167">
        <f>SUM(C11:C17)</f>
        <v>22630623</v>
      </c>
      <c r="D18" s="180">
        <f>SUM(D10:D17)</f>
        <v>276114598</v>
      </c>
      <c r="E18" s="174">
        <f>SUM(E10:E16)</f>
        <v>298745221</v>
      </c>
      <c r="F18" s="168">
        <f>E18/$E$18*100</f>
        <v>100</v>
      </c>
    </row>
    <row r="19" spans="1:6" x14ac:dyDescent="0.2">
      <c r="C19" s="186"/>
      <c r="D19" s="187"/>
      <c r="E19" s="187"/>
      <c r="F19" s="188"/>
    </row>
    <row r="20" spans="1:6" ht="18.75" x14ac:dyDescent="0.3">
      <c r="B20" s="4" t="s">
        <v>7</v>
      </c>
      <c r="C20" s="186"/>
      <c r="D20" s="187"/>
      <c r="E20" s="187"/>
      <c r="F20" s="188"/>
    </row>
    <row r="21" spans="1:6" ht="18" x14ac:dyDescent="0.25">
      <c r="B21" s="7" t="s">
        <v>8</v>
      </c>
      <c r="C21" s="186"/>
      <c r="D21" s="187"/>
      <c r="E21" s="187"/>
      <c r="F21" s="188"/>
    </row>
    <row r="22" spans="1:6" x14ac:dyDescent="0.2">
      <c r="B22" s="1" t="s">
        <v>61</v>
      </c>
      <c r="C22" s="163"/>
      <c r="D22" s="165">
        <v>75136795.680728465</v>
      </c>
      <c r="E22" s="190">
        <f t="shared" ref="E22:E42" si="2">SUM(C22:D22)</f>
        <v>75136795.680728465</v>
      </c>
      <c r="F22" s="191">
        <f t="shared" ref="F22:F43" si="3">E22/$E$103*100</f>
        <v>25.150794188178317</v>
      </c>
    </row>
    <row r="23" spans="1:6" x14ac:dyDescent="0.2">
      <c r="B23" s="1" t="s">
        <v>58</v>
      </c>
      <c r="C23" s="163"/>
      <c r="D23" s="165">
        <v>18503624.259932369</v>
      </c>
      <c r="E23" s="190">
        <f t="shared" si="2"/>
        <v>18503624.259932369</v>
      </c>
      <c r="F23" s="191">
        <f t="shared" si="3"/>
        <v>6.1937808404079444</v>
      </c>
    </row>
    <row r="24" spans="1:6" x14ac:dyDescent="0.2">
      <c r="B24" s="1" t="s">
        <v>60</v>
      </c>
      <c r="C24" s="163"/>
      <c r="D24" s="165">
        <v>11477103.720703531</v>
      </c>
      <c r="E24" s="190">
        <f t="shared" si="2"/>
        <v>11477103.720703531</v>
      </c>
      <c r="F24" s="191">
        <f t="shared" si="3"/>
        <v>3.8417698138520286</v>
      </c>
    </row>
    <row r="25" spans="1:6" x14ac:dyDescent="0.2">
      <c r="B25" s="1" t="s">
        <v>59</v>
      </c>
      <c r="C25" s="163"/>
      <c r="D25" s="165">
        <v>11078395.56414713</v>
      </c>
      <c r="E25" s="190">
        <f t="shared" si="2"/>
        <v>11078395.56414713</v>
      </c>
      <c r="F25" s="191">
        <f t="shared" si="3"/>
        <v>3.7083088817501553</v>
      </c>
    </row>
    <row r="26" spans="1:6" x14ac:dyDescent="0.2">
      <c r="B26" s="1" t="s">
        <v>62</v>
      </c>
      <c r="C26" s="163"/>
      <c r="D26" s="165">
        <v>10418390.342697373</v>
      </c>
      <c r="E26" s="190">
        <f t="shared" si="2"/>
        <v>10418390.342697373</v>
      </c>
      <c r="F26" s="191">
        <f t="shared" si="3"/>
        <v>3.4873830978194533</v>
      </c>
    </row>
    <row r="27" spans="1:6" x14ac:dyDescent="0.2">
      <c r="B27" s="1" t="s">
        <v>64</v>
      </c>
      <c r="C27" s="163"/>
      <c r="D27" s="165">
        <v>7687801.521848374</v>
      </c>
      <c r="E27" s="190">
        <f t="shared" si="2"/>
        <v>7687801.521848374</v>
      </c>
      <c r="F27" s="191">
        <f t="shared" si="3"/>
        <v>2.5733638503453662</v>
      </c>
    </row>
    <row r="28" spans="1:6" x14ac:dyDescent="0.2">
      <c r="B28" s="1" t="s">
        <v>63</v>
      </c>
      <c r="C28" s="163"/>
      <c r="D28" s="165">
        <v>10679743.490658002</v>
      </c>
      <c r="E28" s="190">
        <f t="shared" si="2"/>
        <v>10679743.490658002</v>
      </c>
      <c r="F28" s="191">
        <f t="shared" si="3"/>
        <v>3.5748667225234043</v>
      </c>
    </row>
    <row r="29" spans="1:6" x14ac:dyDescent="0.2">
      <c r="A29" s="192"/>
      <c r="B29" s="1" t="s">
        <v>73</v>
      </c>
      <c r="C29" s="163"/>
      <c r="D29" s="165">
        <v>12230235.409064289</v>
      </c>
      <c r="E29" s="190">
        <f t="shared" si="2"/>
        <v>12230235.409064289</v>
      </c>
      <c r="F29" s="191">
        <f t="shared" si="3"/>
        <v>4.0938681355723805</v>
      </c>
    </row>
    <row r="30" spans="1:6" x14ac:dyDescent="0.2">
      <c r="B30" s="189" t="s">
        <v>83</v>
      </c>
      <c r="C30" s="163"/>
      <c r="D30" s="165">
        <v>1549246.6441539305</v>
      </c>
      <c r="E30" s="190">
        <f t="shared" si="2"/>
        <v>1549246.6441539305</v>
      </c>
      <c r="F30" s="191">
        <f t="shared" si="3"/>
        <v>0.51858457817938797</v>
      </c>
    </row>
    <row r="31" spans="1:6" x14ac:dyDescent="0.2">
      <c r="B31" s="1" t="s">
        <v>66</v>
      </c>
      <c r="C31" s="163"/>
      <c r="D31" s="165">
        <v>10995194.196210304</v>
      </c>
      <c r="E31" s="190">
        <f t="shared" si="2"/>
        <v>10995194.196210304</v>
      </c>
      <c r="F31" s="191">
        <f t="shared" si="3"/>
        <v>3.6804586059672246</v>
      </c>
    </row>
    <row r="32" spans="1:6" x14ac:dyDescent="0.2">
      <c r="B32" s="1" t="s">
        <v>84</v>
      </c>
      <c r="C32" s="163"/>
      <c r="D32" s="165">
        <v>1524694.3067273723</v>
      </c>
      <c r="E32" s="190">
        <f t="shared" si="2"/>
        <v>1524694.3067273723</v>
      </c>
      <c r="F32" s="191">
        <f t="shared" si="3"/>
        <v>0.51036609108715159</v>
      </c>
    </row>
    <row r="33" spans="1:6" x14ac:dyDescent="0.2">
      <c r="A33" s="192"/>
      <c r="B33" s="1" t="s">
        <v>85</v>
      </c>
      <c r="C33" s="163"/>
      <c r="D33" s="165">
        <v>843157.32514688384</v>
      </c>
      <c r="E33" s="190">
        <f t="shared" si="2"/>
        <v>843157.32514688384</v>
      </c>
      <c r="F33" s="191">
        <f t="shared" si="3"/>
        <v>0.28223290813642299</v>
      </c>
    </row>
    <row r="34" spans="1:6" x14ac:dyDescent="0.2">
      <c r="A34" s="192"/>
      <c r="B34" s="1" t="s">
        <v>68</v>
      </c>
      <c r="C34" s="163"/>
      <c r="D34" s="165">
        <v>13644445.515217351</v>
      </c>
      <c r="E34" s="190">
        <f t="shared" si="2"/>
        <v>13644445.515217351</v>
      </c>
      <c r="F34" s="191">
        <f t="shared" si="3"/>
        <v>4.5672514758712577</v>
      </c>
    </row>
    <row r="35" spans="1:6" x14ac:dyDescent="0.2">
      <c r="A35" s="192"/>
      <c r="B35" s="1" t="s">
        <v>17</v>
      </c>
      <c r="C35" s="163"/>
      <c r="D35" s="165">
        <v>8559133.7170196287</v>
      </c>
      <c r="E35" s="190">
        <f t="shared" si="2"/>
        <v>8559133.7170196287</v>
      </c>
      <c r="F35" s="191">
        <f t="shared" si="3"/>
        <v>2.8650278281839454</v>
      </c>
    </row>
    <row r="36" spans="1:6" x14ac:dyDescent="0.2">
      <c r="A36" s="192"/>
      <c r="B36" s="1" t="s">
        <v>20</v>
      </c>
      <c r="C36" s="163"/>
      <c r="D36" s="165">
        <v>1001636.6502937676</v>
      </c>
      <c r="E36" s="190">
        <f t="shared" si="2"/>
        <v>1001636.6502937676</v>
      </c>
      <c r="F36" s="191">
        <f t="shared" si="3"/>
        <v>0.33528122958451195</v>
      </c>
    </row>
    <row r="37" spans="1:6" x14ac:dyDescent="0.2">
      <c r="A37" s="192"/>
      <c r="B37" s="1" t="s">
        <v>21</v>
      </c>
      <c r="C37" s="163"/>
      <c r="D37" s="165">
        <v>606287.98772032571</v>
      </c>
      <c r="E37" s="190">
        <f t="shared" si="2"/>
        <v>606287.98772032571</v>
      </c>
      <c r="F37" s="191">
        <f t="shared" si="3"/>
        <v>0.20294483228581109</v>
      </c>
    </row>
    <row r="38" spans="1:6" x14ac:dyDescent="0.2">
      <c r="A38" s="192"/>
      <c r="B38" s="1" t="s">
        <v>22</v>
      </c>
      <c r="C38" s="163"/>
      <c r="D38" s="165">
        <v>2906883.6036310052</v>
      </c>
      <c r="E38" s="190">
        <f t="shared" si="2"/>
        <v>2906883.6036310052</v>
      </c>
      <c r="F38" s="191">
        <f t="shared" si="3"/>
        <v>0.97303099741669341</v>
      </c>
    </row>
    <row r="39" spans="1:6" x14ac:dyDescent="0.2">
      <c r="A39" s="192"/>
      <c r="B39" s="1" t="s">
        <v>23</v>
      </c>
      <c r="C39" s="163"/>
      <c r="D39" s="165">
        <v>3595464.288307861</v>
      </c>
      <c r="E39" s="190">
        <f t="shared" si="2"/>
        <v>3595464.288307861</v>
      </c>
      <c r="F39" s="191">
        <f t="shared" si="3"/>
        <v>1.203521942969545</v>
      </c>
    </row>
    <row r="40" spans="1:6" x14ac:dyDescent="0.2">
      <c r="A40" s="192"/>
      <c r="B40" s="1" t="s">
        <v>86</v>
      </c>
      <c r="C40" s="163"/>
      <c r="D40" s="165">
        <v>0</v>
      </c>
      <c r="E40" s="190">
        <f t="shared" si="2"/>
        <v>0</v>
      </c>
      <c r="F40" s="191">
        <f t="shared" si="3"/>
        <v>0</v>
      </c>
    </row>
    <row r="41" spans="1:6" x14ac:dyDescent="0.2">
      <c r="A41" s="192"/>
      <c r="B41" s="193" t="s">
        <v>13</v>
      </c>
      <c r="C41" s="163"/>
      <c r="D41" s="165">
        <v>5554689.9263219545</v>
      </c>
      <c r="E41" s="190">
        <f t="shared" si="2"/>
        <v>5554689.9263219545</v>
      </c>
      <c r="F41" s="191">
        <f t="shared" si="3"/>
        <v>1.859340178808067</v>
      </c>
    </row>
    <row r="42" spans="1:6" x14ac:dyDescent="0.2">
      <c r="B42" s="1" t="s">
        <v>14</v>
      </c>
      <c r="C42" s="163"/>
      <c r="D42" s="165">
        <v>171430</v>
      </c>
      <c r="E42" s="194">
        <f t="shared" si="2"/>
        <v>171430</v>
      </c>
      <c r="F42" s="195">
        <f t="shared" si="3"/>
        <v>5.7383344719680048E-2</v>
      </c>
    </row>
    <row r="43" spans="1:6" x14ac:dyDescent="0.2">
      <c r="B43" s="1" t="s">
        <v>25</v>
      </c>
      <c r="C43" s="196">
        <f>SUM(C20:C42)</f>
        <v>0</v>
      </c>
      <c r="D43" s="197">
        <f>SUM(D20:D42)</f>
        <v>208164354.15052995</v>
      </c>
      <c r="E43" s="190">
        <f>SUM(E22:E42)</f>
        <v>208164354.15052995</v>
      </c>
      <c r="F43" s="191">
        <f t="shared" si="3"/>
        <v>69.679559543658769</v>
      </c>
    </row>
    <row r="44" spans="1:6" x14ac:dyDescent="0.2">
      <c r="B44" s="1"/>
      <c r="C44" s="198"/>
      <c r="D44" s="199"/>
      <c r="E44" s="199"/>
      <c r="F44" s="200"/>
    </row>
    <row r="45" spans="1:6" ht="18" x14ac:dyDescent="0.25">
      <c r="B45" s="7" t="s">
        <v>87</v>
      </c>
      <c r="C45" s="163"/>
      <c r="D45" s="165"/>
      <c r="E45" s="165"/>
      <c r="F45" s="188"/>
    </row>
    <row r="46" spans="1:6" x14ac:dyDescent="0.2">
      <c r="B46" s="1" t="s">
        <v>54</v>
      </c>
      <c r="C46" s="163" t="s">
        <v>10</v>
      </c>
      <c r="D46" s="165">
        <v>187354.33128672096</v>
      </c>
      <c r="E46" s="190">
        <f>SUM(C46:D46)</f>
        <v>187354.33128672096</v>
      </c>
      <c r="F46" s="191">
        <f>E46/$E$103*100</f>
        <v>6.2713750084297068E-2</v>
      </c>
    </row>
    <row r="47" spans="1:6" x14ac:dyDescent="0.2">
      <c r="B47" s="1" t="s">
        <v>88</v>
      </c>
      <c r="C47" s="163" t="s">
        <v>10</v>
      </c>
      <c r="D47" s="165">
        <v>792494.31900704664</v>
      </c>
      <c r="E47" s="190">
        <f>SUM(C47:D47)</f>
        <v>792494.31900704664</v>
      </c>
      <c r="F47" s="191">
        <f>E47/$E$103*100</f>
        <v>0.26527430844058475</v>
      </c>
    </row>
    <row r="48" spans="1:6" x14ac:dyDescent="0.2">
      <c r="B48" s="189" t="s">
        <v>89</v>
      </c>
      <c r="C48" s="163" t="s">
        <v>10</v>
      </c>
      <c r="D48" s="165">
        <v>125358.33128672095</v>
      </c>
      <c r="E48" s="190">
        <f>SUM(C48:D48)</f>
        <v>125358.33128672095</v>
      </c>
      <c r="F48" s="191">
        <f>E48/$E$103*100</f>
        <v>4.1961618956482302E-2</v>
      </c>
    </row>
    <row r="49" spans="2:6" x14ac:dyDescent="0.2">
      <c r="B49" s="1" t="s">
        <v>14</v>
      </c>
      <c r="C49" s="164" t="s">
        <v>10</v>
      </c>
      <c r="D49" s="166">
        <v>261036.66257344189</v>
      </c>
      <c r="E49" s="194">
        <f>SUM(C49:D49)</f>
        <v>261036.66257344189</v>
      </c>
      <c r="F49" s="191">
        <f>E49/$E$103*100</f>
        <v>8.7377686478017969E-2</v>
      </c>
    </row>
    <row r="50" spans="2:6" ht="15.75" thickBot="1" x14ac:dyDescent="0.25">
      <c r="B50" s="1" t="s">
        <v>25</v>
      </c>
      <c r="C50" s="201">
        <f>SUM(C46:C49)</f>
        <v>0</v>
      </c>
      <c r="D50" s="202">
        <f>SUM(D46:D49)</f>
        <v>1366243.6441539305</v>
      </c>
      <c r="E50" s="202">
        <f>SUM(E46:E49)</f>
        <v>1366243.6441539305</v>
      </c>
      <c r="F50" s="203">
        <f>E50/$E$103*100</f>
        <v>0.45732736395938217</v>
      </c>
    </row>
    <row r="51" spans="2:6" x14ac:dyDescent="0.2">
      <c r="B51" s="1"/>
      <c r="C51" s="204"/>
      <c r="D51" s="204"/>
      <c r="E51" s="204"/>
      <c r="F51" s="205"/>
    </row>
    <row r="52" spans="2:6" ht="15.75" x14ac:dyDescent="0.25">
      <c r="B52" s="181"/>
      <c r="C52" s="190"/>
      <c r="D52" s="190"/>
      <c r="E52" s="190"/>
      <c r="F52" s="206"/>
    </row>
    <row r="53" spans="2:6" x14ac:dyDescent="0.2">
      <c r="B53" s="1"/>
      <c r="C53" s="165"/>
      <c r="D53" s="165"/>
      <c r="E53" s="165"/>
      <c r="F53" s="187"/>
    </row>
    <row r="54" spans="2:6" ht="15.75" thickBot="1" x14ac:dyDescent="0.25">
      <c r="B54" s="1"/>
      <c r="C54" s="165"/>
      <c r="D54" s="165"/>
      <c r="E54" s="165"/>
      <c r="F54" s="187"/>
    </row>
    <row r="55" spans="2:6" x14ac:dyDescent="0.2">
      <c r="B55" s="1"/>
      <c r="C55" s="381" t="str">
        <f>C4</f>
        <v>Approved</v>
      </c>
      <c r="D55" s="382"/>
      <c r="E55" s="382"/>
      <c r="F55" s="383"/>
    </row>
    <row r="56" spans="2:6" x14ac:dyDescent="0.2">
      <c r="C56" s="376">
        <f>+C5</f>
        <v>41467</v>
      </c>
      <c r="D56" s="377"/>
      <c r="E56" s="377"/>
      <c r="F56" s="378"/>
    </row>
    <row r="57" spans="2:6" x14ac:dyDescent="0.2">
      <c r="C57" s="207"/>
      <c r="D57" s="208"/>
      <c r="E57" s="208"/>
      <c r="F57" s="209"/>
    </row>
    <row r="58" spans="2:6" x14ac:dyDescent="0.2">
      <c r="C58" s="183" t="s">
        <v>76</v>
      </c>
      <c r="D58" s="184" t="s">
        <v>55</v>
      </c>
      <c r="E58" s="184"/>
      <c r="F58" s="185"/>
    </row>
    <row r="59" spans="2:6" x14ac:dyDescent="0.2">
      <c r="C59" s="183" t="s">
        <v>77</v>
      </c>
      <c r="D59" s="184" t="s">
        <v>78</v>
      </c>
      <c r="E59" s="184" t="s">
        <v>79</v>
      </c>
      <c r="F59" s="185" t="s">
        <v>1</v>
      </c>
    </row>
    <row r="60" spans="2:6" ht="18" x14ac:dyDescent="0.25">
      <c r="B60" s="7" t="s">
        <v>90</v>
      </c>
      <c r="C60" s="210"/>
      <c r="F60" s="211"/>
    </row>
    <row r="61" spans="2:6" x14ac:dyDescent="0.2">
      <c r="B61" s="1" t="s">
        <v>27</v>
      </c>
      <c r="C61" s="163" t="s">
        <v>10</v>
      </c>
      <c r="D61" s="165">
        <v>4238991.5744053805</v>
      </c>
      <c r="E61" s="190">
        <f t="shared" ref="E61:E67" si="4">SUM(C61:D61)</f>
        <v>4238991.5744053805</v>
      </c>
      <c r="F61" s="191">
        <f>E61/$E$103*100</f>
        <v>1.4189320117711208</v>
      </c>
    </row>
    <row r="62" spans="2:6" x14ac:dyDescent="0.2">
      <c r="B62" s="1" t="s">
        <v>28</v>
      </c>
      <c r="C62" s="163" t="s">
        <v>10</v>
      </c>
      <c r="D62" s="165">
        <v>1958710.3005875351</v>
      </c>
      <c r="E62" s="190">
        <f t="shared" si="4"/>
        <v>1958710.3005875351</v>
      </c>
      <c r="F62" s="191">
        <f t="shared" ref="F62:F67" si="5">E62/$E$103*100</f>
        <v>0.65564573519572222</v>
      </c>
    </row>
    <row r="63" spans="2:6" x14ac:dyDescent="0.2">
      <c r="B63" s="1" t="s">
        <v>29</v>
      </c>
      <c r="C63" s="163" t="s">
        <v>10</v>
      </c>
      <c r="D63" s="165">
        <v>14952300.55547579</v>
      </c>
      <c r="E63" s="190">
        <f t="shared" si="4"/>
        <v>14952300.55547579</v>
      </c>
      <c r="F63" s="191">
        <f t="shared" si="5"/>
        <v>5.0050342246230572</v>
      </c>
    </row>
    <row r="64" spans="2:6" x14ac:dyDescent="0.2">
      <c r="B64" s="1" t="s">
        <v>49</v>
      </c>
      <c r="C64" s="163" t="s">
        <v>10</v>
      </c>
      <c r="D64" s="165">
        <v>6140401.2576086754</v>
      </c>
      <c r="E64" s="190">
        <f t="shared" si="4"/>
        <v>6140401.2576086754</v>
      </c>
      <c r="F64" s="191">
        <f t="shared" si="5"/>
        <v>2.0553973171703639</v>
      </c>
    </row>
    <row r="65" spans="2:6" x14ac:dyDescent="0.2">
      <c r="B65" s="1" t="s">
        <v>30</v>
      </c>
      <c r="C65" s="163" t="s">
        <v>10</v>
      </c>
      <c r="D65" s="165">
        <v>6328114.1531180926</v>
      </c>
      <c r="E65" s="190">
        <f t="shared" si="4"/>
        <v>6328114.1531180926</v>
      </c>
      <c r="F65" s="191">
        <f t="shared" si="5"/>
        <v>2.1182310906717712</v>
      </c>
    </row>
    <row r="66" spans="2:6" x14ac:dyDescent="0.2">
      <c r="B66" s="1" t="s">
        <v>70</v>
      </c>
      <c r="C66" s="163" t="s">
        <v>10</v>
      </c>
      <c r="D66" s="165">
        <v>510788.32514688378</v>
      </c>
      <c r="E66" s="190">
        <f t="shared" si="4"/>
        <v>510788.32514688378</v>
      </c>
      <c r="F66" s="191">
        <f t="shared" si="5"/>
        <v>0.17097790667147905</v>
      </c>
    </row>
    <row r="67" spans="2:6" x14ac:dyDescent="0.2">
      <c r="B67" s="1" t="s">
        <v>14</v>
      </c>
      <c r="C67" s="164" t="s">
        <v>10</v>
      </c>
      <c r="D67" s="166">
        <v>193306</v>
      </c>
      <c r="E67" s="194">
        <f t="shared" si="4"/>
        <v>193306</v>
      </c>
      <c r="F67" s="195">
        <f t="shared" si="5"/>
        <v>6.4705972317461766E-2</v>
      </c>
    </row>
    <row r="68" spans="2:6" x14ac:dyDescent="0.2">
      <c r="B68" s="1" t="s">
        <v>25</v>
      </c>
      <c r="C68" s="212">
        <f>SUM(C61:C67)</f>
        <v>0</v>
      </c>
      <c r="D68" s="197">
        <f>SUM(D61:D67)</f>
        <v>34322612.166342355</v>
      </c>
      <c r="E68" s="190">
        <f>SUM(E61:E67)</f>
        <v>34322612.166342355</v>
      </c>
      <c r="F68" s="191">
        <f>E68/$E$103*100</f>
        <v>11.488924258420976</v>
      </c>
    </row>
    <row r="69" spans="2:6" x14ac:dyDescent="0.2">
      <c r="B69" s="1"/>
      <c r="C69" s="163"/>
      <c r="D69" s="165"/>
      <c r="E69" s="165"/>
      <c r="F69" s="188"/>
    </row>
    <row r="70" spans="2:6" ht="18" x14ac:dyDescent="0.25">
      <c r="B70" s="7" t="s">
        <v>31</v>
      </c>
      <c r="C70" s="163"/>
      <c r="D70" s="165"/>
      <c r="E70" s="165"/>
      <c r="F70" s="188"/>
    </row>
    <row r="71" spans="2:6" x14ac:dyDescent="0.2">
      <c r="B71" s="1" t="s">
        <v>50</v>
      </c>
      <c r="C71" s="163" t="s">
        <v>10</v>
      </c>
      <c r="D71" s="165">
        <v>1649101.3128672095</v>
      </c>
      <c r="E71" s="190">
        <f>SUM(C71:D71)</f>
        <v>1649101.3128672095</v>
      </c>
      <c r="F71" s="191">
        <f t="shared" ref="F71:F76" si="6">E71/$E$103*100</f>
        <v>0.55200926975404563</v>
      </c>
    </row>
    <row r="72" spans="2:6" x14ac:dyDescent="0.2">
      <c r="B72" s="1" t="s">
        <v>52</v>
      </c>
      <c r="C72" s="163" t="s">
        <v>10</v>
      </c>
      <c r="D72" s="165">
        <v>3541556.6257344191</v>
      </c>
      <c r="E72" s="190">
        <f>SUM(C72:D72)</f>
        <v>3541556.6257344191</v>
      </c>
      <c r="F72" s="191">
        <f t="shared" si="6"/>
        <v>1.1854772484325093</v>
      </c>
    </row>
    <row r="73" spans="2:6" x14ac:dyDescent="0.2">
      <c r="B73" s="1" t="s">
        <v>33</v>
      </c>
      <c r="C73" s="163" t="s">
        <v>10</v>
      </c>
      <c r="D73" s="165">
        <v>926480</v>
      </c>
      <c r="E73" s="190">
        <f>SUM(C73:D73)</f>
        <v>926480</v>
      </c>
      <c r="F73" s="191">
        <f t="shared" si="6"/>
        <v>0.31012378939444191</v>
      </c>
    </row>
    <row r="74" spans="2:6" x14ac:dyDescent="0.2">
      <c r="B74" s="1" t="s">
        <v>34</v>
      </c>
      <c r="C74" s="163" t="s">
        <v>10</v>
      </c>
      <c r="D74" s="165">
        <v>45925.331286720946</v>
      </c>
      <c r="E74" s="190">
        <f>SUM(C74:D74)</f>
        <v>45925.331286720946</v>
      </c>
      <c r="F74" s="191">
        <f t="shared" si="6"/>
        <v>1.5372741740602084E-2</v>
      </c>
    </row>
    <row r="75" spans="2:6" x14ac:dyDescent="0.2">
      <c r="B75" s="1" t="s">
        <v>14</v>
      </c>
      <c r="C75" s="164" t="s">
        <v>10</v>
      </c>
      <c r="D75" s="166">
        <v>25323</v>
      </c>
      <c r="E75" s="194">
        <f>SUM(C75:D75)</f>
        <v>25323</v>
      </c>
      <c r="F75" s="195">
        <f t="shared" si="6"/>
        <v>8.476453586516117E-3</v>
      </c>
    </row>
    <row r="76" spans="2:6" x14ac:dyDescent="0.2">
      <c r="B76" s="1" t="s">
        <v>25</v>
      </c>
      <c r="C76" s="212">
        <f>SUM(C71:C75)</f>
        <v>0</v>
      </c>
      <c r="D76" s="190">
        <f>SUM(D71:D75)</f>
        <v>6188386.2698883498</v>
      </c>
      <c r="E76" s="190">
        <f>SUM(E71:E75)</f>
        <v>6188386.2698883498</v>
      </c>
      <c r="F76" s="191">
        <f t="shared" si="6"/>
        <v>2.0714595029081151</v>
      </c>
    </row>
    <row r="77" spans="2:6" x14ac:dyDescent="0.2">
      <c r="B77" s="1"/>
      <c r="C77" s="163"/>
      <c r="D77" s="165"/>
      <c r="E77" s="165"/>
      <c r="F77" s="188"/>
    </row>
    <row r="78" spans="2:6" ht="18" x14ac:dyDescent="0.25">
      <c r="B78" s="7" t="s">
        <v>47</v>
      </c>
      <c r="C78" s="163"/>
      <c r="D78" s="165"/>
      <c r="E78" s="165"/>
      <c r="F78" s="188"/>
    </row>
    <row r="79" spans="2:6" x14ac:dyDescent="0.2">
      <c r="B79" s="189" t="s">
        <v>92</v>
      </c>
      <c r="C79" s="163" t="s">
        <v>10</v>
      </c>
      <c r="D79" s="165">
        <v>4624535.9324617917</v>
      </c>
      <c r="E79" s="190">
        <f>SUM(C79:D79)</f>
        <v>4624535.9324617917</v>
      </c>
      <c r="F79" s="191">
        <f>E79/$E$103*100</f>
        <v>1.5479865810010034</v>
      </c>
    </row>
    <row r="80" spans="2:6" x14ac:dyDescent="0.2">
      <c r="B80" s="213" t="s">
        <v>93</v>
      </c>
      <c r="C80" s="163"/>
      <c r="D80" s="165">
        <v>817273.98772032571</v>
      </c>
      <c r="E80" s="190">
        <f>SUM(C80:D80)</f>
        <v>817273.98772032571</v>
      </c>
      <c r="F80" s="191">
        <f>E80/$E$103*100</f>
        <v>0.27356889090464337</v>
      </c>
    </row>
    <row r="81" spans="2:6" x14ac:dyDescent="0.2">
      <c r="B81" s="1" t="s">
        <v>94</v>
      </c>
      <c r="C81" s="164" t="s">
        <v>10</v>
      </c>
      <c r="D81" s="166">
        <v>598953.32514688384</v>
      </c>
      <c r="E81" s="194">
        <f>SUM(C81:D81)</f>
        <v>598953.32514688384</v>
      </c>
      <c r="F81" s="195">
        <f>E81/$E$103*100</f>
        <v>0.20048967583213115</v>
      </c>
    </row>
    <row r="82" spans="2:6" x14ac:dyDescent="0.2">
      <c r="B82" s="1" t="s">
        <v>25</v>
      </c>
      <c r="C82" s="212">
        <f>SUM(C79:C81)</f>
        <v>0</v>
      </c>
      <c r="D82" s="190">
        <f>SUM(D79:D81)</f>
        <v>6040763.245329001</v>
      </c>
      <c r="E82" s="190">
        <f>SUM(E79:E81)</f>
        <v>6040763.245329001</v>
      </c>
      <c r="F82" s="191">
        <f>E82/$E$103*100</f>
        <v>2.0220451477377779</v>
      </c>
    </row>
    <row r="83" spans="2:6" x14ac:dyDescent="0.2">
      <c r="B83" s="1"/>
      <c r="C83" s="163"/>
      <c r="D83" s="165"/>
      <c r="E83" s="165"/>
      <c r="F83" s="188"/>
    </row>
    <row r="84" spans="2:6" ht="18" x14ac:dyDescent="0.25">
      <c r="B84" s="7" t="s">
        <v>35</v>
      </c>
      <c r="C84" s="163"/>
      <c r="D84" s="165"/>
      <c r="E84" s="165"/>
      <c r="F84" s="188"/>
    </row>
    <row r="85" spans="2:6" x14ac:dyDescent="0.2">
      <c r="B85" s="1" t="s">
        <v>35</v>
      </c>
      <c r="C85" s="163" t="s">
        <v>10</v>
      </c>
      <c r="D85" s="165">
        <v>4300517.2944476977</v>
      </c>
      <c r="E85" s="190">
        <f>SUM(C85:D85)</f>
        <v>4300517.2944476977</v>
      </c>
      <c r="F85" s="191">
        <f>E85/$E$103*100</f>
        <v>1.4395267244953511</v>
      </c>
    </row>
    <row r="86" spans="2:6" x14ac:dyDescent="0.2">
      <c r="B86" s="1" t="s">
        <v>53</v>
      </c>
      <c r="C86" s="164" t="s">
        <v>10</v>
      </c>
      <c r="D86" s="166">
        <v>978243.15508284059</v>
      </c>
      <c r="E86" s="194">
        <f>SUM(C86:D86)</f>
        <v>978243.15508284059</v>
      </c>
      <c r="F86" s="195">
        <f>E86/$E$103*100</f>
        <v>0.32745064567337151</v>
      </c>
    </row>
    <row r="87" spans="2:6" x14ac:dyDescent="0.2">
      <c r="B87" s="1" t="s">
        <v>25</v>
      </c>
      <c r="C87" s="212">
        <f>SUM(C85:C86)</f>
        <v>0</v>
      </c>
      <c r="D87" s="190">
        <f>SUM(D85:D86)</f>
        <v>5278760.4495305382</v>
      </c>
      <c r="E87" s="190">
        <f>SUM(E85:E86)</f>
        <v>5278760.4495305382</v>
      </c>
      <c r="F87" s="191">
        <f>E87/$E$103*100</f>
        <v>1.7669773701687226</v>
      </c>
    </row>
    <row r="88" spans="2:6" x14ac:dyDescent="0.2">
      <c r="B88" s="1"/>
      <c r="C88" s="163"/>
      <c r="D88" s="165"/>
      <c r="E88" s="165"/>
      <c r="F88" s="188"/>
    </row>
    <row r="89" spans="2:6" ht="18" x14ac:dyDescent="0.25">
      <c r="B89" s="7" t="s">
        <v>36</v>
      </c>
      <c r="C89" s="163"/>
      <c r="D89" s="165"/>
      <c r="E89" s="165"/>
      <c r="F89" s="188"/>
    </row>
    <row r="90" spans="2:6" x14ac:dyDescent="0.2">
      <c r="B90" s="1" t="s">
        <v>95</v>
      </c>
      <c r="C90" s="214">
        <v>13034163</v>
      </c>
      <c r="D90" s="182">
        <v>541585</v>
      </c>
      <c r="E90" s="215">
        <f t="shared" ref="E90:E97" si="7">SUM(C90:D90)</f>
        <v>13575748</v>
      </c>
      <c r="F90" s="191">
        <f>E90/$E$103*100</f>
        <v>4.5442561238494257</v>
      </c>
    </row>
    <row r="91" spans="2:6" x14ac:dyDescent="0.2">
      <c r="B91" s="1" t="s">
        <v>38</v>
      </c>
      <c r="C91" s="163">
        <v>5449664</v>
      </c>
      <c r="D91" s="165"/>
      <c r="E91" s="190">
        <f t="shared" si="7"/>
        <v>5449664</v>
      </c>
      <c r="F91" s="191">
        <f t="shared" ref="F91:F97" si="8">E91/$E$103*100</f>
        <v>1.8241844946533889</v>
      </c>
    </row>
    <row r="92" spans="2:6" x14ac:dyDescent="0.2">
      <c r="B92" s="1" t="s">
        <v>96</v>
      </c>
      <c r="C92" s="163" t="s">
        <v>10</v>
      </c>
      <c r="D92" s="165">
        <v>2645000</v>
      </c>
      <c r="E92" s="190">
        <f t="shared" si="7"/>
        <v>2645000</v>
      </c>
      <c r="F92" s="191">
        <f t="shared" si="8"/>
        <v>0.88536981148896776</v>
      </c>
    </row>
    <row r="93" spans="2:6" x14ac:dyDescent="0.2">
      <c r="B93" s="1" t="s">
        <v>39</v>
      </c>
      <c r="C93" s="163" t="s">
        <v>10</v>
      </c>
      <c r="D93" s="165">
        <v>565300</v>
      </c>
      <c r="E93" s="190">
        <f t="shared" si="7"/>
        <v>565300</v>
      </c>
      <c r="F93" s="191">
        <f t="shared" si="8"/>
        <v>0.1892247842853359</v>
      </c>
    </row>
    <row r="94" spans="2:6" x14ac:dyDescent="0.2">
      <c r="B94" s="1" t="s">
        <v>40</v>
      </c>
      <c r="C94" s="163" t="s">
        <v>10</v>
      </c>
      <c r="D94" s="165">
        <v>961632</v>
      </c>
      <c r="E94" s="190">
        <f t="shared" si="7"/>
        <v>961632</v>
      </c>
      <c r="F94" s="191">
        <f t="shared" si="8"/>
        <v>0.32189033745246087</v>
      </c>
    </row>
    <row r="95" spans="2:6" x14ac:dyDescent="0.2">
      <c r="B95" s="1" t="s">
        <v>97</v>
      </c>
      <c r="C95" s="163" t="s">
        <v>10</v>
      </c>
      <c r="D95" s="165">
        <v>719668.07422590826</v>
      </c>
      <c r="E95" s="190">
        <f t="shared" si="7"/>
        <v>719668.07422590826</v>
      </c>
      <c r="F95" s="191">
        <f t="shared" si="8"/>
        <v>0.24089693278337271</v>
      </c>
    </row>
    <row r="96" spans="2:6" x14ac:dyDescent="0.2">
      <c r="B96" s="1" t="s">
        <v>41</v>
      </c>
      <c r="C96" s="163">
        <v>4054755</v>
      </c>
      <c r="D96" s="165" t="s">
        <v>10</v>
      </c>
      <c r="E96" s="190">
        <f t="shared" si="7"/>
        <v>4054755</v>
      </c>
      <c r="F96" s="191">
        <f t="shared" si="8"/>
        <v>1.357261879010945</v>
      </c>
    </row>
    <row r="97" spans="2:6" x14ac:dyDescent="0.2">
      <c r="B97" s="1" t="s">
        <v>42</v>
      </c>
      <c r="C97" s="164">
        <v>92041</v>
      </c>
      <c r="D97" s="166" t="s">
        <v>10</v>
      </c>
      <c r="E97" s="194">
        <f t="shared" si="7"/>
        <v>92041</v>
      </c>
      <c r="F97" s="216">
        <f t="shared" si="8"/>
        <v>3.0809195772875646E-2</v>
      </c>
    </row>
    <row r="98" spans="2:6" x14ac:dyDescent="0.2">
      <c r="B98" s="1" t="s">
        <v>43</v>
      </c>
      <c r="C98" s="212">
        <f>SUM(C90:C97)</f>
        <v>22630623</v>
      </c>
      <c r="D98" s="190">
        <f>SUM(D90:D97)</f>
        <v>5433185.0742259081</v>
      </c>
      <c r="E98" s="197">
        <f>SUM(E90:E97)</f>
        <v>28063808.07422591</v>
      </c>
      <c r="F98" s="191">
        <f>E98/$E$103*100</f>
        <v>9.3938935592967727</v>
      </c>
    </row>
    <row r="99" spans="2:6" x14ac:dyDescent="0.2">
      <c r="B99" s="1"/>
      <c r="C99" s="163"/>
      <c r="D99" s="165"/>
      <c r="E99" s="165"/>
      <c r="F99" s="191"/>
    </row>
    <row r="100" spans="2:6" x14ac:dyDescent="0.2">
      <c r="B100" s="1" t="s">
        <v>44</v>
      </c>
      <c r="C100" s="164">
        <v>0</v>
      </c>
      <c r="D100" s="166">
        <v>9320293</v>
      </c>
      <c r="E100" s="194">
        <f>SUM(C100:D100)</f>
        <v>9320293</v>
      </c>
      <c r="F100" s="195">
        <f>E100/$E$103*100</f>
        <v>3.1198132538495069</v>
      </c>
    </row>
    <row r="101" spans="2:6" x14ac:dyDescent="0.2">
      <c r="B101" s="1" t="s">
        <v>45</v>
      </c>
      <c r="C101" s="196">
        <f>C98+C100</f>
        <v>22630623</v>
      </c>
      <c r="D101" s="197">
        <f>D98+D100</f>
        <v>14753478.074225908</v>
      </c>
      <c r="E101" s="190">
        <f>E98+E100</f>
        <v>37384101.07422591</v>
      </c>
      <c r="F101" s="191">
        <f>E101/$E$103*100</f>
        <v>12.51370681314628</v>
      </c>
    </row>
    <row r="102" spans="2:6" x14ac:dyDescent="0.2">
      <c r="B102" s="1"/>
      <c r="C102" s="163"/>
      <c r="D102" s="165"/>
      <c r="E102" s="165"/>
      <c r="F102" s="191"/>
    </row>
    <row r="103" spans="2:6" ht="15.75" thickBot="1" x14ac:dyDescent="0.25">
      <c r="B103" s="1" t="s">
        <v>46</v>
      </c>
      <c r="C103" s="217">
        <f>C43+C68+C76+C50+C82+C87+C101</f>
        <v>22630623</v>
      </c>
      <c r="D103" s="218">
        <f>D43+D68+D76+D50+D82+D87+D101</f>
        <v>276114598</v>
      </c>
      <c r="E103" s="218">
        <f>E43+E68+E76+E50+E82+E87+E101</f>
        <v>298745221</v>
      </c>
      <c r="F103" s="219">
        <f>E103/$E$103*100</f>
        <v>100</v>
      </c>
    </row>
  </sheetData>
  <mergeCells count="6">
    <mergeCell ref="C56:F56"/>
    <mergeCell ref="B1:F1"/>
    <mergeCell ref="B2:F2"/>
    <mergeCell ref="C4:F4"/>
    <mergeCell ref="C5:F5"/>
    <mergeCell ref="C55:F55"/>
  </mergeCells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08"/>
  <sheetViews>
    <sheetView topLeftCell="A15" zoomScaleNormal="100" workbookViewId="0">
      <selection activeCell="J10" sqref="J10"/>
    </sheetView>
  </sheetViews>
  <sheetFormatPr defaultRowHeight="12.75" x14ac:dyDescent="0.2"/>
  <cols>
    <col min="1" max="1" width="46.21875" style="28" bestFit="1" customWidth="1"/>
    <col min="2" max="2" width="4.21875" style="28" customWidth="1"/>
    <col min="3" max="3" width="1.21875" style="28" customWidth="1"/>
    <col min="4" max="6" width="9" style="28" customWidth="1"/>
    <col min="7" max="8" width="7.109375" style="28" customWidth="1"/>
    <col min="9" max="16384" width="8.88671875" style="28"/>
  </cols>
  <sheetData>
    <row r="1" spans="1:8" ht="18.75" x14ac:dyDescent="0.3">
      <c r="A1" s="365" t="s">
        <v>74</v>
      </c>
      <c r="B1" s="365"/>
      <c r="C1" s="365"/>
      <c r="D1" s="365"/>
      <c r="E1" s="365"/>
      <c r="F1" s="365"/>
      <c r="G1" s="365"/>
      <c r="H1" s="53"/>
    </row>
    <row r="2" spans="1:8" ht="15" x14ac:dyDescent="0.2">
      <c r="A2" s="366"/>
      <c r="B2" s="366"/>
      <c r="C2" s="366"/>
      <c r="D2" s="366"/>
      <c r="E2" s="366"/>
      <c r="F2" s="366"/>
      <c r="G2" s="366"/>
      <c r="H2" s="54"/>
    </row>
    <row r="3" spans="1:8" ht="15.75" thickBot="1" x14ac:dyDescent="0.25">
      <c r="A3" s="68"/>
      <c r="B3" s="68"/>
      <c r="C3" s="54"/>
      <c r="D3" s="54"/>
      <c r="E3" s="54"/>
      <c r="F3" s="54"/>
      <c r="G3" s="54"/>
      <c r="H3" s="54"/>
    </row>
    <row r="4" spans="1:8" x14ac:dyDescent="0.2">
      <c r="D4" s="361" t="s">
        <v>75</v>
      </c>
      <c r="E4" s="368"/>
      <c r="F4" s="368"/>
      <c r="G4" s="362"/>
      <c r="H4" s="80"/>
    </row>
    <row r="5" spans="1:8" x14ac:dyDescent="0.2">
      <c r="D5" s="359">
        <v>41831</v>
      </c>
      <c r="E5" s="367"/>
      <c r="F5" s="367"/>
      <c r="G5" s="360"/>
      <c r="H5" s="81"/>
    </row>
    <row r="6" spans="1:8" x14ac:dyDescent="0.2">
      <c r="D6" s="29"/>
      <c r="F6" s="80"/>
      <c r="G6" s="30"/>
      <c r="H6" s="80"/>
    </row>
    <row r="7" spans="1:8" x14ac:dyDescent="0.2">
      <c r="D7" s="29" t="s">
        <v>76</v>
      </c>
      <c r="E7" s="80" t="s">
        <v>55</v>
      </c>
      <c r="F7" s="80"/>
      <c r="G7" s="30"/>
      <c r="H7" s="80"/>
    </row>
    <row r="8" spans="1:8" x14ac:dyDescent="0.2">
      <c r="D8" s="29" t="s">
        <v>77</v>
      </c>
      <c r="E8" s="80" t="s">
        <v>78</v>
      </c>
      <c r="F8" s="80" t="s">
        <v>79</v>
      </c>
      <c r="G8" s="30" t="s">
        <v>1</v>
      </c>
      <c r="H8" s="80"/>
    </row>
    <row r="9" spans="1:8" ht="18" customHeight="1" x14ac:dyDescent="0.3">
      <c r="A9" s="31" t="s">
        <v>2</v>
      </c>
      <c r="B9" s="31"/>
      <c r="C9" s="32"/>
      <c r="D9" s="34"/>
      <c r="E9" s="58"/>
      <c r="F9" s="58"/>
      <c r="G9" s="35"/>
      <c r="H9" s="58"/>
    </row>
    <row r="10" spans="1:8" ht="13.9" customHeight="1" x14ac:dyDescent="0.2">
      <c r="A10" s="77" t="s">
        <v>80</v>
      </c>
      <c r="B10" s="77"/>
      <c r="C10" s="32"/>
      <c r="D10" s="14"/>
      <c r="E10" s="15">
        <v>280705581</v>
      </c>
      <c r="F10" s="16">
        <f t="shared" ref="F10:F15" si="0">+D10+E10</f>
        <v>280705581</v>
      </c>
      <c r="G10" s="17">
        <f t="shared" ref="G10:G15" si="1">F10/$F$17*100</f>
        <v>90.763551154767327</v>
      </c>
      <c r="H10" s="71"/>
    </row>
    <row r="11" spans="1:8" ht="13.9" customHeight="1" x14ac:dyDescent="0.2">
      <c r="A11" s="77" t="s">
        <v>81</v>
      </c>
      <c r="B11" s="77"/>
      <c r="C11" s="32"/>
      <c r="D11" s="87">
        <v>63136000</v>
      </c>
      <c r="E11" s="18"/>
      <c r="F11" s="16">
        <f t="shared" si="0"/>
        <v>63136000</v>
      </c>
      <c r="G11" s="17">
        <f t="shared" si="1"/>
        <v>20.414441156791217</v>
      </c>
      <c r="H11" s="71"/>
    </row>
    <row r="12" spans="1:8" ht="13.9" customHeight="1" x14ac:dyDescent="0.2">
      <c r="A12" s="36" t="s">
        <v>82</v>
      </c>
      <c r="B12" s="36"/>
      <c r="C12" s="32"/>
      <c r="D12" s="87">
        <v>-38121517</v>
      </c>
      <c r="E12" s="18"/>
      <c r="F12" s="16">
        <f t="shared" si="0"/>
        <v>-38121517</v>
      </c>
      <c r="G12" s="17">
        <f t="shared" si="1"/>
        <v>-12.326239635138684</v>
      </c>
      <c r="H12" s="71"/>
    </row>
    <row r="13" spans="1:8" ht="13.9" customHeight="1" x14ac:dyDescent="0.2">
      <c r="A13" s="36" t="s">
        <v>3</v>
      </c>
      <c r="B13" s="36"/>
      <c r="C13" s="32"/>
      <c r="D13" s="14"/>
      <c r="E13" s="19">
        <v>800000</v>
      </c>
      <c r="F13" s="16">
        <f t="shared" si="0"/>
        <v>800000</v>
      </c>
      <c r="G13" s="17">
        <f t="shared" si="1"/>
        <v>0.25867259448544366</v>
      </c>
      <c r="H13" s="71"/>
    </row>
    <row r="14" spans="1:8" ht="13.9" customHeight="1" x14ac:dyDescent="0.2">
      <c r="A14" s="36" t="s">
        <v>4</v>
      </c>
      <c r="B14" s="36"/>
      <c r="C14" s="40" t="s">
        <v>10</v>
      </c>
      <c r="D14" s="14"/>
      <c r="E14" s="19">
        <v>591000</v>
      </c>
      <c r="F14" s="16">
        <f t="shared" si="0"/>
        <v>591000</v>
      </c>
      <c r="G14" s="17">
        <f t="shared" si="1"/>
        <v>0.19109437917612151</v>
      </c>
      <c r="H14" s="71"/>
    </row>
    <row r="15" spans="1:8" ht="13.9" customHeight="1" x14ac:dyDescent="0.2">
      <c r="A15" s="36" t="s">
        <v>5</v>
      </c>
      <c r="B15" s="36"/>
      <c r="C15" s="40" t="s">
        <v>10</v>
      </c>
      <c r="D15" s="20"/>
      <c r="E15" s="21">
        <v>2160199</v>
      </c>
      <c r="F15" s="16">
        <f t="shared" si="0"/>
        <v>2160199</v>
      </c>
      <c r="G15" s="17">
        <f t="shared" si="1"/>
        <v>0.69848034991857622</v>
      </c>
      <c r="H15" s="71"/>
    </row>
    <row r="16" spans="1:8" x14ac:dyDescent="0.2">
      <c r="A16" s="36"/>
      <c r="B16" s="36"/>
      <c r="C16" s="36"/>
      <c r="D16" s="22"/>
      <c r="E16" s="23"/>
      <c r="F16" s="24"/>
      <c r="G16" s="25"/>
      <c r="H16" s="88"/>
    </row>
    <row r="17" spans="1:8" x14ac:dyDescent="0.2">
      <c r="A17" s="36" t="s">
        <v>6</v>
      </c>
      <c r="B17" s="36"/>
      <c r="C17" s="32"/>
      <c r="D17" s="87">
        <f>SUM(D11:D16)</f>
        <v>25014483</v>
      </c>
      <c r="E17" s="86">
        <f>SUM(E10:E16)</f>
        <v>284256780</v>
      </c>
      <c r="F17" s="19">
        <f>SUM(F10:F15)</f>
        <v>309271263</v>
      </c>
      <c r="G17" s="17">
        <f>F17/$F$17*100</f>
        <v>100</v>
      </c>
      <c r="H17" s="71"/>
    </row>
    <row r="18" spans="1:8" x14ac:dyDescent="0.2">
      <c r="D18" s="34"/>
      <c r="E18" s="58"/>
      <c r="F18" s="58"/>
      <c r="G18" s="35"/>
      <c r="H18" s="58"/>
    </row>
    <row r="19" spans="1:8" ht="18.75" x14ac:dyDescent="0.3">
      <c r="A19" s="31" t="s">
        <v>7</v>
      </c>
      <c r="B19" s="31"/>
      <c r="C19" s="32"/>
      <c r="D19" s="34"/>
      <c r="E19" s="58"/>
      <c r="F19" s="58"/>
      <c r="G19" s="35"/>
      <c r="H19" s="58"/>
    </row>
    <row r="20" spans="1:8" ht="18" x14ac:dyDescent="0.25">
      <c r="A20" s="43" t="s">
        <v>8</v>
      </c>
      <c r="B20" s="43"/>
      <c r="C20" s="32"/>
      <c r="D20" s="34"/>
      <c r="E20" s="58"/>
      <c r="F20" s="58"/>
      <c r="G20" s="35"/>
      <c r="H20" s="58"/>
    </row>
    <row r="21" spans="1:8" ht="13.9" customHeight="1" x14ac:dyDescent="0.2">
      <c r="A21" s="36" t="s">
        <v>61</v>
      </c>
      <c r="B21" s="36"/>
      <c r="C21" s="32"/>
      <c r="D21" s="39"/>
      <c r="E21" s="59">
        <v>77371275.804567397</v>
      </c>
      <c r="F21" s="15">
        <f t="shared" ref="F21:F41" si="2">SUM(D21:E21)</f>
        <v>77371275.804567397</v>
      </c>
      <c r="G21" s="38">
        <f t="shared" ref="G21:G42" si="3">F21/$F$101*100</f>
        <v>25.01728581377035</v>
      </c>
      <c r="H21" s="71"/>
    </row>
    <row r="22" spans="1:8" ht="13.9" customHeight="1" x14ac:dyDescent="0.2">
      <c r="A22" s="36" t="s">
        <v>58</v>
      </c>
      <c r="B22" s="36"/>
      <c r="C22" s="32"/>
      <c r="D22" s="39"/>
      <c r="E22" s="59">
        <v>19243750.912495855</v>
      </c>
      <c r="F22" s="15">
        <f t="shared" si="2"/>
        <v>19243750.912495855</v>
      </c>
      <c r="G22" s="38">
        <f t="shared" si="3"/>
        <v>6.2222887202086588</v>
      </c>
      <c r="H22" s="71"/>
    </row>
    <row r="23" spans="1:8" ht="13.9" customHeight="1" x14ac:dyDescent="0.2">
      <c r="A23" s="36" t="s">
        <v>60</v>
      </c>
      <c r="B23" s="36"/>
      <c r="C23" s="40" t="s">
        <v>10</v>
      </c>
      <c r="D23" s="39"/>
      <c r="E23" s="59">
        <v>11368006.572249323</v>
      </c>
      <c r="F23" s="15">
        <f t="shared" si="2"/>
        <v>11368006.572249323</v>
      </c>
      <c r="G23" s="38">
        <f t="shared" si="3"/>
        <v>3.6757396927141346</v>
      </c>
      <c r="H23" s="71"/>
    </row>
    <row r="24" spans="1:8" ht="13.9" customHeight="1" x14ac:dyDescent="0.2">
      <c r="A24" s="36" t="s">
        <v>59</v>
      </c>
      <c r="B24" s="36"/>
      <c r="C24" s="32"/>
      <c r="D24" s="39"/>
      <c r="E24" s="59">
        <v>11853039.504987042</v>
      </c>
      <c r="F24" s="15">
        <f t="shared" si="2"/>
        <v>11853039.504987042</v>
      </c>
      <c r="G24" s="38">
        <f t="shared" si="3"/>
        <v>3.8325706016168213</v>
      </c>
      <c r="H24" s="71"/>
    </row>
    <row r="25" spans="1:8" ht="13.9" customHeight="1" x14ac:dyDescent="0.2">
      <c r="A25" s="36" t="s">
        <v>62</v>
      </c>
      <c r="B25" s="36"/>
      <c r="C25" s="32"/>
      <c r="D25" s="39"/>
      <c r="E25" s="59">
        <v>11360632.361799143</v>
      </c>
      <c r="F25" s="15">
        <f t="shared" si="2"/>
        <v>11360632.361799143</v>
      </c>
      <c r="G25" s="38">
        <f t="shared" si="3"/>
        <v>3.6733553100273473</v>
      </c>
      <c r="H25" s="71"/>
    </row>
    <row r="26" spans="1:8" ht="13.9" customHeight="1" x14ac:dyDescent="0.2">
      <c r="A26" s="36" t="s">
        <v>64</v>
      </c>
      <c r="B26" s="36"/>
      <c r="C26" s="32"/>
      <c r="D26" s="39"/>
      <c r="E26" s="59">
        <v>7827433.9252647758</v>
      </c>
      <c r="F26" s="15">
        <f t="shared" si="2"/>
        <v>7827433.9252647758</v>
      </c>
      <c r="G26" s="38">
        <f t="shared" si="3"/>
        <v>2.5309283020145248</v>
      </c>
      <c r="H26" s="71"/>
    </row>
    <row r="27" spans="1:8" ht="13.9" customHeight="1" x14ac:dyDescent="0.2">
      <c r="A27" s="36" t="s">
        <v>63</v>
      </c>
      <c r="B27" s="36"/>
      <c r="C27" s="32"/>
      <c r="D27" s="39"/>
      <c r="E27" s="59">
        <v>11900626.513851207</v>
      </c>
      <c r="F27" s="15">
        <f t="shared" si="2"/>
        <v>11900626.513851207</v>
      </c>
      <c r="G27" s="38">
        <f t="shared" si="3"/>
        <v>3.8479574204251903</v>
      </c>
      <c r="H27" s="71"/>
    </row>
    <row r="28" spans="1:8" ht="13.9" customHeight="1" x14ac:dyDescent="0.2">
      <c r="A28" s="36" t="s">
        <v>73</v>
      </c>
      <c r="B28" s="36"/>
      <c r="C28" s="32"/>
      <c r="D28" s="39"/>
      <c r="E28" s="59">
        <v>12586221.769371074</v>
      </c>
      <c r="F28" s="15">
        <f t="shared" si="2"/>
        <v>12586221.769371074</v>
      </c>
      <c r="G28" s="38">
        <f t="shared" si="3"/>
        <v>4.0696382998154839</v>
      </c>
      <c r="H28" s="71"/>
    </row>
    <row r="29" spans="1:8" ht="13.9" customHeight="1" x14ac:dyDescent="0.2">
      <c r="A29" s="77" t="s">
        <v>83</v>
      </c>
      <c r="B29" s="77"/>
      <c r="C29" s="32"/>
      <c r="D29" s="39"/>
      <c r="E29" s="59">
        <v>1619760</v>
      </c>
      <c r="F29" s="15">
        <f t="shared" si="2"/>
        <v>1619760</v>
      </c>
      <c r="G29" s="38">
        <f t="shared" si="3"/>
        <v>0.52373440205467781</v>
      </c>
      <c r="H29" s="71"/>
    </row>
    <row r="30" spans="1:8" ht="13.9" customHeight="1" x14ac:dyDescent="0.2">
      <c r="A30" s="36" t="s">
        <v>66</v>
      </c>
      <c r="B30" s="36"/>
      <c r="C30" s="32"/>
      <c r="D30" s="39"/>
      <c r="E30" s="59">
        <v>11304509</v>
      </c>
      <c r="F30" s="15">
        <f t="shared" si="2"/>
        <v>11304509</v>
      </c>
      <c r="G30" s="38">
        <f t="shared" si="3"/>
        <v>3.6552083405175608</v>
      </c>
      <c r="H30" s="71"/>
    </row>
    <row r="31" spans="1:8" ht="13.9" customHeight="1" x14ac:dyDescent="0.2">
      <c r="A31" s="36" t="s">
        <v>84</v>
      </c>
      <c r="B31" s="36"/>
      <c r="C31" s="32"/>
      <c r="D31" s="39"/>
      <c r="E31" s="59">
        <v>1684704</v>
      </c>
      <c r="F31" s="15">
        <f t="shared" si="2"/>
        <v>1684704</v>
      </c>
      <c r="G31" s="38">
        <f t="shared" si="3"/>
        <v>0.54473344327500617</v>
      </c>
      <c r="H31" s="71"/>
    </row>
    <row r="32" spans="1:8" ht="13.9" customHeight="1" x14ac:dyDescent="0.2">
      <c r="A32" s="36" t="s">
        <v>85</v>
      </c>
      <c r="B32" s="36"/>
      <c r="C32" s="32"/>
      <c r="D32" s="39"/>
      <c r="E32" s="59">
        <v>845008.52416599321</v>
      </c>
      <c r="F32" s="15">
        <f t="shared" si="2"/>
        <v>845008.52416599321</v>
      </c>
      <c r="G32" s="38">
        <f t="shared" si="3"/>
        <v>0.27322568413541648</v>
      </c>
      <c r="H32" s="71"/>
    </row>
    <row r="33" spans="1:8" ht="13.9" customHeight="1" x14ac:dyDescent="0.2">
      <c r="A33" s="36" t="s">
        <v>68</v>
      </c>
      <c r="B33" s="36"/>
      <c r="C33" s="32"/>
      <c r="D33" s="39"/>
      <c r="E33" s="59">
        <v>13830401</v>
      </c>
      <c r="F33" s="15">
        <f t="shared" si="2"/>
        <v>13830401</v>
      </c>
      <c r="G33" s="38">
        <f t="shared" si="3"/>
        <v>4.4719321368050933</v>
      </c>
      <c r="H33" s="71"/>
    </row>
    <row r="34" spans="1:8" ht="13.9" customHeight="1" x14ac:dyDescent="0.2">
      <c r="A34" s="36" t="s">
        <v>17</v>
      </c>
      <c r="B34" s="36"/>
      <c r="C34" s="32"/>
      <c r="D34" s="39"/>
      <c r="E34" s="59">
        <v>8614887</v>
      </c>
      <c r="F34" s="15">
        <f t="shared" si="2"/>
        <v>8614887</v>
      </c>
      <c r="G34" s="38">
        <f t="shared" si="3"/>
        <v>2.7855439643611501</v>
      </c>
      <c r="H34" s="71"/>
    </row>
    <row r="35" spans="1:8" ht="13.9" customHeight="1" x14ac:dyDescent="0.2">
      <c r="A35" s="36" t="s">
        <v>20</v>
      </c>
      <c r="B35" s="36"/>
      <c r="C35" s="32"/>
      <c r="D35" s="39"/>
      <c r="E35" s="59">
        <v>1008980</v>
      </c>
      <c r="F35" s="15">
        <f t="shared" si="2"/>
        <v>1008980</v>
      </c>
      <c r="G35" s="38">
        <f t="shared" si="3"/>
        <v>0.32624434297990368</v>
      </c>
      <c r="H35" s="71"/>
    </row>
    <row r="36" spans="1:8" ht="13.9" customHeight="1" x14ac:dyDescent="0.2">
      <c r="A36" s="36" t="s">
        <v>21</v>
      </c>
      <c r="B36" s="36"/>
      <c r="C36" s="36"/>
      <c r="D36" s="39"/>
      <c r="E36" s="59">
        <v>608216</v>
      </c>
      <c r="F36" s="15">
        <f t="shared" si="2"/>
        <v>608216</v>
      </c>
      <c r="G36" s="38">
        <f t="shared" si="3"/>
        <v>0.19666101340944825</v>
      </c>
      <c r="H36" s="71"/>
    </row>
    <row r="37" spans="1:8" ht="13.9" customHeight="1" x14ac:dyDescent="0.2">
      <c r="A37" s="36" t="s">
        <v>22</v>
      </c>
      <c r="B37" s="36"/>
      <c r="C37" s="32"/>
      <c r="D37" s="39"/>
      <c r="E37" s="59">
        <v>2958062</v>
      </c>
      <c r="F37" s="15">
        <f t="shared" si="2"/>
        <v>2958062</v>
      </c>
      <c r="G37" s="38">
        <f t="shared" si="3"/>
        <v>0.95646196523600058</v>
      </c>
      <c r="H37" s="71"/>
    </row>
    <row r="38" spans="1:8" ht="13.9" customHeight="1" x14ac:dyDescent="0.2">
      <c r="A38" s="36" t="s">
        <v>23</v>
      </c>
      <c r="B38" s="36"/>
      <c r="C38" s="32"/>
      <c r="D38" s="39"/>
      <c r="E38" s="59">
        <v>3708642</v>
      </c>
      <c r="F38" s="15">
        <f t="shared" si="2"/>
        <v>3708642</v>
      </c>
      <c r="G38" s="38">
        <f t="shared" si="3"/>
        <v>1.1991550601971059</v>
      </c>
      <c r="H38" s="71"/>
    </row>
    <row r="39" spans="1:8" ht="13.9" hidden="1" customHeight="1" x14ac:dyDescent="0.2">
      <c r="A39" s="36" t="s">
        <v>86</v>
      </c>
      <c r="B39" s="36"/>
      <c r="C39" s="32"/>
      <c r="D39" s="39"/>
      <c r="E39" s="59">
        <v>0</v>
      </c>
      <c r="F39" s="15">
        <f t="shared" si="2"/>
        <v>0</v>
      </c>
      <c r="G39" s="38">
        <f t="shared" si="3"/>
        <v>0</v>
      </c>
      <c r="H39" s="71"/>
    </row>
    <row r="40" spans="1:8" ht="13.9" customHeight="1" x14ac:dyDescent="0.2">
      <c r="A40" s="85" t="s">
        <v>13</v>
      </c>
      <c r="B40" s="85"/>
      <c r="C40" s="32"/>
      <c r="D40" s="39"/>
      <c r="E40" s="59">
        <v>5741356.1112481868</v>
      </c>
      <c r="F40" s="15">
        <f t="shared" si="2"/>
        <v>5741356.1112481868</v>
      </c>
      <c r="G40" s="38">
        <f t="shared" si="3"/>
        <v>1.8564143514517826</v>
      </c>
      <c r="H40" s="71"/>
    </row>
    <row r="41" spans="1:8" ht="13.9" customHeight="1" x14ac:dyDescent="0.2">
      <c r="A41" s="36" t="s">
        <v>14</v>
      </c>
      <c r="B41" s="36"/>
      <c r="C41" s="32"/>
      <c r="D41" s="39"/>
      <c r="E41" s="59">
        <v>210461</v>
      </c>
      <c r="F41" s="74">
        <f t="shared" si="2"/>
        <v>210461</v>
      </c>
      <c r="G41" s="45">
        <f t="shared" si="3"/>
        <v>6.8050616135001199E-2</v>
      </c>
      <c r="H41" s="71"/>
    </row>
    <row r="42" spans="1:8" ht="13.9" customHeight="1" x14ac:dyDescent="0.2">
      <c r="A42" s="36" t="s">
        <v>25</v>
      </c>
      <c r="B42" s="36"/>
      <c r="C42" s="32"/>
      <c r="D42" s="66">
        <f>SUM(D19:D41)</f>
        <v>0</v>
      </c>
      <c r="E42" s="73">
        <f>SUM(E19:E41)</f>
        <v>215645973.99999997</v>
      </c>
      <c r="F42" s="15">
        <f>SUM(F21:F41)</f>
        <v>215645973.99999997</v>
      </c>
      <c r="G42" s="38">
        <f t="shared" si="3"/>
        <v>69.727129481150655</v>
      </c>
      <c r="H42" s="71"/>
    </row>
    <row r="43" spans="1:8" x14ac:dyDescent="0.2">
      <c r="A43" s="36"/>
      <c r="B43" s="36"/>
      <c r="C43" s="32"/>
      <c r="D43" s="65"/>
      <c r="E43" s="84"/>
      <c r="F43" s="84"/>
      <c r="G43" s="64"/>
      <c r="H43" s="83"/>
    </row>
    <row r="44" spans="1:8" ht="18" x14ac:dyDescent="0.25">
      <c r="A44" s="43" t="s">
        <v>87</v>
      </c>
      <c r="B44" s="43"/>
      <c r="C44" s="32"/>
      <c r="D44" s="39"/>
      <c r="E44" s="59"/>
      <c r="F44" s="59"/>
      <c r="G44" s="35"/>
      <c r="H44" s="58"/>
    </row>
    <row r="45" spans="1:8" ht="13.9" customHeight="1" x14ac:dyDescent="0.2">
      <c r="A45" s="36" t="s">
        <v>54</v>
      </c>
      <c r="B45" s="36"/>
      <c r="C45" s="32"/>
      <c r="D45" s="39" t="s">
        <v>10</v>
      </c>
      <c r="E45" s="59">
        <v>194330</v>
      </c>
      <c r="F45" s="15">
        <f>SUM(D45:E45)</f>
        <v>194330</v>
      </c>
      <c r="G45" s="38">
        <f>F45/$F$101*100</f>
        <v>6.283480660794534E-2</v>
      </c>
      <c r="H45" s="71"/>
    </row>
    <row r="46" spans="1:8" ht="13.9" customHeight="1" x14ac:dyDescent="0.2">
      <c r="A46" s="36" t="s">
        <v>88</v>
      </c>
      <c r="B46" s="36"/>
      <c r="C46" s="32"/>
      <c r="D46" s="39" t="s">
        <v>10</v>
      </c>
      <c r="E46" s="59">
        <v>816657</v>
      </c>
      <c r="F46" s="15">
        <f>SUM(D46:E46)</f>
        <v>816657</v>
      </c>
      <c r="G46" s="38">
        <f>F46/$F$101*100</f>
        <v>0.26405848124337372</v>
      </c>
      <c r="H46" s="71"/>
    </row>
    <row r="47" spans="1:8" ht="13.9" customHeight="1" x14ac:dyDescent="0.2">
      <c r="A47" s="77" t="s">
        <v>89</v>
      </c>
      <c r="B47" s="77"/>
      <c r="C47" s="32"/>
      <c r="D47" s="39" t="s">
        <v>10</v>
      </c>
      <c r="E47" s="59">
        <v>123141</v>
      </c>
      <c r="F47" s="15">
        <f>SUM(D47:E47)</f>
        <v>123141</v>
      </c>
      <c r="G47" s="38">
        <f>F47/$F$101*100</f>
        <v>3.9816502446915022E-2</v>
      </c>
      <c r="H47" s="71"/>
    </row>
    <row r="48" spans="1:8" ht="13.9" customHeight="1" x14ac:dyDescent="0.2">
      <c r="A48" s="36" t="s">
        <v>14</v>
      </c>
      <c r="B48" s="36"/>
      <c r="C48" s="32"/>
      <c r="D48" s="49" t="s">
        <v>10</v>
      </c>
      <c r="E48" s="75">
        <v>237084</v>
      </c>
      <c r="F48" s="74">
        <f>SUM(D48:E48)</f>
        <v>237084</v>
      </c>
      <c r="G48" s="38">
        <f>F48/$F$101*100</f>
        <v>7.6658916738733651E-2</v>
      </c>
      <c r="H48" s="71"/>
    </row>
    <row r="49" spans="1:8" ht="14.65" customHeight="1" thickBot="1" x14ac:dyDescent="0.25">
      <c r="A49" s="36" t="s">
        <v>25</v>
      </c>
      <c r="B49" s="36"/>
      <c r="C49" s="32"/>
      <c r="D49" s="63">
        <f>SUM(D45:D48)</f>
        <v>0</v>
      </c>
      <c r="E49" s="82">
        <f>SUM(E45:E48)</f>
        <v>1371212</v>
      </c>
      <c r="F49" s="82">
        <f>SUM(F45:F48)</f>
        <v>1371212</v>
      </c>
      <c r="G49" s="62">
        <f>F49/$F$101*100</f>
        <v>0.44336870703696774</v>
      </c>
      <c r="H49" s="71"/>
    </row>
    <row r="50" spans="1:8" x14ac:dyDescent="0.2">
      <c r="A50" s="36"/>
      <c r="B50" s="36"/>
      <c r="C50" s="32"/>
      <c r="D50" s="70"/>
      <c r="E50" s="70"/>
      <c r="F50" s="70"/>
      <c r="G50" s="69"/>
      <c r="H50" s="71"/>
    </row>
    <row r="51" spans="1:8" ht="15.75" x14ac:dyDescent="0.25">
      <c r="A51" s="26"/>
      <c r="B51" s="26"/>
      <c r="C51" s="32"/>
      <c r="D51" s="15"/>
      <c r="E51" s="15"/>
      <c r="F51" s="15"/>
      <c r="G51" s="71"/>
      <c r="H51" s="71"/>
    </row>
    <row r="52" spans="1:8" x14ac:dyDescent="0.2">
      <c r="A52" s="36"/>
      <c r="B52" s="36"/>
      <c r="C52" s="32"/>
      <c r="D52" s="59"/>
      <c r="E52" s="59"/>
      <c r="F52" s="59"/>
      <c r="G52" s="58"/>
      <c r="H52" s="58"/>
    </row>
    <row r="53" spans="1:8" ht="13.5" thickBot="1" x14ac:dyDescent="0.25">
      <c r="A53" s="36"/>
      <c r="B53" s="36"/>
      <c r="C53" s="32"/>
      <c r="D53" s="59"/>
      <c r="E53" s="59"/>
      <c r="F53" s="59"/>
      <c r="G53" s="58"/>
      <c r="H53" s="58"/>
    </row>
    <row r="54" spans="1:8" x14ac:dyDescent="0.2">
      <c r="A54" s="36"/>
      <c r="B54" s="36"/>
      <c r="C54" s="32"/>
      <c r="D54" s="361" t="str">
        <f>D4</f>
        <v>Approved</v>
      </c>
      <c r="E54" s="368"/>
      <c r="F54" s="368"/>
      <c r="G54" s="362"/>
      <c r="H54" s="80"/>
    </row>
    <row r="55" spans="1:8" x14ac:dyDescent="0.2">
      <c r="D55" s="359">
        <f>+D5</f>
        <v>41831</v>
      </c>
      <c r="E55" s="367"/>
      <c r="F55" s="367"/>
      <c r="G55" s="360"/>
      <c r="H55" s="81"/>
    </row>
    <row r="56" spans="1:8" x14ac:dyDescent="0.2">
      <c r="D56" s="51"/>
      <c r="E56" s="81"/>
      <c r="F56" s="81"/>
      <c r="G56" s="52"/>
      <c r="H56" s="81"/>
    </row>
    <row r="57" spans="1:8" x14ac:dyDescent="0.2">
      <c r="D57" s="29" t="s">
        <v>76</v>
      </c>
      <c r="E57" s="80" t="s">
        <v>55</v>
      </c>
      <c r="F57" s="80"/>
      <c r="G57" s="30"/>
      <c r="H57" s="81"/>
    </row>
    <row r="58" spans="1:8" x14ac:dyDescent="0.2">
      <c r="D58" s="29" t="s">
        <v>77</v>
      </c>
      <c r="E58" s="80" t="s">
        <v>78</v>
      </c>
      <c r="F58" s="80" t="s">
        <v>79</v>
      </c>
      <c r="G58" s="30" t="s">
        <v>1</v>
      </c>
      <c r="H58" s="80"/>
    </row>
    <row r="59" spans="1:8" ht="18" x14ac:dyDescent="0.25">
      <c r="A59" s="43" t="s">
        <v>90</v>
      </c>
      <c r="B59" s="43"/>
      <c r="C59" s="32"/>
      <c r="D59" s="79"/>
      <c r="G59" s="78"/>
      <c r="H59" s="58"/>
    </row>
    <row r="60" spans="1:8" ht="13.9" customHeight="1" x14ac:dyDescent="0.2">
      <c r="A60" s="36" t="s">
        <v>27</v>
      </c>
      <c r="B60" s="36"/>
      <c r="C60" s="32"/>
      <c r="D60" s="39" t="s">
        <v>10</v>
      </c>
      <c r="E60" s="59">
        <v>4755217</v>
      </c>
      <c r="F60" s="15">
        <f t="shared" ref="F60:F65" si="4">SUM(D60:E60)</f>
        <v>4755217</v>
      </c>
      <c r="G60" s="38">
        <f t="shared" ref="G60:G66" si="5">F60/$F$101*100</f>
        <v>1.5375553984141099</v>
      </c>
      <c r="H60" s="71"/>
    </row>
    <row r="61" spans="1:8" ht="13.9" customHeight="1" x14ac:dyDescent="0.2">
      <c r="A61" s="36" t="s">
        <v>28</v>
      </c>
      <c r="B61" s="36"/>
      <c r="C61" s="32"/>
      <c r="D61" s="39" t="s">
        <v>10</v>
      </c>
      <c r="E61" s="59">
        <v>1966781</v>
      </c>
      <c r="F61" s="15">
        <f t="shared" si="4"/>
        <v>1966781</v>
      </c>
      <c r="G61" s="38">
        <f t="shared" si="5"/>
        <v>0.63594043006834422</v>
      </c>
      <c r="H61" s="71"/>
    </row>
    <row r="62" spans="1:8" ht="13.9" customHeight="1" x14ac:dyDescent="0.2">
      <c r="A62" s="36" t="s">
        <v>29</v>
      </c>
      <c r="B62" s="36"/>
      <c r="C62" s="32"/>
      <c r="D62" s="39" t="s">
        <v>10</v>
      </c>
      <c r="E62" s="59">
        <v>15969620</v>
      </c>
      <c r="F62" s="15">
        <f t="shared" si="4"/>
        <v>15969620</v>
      </c>
      <c r="G62" s="38">
        <f t="shared" si="5"/>
        <v>5.1636287979332884</v>
      </c>
      <c r="H62" s="71"/>
    </row>
    <row r="63" spans="1:8" ht="13.9" customHeight="1" x14ac:dyDescent="0.2">
      <c r="A63" s="36" t="s">
        <v>49</v>
      </c>
      <c r="B63" s="36"/>
      <c r="C63" s="32"/>
      <c r="D63" s="39" t="s">
        <v>10</v>
      </c>
      <c r="E63" s="59">
        <v>5166007</v>
      </c>
      <c r="F63" s="15">
        <f t="shared" si="4"/>
        <v>5166007</v>
      </c>
      <c r="G63" s="38">
        <f t="shared" si="5"/>
        <v>1.6703805422749542</v>
      </c>
      <c r="H63" s="71"/>
    </row>
    <row r="64" spans="1:8" ht="13.9" customHeight="1" x14ac:dyDescent="0.2">
      <c r="A64" s="36" t="s">
        <v>30</v>
      </c>
      <c r="B64" s="36"/>
      <c r="C64" s="32"/>
      <c r="D64" s="39" t="s">
        <v>10</v>
      </c>
      <c r="E64" s="59">
        <v>6501592</v>
      </c>
      <c r="F64" s="15">
        <f t="shared" si="4"/>
        <v>6501592</v>
      </c>
      <c r="G64" s="38">
        <f t="shared" si="5"/>
        <v>2.1022295886572557</v>
      </c>
      <c r="H64" s="71"/>
    </row>
    <row r="65" spans="1:8" ht="13.9" customHeight="1" x14ac:dyDescent="0.2">
      <c r="A65" s="36" t="s">
        <v>14</v>
      </c>
      <c r="B65" s="36"/>
      <c r="C65" s="32"/>
      <c r="D65" s="49" t="s">
        <v>10</v>
      </c>
      <c r="E65" s="75">
        <v>208306</v>
      </c>
      <c r="F65" s="74">
        <f t="shared" si="4"/>
        <v>208306</v>
      </c>
      <c r="G65" s="45">
        <f t="shared" si="5"/>
        <v>6.7353816833606042E-2</v>
      </c>
      <c r="H65" s="71"/>
    </row>
    <row r="66" spans="1:8" ht="13.9" customHeight="1" x14ac:dyDescent="0.2">
      <c r="A66" s="36" t="s">
        <v>25</v>
      </c>
      <c r="B66" s="36"/>
      <c r="C66" s="32"/>
      <c r="D66" s="37">
        <f>SUM(D60:D65)</f>
        <v>0</v>
      </c>
      <c r="E66" s="73">
        <f>SUM(E60:E65)</f>
        <v>34567523</v>
      </c>
      <c r="F66" s="15">
        <f>SUM(F60:F65)</f>
        <v>34567523</v>
      </c>
      <c r="G66" s="38">
        <f t="shared" si="5"/>
        <v>11.17708857418156</v>
      </c>
      <c r="H66" s="71"/>
    </row>
    <row r="67" spans="1:8" x14ac:dyDescent="0.2">
      <c r="A67" s="36"/>
      <c r="B67" s="36"/>
      <c r="C67" s="32"/>
      <c r="D67" s="39"/>
      <c r="E67" s="59"/>
      <c r="F67" s="59"/>
      <c r="G67" s="35"/>
      <c r="H67" s="58"/>
    </row>
    <row r="68" spans="1:8" ht="18" x14ac:dyDescent="0.25">
      <c r="A68" s="43" t="s">
        <v>31</v>
      </c>
      <c r="B68" s="43"/>
      <c r="C68" s="32"/>
      <c r="D68" s="39"/>
      <c r="E68" s="59"/>
      <c r="F68" s="59"/>
      <c r="G68" s="35"/>
      <c r="H68" s="58"/>
    </row>
    <row r="69" spans="1:8" x14ac:dyDescent="0.2">
      <c r="A69" s="36" t="s">
        <v>91</v>
      </c>
      <c r="B69" s="36"/>
      <c r="C69" s="32"/>
      <c r="D69" s="39" t="s">
        <v>10</v>
      </c>
      <c r="E69" s="59">
        <v>1720416</v>
      </c>
      <c r="F69" s="15">
        <f>SUM(D69:E69)</f>
        <v>1720416</v>
      </c>
      <c r="G69" s="38">
        <f t="shared" ref="G69:G74" si="6">F69/$F$101*100</f>
        <v>0.5562805878928363</v>
      </c>
      <c r="H69" s="71"/>
    </row>
    <row r="70" spans="1:8" x14ac:dyDescent="0.2">
      <c r="A70" s="36" t="s">
        <v>52</v>
      </c>
      <c r="B70" s="36"/>
      <c r="C70" s="32"/>
      <c r="D70" s="39" t="s">
        <v>10</v>
      </c>
      <c r="E70" s="59">
        <v>3796578</v>
      </c>
      <c r="F70" s="15">
        <f>SUM(D70:E70)</f>
        <v>3796578</v>
      </c>
      <c r="G70" s="38">
        <f t="shared" si="6"/>
        <v>1.227588351782946</v>
      </c>
      <c r="H70" s="71"/>
    </row>
    <row r="71" spans="1:8" x14ac:dyDescent="0.2">
      <c r="A71" s="36" t="s">
        <v>33</v>
      </c>
      <c r="B71" s="36"/>
      <c r="C71" s="32"/>
      <c r="D71" s="39" t="s">
        <v>10</v>
      </c>
      <c r="E71" s="59">
        <v>1012480</v>
      </c>
      <c r="F71" s="15">
        <f>SUM(D71:E71)</f>
        <v>1012480</v>
      </c>
      <c r="G71" s="38">
        <f t="shared" si="6"/>
        <v>0.32737603558077755</v>
      </c>
      <c r="H71" s="71"/>
    </row>
    <row r="72" spans="1:8" x14ac:dyDescent="0.2">
      <c r="A72" s="36" t="s">
        <v>34</v>
      </c>
      <c r="B72" s="36"/>
      <c r="C72" s="32"/>
      <c r="D72" s="39" t="s">
        <v>10</v>
      </c>
      <c r="E72" s="59">
        <v>45209</v>
      </c>
      <c r="F72" s="15">
        <f>SUM(D72:E72)</f>
        <v>45209</v>
      </c>
      <c r="G72" s="38">
        <f t="shared" si="6"/>
        <v>1.4617911655115529E-2</v>
      </c>
      <c r="H72" s="71"/>
    </row>
    <row r="73" spans="1:8" x14ac:dyDescent="0.2">
      <c r="A73" s="36" t="s">
        <v>14</v>
      </c>
      <c r="B73" s="36"/>
      <c r="C73" s="32"/>
      <c r="D73" s="49" t="s">
        <v>10</v>
      </c>
      <c r="E73" s="75">
        <v>25323</v>
      </c>
      <c r="F73" s="74">
        <f>SUM(D73:E73)</f>
        <v>25323</v>
      </c>
      <c r="G73" s="45">
        <f t="shared" si="6"/>
        <v>8.1879576376936124E-3</v>
      </c>
      <c r="H73" s="71"/>
    </row>
    <row r="74" spans="1:8" ht="13.9" customHeight="1" x14ac:dyDescent="0.2">
      <c r="A74" s="36" t="s">
        <v>25</v>
      </c>
      <c r="B74" s="36"/>
      <c r="C74" s="32"/>
      <c r="D74" s="37">
        <f>SUM(D69:D73)</f>
        <v>0</v>
      </c>
      <c r="E74" s="15">
        <f>SUM(E69:E73)</f>
        <v>6600006</v>
      </c>
      <c r="F74" s="15">
        <f>SUM(F69:F73)</f>
        <v>6600006</v>
      </c>
      <c r="G74" s="38">
        <f t="shared" si="6"/>
        <v>2.1340508445493689</v>
      </c>
      <c r="H74" s="71"/>
    </row>
    <row r="75" spans="1:8" x14ac:dyDescent="0.2">
      <c r="A75" s="36"/>
      <c r="B75" s="36"/>
      <c r="C75" s="32"/>
      <c r="D75" s="39"/>
      <c r="E75" s="59"/>
      <c r="F75" s="59"/>
      <c r="G75" s="35"/>
      <c r="H75" s="58"/>
    </row>
    <row r="76" spans="1:8" ht="18" x14ac:dyDescent="0.25">
      <c r="A76" s="43" t="s">
        <v>47</v>
      </c>
      <c r="B76" s="43"/>
      <c r="C76" s="32"/>
      <c r="D76" s="39"/>
      <c r="E76" s="59"/>
      <c r="F76" s="59"/>
      <c r="G76" s="35"/>
      <c r="H76" s="58"/>
    </row>
    <row r="77" spans="1:8" x14ac:dyDescent="0.2">
      <c r="A77" s="77" t="s">
        <v>92</v>
      </c>
      <c r="B77" s="77"/>
      <c r="C77" s="32"/>
      <c r="D77" s="39" t="s">
        <v>10</v>
      </c>
      <c r="E77" s="59">
        <v>5132548</v>
      </c>
      <c r="F77" s="15">
        <f>SUM(D77:E77)</f>
        <v>5132548</v>
      </c>
      <c r="G77" s="38">
        <f>F77/$F$101*100</f>
        <v>1.6595618843513436</v>
      </c>
      <c r="H77" s="71"/>
    </row>
    <row r="78" spans="1:8" x14ac:dyDescent="0.2">
      <c r="A78" s="77" t="s">
        <v>93</v>
      </c>
      <c r="B78" s="77"/>
      <c r="C78" s="32"/>
      <c r="D78" s="39"/>
      <c r="E78" s="59">
        <v>828530</v>
      </c>
      <c r="F78" s="15">
        <f>SUM(D78:E78)</f>
        <v>828530</v>
      </c>
      <c r="G78" s="38">
        <f>F78/$F$101*100</f>
        <v>0.26789750588628081</v>
      </c>
      <c r="H78" s="71"/>
    </row>
    <row r="79" spans="1:8" x14ac:dyDescent="0.2">
      <c r="A79" s="36" t="s">
        <v>94</v>
      </c>
      <c r="B79" s="36"/>
      <c r="C79" s="32"/>
      <c r="D79" s="49" t="s">
        <v>10</v>
      </c>
      <c r="E79" s="75">
        <v>589016</v>
      </c>
      <c r="F79" s="74">
        <f>SUM(D79:E79)</f>
        <v>589016</v>
      </c>
      <c r="G79" s="45">
        <f>F79/$F$101*100</f>
        <v>0.19045287114179762</v>
      </c>
      <c r="H79" s="71"/>
    </row>
    <row r="80" spans="1:8" ht="13.9" customHeight="1" x14ac:dyDescent="0.2">
      <c r="A80" s="36" t="s">
        <v>25</v>
      </c>
      <c r="B80" s="36"/>
      <c r="C80" s="32"/>
      <c r="D80" s="37">
        <f>SUM(D77:D79)</f>
        <v>0</v>
      </c>
      <c r="E80" s="73">
        <f>SUM(E77:E79)</f>
        <v>6550094</v>
      </c>
      <c r="F80" s="15">
        <f>SUM(F77:F79)</f>
        <v>6550094</v>
      </c>
      <c r="G80" s="38">
        <f>F80/$F$101*100</f>
        <v>2.1179122613794221</v>
      </c>
      <c r="H80" s="71"/>
    </row>
    <row r="81" spans="1:8" x14ac:dyDescent="0.2">
      <c r="A81" s="36"/>
      <c r="B81" s="36"/>
      <c r="C81" s="32"/>
      <c r="D81" s="39"/>
      <c r="E81" s="59"/>
      <c r="F81" s="59"/>
      <c r="G81" s="35"/>
      <c r="H81" s="58"/>
    </row>
    <row r="82" spans="1:8" ht="18" x14ac:dyDescent="0.25">
      <c r="A82" s="43" t="s">
        <v>35</v>
      </c>
      <c r="B82" s="43"/>
      <c r="C82" s="32"/>
      <c r="D82" s="39"/>
      <c r="E82" s="59"/>
      <c r="F82" s="59"/>
      <c r="G82" s="35"/>
      <c r="H82" s="58"/>
    </row>
    <row r="83" spans="1:8" x14ac:dyDescent="0.2">
      <c r="A83" s="36" t="s">
        <v>35</v>
      </c>
      <c r="B83" s="36"/>
      <c r="C83" s="32"/>
      <c r="D83" s="39" t="s">
        <v>10</v>
      </c>
      <c r="E83" s="59">
        <v>4367393</v>
      </c>
      <c r="F83" s="15">
        <f>SUM(D83:E83)</f>
        <v>4367393</v>
      </c>
      <c r="G83" s="38">
        <f>F83/$F$101*100</f>
        <v>1.4121560980594565</v>
      </c>
      <c r="H83" s="71"/>
    </row>
    <row r="84" spans="1:8" x14ac:dyDescent="0.2">
      <c r="A84" s="36" t="s">
        <v>53</v>
      </c>
      <c r="B84" s="36"/>
      <c r="C84" s="32"/>
      <c r="D84" s="49" t="s">
        <v>10</v>
      </c>
      <c r="E84" s="75">
        <v>1004852</v>
      </c>
      <c r="F84" s="74">
        <f>SUM(D84:E84)</f>
        <v>1004852</v>
      </c>
      <c r="G84" s="45">
        <f>F84/$F$101*100</f>
        <v>0.32490959239235884</v>
      </c>
      <c r="H84" s="71"/>
    </row>
    <row r="85" spans="1:8" x14ac:dyDescent="0.2">
      <c r="A85" s="36" t="s">
        <v>25</v>
      </c>
      <c r="B85" s="36"/>
      <c r="C85" s="32"/>
      <c r="D85" s="37">
        <f>SUM(D83:D84)</f>
        <v>0</v>
      </c>
      <c r="E85" s="15">
        <f>SUM(E83:E84)</f>
        <v>5372245</v>
      </c>
      <c r="F85" s="15">
        <f>SUM(F83:F84)</f>
        <v>5372245</v>
      </c>
      <c r="G85" s="38">
        <f>F85/$F$101*100</f>
        <v>1.7370656904518154</v>
      </c>
      <c r="H85" s="71"/>
    </row>
    <row r="86" spans="1:8" x14ac:dyDescent="0.2">
      <c r="A86" s="36"/>
      <c r="B86" s="36"/>
      <c r="C86" s="32"/>
      <c r="D86" s="39"/>
      <c r="E86" s="59"/>
      <c r="F86" s="59"/>
      <c r="G86" s="35"/>
      <c r="H86" s="58"/>
    </row>
    <row r="87" spans="1:8" ht="18" x14ac:dyDescent="0.25">
      <c r="A87" s="43" t="s">
        <v>36</v>
      </c>
      <c r="B87" s="43"/>
      <c r="C87" s="32"/>
      <c r="D87" s="39"/>
      <c r="E87" s="59"/>
      <c r="F87" s="59"/>
      <c r="G87" s="35"/>
      <c r="H87" s="58"/>
    </row>
    <row r="88" spans="1:8" x14ac:dyDescent="0.2">
      <c r="A88" s="36" t="s">
        <v>95</v>
      </c>
      <c r="B88" s="36"/>
      <c r="C88" s="32"/>
      <c r="D88" s="90">
        <v>14476758</v>
      </c>
      <c r="E88" s="89">
        <v>0</v>
      </c>
      <c r="F88" s="27">
        <f t="shared" ref="F88:F95" si="7">SUM(D88:E88)</f>
        <v>14476758</v>
      </c>
      <c r="G88" s="38">
        <f t="shared" ref="G88:G96" si="8">F88/$F$101*100</f>
        <v>4.6809256894973785</v>
      </c>
      <c r="H88" s="71"/>
    </row>
    <row r="89" spans="1:8" x14ac:dyDescent="0.2">
      <c r="A89" s="36" t="s">
        <v>38</v>
      </c>
      <c r="B89" s="36"/>
      <c r="C89" s="32"/>
      <c r="D89" s="39">
        <v>5639045</v>
      </c>
      <c r="E89" s="59"/>
      <c r="F89" s="15">
        <f t="shared" si="7"/>
        <v>5639045</v>
      </c>
      <c r="G89" s="38">
        <f t="shared" si="8"/>
        <v>1.8233330007127111</v>
      </c>
      <c r="H89" s="71"/>
    </row>
    <row r="90" spans="1:8" x14ac:dyDescent="0.2">
      <c r="A90" s="36" t="s">
        <v>96</v>
      </c>
      <c r="B90" s="36"/>
      <c r="C90" s="32"/>
      <c r="D90" s="39" t="s">
        <v>10</v>
      </c>
      <c r="E90" s="59">
        <v>2800000</v>
      </c>
      <c r="F90" s="15">
        <f t="shared" si="7"/>
        <v>2800000</v>
      </c>
      <c r="G90" s="38">
        <f t="shared" si="8"/>
        <v>0.90535408069905288</v>
      </c>
      <c r="H90" s="71"/>
    </row>
    <row r="91" spans="1:8" x14ac:dyDescent="0.2">
      <c r="A91" s="36" t="s">
        <v>39</v>
      </c>
      <c r="B91" s="36"/>
      <c r="C91" s="32"/>
      <c r="D91" s="39">
        <v>489025</v>
      </c>
      <c r="E91" s="59">
        <v>376275</v>
      </c>
      <c r="F91" s="15">
        <f t="shared" si="7"/>
        <v>865300</v>
      </c>
      <c r="G91" s="38">
        <f t="shared" si="8"/>
        <v>0.27978674501031803</v>
      </c>
      <c r="H91" s="71"/>
    </row>
    <row r="92" spans="1:8" x14ac:dyDescent="0.2">
      <c r="A92" s="36" t="s">
        <v>40</v>
      </c>
      <c r="B92" s="36"/>
      <c r="C92" s="32"/>
      <c r="D92" s="39" t="s">
        <v>10</v>
      </c>
      <c r="E92" s="59">
        <v>956550</v>
      </c>
      <c r="F92" s="15">
        <f t="shared" si="7"/>
        <v>956550</v>
      </c>
      <c r="G92" s="38">
        <f t="shared" si="8"/>
        <v>0.30929158781881394</v>
      </c>
      <c r="H92" s="71"/>
    </row>
    <row r="93" spans="1:8" x14ac:dyDescent="0.2">
      <c r="A93" s="36" t="s">
        <v>97</v>
      </c>
      <c r="B93" s="36"/>
      <c r="C93" s="32"/>
      <c r="D93" s="39" t="s">
        <v>10</v>
      </c>
      <c r="E93" s="59">
        <v>721395</v>
      </c>
      <c r="F93" s="15">
        <f t="shared" si="7"/>
        <v>721395</v>
      </c>
      <c r="G93" s="38">
        <f t="shared" si="8"/>
        <v>0.23325639537353332</v>
      </c>
      <c r="H93" s="71"/>
    </row>
    <row r="94" spans="1:8" ht="15" x14ac:dyDescent="0.2">
      <c r="A94" s="36" t="s">
        <v>41</v>
      </c>
      <c r="B94" s="36"/>
      <c r="C94" s="40" t="s">
        <v>10</v>
      </c>
      <c r="D94" s="39">
        <v>4317614</v>
      </c>
      <c r="E94" s="59" t="s">
        <v>10</v>
      </c>
      <c r="F94" s="15">
        <f t="shared" si="7"/>
        <v>4317614</v>
      </c>
      <c r="G94" s="38">
        <f t="shared" si="8"/>
        <v>1.3960605192083431</v>
      </c>
      <c r="H94" s="71"/>
    </row>
    <row r="95" spans="1:8" x14ac:dyDescent="0.2">
      <c r="A95" s="36" t="s">
        <v>42</v>
      </c>
      <c r="B95" s="36"/>
      <c r="C95" s="32"/>
      <c r="D95" s="49">
        <v>92041</v>
      </c>
      <c r="E95" s="75" t="s">
        <v>10</v>
      </c>
      <c r="F95" s="74">
        <f t="shared" si="7"/>
        <v>92041</v>
      </c>
      <c r="G95" s="76">
        <f t="shared" si="8"/>
        <v>2.9760605336293405E-2</v>
      </c>
      <c r="H95" s="71"/>
    </row>
    <row r="96" spans="1:8" x14ac:dyDescent="0.2">
      <c r="A96" s="36" t="s">
        <v>43</v>
      </c>
      <c r="B96" s="36"/>
      <c r="C96" s="32"/>
      <c r="D96" s="37">
        <f>SUM(D88:D95)</f>
        <v>25014483</v>
      </c>
      <c r="E96" s="15">
        <f>SUM(E88:E95)</f>
        <v>4854220</v>
      </c>
      <c r="F96" s="73">
        <f>SUM(F88:F95)</f>
        <v>29868703</v>
      </c>
      <c r="G96" s="38">
        <f t="shared" si="8"/>
        <v>9.6577686236564428</v>
      </c>
      <c r="H96" s="71"/>
    </row>
    <row r="97" spans="1:8" x14ac:dyDescent="0.2">
      <c r="A97" s="36"/>
      <c r="B97" s="36"/>
      <c r="C97" s="32"/>
      <c r="D97" s="39"/>
      <c r="E97" s="59"/>
      <c r="F97" s="59"/>
      <c r="G97" s="38"/>
      <c r="H97" s="71"/>
    </row>
    <row r="98" spans="1:8" ht="15" x14ac:dyDescent="0.2">
      <c r="A98" s="36" t="s">
        <v>44</v>
      </c>
      <c r="B98" s="36"/>
      <c r="C98" s="40"/>
      <c r="D98" s="49">
        <v>0</v>
      </c>
      <c r="E98" s="75">
        <v>9295506</v>
      </c>
      <c r="F98" s="74">
        <f>SUM(D98:E98)</f>
        <v>9295506</v>
      </c>
      <c r="G98" s="45">
        <f>F98/$F$101*100</f>
        <v>3.0056158175937608</v>
      </c>
      <c r="H98" s="71"/>
    </row>
    <row r="99" spans="1:8" x14ac:dyDescent="0.2">
      <c r="A99" s="36" t="s">
        <v>45</v>
      </c>
      <c r="B99" s="36"/>
      <c r="C99" s="32"/>
      <c r="D99" s="66">
        <f>D96+D98</f>
        <v>25014483</v>
      </c>
      <c r="E99" s="73">
        <f>E96+E98</f>
        <v>14149726</v>
      </c>
      <c r="F99" s="15">
        <f>F96+F98</f>
        <v>39164209</v>
      </c>
      <c r="G99" s="38">
        <f>F99/$F$101*100</f>
        <v>12.663384441250205</v>
      </c>
      <c r="H99" s="71"/>
    </row>
    <row r="100" spans="1:8" x14ac:dyDescent="0.2">
      <c r="A100" s="36"/>
      <c r="B100" s="36"/>
      <c r="C100" s="32"/>
      <c r="D100" s="39"/>
      <c r="E100" s="59"/>
      <c r="F100" s="59"/>
      <c r="G100" s="38"/>
      <c r="H100" s="71"/>
    </row>
    <row r="101" spans="1:8" ht="13.5" thickBot="1" x14ac:dyDescent="0.25">
      <c r="A101" s="36" t="s">
        <v>46</v>
      </c>
      <c r="B101" s="36"/>
      <c r="C101" s="32"/>
      <c r="D101" s="47">
        <f>D42+D66+D74+D49+D80+D85+D99</f>
        <v>25014483</v>
      </c>
      <c r="E101" s="72">
        <f>E42+E66+E74+E49+E80+E85+E99</f>
        <v>284256780</v>
      </c>
      <c r="F101" s="72">
        <f>F42+F66+F74+F49+F80+F85+F99</f>
        <v>309271263</v>
      </c>
      <c r="G101" s="48">
        <f>F101/$F$101*100</f>
        <v>100</v>
      </c>
      <c r="H101" s="71"/>
    </row>
    <row r="102" spans="1:8" ht="15" x14ac:dyDescent="0.2">
      <c r="A102" s="36"/>
      <c r="B102" s="36"/>
      <c r="C102" s="32"/>
      <c r="D102" s="55"/>
      <c r="E102" s="55"/>
      <c r="F102" s="55"/>
    </row>
    <row r="103" spans="1:8" x14ac:dyDescent="0.2">
      <c r="A103" s="36"/>
      <c r="B103" s="36"/>
      <c r="C103" s="32"/>
      <c r="D103" s="57"/>
      <c r="E103" s="57"/>
      <c r="F103" s="57"/>
      <c r="G103" s="56"/>
      <c r="H103" s="56"/>
    </row>
    <row r="104" spans="1:8" x14ac:dyDescent="0.2">
      <c r="D104" s="57"/>
      <c r="E104" s="57"/>
      <c r="F104" s="57"/>
      <c r="G104" s="56"/>
      <c r="H104" s="56"/>
    </row>
    <row r="105" spans="1:8" x14ac:dyDescent="0.2">
      <c r="D105" s="57"/>
      <c r="E105" s="57"/>
      <c r="F105" s="57"/>
    </row>
    <row r="106" spans="1:8" x14ac:dyDescent="0.2">
      <c r="D106" s="57"/>
      <c r="E106" s="57"/>
      <c r="F106" s="57"/>
      <c r="G106" s="56"/>
      <c r="H106" s="56"/>
    </row>
    <row r="107" spans="1:8" ht="15" x14ac:dyDescent="0.2">
      <c r="D107" s="55"/>
      <c r="E107" s="55"/>
      <c r="F107" s="55"/>
    </row>
    <row r="108" spans="1:8" ht="15" x14ac:dyDescent="0.2">
      <c r="D108" s="55"/>
      <c r="E108" s="55"/>
      <c r="F108" s="55"/>
    </row>
  </sheetData>
  <mergeCells count="6">
    <mergeCell ref="D55:G55"/>
    <mergeCell ref="D5:G5"/>
    <mergeCell ref="D54:G54"/>
    <mergeCell ref="A1:G1"/>
    <mergeCell ref="A2:G2"/>
    <mergeCell ref="D4:G4"/>
  </mergeCells>
  <printOptions horizontalCentered="1"/>
  <pageMargins left="0.5" right="0.25" top="0.75" bottom="0.75" header="0.3" footer="0.3"/>
  <pageSetup scale="90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67"/>
  <sheetViews>
    <sheetView tabSelected="1" workbookViewId="0">
      <selection activeCell="H5" sqref="H5"/>
    </sheetView>
  </sheetViews>
  <sheetFormatPr defaultRowHeight="15" x14ac:dyDescent="0.25"/>
  <cols>
    <col min="1" max="1" width="7.44140625" style="399" customWidth="1"/>
    <col min="2" max="2" width="30.44140625" style="400" bestFit="1" customWidth="1"/>
    <col min="3" max="16384" width="8.88671875" style="390"/>
  </cols>
  <sheetData>
    <row r="1" spans="1:15" ht="24" x14ac:dyDescent="0.25">
      <c r="A1" s="386" t="s">
        <v>407</v>
      </c>
      <c r="B1" s="386"/>
      <c r="C1" s="387" t="s">
        <v>408</v>
      </c>
      <c r="D1" s="387" t="s">
        <v>409</v>
      </c>
      <c r="E1" s="387" t="s">
        <v>410</v>
      </c>
      <c r="F1" s="387" t="s">
        <v>411</v>
      </c>
      <c r="G1" s="387" t="s">
        <v>412</v>
      </c>
      <c r="H1" s="387" t="s">
        <v>413</v>
      </c>
      <c r="I1" s="388" t="s">
        <v>414</v>
      </c>
      <c r="J1" s="389" t="s">
        <v>179</v>
      </c>
      <c r="K1" s="389" t="s">
        <v>180</v>
      </c>
      <c r="L1" s="389" t="s">
        <v>181</v>
      </c>
      <c r="M1" s="389" t="s">
        <v>182</v>
      </c>
      <c r="N1" s="389" t="s">
        <v>183</v>
      </c>
      <c r="O1" s="389" t="s">
        <v>184</v>
      </c>
    </row>
    <row r="2" spans="1:15" x14ac:dyDescent="0.25">
      <c r="A2" s="391" t="s">
        <v>415</v>
      </c>
      <c r="B2" s="392" t="s">
        <v>416</v>
      </c>
      <c r="C2" s="393">
        <v>624</v>
      </c>
      <c r="D2" s="393">
        <v>974</v>
      </c>
      <c r="E2" s="393">
        <v>1433</v>
      </c>
      <c r="F2" s="393">
        <v>1475</v>
      </c>
      <c r="G2" s="393">
        <v>1680</v>
      </c>
      <c r="H2" s="393">
        <v>1719</v>
      </c>
      <c r="J2" s="394">
        <f>C2/30</f>
        <v>20.8</v>
      </c>
      <c r="K2" s="394">
        <f t="shared" ref="K2:O17" si="0">D2/30</f>
        <v>32.466666666666669</v>
      </c>
      <c r="L2" s="394">
        <f t="shared" si="0"/>
        <v>47.766666666666666</v>
      </c>
      <c r="M2" s="394">
        <f t="shared" si="0"/>
        <v>49.166666666666664</v>
      </c>
      <c r="N2" s="394">
        <f t="shared" si="0"/>
        <v>56</v>
      </c>
      <c r="O2" s="394">
        <f t="shared" si="0"/>
        <v>57.3</v>
      </c>
    </row>
    <row r="3" spans="1:15" x14ac:dyDescent="0.25">
      <c r="A3" s="391"/>
      <c r="B3" s="392" t="s">
        <v>417</v>
      </c>
      <c r="C3" s="393">
        <v>147</v>
      </c>
      <c r="D3" s="393">
        <v>189</v>
      </c>
      <c r="E3" s="393">
        <v>147</v>
      </c>
      <c r="F3" s="393">
        <v>207</v>
      </c>
      <c r="G3" s="393">
        <v>255</v>
      </c>
      <c r="H3" s="393">
        <v>225</v>
      </c>
      <c r="J3" s="394">
        <f t="shared" ref="J3:O66" si="1">C3/30</f>
        <v>4.9000000000000004</v>
      </c>
      <c r="K3" s="394">
        <f t="shared" si="0"/>
        <v>6.3</v>
      </c>
      <c r="L3" s="394">
        <f t="shared" si="0"/>
        <v>4.9000000000000004</v>
      </c>
      <c r="M3" s="394">
        <f t="shared" si="0"/>
        <v>6.9</v>
      </c>
      <c r="N3" s="394">
        <f t="shared" si="0"/>
        <v>8.5</v>
      </c>
      <c r="O3" s="394">
        <f t="shared" si="0"/>
        <v>7.5</v>
      </c>
    </row>
    <row r="4" spans="1:15" x14ac:dyDescent="0.25">
      <c r="A4" s="391"/>
      <c r="B4" s="392" t="s">
        <v>418</v>
      </c>
      <c r="C4" s="393" t="s">
        <v>419</v>
      </c>
      <c r="D4" s="393" t="s">
        <v>419</v>
      </c>
      <c r="E4" s="393">
        <v>192</v>
      </c>
      <c r="F4" s="393">
        <v>336</v>
      </c>
      <c r="G4" s="393">
        <v>375</v>
      </c>
      <c r="H4" s="393">
        <v>438</v>
      </c>
      <c r="J4" s="394"/>
      <c r="K4" s="394"/>
      <c r="L4" s="394">
        <f t="shared" si="0"/>
        <v>6.4</v>
      </c>
      <c r="M4" s="394">
        <f t="shared" si="0"/>
        <v>11.2</v>
      </c>
      <c r="N4" s="394">
        <f t="shared" si="0"/>
        <v>12.5</v>
      </c>
      <c r="O4" s="394">
        <f t="shared" si="0"/>
        <v>14.6</v>
      </c>
    </row>
    <row r="5" spans="1:15" x14ac:dyDescent="0.25">
      <c r="A5" s="391"/>
      <c r="B5" s="392" t="s">
        <v>420</v>
      </c>
      <c r="C5" s="393">
        <v>5411</v>
      </c>
      <c r="D5" s="393">
        <v>6042</v>
      </c>
      <c r="E5" s="393">
        <v>6144</v>
      </c>
      <c r="F5" s="393">
        <v>6416</v>
      </c>
      <c r="G5" s="393">
        <v>7219</v>
      </c>
      <c r="H5" s="393">
        <v>7666</v>
      </c>
      <c r="J5" s="394">
        <f t="shared" si="1"/>
        <v>180.36666666666667</v>
      </c>
      <c r="K5" s="394">
        <f t="shared" si="0"/>
        <v>201.4</v>
      </c>
      <c r="L5" s="394">
        <f t="shared" si="0"/>
        <v>204.8</v>
      </c>
      <c r="M5" s="394">
        <f t="shared" si="0"/>
        <v>213.86666666666667</v>
      </c>
      <c r="N5" s="394">
        <f t="shared" si="0"/>
        <v>240.63333333333333</v>
      </c>
      <c r="O5" s="394">
        <f t="shared" si="0"/>
        <v>255.53333333333333</v>
      </c>
    </row>
    <row r="6" spans="1:15" x14ac:dyDescent="0.25">
      <c r="A6" s="391"/>
      <c r="B6" s="392" t="s">
        <v>421</v>
      </c>
      <c r="C6" s="393">
        <v>3065</v>
      </c>
      <c r="D6" s="393">
        <v>4591</v>
      </c>
      <c r="E6" s="393">
        <v>5946</v>
      </c>
      <c r="F6" s="393">
        <v>3422</v>
      </c>
      <c r="G6" s="393">
        <v>2931</v>
      </c>
      <c r="H6" s="393">
        <v>3169</v>
      </c>
      <c r="J6" s="394">
        <f t="shared" si="1"/>
        <v>102.16666666666667</v>
      </c>
      <c r="K6" s="394">
        <f t="shared" si="0"/>
        <v>153.03333333333333</v>
      </c>
      <c r="L6" s="394">
        <f t="shared" si="0"/>
        <v>198.2</v>
      </c>
      <c r="M6" s="394">
        <f t="shared" si="0"/>
        <v>114.06666666666666</v>
      </c>
      <c r="N6" s="394">
        <f t="shared" si="0"/>
        <v>97.7</v>
      </c>
      <c r="O6" s="394">
        <f t="shared" si="0"/>
        <v>105.63333333333334</v>
      </c>
    </row>
    <row r="7" spans="1:15" x14ac:dyDescent="0.25">
      <c r="A7" s="391"/>
      <c r="B7" s="392" t="s">
        <v>89</v>
      </c>
      <c r="C7" s="393" t="s">
        <v>419</v>
      </c>
      <c r="D7" s="393" t="s">
        <v>419</v>
      </c>
      <c r="E7" s="393" t="s">
        <v>419</v>
      </c>
      <c r="F7" s="393" t="s">
        <v>419</v>
      </c>
      <c r="G7" s="393">
        <v>168</v>
      </c>
      <c r="H7" s="393">
        <v>529</v>
      </c>
      <c r="J7" s="394"/>
      <c r="K7" s="394"/>
      <c r="L7" s="394"/>
      <c r="M7" s="394"/>
      <c r="N7" s="394">
        <f t="shared" si="0"/>
        <v>5.6</v>
      </c>
      <c r="O7" s="394">
        <f t="shared" si="0"/>
        <v>17.633333333333333</v>
      </c>
    </row>
    <row r="8" spans="1:15" x14ac:dyDescent="0.25">
      <c r="A8" s="391"/>
      <c r="B8" s="392" t="s">
        <v>422</v>
      </c>
      <c r="C8" s="393">
        <v>256</v>
      </c>
      <c r="D8" s="393">
        <v>253</v>
      </c>
      <c r="E8" s="393">
        <v>339</v>
      </c>
      <c r="F8" s="393">
        <v>387</v>
      </c>
      <c r="G8" s="393">
        <v>461</v>
      </c>
      <c r="H8" s="393">
        <v>375</v>
      </c>
      <c r="J8" s="394">
        <f t="shared" si="1"/>
        <v>8.5333333333333332</v>
      </c>
      <c r="K8" s="394">
        <f t="shared" si="0"/>
        <v>8.4333333333333336</v>
      </c>
      <c r="L8" s="394">
        <f t="shared" si="0"/>
        <v>11.3</v>
      </c>
      <c r="M8" s="394">
        <f t="shared" si="0"/>
        <v>12.9</v>
      </c>
      <c r="N8" s="394">
        <f t="shared" si="0"/>
        <v>15.366666666666667</v>
      </c>
      <c r="O8" s="394">
        <f t="shared" si="0"/>
        <v>12.5</v>
      </c>
    </row>
    <row r="9" spans="1:15" x14ac:dyDescent="0.25">
      <c r="A9" s="391"/>
      <c r="B9" s="392" t="s">
        <v>423</v>
      </c>
      <c r="C9" s="393">
        <v>11166</v>
      </c>
      <c r="D9" s="393">
        <v>11646</v>
      </c>
      <c r="E9" s="393">
        <v>13556</v>
      </c>
      <c r="F9" s="393">
        <v>15194</v>
      </c>
      <c r="G9" s="393">
        <v>15232</v>
      </c>
      <c r="H9" s="393">
        <v>14455</v>
      </c>
      <c r="J9" s="394">
        <f t="shared" si="1"/>
        <v>372.2</v>
      </c>
      <c r="K9" s="394">
        <f t="shared" si="0"/>
        <v>388.2</v>
      </c>
      <c r="L9" s="394">
        <f t="shared" si="0"/>
        <v>451.86666666666667</v>
      </c>
      <c r="M9" s="394">
        <f t="shared" si="0"/>
        <v>506.46666666666664</v>
      </c>
      <c r="N9" s="394">
        <f t="shared" si="0"/>
        <v>507.73333333333335</v>
      </c>
      <c r="O9" s="394">
        <f t="shared" si="0"/>
        <v>481.83333333333331</v>
      </c>
    </row>
    <row r="10" spans="1:15" x14ac:dyDescent="0.25">
      <c r="A10" s="391"/>
      <c r="B10" s="392" t="s">
        <v>424</v>
      </c>
      <c r="C10" s="393">
        <v>386</v>
      </c>
      <c r="D10" s="393">
        <v>465</v>
      </c>
      <c r="E10" s="393">
        <v>594</v>
      </c>
      <c r="F10" s="393">
        <v>587</v>
      </c>
      <c r="G10" s="393">
        <v>453</v>
      </c>
      <c r="H10" s="393">
        <v>617</v>
      </c>
      <c r="J10" s="394">
        <f t="shared" si="1"/>
        <v>12.866666666666667</v>
      </c>
      <c r="K10" s="394">
        <f t="shared" si="0"/>
        <v>15.5</v>
      </c>
      <c r="L10" s="394">
        <f t="shared" si="0"/>
        <v>19.8</v>
      </c>
      <c r="M10" s="394">
        <f t="shared" si="0"/>
        <v>19.566666666666666</v>
      </c>
      <c r="N10" s="394">
        <f t="shared" si="0"/>
        <v>15.1</v>
      </c>
      <c r="O10" s="394">
        <f t="shared" si="0"/>
        <v>20.566666666666666</v>
      </c>
    </row>
    <row r="11" spans="1:15" x14ac:dyDescent="0.25">
      <c r="A11" s="391"/>
      <c r="B11" s="392" t="s">
        <v>425</v>
      </c>
      <c r="C11" s="393" t="s">
        <v>419</v>
      </c>
      <c r="D11" s="393" t="s">
        <v>419</v>
      </c>
      <c r="E11" s="393" t="s">
        <v>419</v>
      </c>
      <c r="F11" s="393" t="s">
        <v>419</v>
      </c>
      <c r="G11" s="393" t="s">
        <v>419</v>
      </c>
      <c r="H11" s="393">
        <v>345</v>
      </c>
      <c r="J11" s="394"/>
      <c r="K11" s="394"/>
      <c r="L11" s="394"/>
      <c r="M11" s="394"/>
      <c r="N11" s="394"/>
      <c r="O11" s="394">
        <f t="shared" si="0"/>
        <v>11.5</v>
      </c>
    </row>
    <row r="12" spans="1:15" x14ac:dyDescent="0.25">
      <c r="A12" s="391"/>
      <c r="B12" s="392" t="s">
        <v>426</v>
      </c>
      <c r="C12" s="393" t="s">
        <v>419</v>
      </c>
      <c r="D12" s="393" t="s">
        <v>419</v>
      </c>
      <c r="E12" s="393" t="s">
        <v>419</v>
      </c>
      <c r="F12" s="393" t="s">
        <v>419</v>
      </c>
      <c r="G12" s="393">
        <v>132</v>
      </c>
      <c r="H12" s="393">
        <v>105</v>
      </c>
      <c r="J12" s="394"/>
      <c r="K12" s="394"/>
      <c r="L12" s="394"/>
      <c r="M12" s="394"/>
      <c r="N12" s="394">
        <f t="shared" si="0"/>
        <v>4.4000000000000004</v>
      </c>
      <c r="O12" s="394">
        <f t="shared" si="0"/>
        <v>3.5</v>
      </c>
    </row>
    <row r="13" spans="1:15" x14ac:dyDescent="0.25">
      <c r="A13" s="391"/>
      <c r="B13" s="392" t="s">
        <v>427</v>
      </c>
      <c r="C13" s="393">
        <v>2302</v>
      </c>
      <c r="D13" s="393">
        <v>2643</v>
      </c>
      <c r="E13" s="393">
        <v>2928</v>
      </c>
      <c r="F13" s="393">
        <v>2842</v>
      </c>
      <c r="G13" s="393">
        <v>2844</v>
      </c>
      <c r="H13" s="393">
        <v>2898</v>
      </c>
      <c r="J13" s="394">
        <f t="shared" si="1"/>
        <v>76.733333333333334</v>
      </c>
      <c r="K13" s="394">
        <f t="shared" si="0"/>
        <v>88.1</v>
      </c>
      <c r="L13" s="394">
        <f t="shared" si="0"/>
        <v>97.6</v>
      </c>
      <c r="M13" s="394">
        <f t="shared" si="0"/>
        <v>94.733333333333334</v>
      </c>
      <c r="N13" s="394">
        <f t="shared" si="0"/>
        <v>94.8</v>
      </c>
      <c r="O13" s="394">
        <f t="shared" si="0"/>
        <v>96.6</v>
      </c>
    </row>
    <row r="14" spans="1:15" x14ac:dyDescent="0.25">
      <c r="A14" s="391" t="s">
        <v>428</v>
      </c>
      <c r="B14" s="392" t="s">
        <v>429</v>
      </c>
      <c r="C14" s="393">
        <v>15635</v>
      </c>
      <c r="D14" s="393">
        <v>15834</v>
      </c>
      <c r="E14" s="393">
        <v>16867</v>
      </c>
      <c r="F14" s="393">
        <v>16517</v>
      </c>
      <c r="G14" s="393">
        <v>15849</v>
      </c>
      <c r="H14" s="393">
        <v>15451</v>
      </c>
      <c r="J14" s="394">
        <f t="shared" si="1"/>
        <v>521.16666666666663</v>
      </c>
      <c r="K14" s="394">
        <f t="shared" si="0"/>
        <v>527.79999999999995</v>
      </c>
      <c r="L14" s="394">
        <f t="shared" si="0"/>
        <v>562.23333333333335</v>
      </c>
      <c r="M14" s="394">
        <f t="shared" si="0"/>
        <v>550.56666666666672</v>
      </c>
      <c r="N14" s="394">
        <f t="shared" si="0"/>
        <v>528.29999999999995</v>
      </c>
      <c r="O14" s="394">
        <f t="shared" si="0"/>
        <v>515.0333333333333</v>
      </c>
    </row>
    <row r="15" spans="1:15" x14ac:dyDescent="0.25">
      <c r="A15" s="391"/>
      <c r="B15" s="392" t="s">
        <v>430</v>
      </c>
      <c r="C15" s="393">
        <v>8149</v>
      </c>
      <c r="D15" s="393">
        <v>8715</v>
      </c>
      <c r="E15" s="393">
        <v>8993</v>
      </c>
      <c r="F15" s="393">
        <v>8857</v>
      </c>
      <c r="G15" s="393">
        <v>9389</v>
      </c>
      <c r="H15" s="393">
        <v>9720</v>
      </c>
      <c r="J15" s="394">
        <f t="shared" si="1"/>
        <v>271.63333333333333</v>
      </c>
      <c r="K15" s="394">
        <f t="shared" si="0"/>
        <v>290.5</v>
      </c>
      <c r="L15" s="394">
        <f t="shared" si="0"/>
        <v>299.76666666666665</v>
      </c>
      <c r="M15" s="394">
        <f t="shared" si="0"/>
        <v>295.23333333333335</v>
      </c>
      <c r="N15" s="394">
        <f t="shared" si="0"/>
        <v>312.96666666666664</v>
      </c>
      <c r="O15" s="394">
        <f t="shared" si="0"/>
        <v>324</v>
      </c>
    </row>
    <row r="16" spans="1:15" x14ac:dyDescent="0.25">
      <c r="A16" s="391"/>
      <c r="B16" s="392" t="s">
        <v>431</v>
      </c>
      <c r="C16" s="393">
        <v>6656</v>
      </c>
      <c r="D16" s="393">
        <v>7645</v>
      </c>
      <c r="E16" s="393">
        <v>8171</v>
      </c>
      <c r="F16" s="393">
        <v>8345</v>
      </c>
      <c r="G16" s="393">
        <v>7417</v>
      </c>
      <c r="H16" s="393">
        <v>8416</v>
      </c>
      <c r="J16" s="394">
        <f t="shared" si="1"/>
        <v>221.86666666666667</v>
      </c>
      <c r="K16" s="394">
        <f t="shared" si="0"/>
        <v>254.83333333333334</v>
      </c>
      <c r="L16" s="394">
        <f t="shared" si="0"/>
        <v>272.36666666666667</v>
      </c>
      <c r="M16" s="394">
        <f t="shared" si="0"/>
        <v>278.16666666666669</v>
      </c>
      <c r="N16" s="394">
        <f t="shared" si="0"/>
        <v>247.23333333333332</v>
      </c>
      <c r="O16" s="394">
        <f t="shared" si="0"/>
        <v>280.53333333333336</v>
      </c>
    </row>
    <row r="17" spans="1:15" x14ac:dyDescent="0.25">
      <c r="A17" s="391"/>
      <c r="B17" s="392" t="s">
        <v>432</v>
      </c>
      <c r="C17" s="393">
        <v>12425</v>
      </c>
      <c r="D17" s="393">
        <v>13634</v>
      </c>
      <c r="E17" s="393">
        <v>15557</v>
      </c>
      <c r="F17" s="393">
        <v>15503</v>
      </c>
      <c r="G17" s="393">
        <v>16127</v>
      </c>
      <c r="H17" s="393">
        <v>17425</v>
      </c>
      <c r="J17" s="394">
        <f t="shared" si="1"/>
        <v>414.16666666666669</v>
      </c>
      <c r="K17" s="394">
        <f t="shared" si="0"/>
        <v>454.46666666666664</v>
      </c>
      <c r="L17" s="394">
        <f t="shared" si="0"/>
        <v>518.56666666666672</v>
      </c>
      <c r="M17" s="394">
        <f t="shared" si="0"/>
        <v>516.76666666666665</v>
      </c>
      <c r="N17" s="394">
        <f t="shared" si="0"/>
        <v>537.56666666666672</v>
      </c>
      <c r="O17" s="394">
        <f t="shared" si="0"/>
        <v>580.83333333333337</v>
      </c>
    </row>
    <row r="18" spans="1:15" x14ac:dyDescent="0.25">
      <c r="A18" s="391" t="s">
        <v>63</v>
      </c>
      <c r="B18" s="392" t="s">
        <v>433</v>
      </c>
      <c r="C18" s="393">
        <v>31547</v>
      </c>
      <c r="D18" s="393">
        <v>32941</v>
      </c>
      <c r="E18" s="393">
        <v>7813</v>
      </c>
      <c r="F18" s="393">
        <v>8290</v>
      </c>
      <c r="G18" s="393">
        <v>7480</v>
      </c>
      <c r="H18" s="393">
        <v>7555</v>
      </c>
      <c r="J18" s="394">
        <f t="shared" si="1"/>
        <v>1051.5666666666666</v>
      </c>
      <c r="K18" s="394">
        <f t="shared" si="1"/>
        <v>1098.0333333333333</v>
      </c>
      <c r="L18" s="394">
        <f t="shared" si="1"/>
        <v>260.43333333333334</v>
      </c>
      <c r="M18" s="394">
        <f t="shared" si="1"/>
        <v>276.33333333333331</v>
      </c>
      <c r="N18" s="394">
        <f t="shared" si="1"/>
        <v>249.33333333333334</v>
      </c>
      <c r="O18" s="394">
        <f t="shared" si="1"/>
        <v>251.83333333333334</v>
      </c>
    </row>
    <row r="19" spans="1:15" x14ac:dyDescent="0.25">
      <c r="A19" s="391"/>
      <c r="B19" s="392" t="s">
        <v>434</v>
      </c>
      <c r="C19" s="393">
        <v>472</v>
      </c>
      <c r="D19" s="393">
        <v>724</v>
      </c>
      <c r="E19" s="393">
        <v>636</v>
      </c>
      <c r="F19" s="393">
        <v>819</v>
      </c>
      <c r="G19" s="393">
        <v>756</v>
      </c>
      <c r="H19" s="393">
        <v>827</v>
      </c>
      <c r="J19" s="394">
        <f t="shared" si="1"/>
        <v>15.733333333333333</v>
      </c>
      <c r="K19" s="394">
        <f t="shared" si="1"/>
        <v>24.133333333333333</v>
      </c>
      <c r="L19" s="394">
        <f t="shared" si="1"/>
        <v>21.2</v>
      </c>
      <c r="M19" s="394">
        <f t="shared" si="1"/>
        <v>27.3</v>
      </c>
      <c r="N19" s="394">
        <f t="shared" si="1"/>
        <v>25.2</v>
      </c>
      <c r="O19" s="394">
        <f t="shared" si="1"/>
        <v>27.566666666666666</v>
      </c>
    </row>
    <row r="20" spans="1:15" x14ac:dyDescent="0.25">
      <c r="A20" s="391"/>
      <c r="B20" s="392" t="s">
        <v>435</v>
      </c>
      <c r="C20" s="393">
        <v>1366</v>
      </c>
      <c r="D20" s="393">
        <v>1522</v>
      </c>
      <c r="E20" s="393">
        <v>1781</v>
      </c>
      <c r="F20" s="393">
        <v>2336</v>
      </c>
      <c r="G20" s="393">
        <v>2833</v>
      </c>
      <c r="H20" s="393">
        <v>3238</v>
      </c>
      <c r="J20" s="394">
        <f t="shared" si="1"/>
        <v>45.533333333333331</v>
      </c>
      <c r="K20" s="394">
        <f t="shared" si="1"/>
        <v>50.733333333333334</v>
      </c>
      <c r="L20" s="394">
        <f t="shared" si="1"/>
        <v>59.366666666666667</v>
      </c>
      <c r="M20" s="394">
        <f t="shared" si="1"/>
        <v>77.86666666666666</v>
      </c>
      <c r="N20" s="394">
        <f t="shared" si="1"/>
        <v>94.433333333333337</v>
      </c>
      <c r="O20" s="394">
        <f t="shared" si="1"/>
        <v>107.93333333333334</v>
      </c>
    </row>
    <row r="21" spans="1:15" x14ac:dyDescent="0.25">
      <c r="A21" s="391"/>
      <c r="B21" s="392" t="s">
        <v>436</v>
      </c>
      <c r="C21" s="393">
        <v>2096</v>
      </c>
      <c r="D21" s="393">
        <v>2639</v>
      </c>
      <c r="E21" s="393">
        <v>3049</v>
      </c>
      <c r="F21" s="393">
        <v>3073</v>
      </c>
      <c r="G21" s="393">
        <v>3755</v>
      </c>
      <c r="H21" s="393">
        <v>4340</v>
      </c>
      <c r="J21" s="394">
        <f t="shared" si="1"/>
        <v>69.86666666666666</v>
      </c>
      <c r="K21" s="394">
        <f t="shared" si="1"/>
        <v>87.966666666666669</v>
      </c>
      <c r="L21" s="394">
        <f t="shared" si="1"/>
        <v>101.63333333333334</v>
      </c>
      <c r="M21" s="394">
        <f t="shared" si="1"/>
        <v>102.43333333333334</v>
      </c>
      <c r="N21" s="394">
        <f t="shared" si="1"/>
        <v>125.16666666666667</v>
      </c>
      <c r="O21" s="394">
        <f t="shared" si="1"/>
        <v>144.66666666666666</v>
      </c>
    </row>
    <row r="22" spans="1:15" x14ac:dyDescent="0.25">
      <c r="A22" s="391"/>
      <c r="B22" s="392" t="s">
        <v>437</v>
      </c>
      <c r="C22" s="393" t="s">
        <v>419</v>
      </c>
      <c r="D22" s="393" t="s">
        <v>419</v>
      </c>
      <c r="E22" s="393" t="s">
        <v>419</v>
      </c>
      <c r="F22" s="393" t="s">
        <v>419</v>
      </c>
      <c r="G22" s="393" t="s">
        <v>419</v>
      </c>
      <c r="H22" s="393">
        <v>510</v>
      </c>
      <c r="J22" s="394"/>
      <c r="K22" s="394"/>
      <c r="L22" s="394"/>
      <c r="M22" s="394"/>
      <c r="N22" s="394"/>
      <c r="O22" s="394">
        <f t="shared" si="1"/>
        <v>17</v>
      </c>
    </row>
    <row r="23" spans="1:15" x14ac:dyDescent="0.25">
      <c r="A23" s="391"/>
      <c r="B23" s="392" t="s">
        <v>438</v>
      </c>
      <c r="C23" s="393">
        <v>4128</v>
      </c>
      <c r="D23" s="393">
        <v>3998</v>
      </c>
      <c r="E23" s="393">
        <v>4337</v>
      </c>
      <c r="F23" s="393">
        <v>4651</v>
      </c>
      <c r="G23" s="393">
        <v>5234</v>
      </c>
      <c r="H23" s="393">
        <v>5334</v>
      </c>
      <c r="J23" s="394">
        <f t="shared" si="1"/>
        <v>137.6</v>
      </c>
      <c r="K23" s="394">
        <f t="shared" si="1"/>
        <v>133.26666666666668</v>
      </c>
      <c r="L23" s="394">
        <f t="shared" si="1"/>
        <v>144.56666666666666</v>
      </c>
      <c r="M23" s="394">
        <f t="shared" si="1"/>
        <v>155.03333333333333</v>
      </c>
      <c r="N23" s="394">
        <f t="shared" si="1"/>
        <v>174.46666666666667</v>
      </c>
      <c r="O23" s="394">
        <f t="shared" si="1"/>
        <v>177.8</v>
      </c>
    </row>
    <row r="24" spans="1:15" x14ac:dyDescent="0.25">
      <c r="A24" s="391"/>
      <c r="B24" s="392" t="s">
        <v>439</v>
      </c>
      <c r="C24" s="393">
        <v>2191</v>
      </c>
      <c r="D24" s="393">
        <v>2462</v>
      </c>
      <c r="E24" s="393">
        <v>2643</v>
      </c>
      <c r="F24" s="393">
        <v>2888</v>
      </c>
      <c r="G24" s="393">
        <v>3501</v>
      </c>
      <c r="H24" s="393">
        <v>3936</v>
      </c>
      <c r="J24" s="394">
        <f t="shared" si="1"/>
        <v>73.033333333333331</v>
      </c>
      <c r="K24" s="394">
        <f t="shared" si="1"/>
        <v>82.066666666666663</v>
      </c>
      <c r="L24" s="394">
        <f t="shared" si="1"/>
        <v>88.1</v>
      </c>
      <c r="M24" s="394">
        <f t="shared" si="1"/>
        <v>96.266666666666666</v>
      </c>
      <c r="N24" s="394">
        <f t="shared" si="1"/>
        <v>116.7</v>
      </c>
      <c r="O24" s="394">
        <f t="shared" si="1"/>
        <v>131.19999999999999</v>
      </c>
    </row>
    <row r="25" spans="1:15" x14ac:dyDescent="0.25">
      <c r="A25" s="391"/>
      <c r="B25" s="392" t="s">
        <v>440</v>
      </c>
      <c r="C25" s="393">
        <v>1062</v>
      </c>
      <c r="D25" s="393">
        <v>1392</v>
      </c>
      <c r="E25" s="393">
        <v>1658</v>
      </c>
      <c r="F25" s="393">
        <v>1897</v>
      </c>
      <c r="G25" s="393">
        <v>2070</v>
      </c>
      <c r="H25" s="393">
        <v>1981</v>
      </c>
      <c r="J25" s="394">
        <f t="shared" si="1"/>
        <v>35.4</v>
      </c>
      <c r="K25" s="394">
        <f t="shared" si="1"/>
        <v>46.4</v>
      </c>
      <c r="L25" s="394">
        <f t="shared" si="1"/>
        <v>55.266666666666666</v>
      </c>
      <c r="M25" s="394">
        <f t="shared" si="1"/>
        <v>63.233333333333334</v>
      </c>
      <c r="N25" s="394">
        <f t="shared" si="1"/>
        <v>69</v>
      </c>
      <c r="O25" s="394">
        <f t="shared" si="1"/>
        <v>66.033333333333331</v>
      </c>
    </row>
    <row r="26" spans="1:15" x14ac:dyDescent="0.25">
      <c r="A26" s="391"/>
      <c r="B26" s="392" t="s">
        <v>441</v>
      </c>
      <c r="C26" s="393" t="s">
        <v>419</v>
      </c>
      <c r="D26" s="393" t="s">
        <v>419</v>
      </c>
      <c r="E26" s="393" t="s">
        <v>419</v>
      </c>
      <c r="F26" s="393">
        <v>1095</v>
      </c>
      <c r="G26" s="393">
        <v>2619</v>
      </c>
      <c r="H26" s="393">
        <v>4112</v>
      </c>
      <c r="J26" s="394"/>
      <c r="K26" s="394"/>
      <c r="L26" s="394"/>
      <c r="M26" s="394">
        <f t="shared" si="1"/>
        <v>36.5</v>
      </c>
      <c r="N26" s="394">
        <f t="shared" si="1"/>
        <v>87.3</v>
      </c>
      <c r="O26" s="394">
        <f t="shared" si="1"/>
        <v>137.06666666666666</v>
      </c>
    </row>
    <row r="27" spans="1:15" x14ac:dyDescent="0.25">
      <c r="A27" s="391" t="s">
        <v>442</v>
      </c>
      <c r="B27" s="392" t="s">
        <v>443</v>
      </c>
      <c r="C27" s="393">
        <v>8968</v>
      </c>
      <c r="D27" s="393">
        <v>9112</v>
      </c>
      <c r="E27" s="393">
        <v>9332</v>
      </c>
      <c r="F27" s="393">
        <v>9487</v>
      </c>
      <c r="G27" s="393">
        <v>9827</v>
      </c>
      <c r="H27" s="393">
        <v>8990</v>
      </c>
      <c r="J27" s="394">
        <f t="shared" si="1"/>
        <v>298.93333333333334</v>
      </c>
      <c r="K27" s="394">
        <f t="shared" si="1"/>
        <v>303.73333333333335</v>
      </c>
      <c r="L27" s="394">
        <f t="shared" si="1"/>
        <v>311.06666666666666</v>
      </c>
      <c r="M27" s="394">
        <f t="shared" si="1"/>
        <v>316.23333333333335</v>
      </c>
      <c r="N27" s="394">
        <f t="shared" si="1"/>
        <v>327.56666666666666</v>
      </c>
      <c r="O27" s="394">
        <f t="shared" si="1"/>
        <v>299.66666666666669</v>
      </c>
    </row>
    <row r="28" spans="1:15" x14ac:dyDescent="0.25">
      <c r="A28" s="391"/>
      <c r="B28" s="392" t="s">
        <v>444</v>
      </c>
      <c r="C28" s="393" t="s">
        <v>419</v>
      </c>
      <c r="D28" s="393" t="s">
        <v>419</v>
      </c>
      <c r="E28" s="393">
        <v>18</v>
      </c>
      <c r="F28" s="393">
        <v>57</v>
      </c>
      <c r="G28" s="393">
        <v>90</v>
      </c>
      <c r="H28" s="393">
        <v>60</v>
      </c>
      <c r="J28" s="394"/>
      <c r="K28" s="394"/>
      <c r="L28" s="394">
        <f t="shared" si="1"/>
        <v>0.6</v>
      </c>
      <c r="M28" s="394">
        <f t="shared" si="1"/>
        <v>1.9</v>
      </c>
      <c r="N28" s="394">
        <f t="shared" si="1"/>
        <v>3</v>
      </c>
      <c r="O28" s="394">
        <f t="shared" si="1"/>
        <v>2</v>
      </c>
    </row>
    <row r="29" spans="1:15" x14ac:dyDescent="0.25">
      <c r="A29" s="391"/>
      <c r="B29" s="392" t="s">
        <v>445</v>
      </c>
      <c r="C29" s="393">
        <v>11144</v>
      </c>
      <c r="D29" s="393">
        <v>10072</v>
      </c>
      <c r="E29" s="393">
        <v>10112</v>
      </c>
      <c r="F29" s="393">
        <v>10801</v>
      </c>
      <c r="G29" s="393">
        <v>10938</v>
      </c>
      <c r="H29" s="393">
        <v>10100</v>
      </c>
      <c r="J29" s="394">
        <f t="shared" si="1"/>
        <v>371.46666666666664</v>
      </c>
      <c r="K29" s="394">
        <f t="shared" si="1"/>
        <v>335.73333333333335</v>
      </c>
      <c r="L29" s="394">
        <f t="shared" si="1"/>
        <v>337.06666666666666</v>
      </c>
      <c r="M29" s="394">
        <f t="shared" si="1"/>
        <v>360.03333333333336</v>
      </c>
      <c r="N29" s="394">
        <f t="shared" si="1"/>
        <v>364.6</v>
      </c>
      <c r="O29" s="394">
        <f t="shared" si="1"/>
        <v>336.66666666666669</v>
      </c>
    </row>
    <row r="30" spans="1:15" x14ac:dyDescent="0.25">
      <c r="A30" s="391"/>
      <c r="B30" s="392" t="s">
        <v>446</v>
      </c>
      <c r="C30" s="393">
        <v>30224</v>
      </c>
      <c r="D30" s="393">
        <v>29460</v>
      </c>
      <c r="E30" s="393">
        <v>30220</v>
      </c>
      <c r="F30" s="393">
        <v>29848</v>
      </c>
      <c r="G30" s="393">
        <v>29747</v>
      </c>
      <c r="H30" s="393">
        <v>29460</v>
      </c>
      <c r="J30" s="394">
        <f t="shared" si="1"/>
        <v>1007.4666666666667</v>
      </c>
      <c r="K30" s="394">
        <f t="shared" si="1"/>
        <v>982</v>
      </c>
      <c r="L30" s="394">
        <f t="shared" si="1"/>
        <v>1007.3333333333334</v>
      </c>
      <c r="M30" s="394">
        <f t="shared" si="1"/>
        <v>994.93333333333328</v>
      </c>
      <c r="N30" s="394">
        <f t="shared" si="1"/>
        <v>991.56666666666672</v>
      </c>
      <c r="O30" s="394">
        <f t="shared" si="1"/>
        <v>982</v>
      </c>
    </row>
    <row r="31" spans="1:15" x14ac:dyDescent="0.25">
      <c r="A31" s="391"/>
      <c r="B31" s="392" t="s">
        <v>447</v>
      </c>
      <c r="C31" s="393" t="s">
        <v>419</v>
      </c>
      <c r="D31" s="393" t="s">
        <v>419</v>
      </c>
      <c r="E31" s="393">
        <v>27337</v>
      </c>
      <c r="F31" s="393">
        <v>27420</v>
      </c>
      <c r="G31" s="393">
        <v>27716</v>
      </c>
      <c r="H31" s="393">
        <v>28766</v>
      </c>
      <c r="J31" s="394"/>
      <c r="K31" s="394"/>
      <c r="L31" s="394">
        <f t="shared" si="1"/>
        <v>911.23333333333335</v>
      </c>
      <c r="M31" s="394">
        <f t="shared" si="1"/>
        <v>914</v>
      </c>
      <c r="N31" s="394">
        <f t="shared" si="1"/>
        <v>923.86666666666667</v>
      </c>
      <c r="O31" s="394">
        <f t="shared" si="1"/>
        <v>958.86666666666667</v>
      </c>
    </row>
    <row r="32" spans="1:15" x14ac:dyDescent="0.25">
      <c r="A32" s="391"/>
      <c r="B32" s="392" t="s">
        <v>448</v>
      </c>
      <c r="C32" s="393">
        <v>29769</v>
      </c>
      <c r="D32" s="393">
        <v>31638</v>
      </c>
      <c r="E32" s="393">
        <v>29376</v>
      </c>
      <c r="F32" s="393">
        <v>29601</v>
      </c>
      <c r="G32" s="393">
        <v>30393</v>
      </c>
      <c r="H32" s="393">
        <v>31272</v>
      </c>
      <c r="J32" s="394">
        <f t="shared" si="1"/>
        <v>992.3</v>
      </c>
      <c r="K32" s="394">
        <f t="shared" si="1"/>
        <v>1054.5999999999999</v>
      </c>
      <c r="L32" s="394">
        <f t="shared" si="1"/>
        <v>979.2</v>
      </c>
      <c r="M32" s="394">
        <f t="shared" si="1"/>
        <v>986.7</v>
      </c>
      <c r="N32" s="394">
        <f t="shared" si="1"/>
        <v>1013.1</v>
      </c>
      <c r="O32" s="394">
        <f t="shared" si="1"/>
        <v>1042.4000000000001</v>
      </c>
    </row>
    <row r="33" spans="1:15" x14ac:dyDescent="0.25">
      <c r="A33" s="391"/>
      <c r="B33" s="392" t="s">
        <v>449</v>
      </c>
      <c r="C33" s="393">
        <v>2288</v>
      </c>
      <c r="D33" s="393">
        <v>2611</v>
      </c>
      <c r="E33" s="393">
        <v>2422</v>
      </c>
      <c r="F33" s="393">
        <v>2429</v>
      </c>
      <c r="G33" s="393">
        <v>2360</v>
      </c>
      <c r="H33" s="393">
        <v>2788</v>
      </c>
      <c r="J33" s="394">
        <f t="shared" si="1"/>
        <v>76.266666666666666</v>
      </c>
      <c r="K33" s="394">
        <f t="shared" si="1"/>
        <v>87.033333333333331</v>
      </c>
      <c r="L33" s="394">
        <f t="shared" si="1"/>
        <v>80.733333333333334</v>
      </c>
      <c r="M33" s="394">
        <f t="shared" si="1"/>
        <v>80.966666666666669</v>
      </c>
      <c r="N33" s="394">
        <f t="shared" si="1"/>
        <v>78.666666666666671</v>
      </c>
      <c r="O33" s="394">
        <f t="shared" si="1"/>
        <v>92.933333333333337</v>
      </c>
    </row>
    <row r="34" spans="1:15" x14ac:dyDescent="0.25">
      <c r="A34" s="391"/>
      <c r="B34" s="392" t="s">
        <v>450</v>
      </c>
      <c r="C34" s="393" t="s">
        <v>419</v>
      </c>
      <c r="D34" s="393">
        <v>671</v>
      </c>
      <c r="E34" s="393">
        <v>1046</v>
      </c>
      <c r="F34" s="393">
        <v>1078</v>
      </c>
      <c r="G34" s="393">
        <v>1218</v>
      </c>
      <c r="H34" s="393">
        <v>1219</v>
      </c>
      <c r="J34" s="394"/>
      <c r="K34" s="394">
        <f t="shared" si="1"/>
        <v>22.366666666666667</v>
      </c>
      <c r="L34" s="394">
        <f t="shared" si="1"/>
        <v>34.866666666666667</v>
      </c>
      <c r="M34" s="394">
        <f t="shared" si="1"/>
        <v>35.93333333333333</v>
      </c>
      <c r="N34" s="394">
        <f t="shared" si="1"/>
        <v>40.6</v>
      </c>
      <c r="O34" s="394">
        <f t="shared" si="1"/>
        <v>40.633333333333333</v>
      </c>
    </row>
    <row r="35" spans="1:15" x14ac:dyDescent="0.25">
      <c r="A35" s="391"/>
      <c r="B35" s="392" t="s">
        <v>451</v>
      </c>
      <c r="C35" s="393">
        <v>32733</v>
      </c>
      <c r="D35" s="393">
        <v>32892</v>
      </c>
      <c r="E35" s="393">
        <v>32517</v>
      </c>
      <c r="F35" s="393">
        <v>32563</v>
      </c>
      <c r="G35" s="393">
        <v>32322</v>
      </c>
      <c r="H35" s="393">
        <v>32285</v>
      </c>
      <c r="J35" s="394">
        <f t="shared" si="1"/>
        <v>1091.0999999999999</v>
      </c>
      <c r="K35" s="394">
        <f t="shared" si="1"/>
        <v>1096.4000000000001</v>
      </c>
      <c r="L35" s="394">
        <f t="shared" si="1"/>
        <v>1083.9000000000001</v>
      </c>
      <c r="M35" s="394">
        <f t="shared" si="1"/>
        <v>1085.4333333333334</v>
      </c>
      <c r="N35" s="394">
        <f t="shared" si="1"/>
        <v>1077.4000000000001</v>
      </c>
      <c r="O35" s="394">
        <f t="shared" si="1"/>
        <v>1076.1666666666667</v>
      </c>
    </row>
    <row r="36" spans="1:15" x14ac:dyDescent="0.25">
      <c r="A36" s="391"/>
      <c r="B36" s="392" t="s">
        <v>452</v>
      </c>
      <c r="C36" s="393" t="s">
        <v>419</v>
      </c>
      <c r="D36" s="393" t="s">
        <v>419</v>
      </c>
      <c r="E36" s="393" t="s">
        <v>419</v>
      </c>
      <c r="F36" s="393" t="s">
        <v>419</v>
      </c>
      <c r="G36" s="393" t="s">
        <v>419</v>
      </c>
      <c r="H36" s="393">
        <v>240</v>
      </c>
      <c r="J36" s="394"/>
      <c r="K36" s="394"/>
      <c r="L36" s="394"/>
      <c r="M36" s="394"/>
      <c r="N36" s="394"/>
      <c r="O36" s="394">
        <f t="shared" si="1"/>
        <v>8</v>
      </c>
    </row>
    <row r="37" spans="1:15" x14ac:dyDescent="0.25">
      <c r="A37" s="391"/>
      <c r="B37" s="392" t="s">
        <v>453</v>
      </c>
      <c r="C37" s="393">
        <v>15996</v>
      </c>
      <c r="D37" s="393">
        <v>17301</v>
      </c>
      <c r="E37" s="393">
        <v>17538</v>
      </c>
      <c r="F37" s="393">
        <v>16646</v>
      </c>
      <c r="G37" s="393">
        <v>15133</v>
      </c>
      <c r="H37" s="393">
        <v>13808</v>
      </c>
      <c r="J37" s="394">
        <f t="shared" si="1"/>
        <v>533.20000000000005</v>
      </c>
      <c r="K37" s="394">
        <f t="shared" si="1"/>
        <v>576.70000000000005</v>
      </c>
      <c r="L37" s="394">
        <f t="shared" si="1"/>
        <v>584.6</v>
      </c>
      <c r="M37" s="394">
        <f t="shared" si="1"/>
        <v>554.86666666666667</v>
      </c>
      <c r="N37" s="394">
        <f t="shared" si="1"/>
        <v>504.43333333333334</v>
      </c>
      <c r="O37" s="394">
        <f t="shared" si="1"/>
        <v>460.26666666666665</v>
      </c>
    </row>
    <row r="38" spans="1:15" x14ac:dyDescent="0.25">
      <c r="A38" s="391"/>
      <c r="B38" s="392" t="s">
        <v>454</v>
      </c>
      <c r="C38" s="393">
        <v>21887</v>
      </c>
      <c r="D38" s="393">
        <v>23228</v>
      </c>
      <c r="E38" s="393">
        <v>22838</v>
      </c>
      <c r="F38" s="393">
        <v>21683</v>
      </c>
      <c r="G38" s="393">
        <v>21129</v>
      </c>
      <c r="H38" s="393">
        <v>19233</v>
      </c>
      <c r="J38" s="394">
        <f t="shared" si="1"/>
        <v>729.56666666666672</v>
      </c>
      <c r="K38" s="394">
        <f t="shared" si="1"/>
        <v>774.26666666666665</v>
      </c>
      <c r="L38" s="394">
        <f t="shared" si="1"/>
        <v>761.26666666666665</v>
      </c>
      <c r="M38" s="394">
        <f t="shared" si="1"/>
        <v>722.76666666666665</v>
      </c>
      <c r="N38" s="394">
        <f t="shared" si="1"/>
        <v>704.3</v>
      </c>
      <c r="O38" s="394">
        <f t="shared" si="1"/>
        <v>641.1</v>
      </c>
    </row>
    <row r="39" spans="1:15" x14ac:dyDescent="0.25">
      <c r="A39" s="391"/>
      <c r="B39" s="392" t="s">
        <v>455</v>
      </c>
      <c r="C39" s="393">
        <v>7613</v>
      </c>
      <c r="D39" s="393">
        <v>7557</v>
      </c>
      <c r="E39" s="393">
        <v>7115</v>
      </c>
      <c r="F39" s="393">
        <v>6847</v>
      </c>
      <c r="G39" s="393">
        <v>7018</v>
      </c>
      <c r="H39" s="393">
        <v>7184</v>
      </c>
      <c r="J39" s="394">
        <f t="shared" si="1"/>
        <v>253.76666666666668</v>
      </c>
      <c r="K39" s="394">
        <f t="shared" si="1"/>
        <v>251.9</v>
      </c>
      <c r="L39" s="394">
        <f t="shared" si="1"/>
        <v>237.16666666666666</v>
      </c>
      <c r="M39" s="394">
        <f t="shared" si="1"/>
        <v>228.23333333333332</v>
      </c>
      <c r="N39" s="394">
        <f t="shared" si="1"/>
        <v>233.93333333333334</v>
      </c>
      <c r="O39" s="394">
        <f t="shared" si="1"/>
        <v>239.46666666666667</v>
      </c>
    </row>
    <row r="40" spans="1:15" x14ac:dyDescent="0.25">
      <c r="A40" s="391"/>
      <c r="B40" s="392" t="s">
        <v>456</v>
      </c>
      <c r="C40" s="393">
        <v>6450</v>
      </c>
      <c r="D40" s="393">
        <v>6455</v>
      </c>
      <c r="E40" s="393">
        <v>6354</v>
      </c>
      <c r="F40" s="393">
        <v>5930</v>
      </c>
      <c r="G40" s="393">
        <v>5543</v>
      </c>
      <c r="H40" s="393">
        <v>5068</v>
      </c>
      <c r="J40" s="394">
        <f t="shared" si="1"/>
        <v>215</v>
      </c>
      <c r="K40" s="394">
        <f t="shared" si="1"/>
        <v>215.16666666666666</v>
      </c>
      <c r="L40" s="394">
        <f t="shared" si="1"/>
        <v>211.8</v>
      </c>
      <c r="M40" s="394">
        <f t="shared" si="1"/>
        <v>197.66666666666666</v>
      </c>
      <c r="N40" s="394">
        <f t="shared" si="1"/>
        <v>184.76666666666668</v>
      </c>
      <c r="O40" s="394">
        <f t="shared" si="1"/>
        <v>168.93333333333334</v>
      </c>
    </row>
    <row r="41" spans="1:15" x14ac:dyDescent="0.25">
      <c r="A41" s="391"/>
      <c r="B41" s="392" t="s">
        <v>457</v>
      </c>
      <c r="C41" s="393">
        <v>21064</v>
      </c>
      <c r="D41" s="393">
        <v>21617</v>
      </c>
      <c r="E41" s="393">
        <v>20394</v>
      </c>
      <c r="F41" s="393">
        <v>20003</v>
      </c>
      <c r="G41" s="393">
        <v>20423</v>
      </c>
      <c r="H41" s="393">
        <v>19197</v>
      </c>
      <c r="J41" s="394">
        <f t="shared" si="1"/>
        <v>702.13333333333333</v>
      </c>
      <c r="K41" s="394">
        <f t="shared" si="1"/>
        <v>720.56666666666672</v>
      </c>
      <c r="L41" s="394">
        <f t="shared" si="1"/>
        <v>679.8</v>
      </c>
      <c r="M41" s="394">
        <f t="shared" si="1"/>
        <v>666.76666666666665</v>
      </c>
      <c r="N41" s="394">
        <f t="shared" si="1"/>
        <v>680.76666666666665</v>
      </c>
      <c r="O41" s="394">
        <f t="shared" si="1"/>
        <v>639.9</v>
      </c>
    </row>
    <row r="42" spans="1:15" x14ac:dyDescent="0.25">
      <c r="A42" s="391"/>
      <c r="B42" s="392" t="s">
        <v>458</v>
      </c>
      <c r="C42" s="393">
        <v>2256</v>
      </c>
      <c r="D42" s="393">
        <v>2199</v>
      </c>
      <c r="E42" s="393">
        <v>600</v>
      </c>
      <c r="F42" s="393">
        <v>969</v>
      </c>
      <c r="G42" s="393">
        <v>939</v>
      </c>
      <c r="H42" s="393">
        <v>849</v>
      </c>
      <c r="J42" s="394">
        <f t="shared" si="1"/>
        <v>75.2</v>
      </c>
      <c r="K42" s="394">
        <f t="shared" si="1"/>
        <v>73.3</v>
      </c>
      <c r="L42" s="394">
        <f t="shared" si="1"/>
        <v>20</v>
      </c>
      <c r="M42" s="394">
        <f t="shared" si="1"/>
        <v>32.299999999999997</v>
      </c>
      <c r="N42" s="394">
        <f t="shared" si="1"/>
        <v>31.3</v>
      </c>
      <c r="O42" s="394">
        <f t="shared" si="1"/>
        <v>28.3</v>
      </c>
    </row>
    <row r="43" spans="1:15" x14ac:dyDescent="0.25">
      <c r="A43" s="391"/>
      <c r="B43" s="392" t="s">
        <v>459</v>
      </c>
      <c r="C43" s="393">
        <v>16099</v>
      </c>
      <c r="D43" s="393">
        <v>18199</v>
      </c>
      <c r="E43" s="393">
        <v>19674</v>
      </c>
      <c r="F43" s="393">
        <v>21181</v>
      </c>
      <c r="G43" s="393">
        <v>22646</v>
      </c>
      <c r="H43" s="393">
        <v>22991</v>
      </c>
      <c r="J43" s="394">
        <f t="shared" si="1"/>
        <v>536.63333333333333</v>
      </c>
      <c r="K43" s="394">
        <f t="shared" si="1"/>
        <v>606.63333333333333</v>
      </c>
      <c r="L43" s="394">
        <f t="shared" si="1"/>
        <v>655.8</v>
      </c>
      <c r="M43" s="394">
        <f t="shared" si="1"/>
        <v>706.0333333333333</v>
      </c>
      <c r="N43" s="394">
        <f t="shared" si="1"/>
        <v>754.86666666666667</v>
      </c>
      <c r="O43" s="394">
        <f t="shared" si="1"/>
        <v>766.36666666666667</v>
      </c>
    </row>
    <row r="44" spans="1:15" x14ac:dyDescent="0.25">
      <c r="A44" s="391"/>
      <c r="B44" s="392" t="s">
        <v>460</v>
      </c>
      <c r="C44" s="393">
        <v>31555</v>
      </c>
      <c r="D44" s="393">
        <v>31610</v>
      </c>
      <c r="E44" s="393">
        <v>29552</v>
      </c>
      <c r="F44" s="393">
        <v>30534</v>
      </c>
      <c r="G44" s="393">
        <v>31164</v>
      </c>
      <c r="H44" s="393">
        <v>30199</v>
      </c>
      <c r="J44" s="394">
        <f t="shared" si="1"/>
        <v>1051.8333333333333</v>
      </c>
      <c r="K44" s="394">
        <f t="shared" si="1"/>
        <v>1053.6666666666667</v>
      </c>
      <c r="L44" s="394">
        <f t="shared" si="1"/>
        <v>985.06666666666672</v>
      </c>
      <c r="M44" s="394">
        <f t="shared" si="1"/>
        <v>1017.8</v>
      </c>
      <c r="N44" s="394">
        <f t="shared" si="1"/>
        <v>1038.8</v>
      </c>
      <c r="O44" s="394">
        <f t="shared" si="1"/>
        <v>1006.6333333333333</v>
      </c>
    </row>
    <row r="45" spans="1:15" x14ac:dyDescent="0.25">
      <c r="A45" s="391"/>
      <c r="B45" s="392" t="s">
        <v>461</v>
      </c>
      <c r="C45" s="393">
        <v>13094</v>
      </c>
      <c r="D45" s="393">
        <v>12959</v>
      </c>
      <c r="E45" s="393">
        <v>13815</v>
      </c>
      <c r="F45" s="393">
        <v>13049</v>
      </c>
      <c r="G45" s="393">
        <v>13100</v>
      </c>
      <c r="H45" s="393">
        <v>13025</v>
      </c>
      <c r="J45" s="394">
        <f t="shared" si="1"/>
        <v>436.46666666666664</v>
      </c>
      <c r="K45" s="394">
        <f t="shared" si="1"/>
        <v>431.96666666666664</v>
      </c>
      <c r="L45" s="394">
        <f t="shared" si="1"/>
        <v>460.5</v>
      </c>
      <c r="M45" s="394">
        <f t="shared" si="1"/>
        <v>434.96666666666664</v>
      </c>
      <c r="N45" s="394">
        <f t="shared" si="1"/>
        <v>436.66666666666669</v>
      </c>
      <c r="O45" s="394">
        <f t="shared" si="1"/>
        <v>434.16666666666669</v>
      </c>
    </row>
    <row r="46" spans="1:15" x14ac:dyDescent="0.25">
      <c r="A46" s="391"/>
      <c r="B46" s="392" t="s">
        <v>462</v>
      </c>
      <c r="C46" s="393">
        <v>12051</v>
      </c>
      <c r="D46" s="393">
        <v>12208</v>
      </c>
      <c r="E46" s="393">
        <v>12450</v>
      </c>
      <c r="F46" s="393">
        <v>12189</v>
      </c>
      <c r="G46" s="393">
        <v>11688</v>
      </c>
      <c r="H46" s="393">
        <v>11110</v>
      </c>
      <c r="J46" s="394">
        <f t="shared" si="1"/>
        <v>401.7</v>
      </c>
      <c r="K46" s="394">
        <f t="shared" si="1"/>
        <v>406.93333333333334</v>
      </c>
      <c r="L46" s="394">
        <f t="shared" si="1"/>
        <v>415</v>
      </c>
      <c r="M46" s="394">
        <f t="shared" si="1"/>
        <v>406.3</v>
      </c>
      <c r="N46" s="394">
        <f t="shared" si="1"/>
        <v>389.6</v>
      </c>
      <c r="O46" s="394">
        <f t="shared" si="1"/>
        <v>370.33333333333331</v>
      </c>
    </row>
    <row r="47" spans="1:15" x14ac:dyDescent="0.25">
      <c r="A47" s="391"/>
      <c r="B47" s="392" t="s">
        <v>463</v>
      </c>
      <c r="C47" s="393">
        <v>9435</v>
      </c>
      <c r="D47" s="393">
        <v>10131</v>
      </c>
      <c r="E47" s="393">
        <v>10887</v>
      </c>
      <c r="F47" s="393">
        <v>11924</v>
      </c>
      <c r="G47" s="393">
        <v>11796</v>
      </c>
      <c r="H47" s="393">
        <v>12549</v>
      </c>
      <c r="J47" s="394">
        <f t="shared" si="1"/>
        <v>314.5</v>
      </c>
      <c r="K47" s="394">
        <f t="shared" si="1"/>
        <v>337.7</v>
      </c>
      <c r="L47" s="394">
        <f t="shared" si="1"/>
        <v>362.9</v>
      </c>
      <c r="M47" s="394">
        <f t="shared" si="1"/>
        <v>397.46666666666664</v>
      </c>
      <c r="N47" s="394">
        <f t="shared" si="1"/>
        <v>393.2</v>
      </c>
      <c r="O47" s="394">
        <f t="shared" si="1"/>
        <v>418.3</v>
      </c>
    </row>
    <row r="48" spans="1:15" x14ac:dyDescent="0.25">
      <c r="A48" s="391"/>
      <c r="B48" s="392" t="s">
        <v>464</v>
      </c>
      <c r="C48" s="393">
        <v>10181</v>
      </c>
      <c r="D48" s="393">
        <v>9698</v>
      </c>
      <c r="E48" s="393">
        <v>9836</v>
      </c>
      <c r="F48" s="393">
        <v>8765</v>
      </c>
      <c r="G48" s="393">
        <v>7690</v>
      </c>
      <c r="H48" s="393">
        <v>7123</v>
      </c>
      <c r="J48" s="394">
        <f t="shared" si="1"/>
        <v>339.36666666666667</v>
      </c>
      <c r="K48" s="394">
        <f t="shared" si="1"/>
        <v>323.26666666666665</v>
      </c>
      <c r="L48" s="394">
        <f t="shared" si="1"/>
        <v>327.86666666666667</v>
      </c>
      <c r="M48" s="394">
        <f t="shared" si="1"/>
        <v>292.16666666666669</v>
      </c>
      <c r="N48" s="394">
        <f t="shared" si="1"/>
        <v>256.33333333333331</v>
      </c>
      <c r="O48" s="394">
        <f t="shared" si="1"/>
        <v>237.43333333333334</v>
      </c>
    </row>
    <row r="49" spans="1:15" x14ac:dyDescent="0.25">
      <c r="A49" s="391"/>
      <c r="B49" s="392" t="s">
        <v>465</v>
      </c>
      <c r="C49" s="393">
        <v>31640</v>
      </c>
      <c r="D49" s="393">
        <v>32536</v>
      </c>
      <c r="E49" s="393">
        <v>33337</v>
      </c>
      <c r="F49" s="393">
        <v>34401</v>
      </c>
      <c r="G49" s="393">
        <v>32919</v>
      </c>
      <c r="H49" s="393">
        <v>31369</v>
      </c>
      <c r="J49" s="394">
        <f t="shared" si="1"/>
        <v>1054.6666666666667</v>
      </c>
      <c r="K49" s="394">
        <f t="shared" si="1"/>
        <v>1084.5333333333333</v>
      </c>
      <c r="L49" s="394">
        <f t="shared" si="1"/>
        <v>1111.2333333333333</v>
      </c>
      <c r="M49" s="394">
        <f t="shared" si="1"/>
        <v>1146.7</v>
      </c>
      <c r="N49" s="394">
        <f t="shared" si="1"/>
        <v>1097.3</v>
      </c>
      <c r="O49" s="394">
        <f t="shared" si="1"/>
        <v>1045.6333333333334</v>
      </c>
    </row>
    <row r="50" spans="1:15" x14ac:dyDescent="0.25">
      <c r="A50" s="391"/>
      <c r="B50" s="392" t="s">
        <v>466</v>
      </c>
      <c r="C50" s="393">
        <v>1080</v>
      </c>
      <c r="D50" s="393">
        <v>1391</v>
      </c>
      <c r="E50" s="393">
        <v>1889</v>
      </c>
      <c r="F50" s="393">
        <v>1481</v>
      </c>
      <c r="G50" s="393">
        <v>1552</v>
      </c>
      <c r="H50" s="393">
        <v>1773</v>
      </c>
      <c r="J50" s="394">
        <f t="shared" si="1"/>
        <v>36</v>
      </c>
      <c r="K50" s="394">
        <f t="shared" si="1"/>
        <v>46.366666666666667</v>
      </c>
      <c r="L50" s="394">
        <f t="shared" si="1"/>
        <v>62.966666666666669</v>
      </c>
      <c r="M50" s="394">
        <f t="shared" si="1"/>
        <v>49.366666666666667</v>
      </c>
      <c r="N50" s="394">
        <f t="shared" si="1"/>
        <v>51.733333333333334</v>
      </c>
      <c r="O50" s="394">
        <f t="shared" si="1"/>
        <v>59.1</v>
      </c>
    </row>
    <row r="51" spans="1:15" x14ac:dyDescent="0.25">
      <c r="A51" s="391"/>
      <c r="B51" s="392" t="s">
        <v>467</v>
      </c>
      <c r="C51" s="393">
        <v>15562</v>
      </c>
      <c r="D51" s="393">
        <v>15159</v>
      </c>
      <c r="E51" s="393">
        <v>15883</v>
      </c>
      <c r="F51" s="393">
        <v>15347</v>
      </c>
      <c r="G51" s="393">
        <v>14748</v>
      </c>
      <c r="H51" s="393">
        <v>15436</v>
      </c>
      <c r="J51" s="394">
        <f t="shared" si="1"/>
        <v>518.73333333333335</v>
      </c>
      <c r="K51" s="394">
        <f t="shared" si="1"/>
        <v>505.3</v>
      </c>
      <c r="L51" s="394">
        <f t="shared" si="1"/>
        <v>529.43333333333328</v>
      </c>
      <c r="M51" s="394">
        <f t="shared" si="1"/>
        <v>511.56666666666666</v>
      </c>
      <c r="N51" s="394">
        <f t="shared" si="1"/>
        <v>491.6</v>
      </c>
      <c r="O51" s="394">
        <f t="shared" si="1"/>
        <v>514.5333333333333</v>
      </c>
    </row>
    <row r="52" spans="1:15" x14ac:dyDescent="0.25">
      <c r="A52" s="391"/>
      <c r="B52" s="392" t="s">
        <v>468</v>
      </c>
      <c r="C52" s="393" t="s">
        <v>419</v>
      </c>
      <c r="D52" s="393" t="s">
        <v>419</v>
      </c>
      <c r="E52" s="393">
        <v>1696</v>
      </c>
      <c r="F52" s="393">
        <v>1973</v>
      </c>
      <c r="G52" s="393">
        <v>1467</v>
      </c>
      <c r="H52" s="393">
        <v>1152</v>
      </c>
      <c r="J52" s="394"/>
      <c r="K52" s="394"/>
      <c r="L52" s="394">
        <f t="shared" si="1"/>
        <v>56.533333333333331</v>
      </c>
      <c r="M52" s="394">
        <f t="shared" si="1"/>
        <v>65.766666666666666</v>
      </c>
      <c r="N52" s="394">
        <f t="shared" si="1"/>
        <v>48.9</v>
      </c>
      <c r="O52" s="394">
        <f t="shared" si="1"/>
        <v>38.4</v>
      </c>
    </row>
    <row r="53" spans="1:15" x14ac:dyDescent="0.25">
      <c r="A53" s="391"/>
      <c r="B53" s="392" t="s">
        <v>469</v>
      </c>
      <c r="C53" s="393">
        <v>13745</v>
      </c>
      <c r="D53" s="393">
        <v>13913</v>
      </c>
      <c r="E53" s="393">
        <v>14368</v>
      </c>
      <c r="F53" s="393">
        <v>15214</v>
      </c>
      <c r="G53" s="393">
        <v>15550</v>
      </c>
      <c r="H53" s="393">
        <v>15579</v>
      </c>
      <c r="J53" s="394">
        <f t="shared" si="1"/>
        <v>458.16666666666669</v>
      </c>
      <c r="K53" s="394">
        <f t="shared" si="1"/>
        <v>463.76666666666665</v>
      </c>
      <c r="L53" s="394">
        <f t="shared" si="1"/>
        <v>478.93333333333334</v>
      </c>
      <c r="M53" s="394">
        <f t="shared" si="1"/>
        <v>507.13333333333333</v>
      </c>
      <c r="N53" s="394">
        <f t="shared" si="1"/>
        <v>518.33333333333337</v>
      </c>
      <c r="O53" s="394">
        <f t="shared" si="1"/>
        <v>519.29999999999995</v>
      </c>
    </row>
    <row r="54" spans="1:15" x14ac:dyDescent="0.25">
      <c r="A54" s="391"/>
      <c r="B54" s="392" t="s">
        <v>470</v>
      </c>
      <c r="C54" s="393">
        <v>24824</v>
      </c>
      <c r="D54" s="393">
        <v>24919</v>
      </c>
      <c r="E54" s="393">
        <v>24070</v>
      </c>
      <c r="F54" s="393">
        <v>19705</v>
      </c>
      <c r="G54" s="393">
        <v>19454</v>
      </c>
      <c r="H54" s="393">
        <v>19365</v>
      </c>
      <c r="J54" s="394">
        <f t="shared" si="1"/>
        <v>827.4666666666667</v>
      </c>
      <c r="K54" s="394">
        <f t="shared" si="1"/>
        <v>830.63333333333333</v>
      </c>
      <c r="L54" s="394">
        <f t="shared" si="1"/>
        <v>802.33333333333337</v>
      </c>
      <c r="M54" s="394">
        <f t="shared" si="1"/>
        <v>656.83333333333337</v>
      </c>
      <c r="N54" s="394">
        <f t="shared" si="1"/>
        <v>648.4666666666667</v>
      </c>
      <c r="O54" s="394">
        <f t="shared" si="1"/>
        <v>645.5</v>
      </c>
    </row>
    <row r="55" spans="1:15" x14ac:dyDescent="0.25">
      <c r="A55" s="395" t="s">
        <v>60</v>
      </c>
      <c r="B55" s="396"/>
      <c r="C55" s="393">
        <v>45258</v>
      </c>
      <c r="D55" s="393">
        <v>43504</v>
      </c>
      <c r="E55" s="393">
        <v>40106</v>
      </c>
      <c r="F55" s="393">
        <v>40779</v>
      </c>
      <c r="G55" s="393">
        <v>37987</v>
      </c>
      <c r="H55" s="393">
        <v>33928</v>
      </c>
      <c r="J55" s="394">
        <f t="shared" si="1"/>
        <v>1508.6</v>
      </c>
      <c r="K55" s="394">
        <f t="shared" si="1"/>
        <v>1450.1333333333334</v>
      </c>
      <c r="L55" s="394">
        <f t="shared" si="1"/>
        <v>1336.8666666666666</v>
      </c>
      <c r="M55" s="394">
        <f t="shared" si="1"/>
        <v>1359.3</v>
      </c>
      <c r="N55" s="394">
        <f t="shared" si="1"/>
        <v>1266.2333333333333</v>
      </c>
      <c r="O55" s="394">
        <f t="shared" si="1"/>
        <v>1130.9333333333334</v>
      </c>
    </row>
    <row r="56" spans="1:15" x14ac:dyDescent="0.25">
      <c r="A56" s="397" t="s">
        <v>64</v>
      </c>
      <c r="B56" s="398"/>
      <c r="C56" s="393">
        <v>13079</v>
      </c>
      <c r="D56" s="393">
        <v>13460</v>
      </c>
      <c r="E56" s="393">
        <v>12777</v>
      </c>
      <c r="F56" s="393">
        <v>10626</v>
      </c>
      <c r="G56" s="393">
        <v>13135</v>
      </c>
      <c r="H56" s="393">
        <v>11067</v>
      </c>
      <c r="J56" s="394">
        <f t="shared" si="1"/>
        <v>435.96666666666664</v>
      </c>
      <c r="K56" s="394">
        <f t="shared" si="1"/>
        <v>448.66666666666669</v>
      </c>
      <c r="L56" s="394">
        <f t="shared" si="1"/>
        <v>425.9</v>
      </c>
      <c r="M56" s="394">
        <f t="shared" si="1"/>
        <v>354.2</v>
      </c>
      <c r="N56" s="394">
        <f t="shared" si="1"/>
        <v>437.83333333333331</v>
      </c>
      <c r="O56" s="394">
        <f t="shared" si="1"/>
        <v>368.9</v>
      </c>
    </row>
    <row r="57" spans="1:15" x14ac:dyDescent="0.25">
      <c r="A57" s="391" t="s">
        <v>471</v>
      </c>
      <c r="B57" s="392" t="s">
        <v>472</v>
      </c>
      <c r="C57" s="393">
        <v>12018</v>
      </c>
      <c r="D57" s="393">
        <v>13105</v>
      </c>
      <c r="E57" s="393">
        <v>13662</v>
      </c>
      <c r="F57" s="393">
        <v>14224</v>
      </c>
      <c r="G57" s="393">
        <v>14978</v>
      </c>
      <c r="H57" s="393">
        <v>15551</v>
      </c>
      <c r="J57" s="394">
        <f t="shared" si="1"/>
        <v>400.6</v>
      </c>
      <c r="K57" s="394">
        <f t="shared" si="1"/>
        <v>436.83333333333331</v>
      </c>
      <c r="L57" s="394">
        <f t="shared" si="1"/>
        <v>455.4</v>
      </c>
      <c r="M57" s="394">
        <f t="shared" si="1"/>
        <v>474.13333333333333</v>
      </c>
      <c r="N57" s="394">
        <f t="shared" si="1"/>
        <v>499.26666666666665</v>
      </c>
      <c r="O57" s="394">
        <f t="shared" si="1"/>
        <v>518.36666666666667</v>
      </c>
    </row>
    <row r="58" spans="1:15" x14ac:dyDescent="0.25">
      <c r="A58" s="391"/>
      <c r="B58" s="392" t="s">
        <v>473</v>
      </c>
      <c r="C58" s="393">
        <v>7165</v>
      </c>
      <c r="D58" s="393">
        <v>7333</v>
      </c>
      <c r="E58" s="393">
        <v>7535</v>
      </c>
      <c r="F58" s="393">
        <v>8012</v>
      </c>
      <c r="G58" s="393">
        <v>8802</v>
      </c>
      <c r="H58" s="393">
        <v>10168</v>
      </c>
      <c r="J58" s="394">
        <f t="shared" si="1"/>
        <v>238.83333333333334</v>
      </c>
      <c r="K58" s="394">
        <f t="shared" si="1"/>
        <v>244.43333333333334</v>
      </c>
      <c r="L58" s="394">
        <f t="shared" si="1"/>
        <v>251.16666666666666</v>
      </c>
      <c r="M58" s="394">
        <f t="shared" si="1"/>
        <v>267.06666666666666</v>
      </c>
      <c r="N58" s="394">
        <f t="shared" si="1"/>
        <v>293.39999999999998</v>
      </c>
      <c r="O58" s="394">
        <f t="shared" si="1"/>
        <v>338.93333333333334</v>
      </c>
    </row>
    <row r="59" spans="1:15" x14ac:dyDescent="0.25">
      <c r="A59" s="391"/>
      <c r="B59" s="392" t="s">
        <v>474</v>
      </c>
      <c r="C59" s="393">
        <v>1263</v>
      </c>
      <c r="D59" s="393">
        <v>1122</v>
      </c>
      <c r="E59" s="393">
        <v>1039</v>
      </c>
      <c r="F59" s="393">
        <v>1277</v>
      </c>
      <c r="G59" s="393">
        <v>1239</v>
      </c>
      <c r="H59" s="393">
        <v>1204</v>
      </c>
      <c r="J59" s="394">
        <f t="shared" si="1"/>
        <v>42.1</v>
      </c>
      <c r="K59" s="394">
        <f t="shared" si="1"/>
        <v>37.4</v>
      </c>
      <c r="L59" s="394">
        <f t="shared" si="1"/>
        <v>34.633333333333333</v>
      </c>
      <c r="M59" s="394">
        <f t="shared" si="1"/>
        <v>42.56666666666667</v>
      </c>
      <c r="N59" s="394">
        <f t="shared" si="1"/>
        <v>41.3</v>
      </c>
      <c r="O59" s="394">
        <f t="shared" si="1"/>
        <v>40.133333333333333</v>
      </c>
    </row>
    <row r="60" spans="1:15" x14ac:dyDescent="0.25">
      <c r="A60" s="391" t="s">
        <v>58</v>
      </c>
      <c r="B60" s="392" t="s">
        <v>475</v>
      </c>
      <c r="C60" s="393">
        <v>14718</v>
      </c>
      <c r="D60" s="393">
        <v>15015</v>
      </c>
      <c r="E60" s="393">
        <v>14994</v>
      </c>
      <c r="F60" s="393">
        <v>14606</v>
      </c>
      <c r="G60" s="393">
        <v>14186</v>
      </c>
      <c r="H60" s="393">
        <v>14876</v>
      </c>
      <c r="J60" s="394">
        <f t="shared" si="1"/>
        <v>490.6</v>
      </c>
      <c r="K60" s="394">
        <f t="shared" si="1"/>
        <v>500.5</v>
      </c>
      <c r="L60" s="394">
        <f t="shared" si="1"/>
        <v>499.8</v>
      </c>
      <c r="M60" s="394">
        <f t="shared" si="1"/>
        <v>486.86666666666667</v>
      </c>
      <c r="N60" s="394">
        <f t="shared" si="1"/>
        <v>472.86666666666667</v>
      </c>
      <c r="O60" s="394">
        <f t="shared" si="1"/>
        <v>495.86666666666667</v>
      </c>
    </row>
    <row r="61" spans="1:15" x14ac:dyDescent="0.25">
      <c r="A61" s="391"/>
      <c r="B61" s="392" t="s">
        <v>476</v>
      </c>
      <c r="C61" s="393">
        <v>12661</v>
      </c>
      <c r="D61" s="393">
        <v>12997</v>
      </c>
      <c r="E61" s="393">
        <v>13047</v>
      </c>
      <c r="F61" s="393">
        <v>13124</v>
      </c>
      <c r="G61" s="393">
        <v>13221</v>
      </c>
      <c r="H61" s="393">
        <v>13462</v>
      </c>
      <c r="J61" s="394">
        <f t="shared" si="1"/>
        <v>422.03333333333336</v>
      </c>
      <c r="K61" s="394">
        <f t="shared" si="1"/>
        <v>433.23333333333335</v>
      </c>
      <c r="L61" s="394">
        <f t="shared" si="1"/>
        <v>434.9</v>
      </c>
      <c r="M61" s="394">
        <f t="shared" si="1"/>
        <v>437.46666666666664</v>
      </c>
      <c r="N61" s="394">
        <f t="shared" si="1"/>
        <v>440.7</v>
      </c>
      <c r="O61" s="394">
        <f t="shared" si="1"/>
        <v>448.73333333333335</v>
      </c>
    </row>
    <row r="62" spans="1:15" x14ac:dyDescent="0.25">
      <c r="A62" s="391"/>
      <c r="B62" s="392" t="s">
        <v>477</v>
      </c>
      <c r="C62" s="393" t="s">
        <v>419</v>
      </c>
      <c r="D62" s="393" t="s">
        <v>419</v>
      </c>
      <c r="E62" s="393">
        <v>195</v>
      </c>
      <c r="F62" s="393">
        <v>213</v>
      </c>
      <c r="G62" s="393">
        <v>282</v>
      </c>
      <c r="H62" s="393">
        <v>306</v>
      </c>
      <c r="J62" s="394"/>
      <c r="K62" s="394"/>
      <c r="L62" s="394">
        <f t="shared" ref="L62:O125" si="2">E62/30</f>
        <v>6.5</v>
      </c>
      <c r="M62" s="394">
        <f t="shared" si="2"/>
        <v>7.1</v>
      </c>
      <c r="N62" s="394">
        <f t="shared" si="2"/>
        <v>9.4</v>
      </c>
      <c r="O62" s="394">
        <f t="shared" si="2"/>
        <v>10.199999999999999</v>
      </c>
    </row>
    <row r="63" spans="1:15" x14ac:dyDescent="0.25">
      <c r="A63" s="391"/>
      <c r="B63" s="392" t="s">
        <v>478</v>
      </c>
      <c r="C63" s="393">
        <v>7695</v>
      </c>
      <c r="D63" s="393">
        <v>8173</v>
      </c>
      <c r="E63" s="393">
        <v>7839</v>
      </c>
      <c r="F63" s="393">
        <v>8048</v>
      </c>
      <c r="G63" s="393">
        <v>7800</v>
      </c>
      <c r="H63" s="393">
        <v>7751</v>
      </c>
      <c r="J63" s="394">
        <f t="shared" ref="J63:K126" si="3">C63/30</f>
        <v>256.5</v>
      </c>
      <c r="K63" s="394">
        <f t="shared" si="3"/>
        <v>272.43333333333334</v>
      </c>
      <c r="L63" s="394">
        <f t="shared" si="2"/>
        <v>261.3</v>
      </c>
      <c r="M63" s="394">
        <f t="shared" si="2"/>
        <v>268.26666666666665</v>
      </c>
      <c r="N63" s="394">
        <f t="shared" si="2"/>
        <v>260</v>
      </c>
      <c r="O63" s="394">
        <f t="shared" si="2"/>
        <v>258.36666666666667</v>
      </c>
    </row>
    <row r="64" spans="1:15" x14ac:dyDescent="0.25">
      <c r="A64" s="391"/>
      <c r="B64" s="392" t="s">
        <v>479</v>
      </c>
      <c r="C64" s="393" t="s">
        <v>419</v>
      </c>
      <c r="D64" s="393" t="s">
        <v>419</v>
      </c>
      <c r="E64" s="393" t="s">
        <v>419</v>
      </c>
      <c r="F64" s="393">
        <v>432</v>
      </c>
      <c r="G64" s="393">
        <v>648</v>
      </c>
      <c r="H64" s="393">
        <v>528</v>
      </c>
      <c r="J64" s="394"/>
      <c r="K64" s="394"/>
      <c r="L64" s="394"/>
      <c r="M64" s="394">
        <f t="shared" si="2"/>
        <v>14.4</v>
      </c>
      <c r="N64" s="394">
        <f t="shared" si="2"/>
        <v>21.6</v>
      </c>
      <c r="O64" s="394">
        <f t="shared" si="2"/>
        <v>17.600000000000001</v>
      </c>
    </row>
    <row r="65" spans="1:16" x14ac:dyDescent="0.25">
      <c r="A65" s="391"/>
      <c r="B65" s="392" t="s">
        <v>480</v>
      </c>
      <c r="C65" s="393">
        <v>25307</v>
      </c>
      <c r="D65" s="393">
        <v>25043</v>
      </c>
      <c r="E65" s="393">
        <v>24376</v>
      </c>
      <c r="F65" s="393">
        <v>23699</v>
      </c>
      <c r="G65" s="393">
        <v>24341</v>
      </c>
      <c r="H65" s="393">
        <v>24222</v>
      </c>
      <c r="J65" s="394">
        <f t="shared" si="3"/>
        <v>843.56666666666672</v>
      </c>
      <c r="K65" s="394">
        <f t="shared" si="3"/>
        <v>834.76666666666665</v>
      </c>
      <c r="L65" s="394">
        <f t="shared" si="2"/>
        <v>812.5333333333333</v>
      </c>
      <c r="M65" s="394">
        <f t="shared" si="2"/>
        <v>789.9666666666667</v>
      </c>
      <c r="N65" s="394">
        <f t="shared" si="2"/>
        <v>811.36666666666667</v>
      </c>
      <c r="O65" s="394">
        <f t="shared" si="2"/>
        <v>807.4</v>
      </c>
    </row>
    <row r="66" spans="1:16" x14ac:dyDescent="0.25">
      <c r="A66" s="391"/>
      <c r="B66" s="392" t="s">
        <v>481</v>
      </c>
      <c r="C66" s="393">
        <v>10179</v>
      </c>
      <c r="D66" s="393">
        <v>10743</v>
      </c>
      <c r="E66" s="393">
        <v>9807</v>
      </c>
      <c r="F66" s="393">
        <v>9738</v>
      </c>
      <c r="G66" s="393">
        <v>9347</v>
      </c>
      <c r="H66" s="393">
        <v>9505</v>
      </c>
      <c r="J66" s="394">
        <f t="shared" si="3"/>
        <v>339.3</v>
      </c>
      <c r="K66" s="394">
        <f t="shared" si="3"/>
        <v>358.1</v>
      </c>
      <c r="L66" s="394">
        <f t="shared" si="2"/>
        <v>326.89999999999998</v>
      </c>
      <c r="M66" s="394">
        <f t="shared" si="2"/>
        <v>324.60000000000002</v>
      </c>
      <c r="N66" s="394">
        <f t="shared" si="2"/>
        <v>311.56666666666666</v>
      </c>
      <c r="O66" s="394">
        <f t="shared" si="2"/>
        <v>316.83333333333331</v>
      </c>
    </row>
    <row r="67" spans="1:16" x14ac:dyDescent="0.25">
      <c r="J67" s="394">
        <f t="shared" ref="J67:N67" si="4">SUM(J2:J66)</f>
        <v>20936.166666666661</v>
      </c>
      <c r="K67" s="394">
        <f t="shared" si="4"/>
        <v>21544.666666666672</v>
      </c>
      <c r="L67" s="394">
        <f t="shared" si="4"/>
        <v>21761.233333333334</v>
      </c>
      <c r="M67" s="394">
        <f t="shared" si="4"/>
        <v>21701.333333333328</v>
      </c>
      <c r="N67" s="394">
        <f t="shared" si="4"/>
        <v>21777.199999999993</v>
      </c>
      <c r="O67" s="394">
        <f>SUM(O2:O66)</f>
        <v>21671.466666666664</v>
      </c>
      <c r="P67" s="390" t="s">
        <v>270</v>
      </c>
    </row>
  </sheetData>
  <mergeCells count="9">
    <mergeCell ref="A56:B56"/>
    <mergeCell ref="A57:A59"/>
    <mergeCell ref="A60:A66"/>
    <mergeCell ref="A1:B1"/>
    <mergeCell ref="A2:A13"/>
    <mergeCell ref="A14:A17"/>
    <mergeCell ref="A18:A26"/>
    <mergeCell ref="A27:A54"/>
    <mergeCell ref="A55:B55"/>
  </mergeCells>
  <pageMargins left="0.7" right="0.7" top="0.75" bottom="0.75" header="0.3" footer="0.3"/>
  <pageSetup scale="71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L25"/>
  <sheetViews>
    <sheetView topLeftCell="A8" zoomScale="80" zoomScaleNormal="80" workbookViewId="0">
      <selection activeCell="AK27" sqref="AK27"/>
    </sheetView>
  </sheetViews>
  <sheetFormatPr defaultRowHeight="15" x14ac:dyDescent="0.2"/>
  <cols>
    <col min="2" max="2" width="11.33203125" customWidth="1"/>
  </cols>
  <sheetData>
    <row r="2" spans="1:38" x14ac:dyDescent="0.2">
      <c r="C2" s="315">
        <v>77</v>
      </c>
      <c r="D2" s="315">
        <v>78</v>
      </c>
      <c r="E2" s="315">
        <v>79</v>
      </c>
      <c r="F2" s="315">
        <v>80</v>
      </c>
      <c r="G2" s="315">
        <v>81</v>
      </c>
      <c r="H2" s="315">
        <v>82</v>
      </c>
      <c r="I2" s="315">
        <v>83</v>
      </c>
      <c r="J2" s="315">
        <v>84</v>
      </c>
      <c r="K2" s="315">
        <v>85</v>
      </c>
      <c r="L2" s="315">
        <v>86</v>
      </c>
      <c r="M2" s="315">
        <v>87</v>
      </c>
      <c r="N2" s="315">
        <v>88</v>
      </c>
      <c r="O2" s="315">
        <v>89</v>
      </c>
      <c r="P2" s="315">
        <v>90</v>
      </c>
      <c r="Q2" s="315">
        <v>91</v>
      </c>
      <c r="R2" s="315">
        <v>92</v>
      </c>
      <c r="S2" s="315">
        <v>93</v>
      </c>
      <c r="T2" s="315">
        <v>94</v>
      </c>
      <c r="U2" s="315">
        <v>95</v>
      </c>
      <c r="V2" s="315">
        <v>96</v>
      </c>
      <c r="W2" s="315">
        <v>97</v>
      </c>
      <c r="X2" s="315">
        <v>98</v>
      </c>
      <c r="Y2" s="315">
        <v>99</v>
      </c>
      <c r="Z2" s="316" t="s">
        <v>212</v>
      </c>
      <c r="AA2" s="316" t="s">
        <v>172</v>
      </c>
      <c r="AB2" s="316" t="s">
        <v>173</v>
      </c>
      <c r="AC2" s="316" t="s">
        <v>174</v>
      </c>
      <c r="AD2" s="316" t="s">
        <v>175</v>
      </c>
      <c r="AE2" s="316" t="s">
        <v>177</v>
      </c>
      <c r="AF2" s="316" t="s">
        <v>178</v>
      </c>
      <c r="AG2" s="316" t="s">
        <v>213</v>
      </c>
      <c r="AH2" s="316" t="s">
        <v>214</v>
      </c>
      <c r="AI2" s="316" t="s">
        <v>179</v>
      </c>
      <c r="AJ2" s="316" t="s">
        <v>180</v>
      </c>
      <c r="AK2" s="316" t="s">
        <v>181</v>
      </c>
      <c r="AL2" s="316" t="s">
        <v>182</v>
      </c>
    </row>
    <row r="3" spans="1:38" s="295" customFormat="1" x14ac:dyDescent="0.25">
      <c r="C3" s="290" t="s">
        <v>332</v>
      </c>
      <c r="D3" s="290" t="s">
        <v>333</v>
      </c>
      <c r="E3" s="290" t="s">
        <v>334</v>
      </c>
      <c r="F3" s="290" t="s">
        <v>335</v>
      </c>
      <c r="G3" s="290" t="s">
        <v>336</v>
      </c>
      <c r="H3" s="290" t="s">
        <v>337</v>
      </c>
      <c r="I3" s="290" t="s">
        <v>338</v>
      </c>
      <c r="J3" s="290" t="s">
        <v>339</v>
      </c>
      <c r="K3" s="290" t="s">
        <v>340</v>
      </c>
      <c r="L3" s="290" t="s">
        <v>341</v>
      </c>
      <c r="M3" s="290" t="s">
        <v>342</v>
      </c>
      <c r="N3" s="290" t="s">
        <v>343</v>
      </c>
      <c r="O3" s="290" t="s">
        <v>344</v>
      </c>
      <c r="P3" s="290" t="s">
        <v>345</v>
      </c>
      <c r="Q3" s="290" t="s">
        <v>346</v>
      </c>
      <c r="R3" s="317" t="s">
        <v>347</v>
      </c>
      <c r="S3" s="317" t="s">
        <v>348</v>
      </c>
      <c r="T3" s="317" t="s">
        <v>349</v>
      </c>
      <c r="U3" s="317" t="s">
        <v>350</v>
      </c>
      <c r="V3" s="317" t="s">
        <v>351</v>
      </c>
      <c r="W3" s="317" t="s">
        <v>352</v>
      </c>
      <c r="X3" s="317" t="s">
        <v>353</v>
      </c>
      <c r="Y3" s="317" t="s">
        <v>354</v>
      </c>
      <c r="Z3" s="317" t="s">
        <v>355</v>
      </c>
      <c r="AA3" s="317" t="s">
        <v>356</v>
      </c>
      <c r="AB3" s="317" t="s">
        <v>357</v>
      </c>
      <c r="AC3" s="317" t="s">
        <v>358</v>
      </c>
      <c r="AD3" s="317" t="s">
        <v>359</v>
      </c>
      <c r="AE3" s="317" t="s">
        <v>360</v>
      </c>
      <c r="AF3" s="317" t="s">
        <v>361</v>
      </c>
      <c r="AG3" s="317" t="s">
        <v>362</v>
      </c>
      <c r="AH3" s="317" t="s">
        <v>363</v>
      </c>
      <c r="AI3" s="317" t="s">
        <v>364</v>
      </c>
      <c r="AJ3" s="317" t="s">
        <v>365</v>
      </c>
      <c r="AK3" s="317" t="s">
        <v>366</v>
      </c>
      <c r="AL3" s="317" t="s">
        <v>367</v>
      </c>
    </row>
    <row r="4" spans="1:38" x14ac:dyDescent="0.2">
      <c r="A4" s="307" t="s">
        <v>368</v>
      </c>
    </row>
    <row r="5" spans="1:38" x14ac:dyDescent="0.2">
      <c r="A5" s="319" t="s">
        <v>329</v>
      </c>
      <c r="B5" s="320"/>
      <c r="C5" s="321">
        <f>'Colleges FYES'!B3/'FacStaff $'!B10</f>
        <v>57.027415730337083</v>
      </c>
      <c r="D5" s="321">
        <f>'Colleges FYES'!C3/'FacStaff $'!C10</f>
        <v>46.358887693962203</v>
      </c>
      <c r="E5" s="321">
        <f>'Colleges FYES'!D3/'FacStaff $'!D10</f>
        <v>42.705575001268201</v>
      </c>
      <c r="F5" s="321">
        <f>'Colleges FYES'!E3/'FacStaff $'!E10</f>
        <v>46.741607724261819</v>
      </c>
      <c r="G5" s="321">
        <f>'Colleges FYES'!F3/'FacStaff $'!F10</f>
        <v>45.110930246578647</v>
      </c>
      <c r="H5" s="321">
        <f>'Colleges FYES'!G3/'FacStaff $'!G10</f>
        <v>55.031994704324802</v>
      </c>
      <c r="I5" s="321">
        <f>'Colleges FYES'!H3/'FacStaff $'!H10</f>
        <v>51.492783959457974</v>
      </c>
      <c r="J5" s="321">
        <f>'Colleges FYES'!I3/'FacStaff $'!I10</f>
        <v>56.283475322621229</v>
      </c>
      <c r="K5" s="321">
        <f>'Colleges FYES'!J3/'FacStaff $'!J10</f>
        <v>55.324475065616795</v>
      </c>
      <c r="L5" s="321">
        <f>'Colleges FYES'!K3/'FacStaff $'!K10</f>
        <v>51.199061355311358</v>
      </c>
      <c r="M5" s="321">
        <f>'Colleges FYES'!L3/'FacStaff $'!L10</f>
        <v>54.941292689810894</v>
      </c>
      <c r="N5" s="321">
        <f>'Colleges FYES'!M3/'FacStaff $'!M10</f>
        <v>56.43967411695342</v>
      </c>
      <c r="O5" s="321">
        <f>'Colleges FYES'!N3/'FacStaff $'!N10</f>
        <v>60.858268983268985</v>
      </c>
      <c r="P5" s="321">
        <f>'Colleges FYES'!O3/'FacStaff $'!O10</f>
        <v>63.761027274335845</v>
      </c>
      <c r="Q5" s="321">
        <f>'Colleges FYES'!P3/'FacStaff $'!P10</f>
        <v>66.395930580490727</v>
      </c>
      <c r="R5" s="321">
        <f>'Colleges FYES'!Q3/'FacStaff $'!Q10</f>
        <v>66.206542598295172</v>
      </c>
      <c r="S5" s="321">
        <f>'Colleges FYES'!R3/'FacStaff $'!R10</f>
        <v>68.974787295647914</v>
      </c>
      <c r="T5" s="321">
        <f>'Colleges FYES'!S3/'FacStaff $'!S10</f>
        <v>64.585591133004925</v>
      </c>
      <c r="U5" s="321">
        <f>'Colleges FYES'!T3/'FacStaff $'!T10</f>
        <v>62.803965803847071</v>
      </c>
      <c r="V5" s="321">
        <f>'Colleges FYES'!U3/'FacStaff $'!U10</f>
        <v>63.730427301405221</v>
      </c>
      <c r="W5" s="321">
        <f>'Colleges FYES'!V3/'FacStaff $'!V10</f>
        <v>60.801835113667494</v>
      </c>
      <c r="X5" s="321">
        <f>'Colleges FYES'!W3/'FacStaff $'!W10</f>
        <v>59.683606327873449</v>
      </c>
      <c r="Y5" s="321">
        <f>'Colleges FYES'!X3/'FacStaff $'!X10</f>
        <v>56.153846153846153</v>
      </c>
      <c r="Z5" s="321">
        <f>'Colleges FYES'!Y3/'FacStaff $'!Y10</f>
        <v>49.25825110581831</v>
      </c>
      <c r="AA5" s="321">
        <f>'Colleges FYES'!Z3/'FacStaff $'!Z10</f>
        <v>48.887488181531673</v>
      </c>
      <c r="AB5" s="321">
        <f>'Colleges FYES'!AA3/'FacStaff $'!AA10</f>
        <v>47.358171041490259</v>
      </c>
      <c r="AC5" s="321">
        <f>'Colleges FYES'!AB3/'FacStaff $'!AB10</f>
        <v>48.404519151281349</v>
      </c>
      <c r="AD5" s="321">
        <f>'Colleges FYES'!AC3/'FacStaff $'!AC10</f>
        <v>46.87341772151899</v>
      </c>
      <c r="AE5" s="321">
        <f>'Colleges FYES'!AD3/'FacStaff $'!AD10</f>
        <v>44.907407407407405</v>
      </c>
      <c r="AF5" s="321">
        <f>'Colleges FYES'!AE3/'FacStaff $'!AE10</f>
        <v>44.314634146341469</v>
      </c>
      <c r="AG5" s="321">
        <f>'Colleges FYES'!AF3/'FacStaff $'!AF10</f>
        <v>46.276785714285715</v>
      </c>
      <c r="AH5" s="321">
        <f>'Colleges FYES'!AG3/'FacStaff $'!AG10</f>
        <v>42.75714285714286</v>
      </c>
      <c r="AI5" s="321">
        <f>'Colleges FYES'!AH3/'FacStaff $'!AH10</f>
        <v>41.642980660292977</v>
      </c>
      <c r="AJ5" s="321">
        <f>'Colleges FYES'!AI3/'FacStaff $'!AI10</f>
        <v>40.514656271084796</v>
      </c>
      <c r="AK5" s="321">
        <f>'Colleges FYES'!AJ3/'FacStaff $'!AJ10</f>
        <v>39.944404591104735</v>
      </c>
      <c r="AL5" s="321">
        <f>'Colleges FYES'!AK3/'FacStaff $'!AK10</f>
        <v>38.486113258102741</v>
      </c>
    </row>
    <row r="6" spans="1:38" x14ac:dyDescent="0.2">
      <c r="A6" s="307" t="s">
        <v>331</v>
      </c>
      <c r="C6" s="318">
        <f>[1]FYESperFTE!C26</f>
        <v>29.132815831664409</v>
      </c>
      <c r="D6" s="318">
        <f>[1]FYESperFTE!D26</f>
        <v>28.537005806506702</v>
      </c>
      <c r="E6" s="318">
        <f>[1]FYESperFTE!E26</f>
        <v>27.077098190637546</v>
      </c>
      <c r="F6" s="318">
        <f>[1]FYESperFTE!F26</f>
        <v>24.986169909778575</v>
      </c>
      <c r="G6" s="318">
        <f>[1]FYESperFTE!G26</f>
        <v>26.939089901912787</v>
      </c>
      <c r="H6" s="318">
        <f>[1]FYESperFTE!H26</f>
        <v>27.507819188901127</v>
      </c>
      <c r="I6" s="318">
        <f>[1]FYESperFTE!I26</f>
        <v>26.696095433286036</v>
      </c>
      <c r="J6" s="318">
        <f>[1]FYESperFTE!J26</f>
        <v>24.057435746018175</v>
      </c>
      <c r="K6" s="318">
        <f>[1]FYESperFTE!K26</f>
        <v>24.726108827290314</v>
      </c>
      <c r="L6" s="318">
        <f>[1]FYESperFTE!L26</f>
        <v>22.462957673059201</v>
      </c>
      <c r="M6" s="318">
        <f>[1]FYESperFTE!M26</f>
        <v>22.259387107802176</v>
      </c>
      <c r="N6" s="318">
        <f>[1]FYESperFTE!N26</f>
        <v>20.469193857001159</v>
      </c>
      <c r="O6" s="318">
        <f>[1]FYESperFTE!O26</f>
        <v>19.975979756732915</v>
      </c>
      <c r="P6" s="318">
        <f>[1]FYESperFTE!P26</f>
        <v>19.269145796639766</v>
      </c>
      <c r="Q6" s="318">
        <f>[1]FYESperFTE!Q26</f>
        <v>18.536132698502591</v>
      </c>
      <c r="R6" s="318">
        <f>[1]FYESperFTE!R26</f>
        <v>18.923023549669463</v>
      </c>
      <c r="S6" s="318">
        <f>[1]FYESperFTE!S26</f>
        <v>19.222604093600392</v>
      </c>
      <c r="T6" s="318">
        <f>[1]FYESperFTE!T26</f>
        <v>18.669866345403378</v>
      </c>
      <c r="U6" s="318">
        <f>[1]FYESperFTE!U26</f>
        <v>18.603880554008853</v>
      </c>
      <c r="V6" s="318">
        <f>[1]FYESperFTE!V26</f>
        <v>19.21319937740299</v>
      </c>
      <c r="W6" s="318">
        <f>[1]FYESperFTE!W26</f>
        <v>18.88660707332285</v>
      </c>
      <c r="X6" s="318">
        <f>[1]FYESperFTE!X26</f>
        <v>18.498686934687203</v>
      </c>
      <c r="Y6" s="318">
        <f>[1]FYESperFTE!Y26</f>
        <v>18.999961837887344</v>
      </c>
      <c r="Z6" s="318">
        <f>[1]FYESperFTE!Z26</f>
        <v>16.64312546957175</v>
      </c>
      <c r="AA6" s="318">
        <f>[1]FYESperFTE!AA26</f>
        <v>15.075379159435599</v>
      </c>
      <c r="AB6" s="318">
        <f>[1]FYESperFTE!AB26</f>
        <v>15.015280235125532</v>
      </c>
      <c r="AC6" s="318">
        <f>[1]FYESperFTE!AC26</f>
        <v>14.650127495315781</v>
      </c>
      <c r="AD6" s="318">
        <f>[1]FYESperFTE!AD26</f>
        <v>16.213726095003082</v>
      </c>
      <c r="AE6" s="318">
        <f>[1]FYESperFTE!AE26</f>
        <v>16.614469151268398</v>
      </c>
      <c r="AF6" s="318">
        <f>[1]FYESperFTE!AF26</f>
        <v>17.142766194493078</v>
      </c>
      <c r="AG6" s="318">
        <f>[1]FYESperFTE!AG26</f>
        <v>15.172675408006697</v>
      </c>
      <c r="AH6" s="318">
        <f>[1]FYESperFTE!AH26</f>
        <v>14.968707109525116</v>
      </c>
      <c r="AI6" s="318">
        <f>[1]FYESperFTE!AI26</f>
        <v>14.366917439821689</v>
      </c>
      <c r="AJ6" s="318">
        <f>[1]FYESperFTE!AJ26</f>
        <v>14.244669208913983</v>
      </c>
      <c r="AK6" s="318">
        <f>[1]FYESperFTE!AK26</f>
        <v>14.268233147496325</v>
      </c>
      <c r="AL6" s="318">
        <f>[1]FYESperFTE!AL26</f>
        <v>14.725675965921294</v>
      </c>
    </row>
    <row r="7" spans="1:38" x14ac:dyDescent="0.2">
      <c r="A7" s="307" t="s">
        <v>215</v>
      </c>
      <c r="C7" s="318">
        <f>[1]FYESperFTE!C27</f>
        <v>52.354747705007924</v>
      </c>
      <c r="D7" s="318">
        <f>[1]FYESperFTE!D27</f>
        <v>49.056958750764323</v>
      </c>
      <c r="E7" s="318">
        <f>[1]FYESperFTE!E27</f>
        <v>46.53296557672352</v>
      </c>
      <c r="F7" s="318">
        <f>[1]FYESperFTE!F27</f>
        <v>45.881070858730254</v>
      </c>
      <c r="G7" s="318">
        <f>[1]FYESperFTE!G27</f>
        <v>45.60933503030612</v>
      </c>
      <c r="H7" s="318">
        <f>[1]FYESperFTE!H27</f>
        <v>46.398350340728335</v>
      </c>
      <c r="I7" s="318">
        <f>[1]FYESperFTE!I27</f>
        <v>46.573554872605946</v>
      </c>
      <c r="J7" s="318">
        <f>[1]FYESperFTE!J27</f>
        <v>46.718233114864809</v>
      </c>
      <c r="K7" s="318">
        <f>[1]FYESperFTE!K27</f>
        <v>43.349185632556505</v>
      </c>
      <c r="L7" s="318">
        <f>[1]FYESperFTE!L27</f>
        <v>42.053729635489333</v>
      </c>
      <c r="M7" s="318">
        <f>[1]FYESperFTE!M27</f>
        <v>42.345963233191398</v>
      </c>
      <c r="N7" s="318">
        <f>[1]FYESperFTE!N27</f>
        <v>41.870048042646353</v>
      </c>
      <c r="O7" s="318">
        <f>[1]FYESperFTE!O27</f>
        <v>41.193106780088918</v>
      </c>
      <c r="P7" s="318">
        <f>[1]FYESperFTE!P27</f>
        <v>40.775678698430717</v>
      </c>
      <c r="Q7" s="318">
        <f>[1]FYESperFTE!Q27</f>
        <v>40.22293868089082</v>
      </c>
      <c r="R7" s="318">
        <f>[1]FYESperFTE!R27</f>
        <v>40.792238000074747</v>
      </c>
      <c r="S7" s="318">
        <f>[1]FYESperFTE!S27</f>
        <v>42.107117809258177</v>
      </c>
      <c r="T7" s="318">
        <f>[1]FYESperFTE!T27</f>
        <v>38.960939502552399</v>
      </c>
      <c r="U7" s="318">
        <f>[1]FYESperFTE!U27</f>
        <v>37.529887835569909</v>
      </c>
      <c r="V7" s="318">
        <f>[1]FYESperFTE!V27</f>
        <v>37.158595846274117</v>
      </c>
      <c r="W7" s="318">
        <f>[1]FYESperFTE!W27</f>
        <v>36.092753711365283</v>
      </c>
      <c r="X7" s="318">
        <f>[1]FYESperFTE!X27</f>
        <v>36.630243235972436</v>
      </c>
      <c r="Y7" s="318">
        <f>[1]FYESperFTE!Y27</f>
        <v>36.549926362297484</v>
      </c>
      <c r="Z7" s="318">
        <f>[1]FYESperFTE!Z27</f>
        <v>36.420622302975246</v>
      </c>
      <c r="AA7" s="318">
        <f>[1]FYESperFTE!AA27</f>
        <v>38.288771595858208</v>
      </c>
      <c r="AB7" s="318">
        <f>[1]FYESperFTE!AB27</f>
        <v>38.504753433034971</v>
      </c>
      <c r="AC7" s="318">
        <f>[1]FYESperFTE!AC27</f>
        <v>37.360750019695864</v>
      </c>
      <c r="AD7" s="318">
        <f>[1]FYESperFTE!AD27</f>
        <v>38.03256646485918</v>
      </c>
      <c r="AE7" s="318">
        <f>[1]FYESperFTE!AE27</f>
        <v>38.046486915146716</v>
      </c>
      <c r="AF7" s="318">
        <f>[1]FYESperFTE!AF27</f>
        <v>37.221362704918036</v>
      </c>
      <c r="AG7" s="318">
        <f>[1]FYESperFTE!AG27</f>
        <v>34.61274533269507</v>
      </c>
      <c r="AH7" s="318">
        <f>[1]FYESperFTE!AH27</f>
        <v>34.14939693757362</v>
      </c>
      <c r="AI7" s="318">
        <f>[1]FYESperFTE!AI27</f>
        <v>33.629734819966217</v>
      </c>
      <c r="AJ7" s="318">
        <f>[1]FYESperFTE!AJ27</f>
        <v>32.175917849323554</v>
      </c>
      <c r="AK7" s="318">
        <f>[1]FYESperFTE!AK27</f>
        <v>32.538274058824932</v>
      </c>
      <c r="AL7" s="318">
        <f>[1]FYESperFTE!AL27</f>
        <v>32.873399165311476</v>
      </c>
    </row>
    <row r="8" spans="1:38" x14ac:dyDescent="0.2">
      <c r="C8" s="318"/>
      <c r="D8" s="318"/>
      <c r="E8" s="318"/>
      <c r="F8" s="318"/>
      <c r="G8" s="318"/>
      <c r="H8" s="318"/>
      <c r="I8" s="318"/>
      <c r="J8" s="318"/>
      <c r="K8" s="318"/>
      <c r="L8" s="318"/>
      <c r="M8" s="318"/>
      <c r="N8" s="318"/>
      <c r="O8" s="318"/>
      <c r="P8" s="318"/>
      <c r="Q8" s="318"/>
      <c r="R8" s="318"/>
      <c r="S8" s="318"/>
      <c r="T8" s="318"/>
      <c r="U8" s="318"/>
      <c r="V8" s="318"/>
      <c r="W8" s="318"/>
      <c r="X8" s="318"/>
      <c r="Y8" s="318"/>
      <c r="Z8" s="318"/>
      <c r="AA8" s="318"/>
      <c r="AB8" s="318"/>
      <c r="AC8" s="318"/>
      <c r="AD8" s="318"/>
      <c r="AE8" s="318"/>
      <c r="AF8" s="318"/>
      <c r="AG8" s="318"/>
      <c r="AH8" s="318"/>
      <c r="AI8" s="318"/>
      <c r="AJ8" s="318"/>
      <c r="AK8" s="318"/>
      <c r="AL8" s="318"/>
    </row>
    <row r="9" spans="1:38" x14ac:dyDescent="0.2">
      <c r="A9" s="307" t="s">
        <v>368</v>
      </c>
      <c r="C9" s="318"/>
      <c r="D9" s="318"/>
      <c r="E9" s="318"/>
      <c r="F9" s="318"/>
      <c r="G9" s="318"/>
      <c r="H9" s="318"/>
      <c r="I9" s="318"/>
      <c r="J9" s="318"/>
      <c r="K9" s="318"/>
      <c r="L9" s="318"/>
      <c r="M9" s="318"/>
      <c r="N9" s="318"/>
      <c r="O9" s="318"/>
      <c r="P9" s="318"/>
      <c r="Q9" s="318"/>
      <c r="R9" s="318"/>
      <c r="S9" s="318"/>
      <c r="T9" s="318"/>
      <c r="U9" s="318"/>
      <c r="V9" s="318"/>
      <c r="W9" s="318"/>
      <c r="X9" s="318"/>
      <c r="Y9" s="318"/>
      <c r="Z9" s="318"/>
      <c r="AA9" s="318"/>
      <c r="AB9" s="318"/>
      <c r="AC9" s="318"/>
      <c r="AD9" s="318"/>
      <c r="AE9" s="318"/>
      <c r="AF9" s="318"/>
      <c r="AG9" s="318"/>
      <c r="AH9" s="318"/>
      <c r="AI9" s="318"/>
      <c r="AJ9" s="318"/>
      <c r="AK9" s="318"/>
      <c r="AL9" s="318"/>
    </row>
    <row r="10" spans="1:38" x14ac:dyDescent="0.2">
      <c r="A10" s="319" t="s">
        <v>330</v>
      </c>
      <c r="B10" s="320"/>
      <c r="C10" s="321">
        <f>'Colleges FYES'!B3/'FacStaff $'!B13</f>
        <v>25.999098434554544</v>
      </c>
      <c r="D10" s="321">
        <f>'Colleges FYES'!C3/'FacStaff $'!C13</f>
        <v>25.422300855132907</v>
      </c>
      <c r="E10" s="321">
        <f>'Colleges FYES'!D3/'FacStaff $'!D13</f>
        <v>25.471392696136274</v>
      </c>
      <c r="F10" s="321">
        <f>'Colleges FYES'!E3/'FacStaff $'!E13</f>
        <v>25.243443989692285</v>
      </c>
      <c r="G10" s="321">
        <f>'Colleges FYES'!F3/'FacStaff $'!F13</f>
        <v>24.938092619440418</v>
      </c>
      <c r="H10" s="321">
        <f>'Colleges FYES'!G3/'FacStaff $'!G13</f>
        <v>24.666699634061914</v>
      </c>
      <c r="I10" s="321">
        <f>'Colleges FYES'!H3/'FacStaff $'!H13</f>
        <v>23.105442681299127</v>
      </c>
      <c r="J10" s="321">
        <f>'Colleges FYES'!I3/'FacStaff $'!I13</f>
        <v>25.541581025088906</v>
      </c>
      <c r="K10" s="321">
        <f>'Colleges FYES'!J3/'FacStaff $'!J13</f>
        <v>25.885179215595976</v>
      </c>
      <c r="L10" s="321">
        <f>'Colleges FYES'!K3/'FacStaff $'!K13</f>
        <v>26.001337053830948</v>
      </c>
      <c r="M10" s="321">
        <f>'Colleges FYES'!L3/'FacStaff $'!L13</f>
        <v>28.910027921344977</v>
      </c>
      <c r="N10" s="321">
        <f>'Colleges FYES'!M3/'FacStaff $'!M13</f>
        <v>29.900190249027457</v>
      </c>
      <c r="O10" s="321">
        <f>'Colleges FYES'!N3/'FacStaff $'!N13</f>
        <v>29.002568329052782</v>
      </c>
      <c r="P10" s="321">
        <f>'Colleges FYES'!O3/'FacStaff $'!O13</f>
        <v>30.072126847877922</v>
      </c>
      <c r="Q10" s="321">
        <f>'Colleges FYES'!P3/'FacStaff $'!P13</f>
        <v>29.958955747815473</v>
      </c>
      <c r="R10" s="321">
        <f>'Colleges FYES'!Q3/'FacStaff $'!Q13</f>
        <v>28.593539185073819</v>
      </c>
      <c r="S10" s="321">
        <f>'Colleges FYES'!R3/'FacStaff $'!R13</f>
        <v>28.675944959905177</v>
      </c>
      <c r="T10" s="321">
        <f>'Colleges FYES'!S3/'FacStaff $'!S13</f>
        <v>27.739077541521212</v>
      </c>
      <c r="U10" s="321">
        <f>'Colleges FYES'!T3/'FacStaff $'!T13</f>
        <v>25.942174702045225</v>
      </c>
      <c r="V10" s="321">
        <f>'Colleges FYES'!U3/'FacStaff $'!U13</f>
        <v>25.26121947892511</v>
      </c>
      <c r="W10" s="321">
        <f>'Colleges FYES'!V3/'FacStaff $'!V13</f>
        <v>24.77832890339954</v>
      </c>
      <c r="X10" s="321">
        <f>'Colleges FYES'!W3/'FacStaff $'!W13</f>
        <v>23.275824415811311</v>
      </c>
      <c r="Y10" s="321">
        <f>'Colleges FYES'!X3/'FacStaff $'!X13</f>
        <v>22.492997198879554</v>
      </c>
      <c r="Z10" s="321">
        <f>'Colleges FYES'!Y3/'FacStaff $'!Y13</f>
        <v>22.881302354986563</v>
      </c>
      <c r="AA10" s="321">
        <f>'Colleges FYES'!Z3/'FacStaff $'!Z13</f>
        <v>22.043484439391786</v>
      </c>
      <c r="AB10" s="321">
        <f>'Colleges FYES'!AA3/'FacStaff $'!AA13</f>
        <v>21.822083495903239</v>
      </c>
      <c r="AC10" s="321">
        <f>'Colleges FYES'!AB3/'FacStaff $'!AB13</f>
        <v>20.564270662608287</v>
      </c>
      <c r="AD10" s="321">
        <f>'Colleges FYES'!AC3/'FacStaff $'!AC13</f>
        <v>19.675667633712713</v>
      </c>
      <c r="AE10" s="321">
        <f>'Colleges FYES'!AD3/'FacStaff $'!AD13</f>
        <v>20.269564308849649</v>
      </c>
      <c r="AF10" s="321">
        <f>'Colleges FYES'!AE3/'FacStaff $'!AE13</f>
        <v>22.036871643897548</v>
      </c>
      <c r="AG10" s="321">
        <f>'Colleges FYES'!AF3/'FacStaff $'!AF13</f>
        <v>21.800210304942166</v>
      </c>
      <c r="AH10" s="321">
        <f>'Colleges FYES'!AG3/'FacStaff $'!AG13</f>
        <v>23.321904846717278</v>
      </c>
      <c r="AI10" s="321">
        <f>'Colleges FYES'!AH3/'FacStaff $'!AH13</f>
        <v>22.064832757603842</v>
      </c>
      <c r="AJ10" s="321">
        <f>'Colleges FYES'!AI3/'FacStaff $'!AI13</f>
        <v>22.110506505195975</v>
      </c>
      <c r="AK10" s="321">
        <f>'Colleges FYES'!AJ3/'FacStaff $'!AJ13</f>
        <v>23.208052432505653</v>
      </c>
      <c r="AL10" s="321">
        <f>'Colleges FYES'!AK3/'FacStaff $'!AK13</f>
        <v>23.70684638742237</v>
      </c>
    </row>
    <row r="11" spans="1:38" x14ac:dyDescent="0.2">
      <c r="A11" s="307" t="s">
        <v>331</v>
      </c>
      <c r="C11" s="318">
        <f>[1]FYESperFTE!C49</f>
        <v>14.60778701226287</v>
      </c>
      <c r="D11" s="318">
        <f>[1]FYESperFTE!D49</f>
        <v>14.708135458485135</v>
      </c>
      <c r="E11" s="318">
        <f>[1]FYESperFTE!E49</f>
        <v>13.462467878521936</v>
      </c>
      <c r="F11" s="318">
        <f>[1]FYESperFTE!F49</f>
        <v>13.884616313162065</v>
      </c>
      <c r="G11" s="318">
        <f>[1]FYESperFTE!G49</f>
        <v>14.312952285785205</v>
      </c>
      <c r="H11" s="318">
        <f>[1]FYESperFTE!H49</f>
        <v>14.082025135292279</v>
      </c>
      <c r="I11" s="318">
        <f>[1]FYESperFTE!I49</f>
        <v>16.045429911793356</v>
      </c>
      <c r="J11" s="318">
        <f>[1]FYESperFTE!J49</f>
        <v>15.026903987768266</v>
      </c>
      <c r="K11" s="318">
        <f>[1]FYESperFTE!K49</f>
        <v>14.452850409848725</v>
      </c>
      <c r="L11" s="318">
        <f>[1]FYESperFTE!L49</f>
        <v>15.007178133620569</v>
      </c>
      <c r="M11" s="318">
        <f>[1]FYESperFTE!M49</f>
        <v>14.944253975540288</v>
      </c>
      <c r="N11" s="318">
        <f>[1]FYESperFTE!N49</f>
        <v>14.696884670186259</v>
      </c>
      <c r="O11" s="318">
        <f>[1]FYESperFTE!O49</f>
        <v>15.146584100586587</v>
      </c>
      <c r="P11" s="318">
        <f>[1]FYESperFTE!P49</f>
        <v>15.785525166261943</v>
      </c>
      <c r="Q11" s="318">
        <f>[1]FYESperFTE!Q49</f>
        <v>15.84958903484112</v>
      </c>
      <c r="R11" s="318">
        <f>[1]FYESperFTE!R49</f>
        <v>15.920492971852061</v>
      </c>
      <c r="S11" s="318">
        <f>[1]FYESperFTE!S49</f>
        <v>15.653013471816957</v>
      </c>
      <c r="T11" s="318">
        <f>[1]FYESperFTE!T49</f>
        <v>15.08753802701305</v>
      </c>
      <c r="U11" s="318">
        <f>[1]FYESperFTE!U49</f>
        <v>15.442991741681077</v>
      </c>
      <c r="V11" s="318">
        <f>[1]FYESperFTE!V49</f>
        <v>16.871158371624912</v>
      </c>
      <c r="W11" s="318">
        <f>[1]FYESperFTE!W49</f>
        <v>16.765379599211087</v>
      </c>
      <c r="X11" s="318">
        <f>[1]FYESperFTE!X49</f>
        <v>17.351999793351556</v>
      </c>
      <c r="Y11" s="318">
        <f>[1]FYESperFTE!Y49</f>
        <v>15.315696377758979</v>
      </c>
      <c r="Z11" s="318">
        <f>[1]FYESperFTE!Z49</f>
        <v>17.272664263931244</v>
      </c>
      <c r="AA11" s="318">
        <f>[1]FYESperFTE!AA49</f>
        <v>21.118533708221467</v>
      </c>
      <c r="AB11" s="318">
        <f>[1]FYESperFTE!AB49</f>
        <v>21.679228154622418</v>
      </c>
      <c r="AC11" s="318">
        <f>[1]FYESperFTE!AC49</f>
        <v>25.7066225001854</v>
      </c>
      <c r="AD11" s="318">
        <f>[1]FYESperFTE!AD49</f>
        <v>28.146373199182889</v>
      </c>
      <c r="AE11" s="318">
        <f>[1]FYESperFTE!AE49</f>
        <v>29.846715595401186</v>
      </c>
      <c r="AF11" s="318">
        <f>[1]FYESperFTE!AF49</f>
        <v>28.178181713535245</v>
      </c>
      <c r="AG11" s="318">
        <f>[1]FYESperFTE!AG49</f>
        <v>24.240871194984813</v>
      </c>
      <c r="AH11" s="318">
        <f>[1]FYESperFTE!AH49</f>
        <v>24.981560803536656</v>
      </c>
      <c r="AI11" s="318">
        <f>[1]FYESperFTE!AI49</f>
        <v>25.51241444164253</v>
      </c>
      <c r="AJ11" s="318">
        <f>[1]FYESperFTE!AJ49</f>
        <v>26.038640456538996</v>
      </c>
      <c r="AK11" s="318">
        <f>[1]FYESperFTE!AK49</f>
        <v>27.561302203092399</v>
      </c>
      <c r="AL11" s="318">
        <f>[1]FYESperFTE!AL49</f>
        <v>25.520607150981242</v>
      </c>
    </row>
    <row r="12" spans="1:38" x14ac:dyDescent="0.2">
      <c r="A12" s="307" t="s">
        <v>215</v>
      </c>
      <c r="C12" s="318">
        <f>[1]FYESperFTE!C50</f>
        <v>22.80313422198223</v>
      </c>
      <c r="D12" s="318">
        <f>[1]FYESperFTE!D50</f>
        <v>21.883858189241863</v>
      </c>
      <c r="E12" s="318">
        <f>[1]FYESperFTE!E50</f>
        <v>21.491316335993801</v>
      </c>
      <c r="F12" s="318">
        <f>[1]FYESperFTE!F50</f>
        <v>21.78864796761431</v>
      </c>
      <c r="G12" s="318">
        <f>[1]FYESperFTE!G50</f>
        <v>22.570168929241781</v>
      </c>
      <c r="H12" s="318">
        <f>[1]FYESperFTE!H50</f>
        <v>23.057290483556351</v>
      </c>
      <c r="I12" s="318">
        <f>[1]FYESperFTE!I50</f>
        <v>23.442771869991525</v>
      </c>
      <c r="J12" s="318">
        <f>[1]FYESperFTE!J50</f>
        <v>23.805946371716502</v>
      </c>
      <c r="K12" s="318">
        <f>[1]FYESperFTE!K50</f>
        <v>22.595847580596139</v>
      </c>
      <c r="L12" s="318">
        <f>[1]FYESperFTE!L50</f>
        <v>22.525246803983737</v>
      </c>
      <c r="M12" s="318">
        <f>[1]FYESperFTE!M50</f>
        <v>23.054743167549042</v>
      </c>
      <c r="N12" s="318">
        <f>[1]FYESperFTE!N50</f>
        <v>22.964624911308391</v>
      </c>
      <c r="O12" s="318">
        <f>[1]FYESperFTE!O50</f>
        <v>23.013907001378684</v>
      </c>
      <c r="P12" s="318">
        <f>[1]FYESperFTE!P50</f>
        <v>22.919371878916728</v>
      </c>
      <c r="Q12" s="318">
        <f>[1]FYESperFTE!Q50</f>
        <v>22.393452996272281</v>
      </c>
      <c r="R12" s="318">
        <f>[1]FYESperFTE!R50</f>
        <v>22.966798058397821</v>
      </c>
      <c r="S12" s="318">
        <f>[1]FYESperFTE!S50</f>
        <v>22.784563285079706</v>
      </c>
      <c r="T12" s="318">
        <f>[1]FYESperFTE!T50</f>
        <v>22.655786357644928</v>
      </c>
      <c r="U12" s="318">
        <f>[1]FYESperFTE!U50</f>
        <v>22.117029563836038</v>
      </c>
      <c r="V12" s="318">
        <f>[1]FYESperFTE!V50</f>
        <v>22.128948444528326</v>
      </c>
      <c r="W12" s="318">
        <f>[1]FYESperFTE!W50</f>
        <v>21.873146036551073</v>
      </c>
      <c r="X12" s="318">
        <f>[1]FYESperFTE!X50</f>
        <v>21.682898157607994</v>
      </c>
      <c r="Y12" s="318">
        <f>[1]FYESperFTE!Y50</f>
        <v>21.932798359728498</v>
      </c>
      <c r="Z12" s="318">
        <f>[1]FYESperFTE!Z50</f>
        <v>21.899624445203148</v>
      </c>
      <c r="AA12" s="318">
        <f>[1]FYESperFTE!AA50</f>
        <v>21.705881391128045</v>
      </c>
      <c r="AB12" s="318">
        <f>[1]FYESperFTE!AB50</f>
        <v>22.451172666418135</v>
      </c>
      <c r="AC12" s="318">
        <f>[1]FYESperFTE!AC50</f>
        <v>22.582263210527149</v>
      </c>
      <c r="AD12" s="318">
        <f>[1]FYESperFTE!AD50</f>
        <v>23.884740192650714</v>
      </c>
      <c r="AE12" s="318">
        <f>[1]FYESperFTE!AE50</f>
        <v>24.595112415135421</v>
      </c>
      <c r="AF12" s="318">
        <f>[1]FYESperFTE!AF50</f>
        <v>25.173924567722224</v>
      </c>
      <c r="AG12" s="318">
        <f>[1]FYESperFTE!AG50</f>
        <v>24.90931937425287</v>
      </c>
      <c r="AH12" s="318">
        <f>[1]FYESperFTE!AH50</f>
        <v>25.146656836809928</v>
      </c>
      <c r="AI12" s="318">
        <f>[1]FYESperFTE!AI50</f>
        <v>24.280688901935012</v>
      </c>
      <c r="AJ12" s="318">
        <f>[1]FYESperFTE!AJ50</f>
        <v>24.715366602121289</v>
      </c>
      <c r="AK12" s="318">
        <f>[1]FYESperFTE!AK50</f>
        <v>25.571102782440814</v>
      </c>
      <c r="AL12" s="318">
        <f>[1]FYESperFTE!AL50</f>
        <v>26.004937816643189</v>
      </c>
    </row>
    <row r="13" spans="1:38" x14ac:dyDescent="0.2">
      <c r="C13" s="318"/>
      <c r="D13" s="318"/>
      <c r="E13" s="318"/>
      <c r="F13" s="318"/>
      <c r="G13" s="318"/>
      <c r="H13" s="318"/>
      <c r="I13" s="318"/>
      <c r="J13" s="318"/>
      <c r="K13" s="318"/>
      <c r="L13" s="318"/>
      <c r="M13" s="318"/>
      <c r="N13" s="318"/>
      <c r="O13" s="318"/>
      <c r="P13" s="318"/>
      <c r="Q13" s="318"/>
      <c r="R13" s="318"/>
      <c r="S13" s="318"/>
      <c r="T13" s="318"/>
      <c r="U13" s="318"/>
      <c r="V13" s="318"/>
      <c r="W13" s="318"/>
      <c r="X13" s="318"/>
      <c r="Y13" s="318"/>
      <c r="Z13" s="318"/>
      <c r="AA13" s="318"/>
      <c r="AB13" s="318"/>
      <c r="AC13" s="318"/>
      <c r="AD13" s="318"/>
      <c r="AE13" s="318"/>
      <c r="AF13" s="318"/>
      <c r="AG13" s="318"/>
      <c r="AH13" s="318"/>
      <c r="AI13" s="318"/>
      <c r="AJ13" s="318"/>
      <c r="AK13" s="318"/>
      <c r="AL13" s="318"/>
    </row>
    <row r="14" spans="1:38" x14ac:dyDescent="0.2">
      <c r="A14" s="307" t="s">
        <v>368</v>
      </c>
      <c r="C14" s="318"/>
      <c r="D14" s="318"/>
      <c r="E14" s="318"/>
      <c r="F14" s="318"/>
      <c r="G14" s="318"/>
      <c r="H14" s="318"/>
      <c r="I14" s="318"/>
      <c r="J14" s="318"/>
      <c r="K14" s="318"/>
      <c r="L14" s="318"/>
      <c r="M14" s="318"/>
      <c r="N14" s="318"/>
      <c r="O14" s="318"/>
      <c r="P14" s="318"/>
      <c r="Q14" s="318"/>
      <c r="R14" s="318"/>
      <c r="S14" s="318"/>
      <c r="T14" s="318"/>
      <c r="U14" s="318"/>
      <c r="V14" s="318"/>
      <c r="W14" s="318"/>
      <c r="X14" s="318"/>
      <c r="Y14" s="318"/>
      <c r="Z14" s="318"/>
      <c r="AA14" s="318"/>
      <c r="AB14" s="318"/>
      <c r="AC14" s="318"/>
      <c r="AD14" s="318"/>
      <c r="AE14" s="318"/>
      <c r="AF14" s="318"/>
      <c r="AG14" s="318"/>
      <c r="AH14" s="318"/>
      <c r="AI14" s="318"/>
      <c r="AJ14" s="318"/>
      <c r="AK14" s="318"/>
      <c r="AL14" s="318"/>
    </row>
    <row r="15" spans="1:38" x14ac:dyDescent="0.2">
      <c r="A15" s="319" t="s">
        <v>325</v>
      </c>
      <c r="B15" s="320"/>
      <c r="C15" s="321">
        <f>'Colleges FYES'!B3/'FacStaff $'!B18</f>
        <v>17.857685703830892</v>
      </c>
      <c r="D15" s="321">
        <f>'Colleges FYES'!C3/'FacStaff $'!C18</f>
        <v>16.41864134722638</v>
      </c>
      <c r="E15" s="321">
        <f>'Colleges FYES'!D3/'FacStaff $'!D18</f>
        <v>15.955101963459935</v>
      </c>
      <c r="F15" s="321">
        <f>'Colleges FYES'!E3/'FacStaff $'!E18</f>
        <v>16.391169117502312</v>
      </c>
      <c r="G15" s="321">
        <f>'Colleges FYES'!F3/'FacStaff $'!F18</f>
        <v>16.059903630490538</v>
      </c>
      <c r="H15" s="321">
        <f>'Colleges FYES'!G3/'FacStaff $'!G18</f>
        <v>17.032370415898381</v>
      </c>
      <c r="I15" s="321">
        <f>'Colleges FYES'!H3/'FacStaff $'!H18</f>
        <v>15.948952432948884</v>
      </c>
      <c r="J15" s="321">
        <f>'Colleges FYES'!I3/'FacStaff $'!I18</f>
        <v>17.568810942426591</v>
      </c>
      <c r="K15" s="321">
        <f>'Colleges FYES'!J3/'FacStaff $'!J18</f>
        <v>17.634405228758169</v>
      </c>
      <c r="L15" s="321">
        <f>'Colleges FYES'!K3/'FacStaff $'!K18</f>
        <v>17.244004934844629</v>
      </c>
      <c r="M15" s="321">
        <f>'Colleges FYES'!L3/'FacStaff $'!L18</f>
        <v>18.94250793094724</v>
      </c>
      <c r="N15" s="321">
        <f>'Colleges FYES'!M3/'FacStaff $'!M18</f>
        <v>19.54551360582099</v>
      </c>
      <c r="O15" s="321">
        <f>'Colleges FYES'!N3/'FacStaff $'!N18</f>
        <v>19.641994859679638</v>
      </c>
      <c r="P15" s="321">
        <f>'Colleges FYES'!O3/'FacStaff $'!O18</f>
        <v>20.434458567250754</v>
      </c>
      <c r="Q15" s="321">
        <f>'Colleges FYES'!P3/'FacStaff $'!P18</f>
        <v>20.644025662781523</v>
      </c>
      <c r="R15" s="321">
        <f>'Colleges FYES'!Q3/'FacStaff $'!Q18</f>
        <v>19.969174440361289</v>
      </c>
      <c r="S15" s="321">
        <f>'Colleges FYES'!R3/'FacStaff $'!R18</f>
        <v>20.255016613034037</v>
      </c>
      <c r="T15" s="321">
        <f>'Colleges FYES'!S3/'FacStaff $'!S18</f>
        <v>19.40483238363058</v>
      </c>
      <c r="U15" s="321">
        <f>'Colleges FYES'!T3/'FacStaff $'!T18</f>
        <v>18.358786574572214</v>
      </c>
      <c r="V15" s="321">
        <f>'Colleges FYES'!U3/'FacStaff $'!U18</f>
        <v>18.090555347519576</v>
      </c>
      <c r="W15" s="321">
        <f>'Colleges FYES'!V3/'FacStaff $'!V18</f>
        <v>17.604171313299531</v>
      </c>
      <c r="X15" s="321">
        <f>'Colleges FYES'!W3/'FacStaff $'!W18</f>
        <v>16.745355277112221</v>
      </c>
      <c r="Y15" s="321">
        <f>'Colleges FYES'!X3/'FacStaff $'!X18</f>
        <v>16.059999999999999</v>
      </c>
      <c r="Z15" s="321">
        <f>'Colleges FYES'!Y3/'FacStaff $'!Y18</f>
        <v>15.623785883876538</v>
      </c>
      <c r="AA15" s="321">
        <f>'Colleges FYES'!Z3/'FacStaff $'!Z18</f>
        <v>15.192948090107738</v>
      </c>
      <c r="AB15" s="321">
        <f>'Colleges FYES'!AA3/'FacStaff $'!AA18</f>
        <v>14.938568376068375</v>
      </c>
      <c r="AC15" s="321">
        <f>'Colleges FYES'!AB3/'FacStaff $'!AB18</f>
        <v>14.432667816941912</v>
      </c>
      <c r="AD15" s="321">
        <f>'Colleges FYES'!AC3/'FacStaff $'!AC18</f>
        <v>13.858429203374227</v>
      </c>
      <c r="AE15" s="321">
        <f>'Colleges FYES'!AD3/'FacStaff $'!AD18</f>
        <v>13.965877186667628</v>
      </c>
      <c r="AF15" s="321">
        <f>'Colleges FYES'!AE3/'FacStaff $'!AE18</f>
        <v>14.717916240159658</v>
      </c>
      <c r="AG15" s="321">
        <f>'Colleges FYES'!AF3/'FacStaff $'!AF18</f>
        <v>14.81915654038599</v>
      </c>
      <c r="AH15" s="321">
        <f>'Colleges FYES'!AG3/'FacStaff $'!AG18</f>
        <v>15.090683838252875</v>
      </c>
      <c r="AI15" s="321">
        <f>'Colleges FYES'!AH3/'FacStaff $'!AH18</f>
        <v>14.422805532034998</v>
      </c>
      <c r="AJ15" s="321">
        <f>'Colleges FYES'!AI3/'FacStaff $'!AI18</f>
        <v>14.304147587411665</v>
      </c>
      <c r="AK15" s="321">
        <f>'Colleges FYES'!AJ3/'FacStaff $'!AJ18</f>
        <v>14.679267914928394</v>
      </c>
      <c r="AL15" s="321">
        <f>'Colleges FYES'!AK3/'FacStaff $'!AK18</f>
        <v>14.670219591719151</v>
      </c>
    </row>
    <row r="16" spans="1:38" x14ac:dyDescent="0.2">
      <c r="A16" s="307" t="s">
        <v>331</v>
      </c>
      <c r="C16" s="318">
        <f>[1]FYESperFTE!C72</f>
        <v>9.7293119222639355</v>
      </c>
      <c r="D16" s="318">
        <f>[1]FYESperFTE!D72</f>
        <v>9.7057411469588022</v>
      </c>
      <c r="E16" s="318">
        <f>[1]FYESperFTE!E72</f>
        <v>8.9918220637382404</v>
      </c>
      <c r="F16" s="318">
        <f>[1]FYESperFTE!F72</f>
        <v>8.9250415554497984</v>
      </c>
      <c r="G16" s="318">
        <f>[1]FYESperFTE!G72</f>
        <v>9.3468804922230291</v>
      </c>
      <c r="H16" s="318">
        <f>[1]FYESperFTE!H72</f>
        <v>9.3139516997385048</v>
      </c>
      <c r="I16" s="318">
        <f>[1]FYESperFTE!I72</f>
        <v>10.021877430320851</v>
      </c>
      <c r="J16" s="318">
        <f>[1]FYESperFTE!J72</f>
        <v>9.2494533516403052</v>
      </c>
      <c r="K16" s="318">
        <f>[1]FYESperFTE!K72</f>
        <v>9.1212926289198357</v>
      </c>
      <c r="L16" s="318">
        <f>[1]FYESperFTE!L72</f>
        <v>8.9966475954827718</v>
      </c>
      <c r="M16" s="318">
        <f>[1]FYESperFTE!M72</f>
        <v>8.9413273699117415</v>
      </c>
      <c r="N16" s="318">
        <f>[1]FYESperFTE!N72</f>
        <v>8.5546468075890907</v>
      </c>
      <c r="O16" s="318">
        <f>[1]FYESperFTE!O72</f>
        <v>8.614629006188439</v>
      </c>
      <c r="P16" s="318">
        <f>[1]FYESperFTE!P72</f>
        <v>8.6771199828728651</v>
      </c>
      <c r="Q16" s="318">
        <f>[1]FYESperFTE!Q72</f>
        <v>8.5439557687590835</v>
      </c>
      <c r="R16" s="318">
        <f>[1]FYESperFTE!R72</f>
        <v>8.6461957203035009</v>
      </c>
      <c r="S16" s="318">
        <f>[1]FYESperFTE!S72</f>
        <v>8.6275656703752475</v>
      </c>
      <c r="T16" s="318">
        <f>[1]FYESperFTE!T72</f>
        <v>8.3443121200304891</v>
      </c>
      <c r="U16" s="318">
        <f>[1]FYESperFTE!U72</f>
        <v>8.4383543740418663</v>
      </c>
      <c r="V16" s="318">
        <f>[1]FYESperFTE!V72</f>
        <v>8.983087125348753</v>
      </c>
      <c r="W16" s="318">
        <f>[1]FYESperFTE!W72</f>
        <v>8.8814443872027216</v>
      </c>
      <c r="X16" s="318">
        <f>[1]FYESperFTE!X72</f>
        <v>8.9535024615559831</v>
      </c>
      <c r="Y16" s="318">
        <f>[1]FYESperFTE!Y72</f>
        <v>8.4800252080086516</v>
      </c>
      <c r="Z16" s="318">
        <f>[1]FYESperFTE!Z72</f>
        <v>8.4760260868825839</v>
      </c>
      <c r="AA16" s="318">
        <f>[1]FYESperFTE!AA72</f>
        <v>8.7962278106508904</v>
      </c>
      <c r="AB16" s="318">
        <f>[1]FYESperFTE!AB72</f>
        <v>8.8710736376516124</v>
      </c>
      <c r="AC16" s="318">
        <f>[1]FYESperFTE!AC72</f>
        <v>9.3319035141247006</v>
      </c>
      <c r="AD16" s="318">
        <f>[1]FYESperFTE!AD72</f>
        <v>10.287569074019164</v>
      </c>
      <c r="AE16" s="318">
        <f>[1]FYESperFTE!AE72</f>
        <v>10.673153046576594</v>
      </c>
      <c r="AF16" s="318">
        <f>[1]FYESperFTE!AF72</f>
        <v>10.65847038065824</v>
      </c>
      <c r="AG16" s="318">
        <f>[1]FYESperFTE!AG72</f>
        <v>9.3317882288950837</v>
      </c>
      <c r="AH16" s="318">
        <f>[1]FYESperFTE!AH72</f>
        <v>9.3601792013182621</v>
      </c>
      <c r="AI16" s="318">
        <f>[1]FYESperFTE!AI72</f>
        <v>9.1910956046873231</v>
      </c>
      <c r="AJ16" s="318">
        <f>[1]FYESperFTE!AJ72</f>
        <v>9.2075805844557355</v>
      </c>
      <c r="AK16" s="318">
        <f>[1]FYESperFTE!AK72</f>
        <v>9.4012778862194963</v>
      </c>
      <c r="AL16" s="318">
        <f>[1]FYESperFTE!AL72</f>
        <v>9.3377117650174402</v>
      </c>
    </row>
    <row r="17" spans="1:38" x14ac:dyDescent="0.2">
      <c r="A17" s="307" t="s">
        <v>215</v>
      </c>
      <c r="C17" s="318">
        <f>[1]FYESperFTE!C73</f>
        <v>15.884592653037293</v>
      </c>
      <c r="D17" s="318">
        <f>[1]FYESperFTE!D73</f>
        <v>15.13311482450375</v>
      </c>
      <c r="E17" s="318">
        <f>[1]FYESperFTE!E73</f>
        <v>14.701436827285523</v>
      </c>
      <c r="F17" s="318">
        <f>[1]FYESperFTE!F73</f>
        <v>14.773025788439536</v>
      </c>
      <c r="G17" s="318">
        <f>[1]FYESperFTE!G73</f>
        <v>15.098531620223595</v>
      </c>
      <c r="H17" s="318">
        <f>[1]FYESperFTE!H73</f>
        <v>15.402928100116718</v>
      </c>
      <c r="I17" s="318">
        <f>[1]FYESperFTE!I73</f>
        <v>15.593694683054272</v>
      </c>
      <c r="J17" s="318">
        <f>[1]FYESperFTE!J73</f>
        <v>15.770077159500106</v>
      </c>
      <c r="K17" s="318">
        <f>[1]FYESperFTE!K73</f>
        <v>14.853455121178904</v>
      </c>
      <c r="L17" s="318">
        <f>[1]FYESperFTE!L73</f>
        <v>14.668405900722744</v>
      </c>
      <c r="M17" s="318">
        <f>[1]FYESperFTE!M73</f>
        <v>14.927595744021655</v>
      </c>
      <c r="N17" s="318">
        <f>[1]FYESperFTE!N73</f>
        <v>14.830489682591733</v>
      </c>
      <c r="O17" s="318">
        <f>[1]FYESperFTE!O73</f>
        <v>14.764965269393336</v>
      </c>
      <c r="P17" s="318">
        <f>[1]FYESperFTE!P73</f>
        <v>14.672300833950858</v>
      </c>
      <c r="Q17" s="318">
        <f>[1]FYESperFTE!Q73</f>
        <v>14.384899266735884</v>
      </c>
      <c r="R17" s="318">
        <f>[1]FYESperFTE!R73</f>
        <v>14.693871651990326</v>
      </c>
      <c r="S17" s="318">
        <f>[1]FYESperFTE!S73</f>
        <v>14.784518975284506</v>
      </c>
      <c r="T17" s="318">
        <f>[1]FYESperFTE!T73</f>
        <v>14.325505117972344</v>
      </c>
      <c r="U17" s="318">
        <f>[1]FYESperFTE!U73</f>
        <v>13.916052580363807</v>
      </c>
      <c r="V17" s="318">
        <f>[1]FYESperFTE!V73</f>
        <v>13.869366012530701</v>
      </c>
      <c r="W17" s="318">
        <f>[1]FYESperFTE!W73</f>
        <v>13.619422388390364</v>
      </c>
      <c r="X17" s="318">
        <f>[1]FYESperFTE!X73</f>
        <v>13.620426109669969</v>
      </c>
      <c r="Y17" s="318">
        <f>[1]FYESperFTE!Y73</f>
        <v>13.70733269999779</v>
      </c>
      <c r="Z17" s="318">
        <f>[1]FYESperFTE!Z73</f>
        <v>13.676175856040258</v>
      </c>
      <c r="AA17" s="318">
        <f>[1]FYESperFTE!AA73</f>
        <v>13.852760096003337</v>
      </c>
      <c r="AB17" s="318">
        <f>[1]FYESperFTE!AB73</f>
        <v>14.18199875090866</v>
      </c>
      <c r="AC17" s="318">
        <f>[1]FYESperFTE!AC73</f>
        <v>14.074872870456476</v>
      </c>
      <c r="AD17" s="318">
        <f>[1]FYESperFTE!AD73</f>
        <v>14.671147986097081</v>
      </c>
      <c r="AE17" s="318">
        <f>[1]FYESperFTE!AE73</f>
        <v>14.938277960388048</v>
      </c>
      <c r="AF17" s="318">
        <f>[1]FYESperFTE!AF73</f>
        <v>15.017284445652436</v>
      </c>
      <c r="AG17" s="318">
        <f>[1]FYESperFTE!AG73</f>
        <v>14.48504738800065</v>
      </c>
      <c r="AH17" s="318">
        <f>[1]FYESperFTE!AH73</f>
        <v>14.482298758710257</v>
      </c>
      <c r="AI17" s="318">
        <f>[1]FYESperFTE!AI73</f>
        <v>14.100278957367701</v>
      </c>
      <c r="AJ17" s="318">
        <f>[1]FYESperFTE!AJ73</f>
        <v>13.978232572415989</v>
      </c>
      <c r="AK17" s="318">
        <f>[1]FYESperFTE!AK73</f>
        <v>14.318507537850174</v>
      </c>
      <c r="AL17" s="318">
        <f>[1]FYESperFTE!AL73</f>
        <v>14.519273894872748</v>
      </c>
    </row>
    <row r="18" spans="1:38" x14ac:dyDescent="0.2">
      <c r="C18" s="318"/>
      <c r="D18" s="318"/>
      <c r="E18" s="318"/>
      <c r="F18" s="318"/>
      <c r="G18" s="318"/>
      <c r="H18" s="318"/>
      <c r="I18" s="318"/>
      <c r="J18" s="318"/>
      <c r="K18" s="318"/>
      <c r="L18" s="318"/>
      <c r="M18" s="318"/>
      <c r="N18" s="318"/>
      <c r="O18" s="318"/>
      <c r="P18" s="318"/>
      <c r="Q18" s="318"/>
      <c r="R18" s="318"/>
      <c r="S18" s="318"/>
      <c r="T18" s="318"/>
      <c r="U18" s="318"/>
      <c r="V18" s="318"/>
      <c r="W18" s="318"/>
      <c r="X18" s="318"/>
      <c r="Y18" s="318"/>
      <c r="Z18" s="318"/>
      <c r="AA18" s="318"/>
      <c r="AB18" s="318"/>
      <c r="AC18" s="318"/>
      <c r="AD18" s="318"/>
      <c r="AE18" s="318"/>
      <c r="AF18" s="318"/>
      <c r="AG18" s="318"/>
      <c r="AH18" s="318"/>
      <c r="AI18" s="318"/>
      <c r="AJ18" s="318"/>
      <c r="AK18" s="318"/>
      <c r="AL18" s="318"/>
    </row>
    <row r="19" spans="1:38" x14ac:dyDescent="0.2">
      <c r="A19" s="307" t="s">
        <v>368</v>
      </c>
      <c r="C19" s="318"/>
      <c r="D19" s="318"/>
      <c r="E19" s="318"/>
      <c r="F19" s="318"/>
      <c r="G19" s="318"/>
      <c r="H19" s="318"/>
      <c r="I19" s="318"/>
      <c r="J19" s="318"/>
      <c r="K19" s="318"/>
      <c r="L19" s="318"/>
      <c r="M19" s="318"/>
      <c r="N19" s="318"/>
      <c r="O19" s="318"/>
      <c r="P19" s="318"/>
      <c r="Q19" s="318"/>
      <c r="R19" s="318"/>
      <c r="S19" s="318"/>
      <c r="T19" s="318"/>
      <c r="U19" s="318"/>
      <c r="V19" s="318"/>
      <c r="W19" s="318"/>
      <c r="X19" s="318"/>
      <c r="Y19" s="318"/>
      <c r="Z19" s="318"/>
      <c r="AA19" s="318"/>
      <c r="AB19" s="318"/>
      <c r="AC19" s="318"/>
      <c r="AD19" s="318"/>
      <c r="AE19" s="318"/>
      <c r="AF19" s="318"/>
      <c r="AG19" s="318"/>
      <c r="AH19" s="318"/>
      <c r="AI19" s="318"/>
      <c r="AJ19" s="318"/>
      <c r="AK19" s="318"/>
      <c r="AL19" s="318"/>
    </row>
    <row r="20" spans="1:38" x14ac:dyDescent="0.2">
      <c r="A20" s="319" t="s">
        <v>326</v>
      </c>
      <c r="B20" s="320"/>
      <c r="C20" s="321">
        <f>'Colleges FYES'!B3/'FacStaff $'!B17</f>
        <v>21.372793424066838</v>
      </c>
      <c r="D20" s="321">
        <f>'Colleges FYES'!C3/'FacStaff $'!C17</f>
        <v>20.656489594742606</v>
      </c>
      <c r="E20" s="321">
        <f>'Colleges FYES'!D3/'FacStaff $'!D17</f>
        <v>19.5983052228469</v>
      </c>
      <c r="F20" s="321">
        <f>'Colleges FYES'!E3/'FacStaff $'!E17</f>
        <v>19.045609460417669</v>
      </c>
      <c r="G20" s="321">
        <f>'Colleges FYES'!F3/'FacStaff $'!F17</f>
        <v>19.108855263997956</v>
      </c>
      <c r="H20" s="321">
        <f>'Colleges FYES'!G3/'FacStaff $'!G17</f>
        <v>19.86499402628435</v>
      </c>
      <c r="I20" s="321">
        <f>'Colleges FYES'!H3/'FacStaff $'!H17</f>
        <v>18.660172468859791</v>
      </c>
      <c r="J20" s="321">
        <f>'Colleges FYES'!I3/'FacStaff $'!I17</f>
        <v>20.193324563439866</v>
      </c>
      <c r="K20" s="321">
        <f>'Colleges FYES'!J3/'FacStaff $'!J17</f>
        <v>20.80837621392169</v>
      </c>
      <c r="L20" s="321">
        <f>'Colleges FYES'!K3/'FacStaff $'!K17</f>
        <v>20.758351027417127</v>
      </c>
      <c r="M20" s="321">
        <f>'Colleges FYES'!L3/'FacStaff $'!L17</f>
        <v>21.901595445442066</v>
      </c>
      <c r="N20" s="321">
        <f>'Colleges FYES'!M3/'FacStaff $'!M17</f>
        <v>21.64051501793109</v>
      </c>
      <c r="O20" s="321">
        <f>'Colleges FYES'!N3/'FacStaff $'!N17</f>
        <v>21.434358887189074</v>
      </c>
      <c r="P20" s="321">
        <f>'Colleges FYES'!O3/'FacStaff $'!O17</f>
        <v>21.889996789114232</v>
      </c>
      <c r="Q20" s="321">
        <f>'Colleges FYES'!P3/'FacStaff $'!P17</f>
        <v>20.810374838690315</v>
      </c>
      <c r="R20" s="321">
        <f>'Colleges FYES'!Q3/'FacStaff $'!Q17</f>
        <v>23.948309401005719</v>
      </c>
      <c r="S20" s="321">
        <f>'Colleges FYES'!R3/'FacStaff $'!R17</f>
        <v>23.176395749139353</v>
      </c>
      <c r="T20" s="321">
        <f>'Colleges FYES'!S3/'FacStaff $'!S17</f>
        <v>22.881108202443283</v>
      </c>
      <c r="U20" s="321">
        <f>'Colleges FYES'!T3/'FacStaff $'!T17</f>
        <v>22.14275248560963</v>
      </c>
      <c r="V20" s="321">
        <f>'Colleges FYES'!U3/'FacStaff $'!U17</f>
        <v>22.163402082419118</v>
      </c>
      <c r="W20" s="321">
        <f>'Colleges FYES'!V3/'FacStaff $'!V17</f>
        <v>22.027896130636748</v>
      </c>
      <c r="X20" s="321">
        <f>'Colleges FYES'!W3/'FacStaff $'!W17</f>
        <v>21.810368349249661</v>
      </c>
      <c r="Y20" s="321">
        <f>'Colleges FYES'!X3/'FacStaff $'!X17</f>
        <v>19.562912009171683</v>
      </c>
      <c r="Z20" s="321">
        <f>'Colleges FYES'!Y3/'FacStaff $'!Y17</f>
        <v>19.083838650145005</v>
      </c>
      <c r="AA20" s="321">
        <f>'Colleges FYES'!Z3/'FacStaff $'!Z17</f>
        <v>18.020446096654275</v>
      </c>
      <c r="AB20" s="321">
        <f>'Colleges FYES'!AA3/'FacStaff $'!AA17</f>
        <v>18.587570621468927</v>
      </c>
      <c r="AC20" s="321">
        <f>'Colleges FYES'!AB3/'FacStaff $'!AB17</f>
        <v>20.342790966994787</v>
      </c>
      <c r="AD20" s="321">
        <f>'Colleges FYES'!AC3/'FacStaff $'!AC17</f>
        <v>19.617919430375725</v>
      </c>
      <c r="AE20" s="321">
        <f>'Colleges FYES'!AD3/'FacStaff $'!AD17</f>
        <v>19.471851130672182</v>
      </c>
      <c r="AF20" s="321">
        <f>'Colleges FYES'!AE3/'FacStaff $'!AE17</f>
        <v>18.725487440387518</v>
      </c>
      <c r="AG20" s="321">
        <f>'Colleges FYES'!AF3/'FacStaff $'!AF17</f>
        <v>19.257814314244577</v>
      </c>
      <c r="AH20" s="321">
        <f>'Colleges FYES'!AG3/'FacStaff $'!AG17</f>
        <v>18.746756384330428</v>
      </c>
      <c r="AI20" s="321">
        <f>'Colleges FYES'!AH3/'FacStaff $'!AH17</f>
        <v>18.134526663839143</v>
      </c>
      <c r="AJ20" s="321">
        <f>'Colleges FYES'!AI3/'FacStaff $'!AI17</f>
        <v>18.168447062976444</v>
      </c>
      <c r="AK20" s="321">
        <f>'Colleges FYES'!AJ3/'FacStaff $'!AJ17</f>
        <v>18.372666606175091</v>
      </c>
      <c r="AL20" s="321">
        <f>'Colleges FYES'!AK3/'FacStaff $'!AK17</f>
        <v>18.272931889352819</v>
      </c>
    </row>
    <row r="21" spans="1:38" x14ac:dyDescent="0.2">
      <c r="A21" s="307" t="s">
        <v>331</v>
      </c>
      <c r="C21" s="318">
        <f>[1]FYESperFTE!C119</f>
        <v>13.937397183505974</v>
      </c>
      <c r="D21" s="318">
        <f>[1]FYESperFTE!D119</f>
        <v>13.487305086541324</v>
      </c>
      <c r="E21" s="318">
        <f>[1]FYESperFTE!E119</f>
        <v>13.173017369976497</v>
      </c>
      <c r="F21" s="318">
        <f>[1]FYESperFTE!F119</f>
        <v>12.873849674177983</v>
      </c>
      <c r="G21" s="318">
        <f>[1]FYESperFTE!G119</f>
        <v>13.35024535700332</v>
      </c>
      <c r="H21" s="318">
        <f>[1]FYESperFTE!H119</f>
        <v>13.413180043434533</v>
      </c>
      <c r="I21" s="318">
        <f>[1]FYESperFTE!I119</f>
        <v>13.222117045599317</v>
      </c>
      <c r="J21" s="318">
        <f>[1]FYESperFTE!J119</f>
        <v>13.017950639185633</v>
      </c>
      <c r="K21" s="318">
        <f>[1]FYESperFTE!K119</f>
        <v>12.932427969550375</v>
      </c>
      <c r="L21" s="318">
        <f>[1]FYESperFTE!L119</f>
        <v>12.841669203871312</v>
      </c>
      <c r="M21" s="318">
        <f>[1]FYESperFTE!M119</f>
        <v>12.676467844448442</v>
      </c>
      <c r="N21" s="318">
        <f>[1]FYESperFTE!N119</f>
        <v>12.617496042690279</v>
      </c>
      <c r="O21" s="318">
        <f>[1]FYESperFTE!O119</f>
        <v>13.016045205058045</v>
      </c>
      <c r="P21" s="318">
        <f>[1]FYESperFTE!P119</f>
        <v>12.455125485701739</v>
      </c>
      <c r="Q21" s="318">
        <f>[1]FYESperFTE!Q119</f>
        <v>12.088745969249066</v>
      </c>
      <c r="R21" s="318">
        <f>[1]FYESperFTE!R119</f>
        <v>12.057290589284134</v>
      </c>
      <c r="S21" s="318">
        <f>[1]FYESperFTE!S119</f>
        <v>11.936134452422149</v>
      </c>
      <c r="T21" s="318">
        <f>[1]FYESperFTE!T119</f>
        <v>11.958011612644142</v>
      </c>
      <c r="U21" s="318">
        <f>[1]FYESperFTE!U119</f>
        <v>11.848748248539934</v>
      </c>
      <c r="V21" s="318">
        <f>[1]FYESperFTE!V119</f>
        <v>11.675989520064949</v>
      </c>
      <c r="W21" s="318">
        <f>[1]FYESperFTE!W119</f>
        <v>11.666506985350148</v>
      </c>
      <c r="X21" s="318">
        <f>[1]FYESperFTE!X119</f>
        <v>11.958259952040695</v>
      </c>
      <c r="Y21" s="318">
        <f>[1]FYESperFTE!Y119</f>
        <v>11.846832912958643</v>
      </c>
      <c r="Z21" s="318">
        <f>[1]FYESperFTE!Z119</f>
        <v>11.835721833703381</v>
      </c>
      <c r="AA21" s="318">
        <f>[1]FYESperFTE!AA119</f>
        <v>11.523607378098719</v>
      </c>
      <c r="AB21" s="318">
        <f>[1]FYESperFTE!AB119</f>
        <v>11.52140741405619</v>
      </c>
      <c r="AC21" s="318">
        <f>[1]FYESperFTE!AC119</f>
        <v>12.204370481644915</v>
      </c>
      <c r="AD21" s="318">
        <f>[1]FYESperFTE!AD119</f>
        <v>11.082311593492488</v>
      </c>
      <c r="AE21" s="318">
        <f>[1]FYESperFTE!AE119</f>
        <v>12.939119066724878</v>
      </c>
      <c r="AF21" s="318">
        <f>[1]FYESperFTE!AF119</f>
        <v>13.220296127366925</v>
      </c>
      <c r="AG21" s="318">
        <f>[1]FYESperFTE!AG119</f>
        <v>13.052895392428397</v>
      </c>
      <c r="AH21" s="318">
        <f>[1]FYESperFTE!AH119</f>
        <v>12.270757294137239</v>
      </c>
      <c r="AI21" s="318">
        <f>[1]FYESperFTE!AI119</f>
        <v>12.713959802427805</v>
      </c>
      <c r="AJ21" s="318">
        <f>[1]FYESperFTE!AJ119</f>
        <v>11.595226835350365</v>
      </c>
      <c r="AK21" s="318">
        <f>[1]FYESperFTE!AK119</f>
        <v>11.927147934165793</v>
      </c>
      <c r="AL21" s="318">
        <f>[1]FYESperFTE!AL119</f>
        <v>11.79812876827574</v>
      </c>
    </row>
    <row r="22" spans="1:38" x14ac:dyDescent="0.2">
      <c r="A22" s="307" t="s">
        <v>215</v>
      </c>
      <c r="C22" s="318">
        <f>[1]FYESperFTE!C118</f>
        <v>20.01985503783353</v>
      </c>
      <c r="D22" s="318">
        <f>[1]FYESperFTE!D118</f>
        <v>19.730134138428735</v>
      </c>
      <c r="E22" s="318">
        <f>[1]FYESperFTE!E118</f>
        <v>19.441514519083512</v>
      </c>
      <c r="F22" s="318">
        <f>[1]FYESperFTE!F118</f>
        <v>19.612349041038765</v>
      </c>
      <c r="G22" s="318">
        <f>[1]FYESperFTE!G118</f>
        <v>19.655591880179433</v>
      </c>
      <c r="H22" s="318">
        <f>[1]FYESperFTE!H118</f>
        <v>19.442524940377812</v>
      </c>
      <c r="I22" s="318">
        <f>[1]FYESperFTE!I118</f>
        <v>18.935709370794594</v>
      </c>
      <c r="J22" s="318">
        <f>[1]FYESperFTE!J118</f>
        <v>19.016035412125685</v>
      </c>
      <c r="K22" s="318">
        <f>[1]FYESperFTE!K118</f>
        <v>18.542023940705278</v>
      </c>
      <c r="L22" s="318">
        <f>[1]FYESperFTE!L118</f>
        <v>18.773765558747101</v>
      </c>
      <c r="M22" s="318">
        <f>[1]FYESperFTE!M118</f>
        <v>19.326337052390087</v>
      </c>
      <c r="N22" s="318">
        <f>[1]FYESperFTE!N118</f>
        <v>19.221293724632336</v>
      </c>
      <c r="O22" s="318">
        <f>[1]FYESperFTE!O118</f>
        <v>19.228766880339332</v>
      </c>
      <c r="P22" s="318">
        <f>[1]FYESperFTE!P118</f>
        <v>19.547334499668128</v>
      </c>
      <c r="Q22" s="318">
        <f>[1]FYESperFTE!Q118</f>
        <v>19.412872029749877</v>
      </c>
      <c r="R22" s="318">
        <f>[1]FYESperFTE!R118</f>
        <v>19.722597354005529</v>
      </c>
      <c r="S22" s="318">
        <f>[1]FYESperFTE!S118</f>
        <v>19.274258863340354</v>
      </c>
      <c r="T22" s="318">
        <f>[1]FYESperFTE!T118</f>
        <v>18.58833274518247</v>
      </c>
      <c r="U22" s="318">
        <f>[1]FYESperFTE!U118</f>
        <v>18.137386149589684</v>
      </c>
      <c r="V22" s="318">
        <f>[1]FYESperFTE!V118</f>
        <v>18.447492535794883</v>
      </c>
      <c r="W22" s="318">
        <f>[1]FYESperFTE!W118</f>
        <v>18.020583826082458</v>
      </c>
      <c r="X22" s="318">
        <f>[1]FYESperFTE!X118</f>
        <v>17.947445043593401</v>
      </c>
      <c r="Y22" s="318">
        <f>[1]FYESperFTE!Y118</f>
        <v>17.782857306639531</v>
      </c>
      <c r="Z22" s="318">
        <f>[1]FYESperFTE!Z118</f>
        <v>17.742127318240279</v>
      </c>
      <c r="AA22" s="318">
        <f>[1]FYESperFTE!AA118</f>
        <v>17.235465191763399</v>
      </c>
      <c r="AB22" s="318">
        <f>[1]FYESperFTE!AB118</f>
        <v>17.545568545986548</v>
      </c>
      <c r="AC22" s="318">
        <f>[1]FYESperFTE!AC118</f>
        <v>17.513325865104083</v>
      </c>
      <c r="AD22" s="318">
        <f>[1]FYESperFTE!AD118</f>
        <v>17.568105326640993</v>
      </c>
      <c r="AE22" s="318">
        <f>[1]FYESperFTE!AE118</f>
        <v>17.174294257887919</v>
      </c>
      <c r="AF22" s="318">
        <f>[1]FYESperFTE!AF118</f>
        <v>17.19705603544687</v>
      </c>
      <c r="AG22" s="318">
        <f>[1]FYESperFTE!AG118</f>
        <v>16.803982653599544</v>
      </c>
      <c r="AH22" s="318">
        <f>[1]FYESperFTE!AH118</f>
        <v>16.793092742780946</v>
      </c>
      <c r="AI22" s="318">
        <f>[1]FYESperFTE!AI118</f>
        <v>16.573522393853246</v>
      </c>
      <c r="AJ22" s="318">
        <f>[1]FYESperFTE!AJ118</f>
        <v>16.311193333569168</v>
      </c>
      <c r="AK22" s="318">
        <f>[1]FYESperFTE!AK118</f>
        <v>16.289513331660526</v>
      </c>
      <c r="AL22" s="318">
        <f>[1]FYESperFTE!AL118</f>
        <v>16.165183609733948</v>
      </c>
    </row>
    <row r="24" spans="1:38" x14ac:dyDescent="0.2">
      <c r="A24" s="307" t="s">
        <v>368</v>
      </c>
    </row>
    <row r="25" spans="1:38" x14ac:dyDescent="0.2">
      <c r="A25" s="319" t="s">
        <v>372</v>
      </c>
      <c r="C25" s="314">
        <f>'GF Expend'!B20/'Colleges FYES'!B3</f>
        <v>82.466623583374044</v>
      </c>
      <c r="D25" s="314">
        <f>'GF Expend'!C20/'Colleges FYES'!C3</f>
        <v>90.705219552609776</v>
      </c>
      <c r="E25" s="314">
        <f>'GF Expend'!D20/'Colleges FYES'!D3</f>
        <v>99.623391201572716</v>
      </c>
      <c r="F25" s="314">
        <f>'GF Expend'!E20/'Colleges FYES'!E3</f>
        <v>100.0703772871117</v>
      </c>
      <c r="G25" s="314">
        <f>'GF Expend'!F20/'Colleges FYES'!F3</f>
        <v>111.35789269700837</v>
      </c>
      <c r="H25" s="314">
        <f>'GF Expend'!G20/'Colleges FYES'!G3</f>
        <v>110.19526473005753</v>
      </c>
      <c r="I25" s="314">
        <f>'GF Expend'!H20/'Colleges FYES'!H3</f>
        <v>134.62644415917845</v>
      </c>
      <c r="J25" s="314">
        <f>'GF Expend'!I20/'Colleges FYES'!I3</f>
        <v>120.56407472457288</v>
      </c>
      <c r="K25" s="314">
        <f>'GF Expend'!J20/'Colleges FYES'!J3</f>
        <v>111.94586933445612</v>
      </c>
      <c r="L25" s="314">
        <f>'GF Expend'!K20/'Colleges FYES'!K3</f>
        <v>106.70951875244536</v>
      </c>
      <c r="M25" s="314">
        <f>'GF Expend'!L20/'Colleges FYES'!L3</f>
        <v>98.077130542441324</v>
      </c>
      <c r="N25" s="314">
        <f>'GF Expend'!M20/'Colleges FYES'!M3</f>
        <v>100.5416454968922</v>
      </c>
      <c r="O25" s="314">
        <f>'GF Expend'!N20/'Colleges FYES'!N3</f>
        <v>98.476453561374058</v>
      </c>
      <c r="P25" s="314">
        <f>'GF Expend'!O20/'Colleges FYES'!O3</f>
        <v>89.265951753255749</v>
      </c>
      <c r="Q25" s="314">
        <f>'GF Expend'!P20/'Colleges FYES'!P3</f>
        <v>79.996791278044768</v>
      </c>
      <c r="R25" s="314">
        <f>'GF Expend'!Q20/'Colleges FYES'!Q3</f>
        <v>85.091069033158306</v>
      </c>
      <c r="S25" s="314">
        <f>'GF Expend'!R20/'Colleges FYES'!R3</f>
        <v>86.622320243603951</v>
      </c>
      <c r="T25" s="314">
        <f>'GF Expend'!S20/'Colleges FYES'!S3</f>
        <v>86.72056594239514</v>
      </c>
      <c r="U25" s="314">
        <f>'GF Expend'!T20/'Colleges FYES'!T3</f>
        <v>93.276678608902785</v>
      </c>
      <c r="V25" s="314">
        <f>'GF Expend'!U20/'Colleges FYES'!U3</f>
        <v>110.02663930737801</v>
      </c>
      <c r="W25" s="314">
        <f>'GF Expend'!V20/'Colleges FYES'!V3</f>
        <v>103.46444056534715</v>
      </c>
      <c r="X25" s="314">
        <f>'GF Expend'!W20/'Colleges FYES'!W3</f>
        <v>100.57554575592668</v>
      </c>
      <c r="Y25" s="314">
        <f>'GF Expend'!X20/'Colleges FYES'!X3</f>
        <v>101.62881840158231</v>
      </c>
      <c r="Z25" s="314">
        <f>'GF Expend'!Y20/'Colleges FYES'!Y3</f>
        <v>96.261794570698356</v>
      </c>
      <c r="AA25" s="314">
        <f>'GF Expend'!Z20/'Colleges FYES'!Z3</f>
        <v>109.08225889633832</v>
      </c>
      <c r="AB25" s="314">
        <f>'GF Expend'!AA20/'Colleges FYES'!AA3</f>
        <v>104.28416472972168</v>
      </c>
      <c r="AC25" s="314">
        <f>'GF Expend'!AB20/'Colleges FYES'!AB3</f>
        <v>110.07844699988614</v>
      </c>
      <c r="AD25" s="314">
        <f>'GF Expend'!AC20/'Colleges FYES'!AC3</f>
        <v>120.98536321901162</v>
      </c>
      <c r="AE25" s="314">
        <f>'GF Expend'!AD20/'Colleges FYES'!AD3</f>
        <v>117.28876288659794</v>
      </c>
      <c r="AF25" s="314">
        <f>'GF Expend'!AE20/'Colleges FYES'!AE3</f>
        <v>115.70662316933438</v>
      </c>
      <c r="AG25" s="314">
        <f>'GF Expend'!AF20/'Colleges FYES'!AF3</f>
        <v>112.84661393015628</v>
      </c>
      <c r="AH25" s="314">
        <f>'GF Expend'!AG20/'Colleges FYES'!AG3</f>
        <v>114.84373060951745</v>
      </c>
      <c r="AI25" s="314">
        <f>'GF Expend'!AH20/'Colleges FYES'!AH3</f>
        <v>129.53854231301608</v>
      </c>
      <c r="AJ25" s="314">
        <f>'GF Expend'!AI20/'Colleges FYES'!AI3</f>
        <v>126.37840588425776</v>
      </c>
      <c r="AK25" s="314">
        <f>'GF Expend'!AJ20/'Colleges FYES'!AJ3</f>
        <v>122.66555919723432</v>
      </c>
      <c r="AL25" s="314">
        <f>'GF Expend'!AK20/'Colleges FYES'!AK3</f>
        <v>123.11099210068282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81"/>
  <sheetViews>
    <sheetView zoomScale="80" zoomScaleNormal="8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1" sqref="E1:O1"/>
    </sheetView>
  </sheetViews>
  <sheetFormatPr defaultRowHeight="15" x14ac:dyDescent="0.25"/>
  <cols>
    <col min="1" max="1" width="48" style="91" customWidth="1"/>
    <col min="2" max="2" width="2.21875" style="91" customWidth="1"/>
    <col min="3" max="3" width="9.88671875" style="91" bestFit="1" customWidth="1"/>
    <col min="4" max="4" width="10.77734375" style="91" customWidth="1"/>
    <col min="5" max="5" width="10.21875" style="91" customWidth="1"/>
    <col min="6" max="15" width="10.77734375" style="91" customWidth="1"/>
    <col min="16" max="16384" width="8.88671875" style="91"/>
  </cols>
  <sheetData>
    <row r="1" spans="1:16" x14ac:dyDescent="0.25">
      <c r="C1" s="94" t="s">
        <v>137</v>
      </c>
      <c r="D1" s="94" t="s">
        <v>138</v>
      </c>
      <c r="E1" s="94" t="s">
        <v>139</v>
      </c>
      <c r="F1" s="94" t="s">
        <v>120</v>
      </c>
      <c r="G1" s="94" t="s">
        <v>121</v>
      </c>
      <c r="H1" s="94" t="s">
        <v>122</v>
      </c>
      <c r="I1" s="94" t="s">
        <v>123</v>
      </c>
      <c r="J1" s="94" t="s">
        <v>127</v>
      </c>
      <c r="K1" s="94" t="s">
        <v>124</v>
      </c>
      <c r="L1" s="94" t="s">
        <v>125</v>
      </c>
      <c r="M1" s="94" t="s">
        <v>129</v>
      </c>
      <c r="N1" s="94" t="s">
        <v>126</v>
      </c>
      <c r="O1" s="94" t="s">
        <v>128</v>
      </c>
    </row>
    <row r="2" spans="1:16" ht="18.75" x14ac:dyDescent="0.3">
      <c r="A2" s="31" t="s">
        <v>2</v>
      </c>
    </row>
    <row r="3" spans="1:16" x14ac:dyDescent="0.25">
      <c r="A3" s="77" t="s">
        <v>80</v>
      </c>
      <c r="C3" s="96">
        <f>'2002-2003'!C6</f>
        <v>101626081</v>
      </c>
      <c r="D3" s="96">
        <f>'2003-2004'!C6</f>
        <v>115830598</v>
      </c>
      <c r="E3" s="96">
        <f>'2004-2005'!C6</f>
        <v>126556273</v>
      </c>
      <c r="F3" s="95">
        <f>'2005-2006'!C6</f>
        <v>142835271</v>
      </c>
      <c r="G3" s="95">
        <f>'2006-2007'!G8</f>
        <v>154336761</v>
      </c>
      <c r="H3" s="95">
        <f>177641807</f>
        <v>177641807</v>
      </c>
      <c r="I3" s="96">
        <f>'2008-2009'!G8</f>
        <v>198547995</v>
      </c>
      <c r="J3" s="96">
        <f>'2009-2010'!G9</f>
        <v>214678598</v>
      </c>
      <c r="K3" s="96">
        <v>233036779</v>
      </c>
      <c r="L3" s="96">
        <f>'2011-2012'!F10</f>
        <v>253307038</v>
      </c>
      <c r="M3" s="96">
        <f>'2012-2013'!E10</f>
        <v>260471939</v>
      </c>
      <c r="N3" s="96">
        <f>'2013-2014'!E10</f>
        <v>272744524</v>
      </c>
      <c r="O3" s="96">
        <f>'2014-2015'!F10</f>
        <v>280705581</v>
      </c>
    </row>
    <row r="4" spans="1:16" x14ac:dyDescent="0.25">
      <c r="A4" s="36" t="s">
        <v>82</v>
      </c>
      <c r="C4" s="96">
        <f>-('2002-2003'!C95)</f>
        <v>-8702487</v>
      </c>
      <c r="D4" s="96">
        <f>-('2003-2004'!C96)</f>
        <v>-10584754</v>
      </c>
      <c r="E4" s="96">
        <f>-('2004-2005'!C94)</f>
        <v>-11695858</v>
      </c>
      <c r="F4" s="95">
        <f>-('2005-2006'!C94)</f>
        <v>-14683596</v>
      </c>
      <c r="G4" s="95">
        <f>'2006-2007'!G9</f>
        <v>-17585474</v>
      </c>
      <c r="H4" s="95">
        <f>'2007-2008'!G9</f>
        <v>-21900000</v>
      </c>
      <c r="I4" s="96">
        <f>'2008-2009'!G9</f>
        <v>-22914205</v>
      </c>
      <c r="J4" s="96">
        <f>'2009-2010'!G10</f>
        <v>-24545728</v>
      </c>
      <c r="K4" s="96">
        <f>'2010-2011'!G10</f>
        <v>-26096965</v>
      </c>
      <c r="L4" s="96">
        <f>'2011-2012'!F13</f>
        <v>-30969758</v>
      </c>
      <c r="M4" s="96">
        <f>'2012-2013'!E13</f>
        <v>-33688333</v>
      </c>
      <c r="N4" s="96">
        <f>'2013-2014'!E13</f>
        <v>-35134477</v>
      </c>
      <c r="O4" s="96">
        <f>'2014-2015'!F12</f>
        <v>-38121517</v>
      </c>
    </row>
    <row r="5" spans="1:16" x14ac:dyDescent="0.25">
      <c r="A5" s="77" t="s">
        <v>81</v>
      </c>
      <c r="C5" s="96">
        <f>'2002-2003'!C7</f>
        <v>60095400</v>
      </c>
      <c r="D5" s="96">
        <f>'2003-2004'!C7</f>
        <v>59085800</v>
      </c>
      <c r="E5" s="96">
        <f>'2004-2005'!C7</f>
        <v>57904100</v>
      </c>
      <c r="F5" s="95">
        <f>'2005-2006'!C7</f>
        <v>56887300</v>
      </c>
      <c r="G5" s="95">
        <f>'2006-2007'!G10</f>
        <v>64797694</v>
      </c>
      <c r="H5" s="91">
        <v>60600000</v>
      </c>
      <c r="I5" s="96">
        <f>'2008-2009'!G10</f>
        <v>64021400</v>
      </c>
      <c r="J5" s="96">
        <f>'2009-2010'!G11</f>
        <v>62018400</v>
      </c>
      <c r="K5" s="96">
        <v>61759500</v>
      </c>
      <c r="L5" s="96">
        <f>'2011-2012'!F11+'2011-2012'!F12</f>
        <v>52677400</v>
      </c>
      <c r="M5" s="96">
        <f>'2012-2013'!E11+'2012-2013'!E12</f>
        <v>55477400</v>
      </c>
      <c r="N5" s="96">
        <f>'2013-2014'!E11+'2013-2014'!E12</f>
        <v>57765100</v>
      </c>
      <c r="O5" s="96">
        <f>'2014-2015'!F11</f>
        <v>63136000</v>
      </c>
    </row>
    <row r="6" spans="1:16" x14ac:dyDescent="0.25">
      <c r="A6" s="36" t="s">
        <v>3</v>
      </c>
      <c r="C6" s="96">
        <f>'2002-2003'!C8</f>
        <v>794650</v>
      </c>
      <c r="D6" s="96">
        <f>'2003-2004'!C8</f>
        <v>754900</v>
      </c>
      <c r="E6" s="96">
        <f>'2004-2005'!C8</f>
        <v>713150</v>
      </c>
      <c r="F6" s="95">
        <f>'2005-2006'!C8</f>
        <v>813437</v>
      </c>
      <c r="G6" s="95">
        <f>'2006-2007'!G11</f>
        <v>815000</v>
      </c>
      <c r="H6" s="95">
        <f>'2007-2008'!G10</f>
        <v>1200000</v>
      </c>
      <c r="I6" s="96">
        <f>'2008-2009'!G11</f>
        <v>1200000</v>
      </c>
      <c r="J6" s="96">
        <f>'2009-2010'!G12</f>
        <v>800000</v>
      </c>
      <c r="K6" s="96">
        <f>'2010-2011'!G11</f>
        <v>800000</v>
      </c>
      <c r="L6" s="96">
        <f>'2011-2012'!F14</f>
        <v>800000</v>
      </c>
      <c r="M6" s="96">
        <f>'2012-2013'!E14</f>
        <v>800000</v>
      </c>
      <c r="N6" s="96">
        <f>'2013-2014'!E14</f>
        <v>920000</v>
      </c>
      <c r="O6" s="96">
        <f>'2014-2015'!F13</f>
        <v>800000</v>
      </c>
    </row>
    <row r="7" spans="1:16" x14ac:dyDescent="0.25">
      <c r="A7" s="36" t="s">
        <v>4</v>
      </c>
      <c r="C7" s="96">
        <f>'2002-2003'!C9</f>
        <v>485912</v>
      </c>
      <c r="D7" s="96">
        <f>'2003-2004'!C9</f>
        <v>526188</v>
      </c>
      <c r="E7" s="96">
        <f>'2004-2005'!C9</f>
        <v>581110</v>
      </c>
      <c r="F7" s="95">
        <f>'2005-2006'!C9</f>
        <v>581110</v>
      </c>
      <c r="G7" s="95">
        <f>'2006-2007'!G12</f>
        <v>291000</v>
      </c>
      <c r="H7" s="95">
        <f>'2007-2008'!G11</f>
        <v>291000</v>
      </c>
      <c r="I7" s="96">
        <f>'2008-2009'!G12</f>
        <v>291000</v>
      </c>
      <c r="J7" s="96">
        <f>'2009-2010'!G13</f>
        <v>291000</v>
      </c>
      <c r="K7" s="96">
        <f>'2010-2011'!G12</f>
        <v>291000</v>
      </c>
      <c r="L7" s="96">
        <f>'2011-2012'!F15</f>
        <v>291000</v>
      </c>
      <c r="M7" s="96">
        <f>'2012-2013'!E15</f>
        <v>291000</v>
      </c>
      <c r="N7" s="96">
        <f>'2013-2014'!E15</f>
        <v>591000</v>
      </c>
      <c r="O7" s="96">
        <f>'2014-2015'!F14</f>
        <v>591000</v>
      </c>
    </row>
    <row r="8" spans="1:16" x14ac:dyDescent="0.25">
      <c r="A8" s="36" t="s">
        <v>5</v>
      </c>
      <c r="C8" s="96">
        <f>'2002-2003'!C10</f>
        <v>2556588</v>
      </c>
      <c r="D8" s="96">
        <f>'2003-2004'!C10</f>
        <v>2636812</v>
      </c>
      <c r="E8" s="96">
        <f>'2004-2005'!C10</f>
        <v>2620090</v>
      </c>
      <c r="F8" s="221">
        <f>'2005-2006'!C10</f>
        <v>2602390</v>
      </c>
      <c r="G8" s="221">
        <f>'2006-2007'!G13</f>
        <v>1489615</v>
      </c>
      <c r="H8" s="221">
        <f>'2007-2008'!G12</f>
        <v>1871746</v>
      </c>
      <c r="I8" s="222">
        <f>'2008-2009'!G13</f>
        <v>1878253</v>
      </c>
      <c r="J8" s="222">
        <f>'2009-2010'!G14</f>
        <v>1993013</v>
      </c>
      <c r="K8" s="222">
        <f>'2010-2011'!G13</f>
        <v>1842996</v>
      </c>
      <c r="L8" s="222">
        <f>'2011-2012'!F16</f>
        <v>1852376</v>
      </c>
      <c r="M8" s="222">
        <f>'2012-2013'!E16</f>
        <v>1846167</v>
      </c>
      <c r="N8" s="222">
        <f>'2013-2014'!E16</f>
        <v>1859074</v>
      </c>
      <c r="O8" s="222">
        <f>'2014-2015'!F15</f>
        <v>2160199</v>
      </c>
    </row>
    <row r="9" spans="1:16" ht="15.75" thickBot="1" x14ac:dyDescent="0.3">
      <c r="A9" s="36" t="s">
        <v>6</v>
      </c>
      <c r="C9" s="223">
        <f t="shared" ref="C9:O9" si="0">SUM(C3:C8)</f>
        <v>156856144</v>
      </c>
      <c r="D9" s="223">
        <f t="shared" si="0"/>
        <v>168249544</v>
      </c>
      <c r="E9" s="223">
        <f t="shared" si="0"/>
        <v>176678865</v>
      </c>
      <c r="F9" s="223">
        <f t="shared" si="0"/>
        <v>189035912</v>
      </c>
      <c r="G9" s="223">
        <f t="shared" si="0"/>
        <v>204144596</v>
      </c>
      <c r="H9" s="223">
        <f t="shared" si="0"/>
        <v>219704553</v>
      </c>
      <c r="I9" s="223">
        <f t="shared" si="0"/>
        <v>243024443</v>
      </c>
      <c r="J9" s="223">
        <f t="shared" si="0"/>
        <v>255235283</v>
      </c>
      <c r="K9" s="223">
        <f t="shared" si="0"/>
        <v>271633310</v>
      </c>
      <c r="L9" s="223">
        <f t="shared" si="0"/>
        <v>277958056</v>
      </c>
      <c r="M9" s="223">
        <f t="shared" si="0"/>
        <v>285198173</v>
      </c>
      <c r="N9" s="223">
        <f t="shared" si="0"/>
        <v>298745221</v>
      </c>
      <c r="O9" s="223">
        <f t="shared" si="0"/>
        <v>309271263</v>
      </c>
      <c r="P9" s="384"/>
    </row>
    <row r="10" spans="1:16" ht="15.75" thickTop="1" x14ac:dyDescent="0.25">
      <c r="A10" s="28"/>
      <c r="P10" s="384"/>
    </row>
    <row r="11" spans="1:16" ht="18.75" x14ac:dyDescent="0.3">
      <c r="A11" s="31" t="s">
        <v>7</v>
      </c>
      <c r="P11" s="384"/>
    </row>
    <row r="12" spans="1:16" ht="18" x14ac:dyDescent="0.25">
      <c r="A12" s="43" t="s">
        <v>8</v>
      </c>
      <c r="P12" s="384"/>
    </row>
    <row r="13" spans="1:16" x14ac:dyDescent="0.25">
      <c r="A13" s="236" t="s">
        <v>61</v>
      </c>
      <c r="C13" s="96"/>
      <c r="D13" s="96"/>
      <c r="E13" s="96">
        <f>'2004-2005'!C18</f>
        <v>48501169</v>
      </c>
      <c r="F13" s="96">
        <f>'2005-2006'!C18</f>
        <v>50847484</v>
      </c>
      <c r="G13" s="96">
        <f>'2006-2007'!G20</f>
        <v>53963852</v>
      </c>
      <c r="H13" s="96">
        <f>'2007-2008'!G19</f>
        <v>58223633</v>
      </c>
      <c r="I13" s="96">
        <f>'2008-2009'!G19</f>
        <v>62114312</v>
      </c>
      <c r="J13" s="96">
        <f>'2009-2010'!G20</f>
        <v>64850223</v>
      </c>
      <c r="K13" s="96">
        <f>'2010-2011'!G19</f>
        <v>67220285</v>
      </c>
      <c r="L13" s="96">
        <f>'2011-2012'!F22</f>
        <v>70374756</v>
      </c>
      <c r="M13" s="96">
        <f>'2012-2013'!E22</f>
        <v>72844047</v>
      </c>
      <c r="N13" s="96">
        <f>'2013-2014'!E22</f>
        <v>75136795.680728465</v>
      </c>
      <c r="O13" s="96">
        <f>'2014-2015'!F21</f>
        <v>77371275.804567397</v>
      </c>
      <c r="P13" s="384"/>
    </row>
    <row r="14" spans="1:16" x14ac:dyDescent="0.25">
      <c r="A14" s="236" t="s">
        <v>218</v>
      </c>
      <c r="C14" s="96">
        <f>'2002-2003'!E18</f>
        <v>56932752</v>
      </c>
      <c r="D14" s="96">
        <f>'2003-2004'!E18</f>
        <v>61007745</v>
      </c>
      <c r="E14" s="96"/>
      <c r="F14" s="96"/>
      <c r="G14" s="96"/>
      <c r="H14" s="96"/>
      <c r="I14" s="96"/>
      <c r="J14" s="96"/>
      <c r="K14" s="96"/>
      <c r="L14" s="96"/>
      <c r="M14" s="96"/>
      <c r="N14" s="96"/>
      <c r="O14" s="96"/>
      <c r="P14" s="384"/>
    </row>
    <row r="15" spans="1:16" x14ac:dyDescent="0.25">
      <c r="A15" s="236" t="s">
        <v>58</v>
      </c>
      <c r="C15" s="96">
        <f>'2002-2003'!C21</f>
        <v>10846123</v>
      </c>
      <c r="D15" s="96">
        <f>'2003-2004'!C21</f>
        <v>11166666</v>
      </c>
      <c r="E15" s="96">
        <f>'2004-2005'!C19</f>
        <v>11771710</v>
      </c>
      <c r="F15" s="96">
        <f>'2005-2006'!C19</f>
        <v>12247818</v>
      </c>
      <c r="G15" s="96">
        <f>'2006-2007'!G21</f>
        <v>12869369</v>
      </c>
      <c r="H15" s="96">
        <f>'2007-2008'!G20</f>
        <v>14582834</v>
      </c>
      <c r="I15" s="96">
        <f>'2008-2009'!G20</f>
        <v>15375652</v>
      </c>
      <c r="J15" s="96">
        <f>'2009-2010'!G21</f>
        <v>15970458</v>
      </c>
      <c r="K15" s="96">
        <f>'2010-2011'!G20</f>
        <v>16564101</v>
      </c>
      <c r="L15" s="96">
        <f>'2011-2012'!F23</f>
        <v>17378287</v>
      </c>
      <c r="M15" s="96">
        <f>'2012-2013'!E23</f>
        <v>17970705</v>
      </c>
      <c r="N15" s="96">
        <f>'2013-2014'!E23</f>
        <v>18503624.259932369</v>
      </c>
      <c r="O15" s="96">
        <f>'2014-2015'!F22</f>
        <v>19243750.912495855</v>
      </c>
      <c r="P15" s="384"/>
    </row>
    <row r="16" spans="1:16" x14ac:dyDescent="0.25">
      <c r="A16" s="236" t="s">
        <v>60</v>
      </c>
      <c r="C16" s="96">
        <f>'2002-2003'!C22</f>
        <v>9420774</v>
      </c>
      <c r="D16" s="96">
        <f>'2003-2004'!C22</f>
        <v>9796564</v>
      </c>
      <c r="E16" s="96">
        <f>'2004-2005'!C20</f>
        <v>10040663</v>
      </c>
      <c r="F16" s="96">
        <f>'2005-2006'!C20</f>
        <v>10777456</v>
      </c>
      <c r="G16" s="96">
        <f>'2006-2007'!G22</f>
        <v>8900630</v>
      </c>
      <c r="H16" s="96">
        <f>'2007-2008'!G21</f>
        <v>9673022</v>
      </c>
      <c r="I16" s="96">
        <f>'2008-2009'!G21</f>
        <v>10343237</v>
      </c>
      <c r="J16" s="96">
        <f>'2009-2010'!G22</f>
        <v>10616537</v>
      </c>
      <c r="K16" s="96">
        <f>'2010-2011'!G21</f>
        <v>10919580</v>
      </c>
      <c r="L16" s="96">
        <f>'2011-2012'!F24</f>
        <v>11236352</v>
      </c>
      <c r="M16" s="96">
        <f>'2012-2013'!E24</f>
        <v>11201651</v>
      </c>
      <c r="N16" s="96">
        <f>'2013-2014'!E24</f>
        <v>11477103.720703531</v>
      </c>
      <c r="O16" s="96">
        <f>'2014-2015'!F23</f>
        <v>11368006.572249323</v>
      </c>
      <c r="P16" s="384"/>
    </row>
    <row r="17" spans="1:15" x14ac:dyDescent="0.25">
      <c r="A17" s="236" t="s">
        <v>59</v>
      </c>
      <c r="C17" s="96"/>
      <c r="D17" s="96"/>
      <c r="E17" s="96">
        <f>'2004-2005'!C21</f>
        <v>7257191</v>
      </c>
      <c r="F17" s="96">
        <f>'2005-2006'!C21</f>
        <v>7528372</v>
      </c>
      <c r="G17" s="96">
        <f>'2006-2007'!G23</f>
        <v>8114159</v>
      </c>
      <c r="H17" s="96">
        <f>'2007-2008'!G22</f>
        <v>8267088</v>
      </c>
      <c r="I17" s="96">
        <f>'2008-2009'!G22</f>
        <v>8909222</v>
      </c>
      <c r="J17" s="96">
        <f>'2009-2010'!G23</f>
        <v>9253728</v>
      </c>
      <c r="K17" s="96">
        <f>'2010-2011'!G22</f>
        <v>9805519</v>
      </c>
      <c r="L17" s="96">
        <f>'2011-2012'!F25</f>
        <v>10479499</v>
      </c>
      <c r="M17" s="96">
        <f>'2012-2013'!E25</f>
        <v>10833510</v>
      </c>
      <c r="N17" s="96">
        <f>'2013-2014'!E25</f>
        <v>11078395.56414713</v>
      </c>
      <c r="O17" s="96">
        <f>'2014-2015'!F24</f>
        <v>11853039.504987042</v>
      </c>
    </row>
    <row r="18" spans="1:15" x14ac:dyDescent="0.25">
      <c r="A18" s="236" t="s">
        <v>62</v>
      </c>
      <c r="C18" s="96"/>
      <c r="E18" s="96">
        <f>'2004-2005'!C22</f>
        <v>5391242</v>
      </c>
      <c r="F18" s="96">
        <f>'2005-2006'!C22</f>
        <v>6154648</v>
      </c>
      <c r="G18" s="96">
        <f>'2006-2007'!G24</f>
        <v>6621292</v>
      </c>
      <c r="H18" s="96">
        <f>'2007-2008'!G23</f>
        <v>7102174</v>
      </c>
      <c r="I18" s="96">
        <f>'2008-2009'!G23</f>
        <v>7728807</v>
      </c>
      <c r="J18" s="96">
        <f>'2009-2010'!G24</f>
        <v>8109637</v>
      </c>
      <c r="K18" s="96">
        <f>'2010-2011'!G23</f>
        <v>8305634</v>
      </c>
      <c r="L18" s="96">
        <f>'2011-2012'!F26</f>
        <v>9189957</v>
      </c>
      <c r="M18" s="96">
        <f>'2012-2013'!E26</f>
        <v>9603635</v>
      </c>
      <c r="N18" s="96">
        <f>'2013-2014'!E26</f>
        <v>10418390.342697373</v>
      </c>
      <c r="O18" s="96">
        <f>'2014-2015'!F25</f>
        <v>11360632.361799143</v>
      </c>
    </row>
    <row r="19" spans="1:15" x14ac:dyDescent="0.25">
      <c r="A19" s="236" t="s">
        <v>64</v>
      </c>
      <c r="C19" s="96">
        <f>'2002-2003'!C23</f>
        <v>4502278</v>
      </c>
      <c r="D19" s="96">
        <f>'2003-2004'!C23</f>
        <v>4755826</v>
      </c>
      <c r="E19" s="96">
        <f>'2004-2005'!C23</f>
        <v>4781479</v>
      </c>
      <c r="F19" s="96">
        <f>'2005-2006'!C23</f>
        <v>5469783</v>
      </c>
      <c r="G19" s="96">
        <f>'2006-2007'!G25</f>
        <v>5350540</v>
      </c>
      <c r="H19" s="96">
        <f>'2007-2008'!G24</f>
        <v>5636266</v>
      </c>
      <c r="I19" s="96">
        <f>'2008-2009'!G24</f>
        <v>5932615</v>
      </c>
      <c r="J19" s="96">
        <f>'2009-2010'!G25</f>
        <v>6344941</v>
      </c>
      <c r="K19" s="96">
        <f>'2010-2011'!G24</f>
        <v>6794859</v>
      </c>
      <c r="L19" s="96">
        <f>'2011-2012'!F27</f>
        <v>7189184</v>
      </c>
      <c r="M19" s="96">
        <f>'2012-2013'!E27</f>
        <v>7381025</v>
      </c>
      <c r="N19" s="96">
        <f>'2013-2014'!E27</f>
        <v>7687801.521848374</v>
      </c>
      <c r="O19" s="96">
        <f>'2014-2015'!F26</f>
        <v>7827433.9252647758</v>
      </c>
    </row>
    <row r="20" spans="1:15" x14ac:dyDescent="0.25">
      <c r="A20" s="236" t="s">
        <v>63</v>
      </c>
      <c r="C20" s="96"/>
      <c r="E20" s="96">
        <f>'2004-2005'!C24</f>
        <v>3123761</v>
      </c>
      <c r="F20" s="96">
        <f>'2005-2006'!C25</f>
        <v>4266878</v>
      </c>
      <c r="G20" s="96">
        <f>'2006-2007'!G27</f>
        <v>4408560</v>
      </c>
      <c r="H20" s="96">
        <f>'2007-2008'!G26</f>
        <v>4733229</v>
      </c>
      <c r="I20" s="96">
        <f>'2008-2009'!G25</f>
        <v>5302248</v>
      </c>
      <c r="J20" s="96">
        <f>'2009-2010'!G26</f>
        <v>5607804</v>
      </c>
      <c r="K20" s="96">
        <f>'2010-2011'!G25</f>
        <v>6777048</v>
      </c>
      <c r="L20" s="96">
        <f>'2011-2012'!F28</f>
        <v>7688797</v>
      </c>
      <c r="M20" s="96">
        <f>'2012-2013'!E28</f>
        <v>8000454</v>
      </c>
      <c r="N20" s="96">
        <f>'2013-2014'!E28</f>
        <v>10679743.490658002</v>
      </c>
      <c r="O20" s="96">
        <f>'2014-2015'!F27</f>
        <v>11900626.513851207</v>
      </c>
    </row>
    <row r="21" spans="1:15" x14ac:dyDescent="0.25">
      <c r="A21" s="236" t="s">
        <v>217</v>
      </c>
      <c r="C21" s="96">
        <f>'2002-2003'!C26+C27</f>
        <v>3850829</v>
      </c>
      <c r="D21" s="96">
        <f>'2003-2004'!C26+D27</f>
        <v>3963828</v>
      </c>
      <c r="E21" s="96">
        <f>'2004-2005'!C25+E27</f>
        <v>6049138</v>
      </c>
      <c r="F21" s="96">
        <f>('2005-2006'!C24)+F27</f>
        <v>7794501</v>
      </c>
      <c r="G21" s="96">
        <f>('2006-2007'!G26)+G27</f>
        <v>8519685</v>
      </c>
      <c r="H21" s="96">
        <f>('2007-2008'!G25)+H27</f>
        <v>9215949</v>
      </c>
      <c r="I21" s="96">
        <f>'2008-2009'!G26</f>
        <v>10539151</v>
      </c>
      <c r="J21" s="96">
        <f>'2009-2010'!G27</f>
        <v>10955276</v>
      </c>
      <c r="K21" s="96">
        <f>'2010-2011'!G26</f>
        <v>11750302</v>
      </c>
      <c r="L21" s="96">
        <f>'2011-2012'!F29</f>
        <v>10917711</v>
      </c>
      <c r="M21" s="96">
        <f>'2012-2013'!E29</f>
        <v>11718583</v>
      </c>
      <c r="N21" s="96">
        <f>'2013-2014'!E29</f>
        <v>12230235.409064289</v>
      </c>
      <c r="O21" s="96">
        <f>'2014-2015'!F28</f>
        <v>12586221.769371074</v>
      </c>
    </row>
    <row r="22" spans="1:15" x14ac:dyDescent="0.25">
      <c r="A22" s="36" t="s">
        <v>134</v>
      </c>
      <c r="C22" s="96">
        <f>'2002-2003'!C25</f>
        <v>1583338</v>
      </c>
      <c r="D22" s="96">
        <f>'2003-2004'!C25</f>
        <v>1950338</v>
      </c>
      <c r="E22" s="96">
        <f>'2004-2005'!C26</f>
        <v>1376492</v>
      </c>
      <c r="F22" s="96">
        <f>'2005-2006'!C26</f>
        <v>1691440</v>
      </c>
      <c r="G22" s="96">
        <f>'2006-2007'!G28</f>
        <v>1709160</v>
      </c>
      <c r="H22" s="96">
        <f>'2007-2008'!G27</f>
        <v>1491234</v>
      </c>
      <c r="I22" s="96">
        <f>'2008-2009'!G27</f>
        <v>1823894</v>
      </c>
      <c r="J22" s="96">
        <f>'2009-2010'!G28</f>
        <v>2061134</v>
      </c>
      <c r="K22" s="96">
        <f>'2010-2011'!G27</f>
        <v>1422156</v>
      </c>
      <c r="L22" s="96">
        <f>'2011-2012'!F30</f>
        <v>1462303</v>
      </c>
      <c r="M22" s="96">
        <f>'2012-2013'!E30</f>
        <v>1492358</v>
      </c>
      <c r="N22" s="96">
        <f>'2013-2014'!E30</f>
        <v>1549246.6441539305</v>
      </c>
      <c r="O22" s="96">
        <f>'2014-2015'!F29</f>
        <v>1619760</v>
      </c>
    </row>
    <row r="23" spans="1:15" x14ac:dyDescent="0.25">
      <c r="A23" s="77" t="s">
        <v>68</v>
      </c>
      <c r="C23" s="96">
        <f>'2002-2003'!C30</f>
        <v>8301225</v>
      </c>
      <c r="D23" s="96">
        <f>'2003-2004'!C30</f>
        <v>9038865</v>
      </c>
      <c r="E23" s="96">
        <f>'2004-2005'!C27</f>
        <v>9794016</v>
      </c>
      <c r="F23" s="96">
        <f>'2005-2006'!C27</f>
        <v>11701068</v>
      </c>
      <c r="G23" s="96">
        <f>'2006-2007'!G29</f>
        <v>12721362</v>
      </c>
      <c r="H23" s="96">
        <f>'2007-2008'!G28</f>
        <v>11506480</v>
      </c>
      <c r="I23" s="96">
        <f>'2008-2009'!G30</f>
        <v>11661216</v>
      </c>
      <c r="J23" s="96">
        <f>'2009-2010'!G31</f>
        <v>12150180</v>
      </c>
      <c r="K23" s="96">
        <f>'2010-2011'!G31</f>
        <v>12455650</v>
      </c>
      <c r="L23" s="96">
        <f>'2011-2012'!F34</f>
        <v>12718357</v>
      </c>
      <c r="M23" s="96">
        <f>'2012-2013'!E34</f>
        <v>13035290</v>
      </c>
      <c r="N23" s="96">
        <f>'2013-2014'!E34</f>
        <v>13644445.515217351</v>
      </c>
      <c r="O23" s="96">
        <f>'2014-2015'!F33</f>
        <v>13830401</v>
      </c>
    </row>
    <row r="24" spans="1:15" x14ac:dyDescent="0.25">
      <c r="A24" s="36" t="s">
        <v>66</v>
      </c>
      <c r="C24" s="96">
        <f>'2002-2003'!C33</f>
        <v>5831996</v>
      </c>
      <c r="D24" s="96">
        <f>'2003-2004'!C33</f>
        <v>6504255</v>
      </c>
      <c r="E24" s="96">
        <f>'2004-2005'!C28</f>
        <v>7022962</v>
      </c>
      <c r="F24" s="96">
        <f>'2005-2006'!C28</f>
        <v>7654397</v>
      </c>
      <c r="G24" s="96">
        <f>'2006-2007'!G30</f>
        <v>8464864</v>
      </c>
      <c r="H24" s="96">
        <f>'2007-2008'!G29</f>
        <v>9191292</v>
      </c>
      <c r="I24" s="96">
        <f>'2008-2009'!G28</f>
        <v>9427948</v>
      </c>
      <c r="J24" s="96">
        <f>'2009-2010'!G29</f>
        <v>9827034</v>
      </c>
      <c r="K24" s="96">
        <f>'2010-2011'!G28</f>
        <v>10194948</v>
      </c>
      <c r="L24" s="96">
        <f>'2011-2012'!F31</f>
        <v>10178684</v>
      </c>
      <c r="M24" s="96">
        <f>'2012-2013'!E31</f>
        <v>10759434</v>
      </c>
      <c r="N24" s="96">
        <f>'2013-2014'!E31</f>
        <v>10995194.196210304</v>
      </c>
      <c r="O24" s="96">
        <f>'2014-2015'!F30</f>
        <v>11304509</v>
      </c>
    </row>
    <row r="25" spans="1:15" x14ac:dyDescent="0.25">
      <c r="A25" s="36" t="s">
        <v>84</v>
      </c>
      <c r="C25" s="96"/>
      <c r="K25" s="96">
        <f>'2010-2011'!G29</f>
        <v>1309654</v>
      </c>
      <c r="L25" s="96">
        <f>'2011-2012'!F32</f>
        <v>1367198</v>
      </c>
      <c r="M25" s="96">
        <f>'2012-2013'!E32</f>
        <v>1404627</v>
      </c>
      <c r="N25" s="96">
        <f>'2013-2014'!E32</f>
        <v>1524694.3067273723</v>
      </c>
      <c r="O25" s="96">
        <f>'2014-2015'!F31</f>
        <v>1684704</v>
      </c>
    </row>
    <row r="26" spans="1:15" x14ac:dyDescent="0.25">
      <c r="A26" s="36" t="s">
        <v>85</v>
      </c>
      <c r="C26" s="96">
        <f>'2002-2003'!C28</f>
        <v>859771</v>
      </c>
      <c r="D26" s="96">
        <f>'2003-2004'!C28</f>
        <v>911064</v>
      </c>
      <c r="E26" s="96">
        <f>'2004-2005'!C29</f>
        <v>936021</v>
      </c>
      <c r="F26" s="96">
        <f>'2005-2006'!C29</f>
        <v>782330</v>
      </c>
      <c r="G26" s="96">
        <f>'2006-2007'!G31</f>
        <v>982409</v>
      </c>
      <c r="H26" s="96">
        <f>'2007-2008'!G30</f>
        <v>1212717</v>
      </c>
      <c r="I26" s="96">
        <f>'2008-2009'!G29</f>
        <v>1543568</v>
      </c>
      <c r="J26" s="96">
        <f>'2009-2010'!G30</f>
        <v>466689</v>
      </c>
      <c r="K26" s="96">
        <f>'2010-2011'!G30</f>
        <v>603334</v>
      </c>
      <c r="L26" s="96">
        <f>'2011-2012'!F33</f>
        <v>806208</v>
      </c>
      <c r="M26" s="96">
        <f>'2012-2013'!E33</f>
        <v>822951</v>
      </c>
      <c r="N26" s="96">
        <f>'2013-2014'!E33</f>
        <v>843157.32514688384</v>
      </c>
      <c r="O26" s="96">
        <f>'2014-2015'!F32</f>
        <v>845008.52416599321</v>
      </c>
    </row>
    <row r="27" spans="1:15" x14ac:dyDescent="0.25">
      <c r="A27" s="36" t="s">
        <v>136</v>
      </c>
      <c r="C27" s="96">
        <f>'2002-2003'!C40</f>
        <v>2500398</v>
      </c>
      <c r="D27" s="96">
        <f>'2003-2004'!C40</f>
        <v>2487812</v>
      </c>
      <c r="E27" s="96">
        <f>'2004-2005'!C37</f>
        <v>2411816</v>
      </c>
      <c r="F27" s="96">
        <f>'2005-2006'!C37</f>
        <v>2579694</v>
      </c>
      <c r="G27" s="96">
        <f>'2006-2007'!G39</f>
        <v>2462303</v>
      </c>
      <c r="H27" s="96">
        <f>'2007-2008'!G38</f>
        <v>2548215</v>
      </c>
      <c r="I27" s="96"/>
      <c r="J27" s="96"/>
      <c r="K27" s="96"/>
    </row>
    <row r="28" spans="1:15" x14ac:dyDescent="0.25">
      <c r="A28" s="36" t="s">
        <v>17</v>
      </c>
      <c r="C28" s="96">
        <f>'2002-2003'!C32</f>
        <v>296918</v>
      </c>
      <c r="D28" s="96">
        <f>'2003-2004'!C41</f>
        <v>5692684</v>
      </c>
      <c r="E28" s="96">
        <f>'2004-2005'!C38</f>
        <v>5814970</v>
      </c>
      <c r="F28" s="96">
        <f>'2005-2006'!C38</f>
        <v>6156701</v>
      </c>
      <c r="G28" s="96">
        <f>'2006-2007'!G40</f>
        <v>6271688</v>
      </c>
      <c r="H28" s="96">
        <f>'2007-2008'!G39</f>
        <v>6510554</v>
      </c>
      <c r="I28" s="96">
        <f>'2008-2009'!G31</f>
        <v>6793357</v>
      </c>
      <c r="J28" s="96">
        <f>'2009-2010'!G32</f>
        <v>7214663</v>
      </c>
      <c r="K28" s="96">
        <f>'2010-2011'!G32</f>
        <v>7637186</v>
      </c>
      <c r="L28" s="96">
        <f>'2011-2012'!F35</f>
        <v>7945181</v>
      </c>
      <c r="M28" s="96">
        <f>'2012-2013'!E35</f>
        <v>8062347</v>
      </c>
      <c r="N28" s="96">
        <f>'2013-2014'!E35</f>
        <v>8559133.7170196287</v>
      </c>
      <c r="O28" s="96">
        <f>'2014-2015'!F34</f>
        <v>8614887</v>
      </c>
    </row>
    <row r="29" spans="1:15" x14ac:dyDescent="0.25">
      <c r="A29" s="36" t="s">
        <v>20</v>
      </c>
      <c r="C29" s="96">
        <f>'2002-2003'!C41</f>
        <v>5376873</v>
      </c>
      <c r="D29" s="96">
        <f>'2003-2004'!C45</f>
        <v>631978</v>
      </c>
      <c r="E29" s="96">
        <f>'2004-2005'!C42</f>
        <v>646826</v>
      </c>
      <c r="F29" s="96">
        <f>'2005-2006'!C42</f>
        <v>666592</v>
      </c>
      <c r="G29" s="96">
        <f>'2006-2007'!G44</f>
        <v>753885</v>
      </c>
      <c r="H29" s="96">
        <f>'2007-2008'!G43</f>
        <v>805509</v>
      </c>
      <c r="I29" s="96">
        <f>'2008-2009'!G32</f>
        <v>853785</v>
      </c>
      <c r="J29" s="96">
        <f>'2009-2010'!G33</f>
        <v>896965</v>
      </c>
      <c r="K29" s="96">
        <f>'2010-2011'!G33</f>
        <v>918716</v>
      </c>
      <c r="L29" s="96">
        <f>'2011-2012'!F36</f>
        <v>933038</v>
      </c>
      <c r="M29" s="96">
        <f>'2012-2013'!E36</f>
        <v>950322</v>
      </c>
      <c r="N29" s="96">
        <f>'2013-2014'!E36</f>
        <v>1001636.6502937676</v>
      </c>
      <c r="O29" s="96">
        <f>'2014-2015'!F35</f>
        <v>1008980</v>
      </c>
    </row>
    <row r="30" spans="1:15" x14ac:dyDescent="0.25">
      <c r="A30" s="36" t="s">
        <v>21</v>
      </c>
      <c r="C30" s="96">
        <f>'2002-2003'!C34</f>
        <v>1000</v>
      </c>
      <c r="D30" s="96">
        <f>'2003-2004'!C46</f>
        <v>607345</v>
      </c>
      <c r="E30" s="96">
        <f>'2004-2005'!C43</f>
        <v>611537</v>
      </c>
      <c r="F30" s="96">
        <f>'2005-2006'!C43</f>
        <v>691171</v>
      </c>
      <c r="G30" s="96">
        <f>'2006-2007'!G45</f>
        <v>725090</v>
      </c>
      <c r="H30" s="96">
        <f>'2007-2008'!G44</f>
        <v>755435</v>
      </c>
      <c r="I30" s="96">
        <f>'2008-2009'!G33</f>
        <v>709728</v>
      </c>
      <c r="J30" s="96">
        <f>'2009-2010'!G34</f>
        <v>715506</v>
      </c>
      <c r="K30" s="96">
        <f>'2010-2011'!G34</f>
        <v>743709</v>
      </c>
      <c r="L30" s="96">
        <f>'2011-2012'!F37</f>
        <v>593787</v>
      </c>
      <c r="M30" s="96">
        <f>'2012-2013'!E37</f>
        <v>587835</v>
      </c>
      <c r="N30" s="96">
        <f>'2013-2014'!E37</f>
        <v>606287.98772032571</v>
      </c>
      <c r="O30" s="96">
        <f>'2014-2015'!F36</f>
        <v>608216</v>
      </c>
    </row>
    <row r="31" spans="1:15" x14ac:dyDescent="0.25">
      <c r="A31" s="36" t="s">
        <v>22</v>
      </c>
      <c r="C31" s="96">
        <f>'2002-2003'!C47</f>
        <v>1505137</v>
      </c>
      <c r="D31" s="96">
        <f>'2003-2004'!C47</f>
        <v>1552358</v>
      </c>
      <c r="E31" s="96">
        <f>'2004-2005'!C44</f>
        <v>1573545</v>
      </c>
      <c r="F31" s="96">
        <f>'2005-2006'!C44</f>
        <v>1730916</v>
      </c>
      <c r="G31" s="96">
        <f>'2006-2007'!G46</f>
        <v>1881710</v>
      </c>
      <c r="H31" s="96">
        <f>'2007-2008'!G45</f>
        <v>2158609</v>
      </c>
      <c r="I31" s="96">
        <f>'2008-2009'!G34</f>
        <v>2238140</v>
      </c>
      <c r="J31" s="96">
        <f>'2009-2010'!G35</f>
        <v>2416518</v>
      </c>
      <c r="K31" s="96">
        <f>'2010-2011'!G35</f>
        <v>2484694</v>
      </c>
      <c r="L31" s="96">
        <f>'2011-2012'!F38</f>
        <v>2648221</v>
      </c>
      <c r="M31" s="96">
        <f>'2012-2013'!E38</f>
        <v>2777888</v>
      </c>
      <c r="N31" s="96">
        <f>'2013-2014'!E38</f>
        <v>2906883.6036310052</v>
      </c>
      <c r="O31" s="96">
        <f>'2014-2015'!F37</f>
        <v>2958062</v>
      </c>
    </row>
    <row r="32" spans="1:15" x14ac:dyDescent="0.25">
      <c r="A32" s="36" t="s">
        <v>23</v>
      </c>
      <c r="C32" s="96">
        <f>'2002-2003'!C36</f>
        <v>85330</v>
      </c>
      <c r="D32" s="96">
        <f>'2003-2004'!C48</f>
        <v>1723843</v>
      </c>
      <c r="E32" s="96">
        <f>'2004-2005'!C45</f>
        <v>2455479</v>
      </c>
      <c r="F32" s="96">
        <f>'2005-2006'!C45</f>
        <v>2491436</v>
      </c>
      <c r="G32" s="96">
        <f>'2006-2007'!G47</f>
        <v>2562404</v>
      </c>
      <c r="H32" s="96">
        <f>'2007-2008'!G46</f>
        <v>2722222</v>
      </c>
      <c r="I32" s="96">
        <f>'2008-2009'!G35</f>
        <v>2998466</v>
      </c>
      <c r="J32" s="96">
        <f>'2009-2010'!G36</f>
        <v>3106814</v>
      </c>
      <c r="K32" s="96">
        <f>'2010-2011'!G36</f>
        <v>3330152</v>
      </c>
      <c r="L32" s="96">
        <f>'2011-2012'!F39</f>
        <v>3470664</v>
      </c>
      <c r="M32" s="96">
        <f>'2012-2013'!E39</f>
        <v>3522192</v>
      </c>
      <c r="N32" s="96">
        <f>'2013-2014'!E39</f>
        <v>3595464.288307861</v>
      </c>
      <c r="O32" s="96">
        <f>'2014-2015'!F38</f>
        <v>3708642</v>
      </c>
    </row>
    <row r="33" spans="1:15" x14ac:dyDescent="0.25">
      <c r="A33" s="36" t="s">
        <v>86</v>
      </c>
      <c r="C33" s="96">
        <f>'2002-2003'!C32</f>
        <v>296918</v>
      </c>
      <c r="D33" s="96">
        <f>'2003-2004'!C32</f>
        <v>1069714</v>
      </c>
      <c r="E33" s="96"/>
      <c r="F33" s="96"/>
      <c r="G33" s="96"/>
      <c r="H33" s="96"/>
      <c r="I33" s="96"/>
      <c r="J33" s="96"/>
      <c r="K33" s="96"/>
    </row>
    <row r="34" spans="1:15" x14ac:dyDescent="0.25">
      <c r="A34" s="36" t="s">
        <v>219</v>
      </c>
      <c r="C34" s="96">
        <f>'2002-2003'!C34</f>
        <v>1000</v>
      </c>
      <c r="D34" s="96">
        <f>'2003-2004'!C34</f>
        <v>1000</v>
      </c>
      <c r="E34" s="96">
        <f>'2004-2005'!C31</f>
        <v>1000</v>
      </c>
      <c r="F34" s="96">
        <f>'2005-2006'!C31</f>
        <v>1000</v>
      </c>
      <c r="G34" s="96">
        <f>'2006-2007'!G33</f>
        <v>1000</v>
      </c>
      <c r="H34" s="96">
        <f>'2007-2008'!G32</f>
        <v>1000</v>
      </c>
      <c r="I34" s="96"/>
      <c r="J34" s="96"/>
      <c r="K34" s="96"/>
    </row>
    <row r="35" spans="1:15" x14ac:dyDescent="0.25">
      <c r="A35" s="85" t="s">
        <v>13</v>
      </c>
      <c r="C35" s="96">
        <f>'2002-2003'!C35</f>
        <v>1573213</v>
      </c>
      <c r="D35" s="96">
        <f>'2003-2004'!C35</f>
        <v>2383612</v>
      </c>
      <c r="E35" s="96">
        <f>'2004-2005'!C32</f>
        <v>1795529</v>
      </c>
      <c r="F35" s="96">
        <f>'2005-2006'!C32</f>
        <v>1919715</v>
      </c>
      <c r="G35" s="96">
        <f>'2006-2007'!G34</f>
        <v>2353576</v>
      </c>
      <c r="H35" s="96">
        <f>'2007-2008'!G33</f>
        <v>2641909</v>
      </c>
      <c r="I35" s="96">
        <f>'2008-2009'!G37</f>
        <v>3319118</v>
      </c>
      <c r="J35" s="96">
        <f>'2009-2010'!G38</f>
        <v>4387068</v>
      </c>
      <c r="K35" s="96">
        <f>'2010-2011'!G38</f>
        <v>3640483</v>
      </c>
      <c r="L35" s="96">
        <f>'2011-2012'!F41</f>
        <v>5244817</v>
      </c>
      <c r="M35" s="96">
        <f>'2012-2013'!E41</f>
        <v>5395672</v>
      </c>
      <c r="N35" s="96">
        <f>'2013-2014'!E41</f>
        <v>5554689.9263219545</v>
      </c>
      <c r="O35" s="96">
        <f>'2014-2015'!F40</f>
        <v>5741356.1112481868</v>
      </c>
    </row>
    <row r="36" spans="1:15" x14ac:dyDescent="0.25">
      <c r="A36" s="36" t="s">
        <v>14</v>
      </c>
      <c r="C36" s="222">
        <f>'2002-2003'!C36+C34</f>
        <v>86330</v>
      </c>
      <c r="D36" s="222">
        <f>'2003-2004'!C36+D34</f>
        <v>174656</v>
      </c>
      <c r="E36" s="222">
        <f>'2004-2005'!C33+E34</f>
        <v>33675</v>
      </c>
      <c r="F36" s="222">
        <f>'2005-2006'!C33+F34</f>
        <v>236065</v>
      </c>
      <c r="G36" s="222">
        <f>'2006-2007'!G35+G34</f>
        <v>86611</v>
      </c>
      <c r="H36" s="222">
        <f>'2007-2008'!G34+H34</f>
        <v>240467</v>
      </c>
      <c r="I36" s="222">
        <f>'2008-2009'!G38</f>
        <v>1600558</v>
      </c>
      <c r="J36" s="222">
        <f>'2009-2010'!G39</f>
        <v>463004</v>
      </c>
      <c r="K36" s="222">
        <f>'2010-2011'!G39</f>
        <v>733320</v>
      </c>
      <c r="L36" s="222">
        <f>'2011-2012'!F42</f>
        <v>185415</v>
      </c>
      <c r="M36" s="222">
        <f>'2012-2013'!E42</f>
        <v>157846</v>
      </c>
      <c r="N36" s="222">
        <f>'2013-2014'!E42</f>
        <v>171430</v>
      </c>
      <c r="O36" s="222">
        <f>'2014-2015'!F41</f>
        <v>210461</v>
      </c>
    </row>
    <row r="37" spans="1:15" x14ac:dyDescent="0.25">
      <c r="A37" s="36" t="s">
        <v>25</v>
      </c>
      <c r="C37" s="96">
        <f t="shared" ref="C37:H37" si="1">SUM(C13:C36)-C27-C34</f>
        <v>111350805</v>
      </c>
      <c r="D37" s="96">
        <f t="shared" si="1"/>
        <v>122931341</v>
      </c>
      <c r="E37" s="96">
        <f t="shared" si="1"/>
        <v>128977405</v>
      </c>
      <c r="F37" s="96">
        <f t="shared" si="1"/>
        <v>140808771</v>
      </c>
      <c r="G37" s="96">
        <f t="shared" si="1"/>
        <v>147260846</v>
      </c>
      <c r="H37" s="96">
        <f t="shared" si="1"/>
        <v>156670623</v>
      </c>
      <c r="I37" s="96">
        <f t="shared" ref="I37:O37" si="2">SUM(I13:I36)</f>
        <v>169215022</v>
      </c>
      <c r="J37" s="96">
        <f t="shared" si="2"/>
        <v>175414179</v>
      </c>
      <c r="K37" s="96">
        <f t="shared" si="2"/>
        <v>183611330</v>
      </c>
      <c r="L37" s="96">
        <f t="shared" si="2"/>
        <v>192008416</v>
      </c>
      <c r="M37" s="96">
        <f t="shared" si="2"/>
        <v>198522372</v>
      </c>
      <c r="N37" s="96">
        <f t="shared" si="2"/>
        <v>208164354.15052995</v>
      </c>
      <c r="O37" s="96">
        <f t="shared" si="2"/>
        <v>215645973.99999997</v>
      </c>
    </row>
    <row r="38" spans="1:15" x14ac:dyDescent="0.25">
      <c r="A38" s="36"/>
    </row>
    <row r="39" spans="1:15" ht="18" x14ac:dyDescent="0.25">
      <c r="A39" s="43" t="s">
        <v>87</v>
      </c>
    </row>
    <row r="40" spans="1:15" x14ac:dyDescent="0.25">
      <c r="A40" s="36" t="s">
        <v>54</v>
      </c>
      <c r="C40" s="96">
        <f>'2002-2003'!C77</f>
        <v>118515</v>
      </c>
      <c r="D40" s="96">
        <f>'2003-2004'!C77</f>
        <v>142159</v>
      </c>
      <c r="E40" s="96">
        <f>'2004-2005'!C75</f>
        <v>85828</v>
      </c>
      <c r="F40" s="96">
        <f>'2005-2006'!C75</f>
        <v>86549</v>
      </c>
      <c r="G40" s="96">
        <f>'2006-2007'!G76</f>
        <v>82756</v>
      </c>
      <c r="H40" s="96">
        <f>'2007-2008'!G74</f>
        <v>86498</v>
      </c>
      <c r="I40" s="96">
        <f>'2008-2009'!G42</f>
        <v>187056</v>
      </c>
      <c r="J40" s="96">
        <f>'2009-2010'!G43</f>
        <v>188161</v>
      </c>
      <c r="K40" s="96">
        <f>'2010-2011'!G43</f>
        <v>240885</v>
      </c>
      <c r="L40" s="96">
        <f>'2011-2012'!F46</f>
        <v>244370</v>
      </c>
      <c r="M40" s="96">
        <f>'2012-2013'!E46</f>
        <v>181757</v>
      </c>
      <c r="N40" s="96">
        <f>'2013-2014'!E46</f>
        <v>187354.33128672096</v>
      </c>
      <c r="O40" s="96">
        <f>'2014-2015'!F45</f>
        <v>194330</v>
      </c>
    </row>
    <row r="41" spans="1:15" x14ac:dyDescent="0.25">
      <c r="A41" s="36" t="s">
        <v>88</v>
      </c>
      <c r="H41" s="96">
        <f>'2007-2008'!G75</f>
        <v>466712</v>
      </c>
      <c r="I41" s="96">
        <f>'2008-2009'!G43</f>
        <v>575990</v>
      </c>
      <c r="J41" s="96">
        <f>'2009-2010'!G44</f>
        <v>637875</v>
      </c>
      <c r="K41" s="96">
        <f>'2010-2011'!G44</f>
        <v>678120</v>
      </c>
      <c r="L41" s="96">
        <f>'2011-2012'!F47</f>
        <v>696684</v>
      </c>
      <c r="M41" s="96">
        <f>'2012-2013'!E47</f>
        <v>698380</v>
      </c>
      <c r="N41" s="96">
        <f>'2013-2014'!E47</f>
        <v>792494.31900704664</v>
      </c>
      <c r="O41" s="96">
        <f>'2014-2015'!F46</f>
        <v>816657</v>
      </c>
    </row>
    <row r="42" spans="1:15" x14ac:dyDescent="0.25">
      <c r="A42" s="77" t="s">
        <v>89</v>
      </c>
      <c r="H42" s="96">
        <f>'2007-2008'!G76</f>
        <v>84650</v>
      </c>
      <c r="I42" s="96">
        <f>'2008-2009'!G44</f>
        <v>115254</v>
      </c>
      <c r="J42" s="96">
        <f>'2009-2010'!G45</f>
        <v>117565</v>
      </c>
      <c r="K42" s="96">
        <f>'2010-2011'!G45</f>
        <v>119981</v>
      </c>
      <c r="L42" s="96">
        <f>'2011-2012'!F48</f>
        <v>118974</v>
      </c>
      <c r="M42" s="96">
        <f>'2012-2013'!E48</f>
        <v>121587</v>
      </c>
      <c r="N42" s="96">
        <f>'2013-2014'!E48</f>
        <v>125358.33128672095</v>
      </c>
      <c r="O42" s="96">
        <f>'2014-2015'!F47</f>
        <v>123141</v>
      </c>
    </row>
    <row r="43" spans="1:15" x14ac:dyDescent="0.25">
      <c r="A43" s="36" t="s">
        <v>14</v>
      </c>
      <c r="C43" s="222">
        <f>'2002-2003'!C78+'2002-2003'!C84</f>
        <v>31000</v>
      </c>
      <c r="D43" s="222">
        <f>'2003-2004'!C79</f>
        <v>59321</v>
      </c>
      <c r="E43" s="222">
        <f>'2004-2005'!C77</f>
        <v>59321</v>
      </c>
      <c r="F43" s="222">
        <f>'2005-2006'!C77</f>
        <v>59321</v>
      </c>
      <c r="G43" s="222">
        <f>'2006-2007'!G78</f>
        <v>59321</v>
      </c>
      <c r="H43" s="222">
        <f>'2007-2008'!G77</f>
        <v>55321</v>
      </c>
      <c r="I43" s="222">
        <f>'2008-2009'!G45</f>
        <v>55321</v>
      </c>
      <c r="J43" s="222">
        <f>'2009-2010'!G46</f>
        <v>55321</v>
      </c>
      <c r="K43" s="222">
        <f>'2010-2011'!G46</f>
        <v>55321</v>
      </c>
      <c r="L43" s="222">
        <f>'2011-2012'!F49</f>
        <v>205201</v>
      </c>
      <c r="M43" s="222">
        <f>'2012-2013'!E49</f>
        <v>248210</v>
      </c>
      <c r="N43" s="222">
        <f>'2013-2014'!E49</f>
        <v>261036.66257344189</v>
      </c>
      <c r="O43" s="222">
        <f>'2014-2015'!F48</f>
        <v>237084</v>
      </c>
    </row>
    <row r="44" spans="1:15" x14ac:dyDescent="0.25">
      <c r="A44" s="36" t="s">
        <v>25</v>
      </c>
      <c r="C44" s="96">
        <f t="shared" ref="C44:E44" si="3">SUM(C40:C43)</f>
        <v>149515</v>
      </c>
      <c r="D44" s="96">
        <f t="shared" si="3"/>
        <v>201480</v>
      </c>
      <c r="E44" s="96">
        <f t="shared" si="3"/>
        <v>145149</v>
      </c>
      <c r="F44" s="96">
        <f t="shared" ref="F44:O44" si="4">SUM(F40:F43)</f>
        <v>145870</v>
      </c>
      <c r="G44" s="96">
        <f t="shared" si="4"/>
        <v>142077</v>
      </c>
      <c r="H44" s="96">
        <f t="shared" si="4"/>
        <v>693181</v>
      </c>
      <c r="I44" s="96">
        <f t="shared" si="4"/>
        <v>933621</v>
      </c>
      <c r="J44" s="96">
        <f t="shared" si="4"/>
        <v>998922</v>
      </c>
      <c r="K44" s="96">
        <f t="shared" si="4"/>
        <v>1094307</v>
      </c>
      <c r="L44" s="96">
        <f t="shared" si="4"/>
        <v>1265229</v>
      </c>
      <c r="M44" s="96">
        <f t="shared" si="4"/>
        <v>1249934</v>
      </c>
      <c r="N44" s="96">
        <f t="shared" si="4"/>
        <v>1366243.6441539305</v>
      </c>
      <c r="O44" s="96">
        <f t="shared" si="4"/>
        <v>1371212</v>
      </c>
    </row>
    <row r="45" spans="1:15" x14ac:dyDescent="0.25">
      <c r="A45" s="28"/>
    </row>
    <row r="46" spans="1:15" ht="18" x14ac:dyDescent="0.25">
      <c r="A46" s="43" t="s">
        <v>90</v>
      </c>
    </row>
    <row r="47" spans="1:15" x14ac:dyDescent="0.25">
      <c r="A47" s="36" t="s">
        <v>27</v>
      </c>
      <c r="C47" s="96">
        <f>'2002-2003'!C57</f>
        <v>2071665</v>
      </c>
      <c r="D47" s="96">
        <f>'2003-2004'!C57</f>
        <v>2411648</v>
      </c>
      <c r="E47" s="96">
        <f>'2004-2005'!C54</f>
        <v>2474690</v>
      </c>
      <c r="F47" s="96">
        <f>'2005-2006'!C54</f>
        <v>2627913</v>
      </c>
      <c r="G47" s="96">
        <f>'2006-2007'!G57</f>
        <v>2883891</v>
      </c>
      <c r="H47" s="96">
        <f>'2007-2008'!G56</f>
        <v>3255167</v>
      </c>
      <c r="I47" s="96">
        <f>'2008-2009'!G58</f>
        <v>3528925</v>
      </c>
      <c r="J47" s="96">
        <f>'2009-2010'!G56</f>
        <v>3729093</v>
      </c>
      <c r="K47" s="96">
        <f>'2010-2011'!G56</f>
        <v>3850925</v>
      </c>
      <c r="L47" s="96">
        <f>'2011-2012'!F60</f>
        <v>3891825</v>
      </c>
      <c r="M47" s="96">
        <f>'2012-2013'!E61</f>
        <v>3994180</v>
      </c>
      <c r="N47" s="96">
        <f>'2013-2014'!E61</f>
        <v>4238991.5744053805</v>
      </c>
      <c r="O47" s="96">
        <f>'2014-2015'!F60</f>
        <v>4755217</v>
      </c>
    </row>
    <row r="48" spans="1:15" x14ac:dyDescent="0.25">
      <c r="A48" s="36" t="s">
        <v>28</v>
      </c>
      <c r="C48" s="96">
        <f>'2002-2003'!C58</f>
        <v>859236</v>
      </c>
      <c r="D48" s="96">
        <f>'2003-2004'!C58</f>
        <v>986855</v>
      </c>
      <c r="E48" s="96">
        <f>'2004-2005'!C55</f>
        <v>1036393</v>
      </c>
      <c r="F48" s="96">
        <f>'2005-2006'!C55</f>
        <v>1227886</v>
      </c>
      <c r="G48" s="96">
        <f>'2006-2007'!G58</f>
        <v>1325942</v>
      </c>
      <c r="H48" s="96">
        <f>'2007-2008'!G57</f>
        <v>1616560</v>
      </c>
      <c r="I48" s="96">
        <f>'2008-2009'!G59</f>
        <v>1691744</v>
      </c>
      <c r="J48" s="96">
        <f>'2009-2010'!G57</f>
        <v>1749892</v>
      </c>
      <c r="K48" s="96">
        <f>'2010-2011'!G57</f>
        <v>1798282</v>
      </c>
      <c r="L48" s="96">
        <f>'2011-2012'!F61</f>
        <v>1935565</v>
      </c>
      <c r="M48" s="96">
        <f>'2012-2013'!E62</f>
        <v>1848326</v>
      </c>
      <c r="N48" s="96">
        <f>'2013-2014'!E62</f>
        <v>1958710.3005875351</v>
      </c>
      <c r="O48" s="96">
        <f>'2014-2015'!F61</f>
        <v>1966781</v>
      </c>
    </row>
    <row r="49" spans="1:15" x14ac:dyDescent="0.25">
      <c r="A49" s="36" t="s">
        <v>29</v>
      </c>
      <c r="C49" s="96">
        <f>'2002-2003'!C59</f>
        <v>8332713</v>
      </c>
      <c r="D49" s="96">
        <f>'2003-2004'!C59</f>
        <v>9279471</v>
      </c>
      <c r="E49" s="96">
        <f>'2004-2005'!C56</f>
        <v>9220348</v>
      </c>
      <c r="F49" s="96">
        <f>'2005-2006'!C56</f>
        <v>9978772</v>
      </c>
      <c r="G49" s="96">
        <f>'2006-2007'!G59</f>
        <v>10034467</v>
      </c>
      <c r="H49" s="96">
        <f>'2007-2008'!G58</f>
        <v>10971050</v>
      </c>
      <c r="I49" s="96">
        <f>'2008-2009'!G60</f>
        <v>11745690</v>
      </c>
      <c r="J49" s="96">
        <f>'2009-2010'!G58</f>
        <v>11993779</v>
      </c>
      <c r="K49" s="96">
        <f>'2010-2011'!G58</f>
        <v>12557521</v>
      </c>
      <c r="L49" s="96">
        <f>'2011-2012'!F62</f>
        <v>13362846</v>
      </c>
      <c r="M49" s="96">
        <f>'2012-2013'!E63</f>
        <v>13656613</v>
      </c>
      <c r="N49" s="96">
        <f>'2013-2014'!E63</f>
        <v>14952300.55547579</v>
      </c>
      <c r="O49" s="96">
        <f>'2014-2015'!F62</f>
        <v>15969620</v>
      </c>
    </row>
    <row r="50" spans="1:15" x14ac:dyDescent="0.25">
      <c r="A50" s="36" t="s">
        <v>49</v>
      </c>
      <c r="C50" s="96">
        <f>'2002-2003'!C60</f>
        <v>3463846</v>
      </c>
      <c r="D50" s="96">
        <f>'2003-2004'!C60</f>
        <v>5087747</v>
      </c>
      <c r="E50" s="96">
        <f>'2004-2005'!C57</f>
        <v>4842015</v>
      </c>
      <c r="F50" s="96">
        <f>'2005-2006'!C57</f>
        <v>5178612</v>
      </c>
      <c r="G50" s="96">
        <f>'2006-2007'!G60</f>
        <v>4692951</v>
      </c>
      <c r="H50" s="96">
        <f>'2007-2008'!G59</f>
        <v>5047880</v>
      </c>
      <c r="I50" s="96">
        <f>'2008-2009'!G61</f>
        <v>5326178</v>
      </c>
      <c r="J50" s="96">
        <f>'2009-2010'!G59</f>
        <v>5257646</v>
      </c>
      <c r="K50" s="96">
        <f>'2010-2011'!G59</f>
        <v>5315402</v>
      </c>
      <c r="L50" s="96">
        <f>'2011-2012'!F63</f>
        <v>5439002</v>
      </c>
      <c r="M50" s="96">
        <f>'2012-2013'!E64</f>
        <v>5543712</v>
      </c>
      <c r="N50" s="96">
        <f>'2013-2014'!E64</f>
        <v>6140401.2576086754</v>
      </c>
      <c r="O50" s="96">
        <f>'2014-2015'!F63</f>
        <v>5166007</v>
      </c>
    </row>
    <row r="51" spans="1:15" x14ac:dyDescent="0.25">
      <c r="A51" s="36" t="s">
        <v>30</v>
      </c>
      <c r="C51" s="96">
        <f>'2002-2003'!C61</f>
        <v>3020593</v>
      </c>
      <c r="D51" s="96">
        <f>'2003-2004'!C61</f>
        <v>3333559</v>
      </c>
      <c r="E51" s="96">
        <f>'2004-2005'!C58</f>
        <v>3497458</v>
      </c>
      <c r="F51" s="96">
        <f>'2005-2006'!C58</f>
        <v>3816015</v>
      </c>
      <c r="G51" s="96">
        <f>'2006-2007'!G61</f>
        <v>4038932</v>
      </c>
      <c r="H51" s="96">
        <f>'2007-2008'!G60</f>
        <v>4471993</v>
      </c>
      <c r="I51" s="96">
        <f>'2008-2009'!G62</f>
        <v>5100481</v>
      </c>
      <c r="J51" s="96">
        <f>'2009-2010'!G60</f>
        <v>5439273</v>
      </c>
      <c r="K51" s="96">
        <f>'2010-2011'!G60</f>
        <v>5597302</v>
      </c>
      <c r="L51" s="96">
        <f>'2011-2012'!F64</f>
        <v>5867932</v>
      </c>
      <c r="M51" s="96">
        <f>'2012-2013'!E65</f>
        <v>5989733</v>
      </c>
      <c r="N51" s="96">
        <f>'2013-2014'!E65</f>
        <v>6328114.1531180926</v>
      </c>
      <c r="O51" s="96">
        <f>'2014-2015'!F64</f>
        <v>6501592</v>
      </c>
    </row>
    <row r="52" spans="1:15" x14ac:dyDescent="0.25">
      <c r="A52" s="36" t="s">
        <v>70</v>
      </c>
      <c r="E52" s="96">
        <f>'2004-2005'!C59</f>
        <v>943580</v>
      </c>
      <c r="F52" s="96">
        <f>'2005-2006'!C59</f>
        <v>887762</v>
      </c>
      <c r="G52" s="96">
        <f>'2006-2007'!G62</f>
        <v>1225472</v>
      </c>
      <c r="H52" s="96">
        <f>'2007-2008'!G61</f>
        <v>840835</v>
      </c>
      <c r="I52" s="96">
        <f>'2008-2009'!G63</f>
        <v>820391</v>
      </c>
      <c r="J52" s="96">
        <f>'2009-2010'!G61</f>
        <v>941653</v>
      </c>
      <c r="K52" s="96">
        <f>'2010-2011'!G61</f>
        <v>679622</v>
      </c>
      <c r="L52" s="96">
        <f>'2011-2012'!F65</f>
        <v>536754</v>
      </c>
      <c r="M52" s="96">
        <f>'2012-2013'!E66</f>
        <v>600809</v>
      </c>
      <c r="N52" s="96">
        <f>'2013-2014'!E66</f>
        <v>510788.32514688378</v>
      </c>
      <c r="O52" s="96">
        <v>0</v>
      </c>
    </row>
    <row r="53" spans="1:15" x14ac:dyDescent="0.25">
      <c r="A53" s="36" t="s">
        <v>14</v>
      </c>
      <c r="C53" s="222">
        <f>'2002-2003'!C62</f>
        <v>152398</v>
      </c>
      <c r="D53" s="222">
        <f>'2003-2004'!C62</f>
        <v>153724</v>
      </c>
      <c r="E53" s="222">
        <f>'2004-2005'!C60</f>
        <v>153724</v>
      </c>
      <c r="F53" s="222">
        <f>'2005-2006'!C60</f>
        <v>181167</v>
      </c>
      <c r="G53" s="222">
        <f>'2006-2007'!G63</f>
        <v>182060</v>
      </c>
      <c r="H53" s="222">
        <f>'2007-2008'!G62</f>
        <v>161125</v>
      </c>
      <c r="I53" s="222">
        <f>'2008-2009'!G64</f>
        <v>233731</v>
      </c>
      <c r="J53" s="222">
        <f>'2009-2010'!G62</f>
        <v>208731</v>
      </c>
      <c r="K53" s="222">
        <f>'2010-2011'!G62</f>
        <v>208731</v>
      </c>
      <c r="L53" s="222">
        <f>'2011-2012'!F66</f>
        <v>208731</v>
      </c>
      <c r="M53" s="222">
        <f>'2012-2013'!E67</f>
        <v>193306</v>
      </c>
      <c r="N53" s="222">
        <f>'2013-2014'!E67</f>
        <v>193306</v>
      </c>
      <c r="O53" s="222">
        <f>'2014-2015'!F65</f>
        <v>208306</v>
      </c>
    </row>
    <row r="54" spans="1:15" x14ac:dyDescent="0.25">
      <c r="A54" s="36" t="s">
        <v>25</v>
      </c>
      <c r="C54" s="96">
        <f t="shared" ref="C54:O54" si="5">SUM(C47:C53)</f>
        <v>17900451</v>
      </c>
      <c r="D54" s="96">
        <f t="shared" si="5"/>
        <v>21253004</v>
      </c>
      <c r="E54" s="96">
        <f t="shared" si="5"/>
        <v>22168208</v>
      </c>
      <c r="F54" s="96">
        <f t="shared" si="5"/>
        <v>23898127</v>
      </c>
      <c r="G54" s="96">
        <f t="shared" si="5"/>
        <v>24383715</v>
      </c>
      <c r="H54" s="96">
        <f t="shared" si="5"/>
        <v>26364610</v>
      </c>
      <c r="I54" s="96">
        <f t="shared" si="5"/>
        <v>28447140</v>
      </c>
      <c r="J54" s="96">
        <f t="shared" si="5"/>
        <v>29320067</v>
      </c>
      <c r="K54" s="96">
        <f t="shared" si="5"/>
        <v>30007785</v>
      </c>
      <c r="L54" s="96">
        <f t="shared" si="5"/>
        <v>31242655</v>
      </c>
      <c r="M54" s="96">
        <f t="shared" si="5"/>
        <v>31826679</v>
      </c>
      <c r="N54" s="96">
        <f t="shared" si="5"/>
        <v>34322612.166342355</v>
      </c>
      <c r="O54" s="96">
        <f t="shared" si="5"/>
        <v>34567523</v>
      </c>
    </row>
    <row r="55" spans="1:15" x14ac:dyDescent="0.25">
      <c r="A55" s="36"/>
    </row>
    <row r="56" spans="1:15" ht="18" x14ac:dyDescent="0.25">
      <c r="A56" s="43" t="s">
        <v>31</v>
      </c>
    </row>
    <row r="57" spans="1:15" x14ac:dyDescent="0.25">
      <c r="A57" s="36" t="s">
        <v>135</v>
      </c>
      <c r="C57" s="96">
        <f>'2002-2003'!C67</f>
        <v>813953</v>
      </c>
      <c r="D57" s="96">
        <f>'2003-2004'!C67</f>
        <v>838786</v>
      </c>
      <c r="E57" s="96">
        <f>'2004-2005'!C65</f>
        <v>851544</v>
      </c>
      <c r="F57" s="96">
        <f>'2005-2006'!C65</f>
        <v>947709</v>
      </c>
      <c r="G57" s="96">
        <f>'2006-2007'!G67</f>
        <v>955715</v>
      </c>
      <c r="H57" s="96">
        <f>'2007-2008'!G67</f>
        <v>1147115</v>
      </c>
      <c r="I57" s="96">
        <f>'2008-2009'!G69</f>
        <v>1240612</v>
      </c>
      <c r="J57" s="96">
        <f>'2009-2010'!G66</f>
        <v>1315478</v>
      </c>
      <c r="K57" s="96">
        <f>'2010-2011'!G66</f>
        <v>1407890</v>
      </c>
      <c r="L57" s="96">
        <f>'2011-2012'!F70</f>
        <v>1509371</v>
      </c>
      <c r="M57" s="96">
        <f>'2012-2013'!E71</f>
        <v>1532856</v>
      </c>
      <c r="N57" s="96">
        <f>'2013-2014'!E71</f>
        <v>1649101.3128672095</v>
      </c>
      <c r="O57" s="96">
        <f>'2014-2015'!F69</f>
        <v>1720416</v>
      </c>
    </row>
    <row r="58" spans="1:15" x14ac:dyDescent="0.25">
      <c r="A58" s="36" t="s">
        <v>52</v>
      </c>
      <c r="C58" s="96">
        <f>'2002-2003'!C75</f>
        <v>2570516</v>
      </c>
      <c r="D58" s="96">
        <f>'2003-2004'!C75</f>
        <v>2326796</v>
      </c>
      <c r="E58" s="96">
        <f>'2004-2005'!C73</f>
        <v>2082119</v>
      </c>
      <c r="F58" s="96">
        <f>'2005-2006'!C73</f>
        <v>2241715</v>
      </c>
      <c r="G58" s="96">
        <f>'2006-2007'!G74</f>
        <v>2275993</v>
      </c>
      <c r="H58" s="96">
        <f>'2007-2008'!G66</f>
        <v>2406234</v>
      </c>
      <c r="I58" s="96">
        <f>'2008-2009'!G68</f>
        <v>2674243</v>
      </c>
      <c r="J58" s="96">
        <f>'2009-2010'!G67</f>
        <v>2779456</v>
      </c>
      <c r="K58" s="96">
        <f>'2010-2011'!G67</f>
        <v>3066075</v>
      </c>
      <c r="L58" s="96">
        <f>'2011-2012'!F71</f>
        <v>3287660</v>
      </c>
      <c r="M58" s="96">
        <f>'2012-2013'!E72</f>
        <v>3353053</v>
      </c>
      <c r="N58" s="96">
        <f>'2013-2014'!E72</f>
        <v>3541556.6257344191</v>
      </c>
      <c r="O58" s="96">
        <f>'2014-2015'!F70</f>
        <v>3796578</v>
      </c>
    </row>
    <row r="59" spans="1:15" x14ac:dyDescent="0.25">
      <c r="A59" s="36" t="s">
        <v>33</v>
      </c>
      <c r="C59" s="96">
        <f>'2002-2003'!C68</f>
        <v>555280</v>
      </c>
      <c r="D59" s="96">
        <f>'2003-2004'!C68</f>
        <v>555280</v>
      </c>
      <c r="E59" s="96">
        <f>'2004-2005'!C66</f>
        <v>555280</v>
      </c>
      <c r="F59" s="96">
        <f>'2005-2006'!C66</f>
        <v>555280</v>
      </c>
      <c r="G59" s="96">
        <f>'2006-2007'!G68</f>
        <v>750280</v>
      </c>
      <c r="H59" s="96">
        <f>'2007-2008'!G68</f>
        <v>750280</v>
      </c>
      <c r="I59" s="96">
        <f>'2008-2009'!G70</f>
        <v>773280</v>
      </c>
      <c r="J59" s="96">
        <f>'2009-2010'!G68</f>
        <v>773280</v>
      </c>
      <c r="K59" s="96">
        <f>'2010-2011'!G68</f>
        <v>899480</v>
      </c>
      <c r="L59" s="96">
        <f>'2011-2012'!F72</f>
        <v>926480</v>
      </c>
      <c r="M59" s="96">
        <f>'2012-2013'!E73</f>
        <v>926480</v>
      </c>
      <c r="N59" s="96">
        <f>'2013-2014'!E73</f>
        <v>926480</v>
      </c>
      <c r="O59" s="96">
        <f>'2014-2015'!F71</f>
        <v>1012480</v>
      </c>
    </row>
    <row r="60" spans="1:15" x14ac:dyDescent="0.25">
      <c r="A60" s="36" t="s">
        <v>34</v>
      </c>
      <c r="C60" s="96">
        <f>'2002-2003'!C69</f>
        <v>44501</v>
      </c>
      <c r="D60" s="96">
        <f>'2003-2004'!C69</f>
        <v>44606</v>
      </c>
      <c r="E60" s="96">
        <f>'2004-2005'!C67</f>
        <v>44788</v>
      </c>
      <c r="F60" s="96">
        <f>'2005-2006'!C67</f>
        <v>44922</v>
      </c>
      <c r="G60" s="96">
        <f>'2006-2007'!G69</f>
        <v>44852</v>
      </c>
      <c r="H60" s="96">
        <f>'2007-2008'!G69</f>
        <v>44916</v>
      </c>
      <c r="I60" s="96">
        <f>'2008-2009'!G71</f>
        <v>44986</v>
      </c>
      <c r="J60" s="96">
        <f>'2009-2010'!G69</f>
        <v>45107</v>
      </c>
      <c r="K60" s="96">
        <f>'2010-2011'!G69</f>
        <v>45301</v>
      </c>
      <c r="L60" s="96">
        <f>'2011-2012'!F73</f>
        <v>45222</v>
      </c>
      <c r="M60" s="96">
        <f>'2012-2013'!E74</f>
        <v>45168</v>
      </c>
      <c r="N60" s="96">
        <f>'2013-2014'!E74</f>
        <v>45925.331286720946</v>
      </c>
      <c r="O60" s="96">
        <f>'2014-2015'!F72</f>
        <v>45209</v>
      </c>
    </row>
    <row r="61" spans="1:15" x14ac:dyDescent="0.25">
      <c r="A61" s="36" t="s">
        <v>14</v>
      </c>
      <c r="C61" s="222">
        <f>'2002-2003'!C70</f>
        <v>25000</v>
      </c>
      <c r="D61" s="222">
        <f>'2003-2004'!C70</f>
        <v>25323</v>
      </c>
      <c r="E61" s="222">
        <f>'2004-2005'!C77</f>
        <v>59321</v>
      </c>
      <c r="F61" s="222">
        <f>'2005-2006'!C68</f>
        <v>25323</v>
      </c>
      <c r="G61" s="222">
        <f>'2006-2007'!G70</f>
        <v>25323</v>
      </c>
      <c r="H61" s="222">
        <f>'2007-2008'!G70</f>
        <v>25323</v>
      </c>
      <c r="I61" s="222">
        <f>'2008-2009'!G72</f>
        <v>25323</v>
      </c>
      <c r="J61" s="222">
        <f>'2009-2010'!G70</f>
        <v>25323</v>
      </c>
      <c r="K61" s="222">
        <f>'2010-2011'!G70</f>
        <v>25323</v>
      </c>
      <c r="L61" s="222">
        <f>'2011-2012'!F74</f>
        <v>25323</v>
      </c>
      <c r="M61" s="222">
        <f>'2012-2013'!E75</f>
        <v>25323</v>
      </c>
      <c r="N61" s="222">
        <f>'2013-2014'!E75</f>
        <v>25323</v>
      </c>
      <c r="O61" s="222">
        <f>'2014-2015'!F73</f>
        <v>25323</v>
      </c>
    </row>
    <row r="62" spans="1:15" x14ac:dyDescent="0.25">
      <c r="A62" s="36" t="s">
        <v>25</v>
      </c>
      <c r="C62" s="96">
        <f t="shared" ref="C62:E62" si="6">SUM(C57:C61)</f>
        <v>4009250</v>
      </c>
      <c r="D62" s="96">
        <f t="shared" si="6"/>
        <v>3790791</v>
      </c>
      <c r="E62" s="96">
        <f t="shared" si="6"/>
        <v>3593052</v>
      </c>
      <c r="F62" s="96">
        <f t="shared" ref="F62:O62" si="7">SUM(F57:F61)</f>
        <v>3814949</v>
      </c>
      <c r="G62" s="96">
        <f t="shared" si="7"/>
        <v>4052163</v>
      </c>
      <c r="H62" s="96">
        <f t="shared" si="7"/>
        <v>4373868</v>
      </c>
      <c r="I62" s="96">
        <f t="shared" si="7"/>
        <v>4758444</v>
      </c>
      <c r="J62" s="96">
        <f t="shared" si="7"/>
        <v>4938644</v>
      </c>
      <c r="K62" s="96">
        <f t="shared" si="7"/>
        <v>5444069</v>
      </c>
      <c r="L62" s="96">
        <f t="shared" si="7"/>
        <v>5794056</v>
      </c>
      <c r="M62" s="96">
        <f t="shared" si="7"/>
        <v>5882880</v>
      </c>
      <c r="N62" s="96">
        <f t="shared" si="7"/>
        <v>6188386.2698883498</v>
      </c>
      <c r="O62" s="96">
        <f t="shared" si="7"/>
        <v>6600006</v>
      </c>
    </row>
    <row r="63" spans="1:15" x14ac:dyDescent="0.25">
      <c r="A63" s="36"/>
    </row>
    <row r="64" spans="1:15" ht="18" x14ac:dyDescent="0.25">
      <c r="A64" s="43" t="s">
        <v>47</v>
      </c>
    </row>
    <row r="65" spans="1:18" x14ac:dyDescent="0.25">
      <c r="A65" s="77" t="s">
        <v>216</v>
      </c>
      <c r="C65" s="96">
        <f>'2002-2003'!C83</f>
        <v>2252961</v>
      </c>
      <c r="D65" s="96">
        <f>'2003-2004'!C84</f>
        <v>2482342</v>
      </c>
      <c r="E65" s="96">
        <f>'2004-2005'!C82</f>
        <v>2614786</v>
      </c>
      <c r="F65" s="96">
        <f>'2005-2006'!C82</f>
        <v>2856554</v>
      </c>
      <c r="G65" s="96">
        <f>'2006-2007'!G82</f>
        <v>3073447</v>
      </c>
      <c r="H65" s="96">
        <f>'2007-2008'!G81</f>
        <v>3725266</v>
      </c>
      <c r="I65" s="96">
        <f>'2008-2009'!G76</f>
        <v>4089059</v>
      </c>
      <c r="J65" s="96">
        <f>'2009-2010'!G74</f>
        <v>4362680</v>
      </c>
      <c r="K65" s="96">
        <f>'2010-2011'!G74</f>
        <v>4486205</v>
      </c>
      <c r="L65" s="96">
        <f>'2011-2012'!F78</f>
        <v>3869606</v>
      </c>
      <c r="M65" s="96">
        <f>'2012-2013'!E79</f>
        <v>4211709</v>
      </c>
      <c r="N65" s="96">
        <f>'2013-2014'!E79</f>
        <v>4624535.9324617917</v>
      </c>
      <c r="O65" s="96">
        <f>'2014-2015'!F77</f>
        <v>5132548</v>
      </c>
    </row>
    <row r="66" spans="1:18" x14ac:dyDescent="0.25">
      <c r="A66" s="77" t="s">
        <v>93</v>
      </c>
      <c r="L66" s="96">
        <f>'2011-2012'!F79</f>
        <v>767849</v>
      </c>
      <c r="M66" s="96">
        <f>'2012-2013'!E80</f>
        <v>785868</v>
      </c>
      <c r="N66" s="96">
        <f>'2013-2014'!E80</f>
        <v>817273.98772032571</v>
      </c>
      <c r="O66" s="96">
        <f>'2014-2015'!F78</f>
        <v>828530</v>
      </c>
      <c r="P66" s="96"/>
    </row>
    <row r="67" spans="1:18" x14ac:dyDescent="0.25">
      <c r="A67" s="36" t="s">
        <v>94</v>
      </c>
      <c r="C67" s="230"/>
      <c r="D67" s="222">
        <f>'2003-2004'!C78</f>
        <v>406811</v>
      </c>
      <c r="E67" s="222">
        <f>'2004-2005'!C76</f>
        <v>420158</v>
      </c>
      <c r="F67" s="222">
        <f>'2005-2006'!C76</f>
        <v>430224</v>
      </c>
      <c r="G67" s="222">
        <f>'2006-2007'!G77</f>
        <v>438146</v>
      </c>
      <c r="H67" s="222">
        <f>'2007-2008'!G82</f>
        <v>449985</v>
      </c>
      <c r="I67" s="222">
        <f>'2008-2009'!G77</f>
        <v>534032</v>
      </c>
      <c r="J67" s="222">
        <f>'2009-2010'!G75</f>
        <v>520999</v>
      </c>
      <c r="K67" s="222">
        <f>'2010-2011'!G75</f>
        <v>560029</v>
      </c>
      <c r="L67" s="222">
        <f>'2011-2012'!F80</f>
        <v>575532</v>
      </c>
      <c r="M67" s="222">
        <f>'2012-2013'!E81</f>
        <v>585699</v>
      </c>
      <c r="N67" s="222">
        <f>'2013-2014'!E81</f>
        <v>598953.32514688384</v>
      </c>
      <c r="O67" s="222">
        <f>'2014-2015'!F79</f>
        <v>589016</v>
      </c>
      <c r="P67" s="96"/>
    </row>
    <row r="68" spans="1:18" x14ac:dyDescent="0.25">
      <c r="A68" s="36" t="s">
        <v>25</v>
      </c>
      <c r="C68" s="96">
        <f t="shared" ref="C68:E68" si="8">SUM(C65:C67)</f>
        <v>2252961</v>
      </c>
      <c r="D68" s="96">
        <f t="shared" si="8"/>
        <v>2889153</v>
      </c>
      <c r="E68" s="96">
        <f t="shared" si="8"/>
        <v>3034944</v>
      </c>
      <c r="F68" s="96">
        <f t="shared" ref="F68:O68" si="9">SUM(F65:F67)</f>
        <v>3286778</v>
      </c>
      <c r="G68" s="96">
        <f t="shared" si="9"/>
        <v>3511593</v>
      </c>
      <c r="H68" s="96">
        <f t="shared" si="9"/>
        <v>4175251</v>
      </c>
      <c r="I68" s="96">
        <f t="shared" si="9"/>
        <v>4623091</v>
      </c>
      <c r="J68" s="96">
        <f t="shared" si="9"/>
        <v>4883679</v>
      </c>
      <c r="K68" s="96">
        <f t="shared" si="9"/>
        <v>5046234</v>
      </c>
      <c r="L68" s="96">
        <f t="shared" si="9"/>
        <v>5212987</v>
      </c>
      <c r="M68" s="96">
        <f t="shared" si="9"/>
        <v>5583276</v>
      </c>
      <c r="N68" s="96">
        <f t="shared" si="9"/>
        <v>6040763.245329001</v>
      </c>
      <c r="O68" s="96">
        <f t="shared" si="9"/>
        <v>6550094</v>
      </c>
    </row>
    <row r="69" spans="1:18" x14ac:dyDescent="0.25">
      <c r="A69" s="36"/>
    </row>
    <row r="70" spans="1:18" ht="18" x14ac:dyDescent="0.25">
      <c r="A70" s="43" t="s">
        <v>35</v>
      </c>
    </row>
    <row r="71" spans="1:18" x14ac:dyDescent="0.25">
      <c r="A71" s="36" t="s">
        <v>35</v>
      </c>
      <c r="C71" s="96">
        <f>'2002-2003'!C89</f>
        <v>2594286</v>
      </c>
      <c r="D71" s="96">
        <f>'2003-2004'!C90</f>
        <v>2800568</v>
      </c>
      <c r="E71" s="96">
        <f>'2004-2005'!C88</f>
        <v>2944658</v>
      </c>
      <c r="F71" s="96">
        <f>'2005-2006'!C88</f>
        <v>3053270</v>
      </c>
      <c r="G71" s="96">
        <f>'2006-2007'!G87</f>
        <v>3498035</v>
      </c>
      <c r="H71" s="96">
        <f>'2007-2008'!G86</f>
        <v>3352429</v>
      </c>
      <c r="I71" s="96">
        <f>'2008-2009'!G81</f>
        <v>3511583</v>
      </c>
      <c r="J71" s="96">
        <f>'2009-2010'!G79</f>
        <v>3433398</v>
      </c>
      <c r="K71" s="96">
        <f>'2010-2011'!G79</f>
        <v>3566419</v>
      </c>
      <c r="L71" s="96">
        <f>'2011-2012'!F84</f>
        <v>4001170</v>
      </c>
      <c r="M71" s="96">
        <f>'2012-2013'!E85</f>
        <v>4106856</v>
      </c>
      <c r="N71" s="96">
        <f>'2013-2014'!E85</f>
        <v>4300517.2944476977</v>
      </c>
      <c r="O71" s="96">
        <f>'2014-2015'!F83</f>
        <v>4367393</v>
      </c>
    </row>
    <row r="72" spans="1:18" x14ac:dyDescent="0.25">
      <c r="A72" s="36" t="s">
        <v>53</v>
      </c>
      <c r="C72" s="222">
        <f>'2002-2003'!C76</f>
        <v>494741</v>
      </c>
      <c r="D72" s="222">
        <f>'2003-2004'!C76</f>
        <v>564493</v>
      </c>
      <c r="E72" s="222">
        <f>'2004-2005'!C74</f>
        <v>573432</v>
      </c>
      <c r="F72" s="222">
        <f>'2005-2006'!C74</f>
        <v>636967</v>
      </c>
      <c r="G72" s="222">
        <f>'2006-2007'!G75</f>
        <v>647200</v>
      </c>
      <c r="H72" s="222">
        <f>'2007-2008'!G87</f>
        <v>663487</v>
      </c>
      <c r="I72" s="222">
        <f>'2008-2009'!G82</f>
        <v>776242</v>
      </c>
      <c r="J72" s="222">
        <f>'2009-2010'!G80</f>
        <v>769352</v>
      </c>
      <c r="K72" s="222">
        <f>'2010-2011'!G80</f>
        <v>817077</v>
      </c>
      <c r="L72" s="222">
        <f>'2011-2012'!F85</f>
        <v>871716</v>
      </c>
      <c r="M72" s="222">
        <f>'2012-2013'!E86</f>
        <v>900258</v>
      </c>
      <c r="N72" s="222">
        <f>'2013-2014'!E86</f>
        <v>978243.15508284059</v>
      </c>
      <c r="O72" s="222">
        <f>'2014-2015'!F84</f>
        <v>1004852</v>
      </c>
    </row>
    <row r="73" spans="1:18" x14ac:dyDescent="0.25">
      <c r="A73" s="36" t="s">
        <v>25</v>
      </c>
      <c r="C73" s="96">
        <f t="shared" ref="C73:E73" si="10">SUM(C71:C72)</f>
        <v>3089027</v>
      </c>
      <c r="D73" s="96">
        <f t="shared" si="10"/>
        <v>3365061</v>
      </c>
      <c r="E73" s="96">
        <f t="shared" si="10"/>
        <v>3518090</v>
      </c>
      <c r="F73" s="96">
        <f t="shared" ref="F73:O73" si="11">SUM(F71:F72)</f>
        <v>3690237</v>
      </c>
      <c r="G73" s="96">
        <f t="shared" si="11"/>
        <v>4145235</v>
      </c>
      <c r="H73" s="96">
        <f t="shared" si="11"/>
        <v>4015916</v>
      </c>
      <c r="I73" s="96">
        <f t="shared" si="11"/>
        <v>4287825</v>
      </c>
      <c r="J73" s="96">
        <f t="shared" si="11"/>
        <v>4202750</v>
      </c>
      <c r="K73" s="96">
        <f t="shared" si="11"/>
        <v>4383496</v>
      </c>
      <c r="L73" s="96">
        <f t="shared" si="11"/>
        <v>4872886</v>
      </c>
      <c r="M73" s="96">
        <f t="shared" si="11"/>
        <v>5007114</v>
      </c>
      <c r="N73" s="96">
        <f t="shared" si="11"/>
        <v>5278760.4495305382</v>
      </c>
      <c r="O73" s="96">
        <f t="shared" si="11"/>
        <v>5372245</v>
      </c>
    </row>
    <row r="74" spans="1:18" x14ac:dyDescent="0.25">
      <c r="A74" s="36"/>
    </row>
    <row r="75" spans="1:18" ht="18" x14ac:dyDescent="0.25">
      <c r="A75" s="43" t="s">
        <v>36</v>
      </c>
    </row>
    <row r="76" spans="1:18" x14ac:dyDescent="0.25">
      <c r="A76" s="36" t="s">
        <v>95</v>
      </c>
      <c r="C76" s="96">
        <f>'2002-2003'!C96</f>
        <v>2567017</v>
      </c>
      <c r="D76" s="96">
        <f>'2003-2004'!C97</f>
        <v>2689387</v>
      </c>
      <c r="E76" s="96">
        <f>'2004-2005'!C95</f>
        <v>3485517</v>
      </c>
      <c r="F76" s="96">
        <f>'2005-2006'!C95</f>
        <v>3185804</v>
      </c>
      <c r="G76" s="96">
        <f>'2006-2007'!G91</f>
        <v>3147981</v>
      </c>
      <c r="H76" s="96">
        <f>'2007-2008'!G91</f>
        <v>5547981</v>
      </c>
      <c r="I76" s="96">
        <f>'2008-2009'!G86</f>
        <v>5639335</v>
      </c>
      <c r="J76" s="96">
        <f>'2009-2010'!G84</f>
        <v>13199335</v>
      </c>
      <c r="K76" s="96">
        <f>'2010-2011'!G84</f>
        <v>13652515</v>
      </c>
      <c r="L76" s="96">
        <f>'2011-2012'!F89</f>
        <v>14960104</v>
      </c>
      <c r="M76" s="96">
        <f>'2012-2013'!E90</f>
        <v>14414381</v>
      </c>
      <c r="N76" s="96">
        <f>'2013-2014'!E90</f>
        <v>13575748</v>
      </c>
      <c r="O76" s="96">
        <f>'2014-2015'!F88</f>
        <v>14476758</v>
      </c>
    </row>
    <row r="77" spans="1:18" x14ac:dyDescent="0.25">
      <c r="A77" s="36" t="s">
        <v>38</v>
      </c>
      <c r="C77" s="96">
        <f>'2002-2003'!C97</f>
        <v>3291621</v>
      </c>
      <c r="D77" s="96">
        <f>'2003-2004'!C98</f>
        <v>3965104</v>
      </c>
      <c r="E77" s="96">
        <f>'2004-2005'!C96</f>
        <v>4154435</v>
      </c>
      <c r="F77" s="96">
        <f>'2005-2006'!C96</f>
        <v>5100070</v>
      </c>
      <c r="G77" s="96">
        <f>'2006-2007'!G92</f>
        <v>6058293</v>
      </c>
      <c r="H77" s="96">
        <f>'2007-2008'!G92</f>
        <v>5497125</v>
      </c>
      <c r="I77" s="96">
        <f>'2008-2009'!G87</f>
        <v>6286764</v>
      </c>
      <c r="J77" s="96">
        <f>'2009-2010'!G85</f>
        <v>5952264</v>
      </c>
      <c r="K77" s="96">
        <f>'2010-2011'!G85</f>
        <v>5589037</v>
      </c>
      <c r="L77" s="96">
        <f>'2011-2012'!F90</f>
        <v>5132337</v>
      </c>
      <c r="M77" s="96">
        <f>'2012-2013'!E91</f>
        <v>4982025</v>
      </c>
      <c r="N77" s="96">
        <f>'2013-2014'!E91</f>
        <v>5449664</v>
      </c>
      <c r="O77" s="96">
        <f>'2014-2015'!F89</f>
        <v>5639045</v>
      </c>
      <c r="Q77" s="231" t="s">
        <v>222</v>
      </c>
      <c r="R77" s="231"/>
    </row>
    <row r="78" spans="1:18" x14ac:dyDescent="0.25">
      <c r="A78" s="36" t="s">
        <v>133</v>
      </c>
      <c r="G78" s="96">
        <f>'2006-2007'!G93</f>
        <v>1853186</v>
      </c>
      <c r="H78" s="96">
        <f>'2007-2008'!G93</f>
        <v>1988430</v>
      </c>
      <c r="I78" s="96">
        <f>'2008-2009'!G88</f>
        <v>1908246</v>
      </c>
      <c r="J78" s="96">
        <f>'2009-2010'!G86</f>
        <v>2745000</v>
      </c>
      <c r="K78" s="96">
        <f>'2010-2011'!G86</f>
        <v>2745000</v>
      </c>
      <c r="L78" s="96">
        <f>'2011-2012'!F91</f>
        <v>2745000</v>
      </c>
      <c r="M78" s="96">
        <f>'2012-2013'!E92</f>
        <v>2645000</v>
      </c>
      <c r="N78" s="96">
        <f>'2013-2014'!E92</f>
        <v>2645000</v>
      </c>
      <c r="O78" s="96">
        <f>'2014-2015'!F90</f>
        <v>2800000</v>
      </c>
      <c r="Q78" s="271">
        <v>2002</v>
      </c>
      <c r="R78" s="272">
        <v>1.9E-2</v>
      </c>
    </row>
    <row r="79" spans="1:18" x14ac:dyDescent="0.25">
      <c r="A79" s="36" t="s">
        <v>39</v>
      </c>
      <c r="C79" s="96">
        <f>'2002-2003'!C98</f>
        <v>555500</v>
      </c>
      <c r="D79" s="96">
        <f>'2003-2004'!C99</f>
        <v>555500</v>
      </c>
      <c r="E79" s="96">
        <f>'2004-2005'!C97</f>
        <v>565300</v>
      </c>
      <c r="F79" s="96">
        <f>'2005-2006'!C97</f>
        <v>565300</v>
      </c>
      <c r="G79" s="96">
        <f>'2006-2007'!G94</f>
        <v>565300</v>
      </c>
      <c r="H79" s="96">
        <f>'2007-2008'!G94</f>
        <v>565300</v>
      </c>
      <c r="I79" s="96">
        <f>'2008-2009'!G89</f>
        <v>565300</v>
      </c>
      <c r="J79" s="96">
        <f>'2009-2010'!G87</f>
        <v>565300</v>
      </c>
      <c r="K79" s="96">
        <f>'2010-2011'!G87</f>
        <v>565300</v>
      </c>
      <c r="L79" s="96">
        <f>'2011-2012'!F92</f>
        <v>565300</v>
      </c>
      <c r="M79" s="96">
        <f>'2012-2013'!E93</f>
        <v>565300</v>
      </c>
      <c r="N79" s="96">
        <f>'2013-2014'!E93</f>
        <v>565300</v>
      </c>
      <c r="O79" s="96">
        <f>'2014-2015'!F91</f>
        <v>865300</v>
      </c>
      <c r="Q79" s="271">
        <v>2003</v>
      </c>
      <c r="R79" s="272">
        <v>5.0999999999999997E-2</v>
      </c>
    </row>
    <row r="80" spans="1:18" x14ac:dyDescent="0.25">
      <c r="A80" s="36" t="s">
        <v>40</v>
      </c>
      <c r="C80" s="96">
        <f>'2002-2003'!C99</f>
        <v>320300</v>
      </c>
      <c r="D80" s="96">
        <f>'2003-2004'!C100</f>
        <v>361556</v>
      </c>
      <c r="E80" s="96">
        <f>'2004-2005'!C98</f>
        <v>388966</v>
      </c>
      <c r="F80" s="96">
        <f>'2005-2006'!C98</f>
        <v>397516</v>
      </c>
      <c r="G80" s="96">
        <f>'2006-2007'!G95</f>
        <v>256550</v>
      </c>
      <c r="H80" s="96">
        <f>'2007-2008'!G95</f>
        <v>256550</v>
      </c>
      <c r="I80" s="96">
        <f>'2008-2009'!G90</f>
        <v>654250</v>
      </c>
      <c r="J80" s="96">
        <f>'2009-2010'!G88</f>
        <v>631590</v>
      </c>
      <c r="K80" s="96">
        <f>'2010-2011'!G88</f>
        <v>902632</v>
      </c>
      <c r="L80" s="96">
        <f>'2011-2012'!F93</f>
        <v>902632</v>
      </c>
      <c r="M80" s="96">
        <f>'2012-2013'!E94</f>
        <v>1012632</v>
      </c>
      <c r="N80" s="96">
        <f>'2013-2014'!E94</f>
        <v>961632</v>
      </c>
      <c r="O80" s="96">
        <f>'2014-2015'!F92</f>
        <v>956550</v>
      </c>
      <c r="Q80" s="271">
        <v>2004</v>
      </c>
      <c r="R80" s="272">
        <v>3.6999999999999998E-2</v>
      </c>
    </row>
    <row r="81" spans="1:18" x14ac:dyDescent="0.25">
      <c r="A81" s="36" t="s">
        <v>97</v>
      </c>
      <c r="F81" s="96"/>
      <c r="G81" s="96">
        <f>'2006-2007'!G96</f>
        <v>705060</v>
      </c>
      <c r="H81" s="96">
        <f>'2007-2008'!G96</f>
        <v>671918</v>
      </c>
      <c r="I81" s="96">
        <f>'2008-2009'!G91</f>
        <v>716668</v>
      </c>
      <c r="J81" s="96">
        <f>'2009-2010'!G89</f>
        <v>748846</v>
      </c>
      <c r="K81" s="96">
        <f>'2010-2011'!G89</f>
        <v>767363</v>
      </c>
      <c r="L81" s="96">
        <f>'2011-2012'!F94</f>
        <v>774376</v>
      </c>
      <c r="M81" s="96">
        <f>'2012-2013'!E95</f>
        <v>705416</v>
      </c>
      <c r="N81" s="96">
        <f>'2013-2014'!E95</f>
        <v>719668.07422590826</v>
      </c>
      <c r="O81" s="96">
        <f>'2014-2015'!F93</f>
        <v>721395</v>
      </c>
      <c r="Q81" s="271">
        <v>2005</v>
      </c>
      <c r="R81" s="272">
        <v>3.9E-2</v>
      </c>
    </row>
    <row r="82" spans="1:18" x14ac:dyDescent="0.25">
      <c r="A82" s="36" t="s">
        <v>41</v>
      </c>
      <c r="C82" s="96">
        <f>'2002-2003'!C100</f>
        <v>6330000</v>
      </c>
      <c r="D82" s="96">
        <f>'2003-2004'!C101</f>
        <v>3411870</v>
      </c>
      <c r="E82" s="96">
        <f>'2004-2005'!C99</f>
        <v>4589756</v>
      </c>
      <c r="F82" s="96">
        <f>'2005-2006'!C99</f>
        <v>2000000</v>
      </c>
      <c r="G82" s="96">
        <f>'2006-2007'!G97</f>
        <v>5900000</v>
      </c>
      <c r="H82" s="96">
        <f>'2007-2008'!G97</f>
        <v>6400000</v>
      </c>
      <c r="I82" s="96">
        <f>'2008-2009'!G92</f>
        <v>9900000</v>
      </c>
      <c r="J82" s="96">
        <f>'2009-2010'!G90</f>
        <v>4063420</v>
      </c>
      <c r="K82" s="96">
        <f>'2010-2011'!G90</f>
        <v>3700000</v>
      </c>
      <c r="L82" s="96">
        <f>'2011-2012'!F95</f>
        <v>4070000</v>
      </c>
      <c r="M82" s="96">
        <f>'2012-2013'!E96</f>
        <v>3700000</v>
      </c>
      <c r="N82" s="96">
        <f>'2013-2014'!E96</f>
        <v>4054755</v>
      </c>
      <c r="O82" s="96">
        <f>'2014-2015'!F94</f>
        <v>4317614</v>
      </c>
      <c r="Q82" s="271">
        <v>2006</v>
      </c>
      <c r="R82" s="272">
        <v>5.0999999999999997E-2</v>
      </c>
    </row>
    <row r="83" spans="1:18" x14ac:dyDescent="0.25">
      <c r="A83" s="36" t="s">
        <v>42</v>
      </c>
      <c r="C83" s="222">
        <f>'2002-2003'!C101</f>
        <v>90708</v>
      </c>
      <c r="D83" s="222">
        <f>'2003-2004'!C102</f>
        <v>92041</v>
      </c>
      <c r="E83" s="222">
        <f>'2004-2005'!C100</f>
        <v>92041</v>
      </c>
      <c r="F83" s="222">
        <f>'2005-2006'!C100</f>
        <v>92041</v>
      </c>
      <c r="G83" s="222">
        <f>'2006-2007'!G98</f>
        <v>92041</v>
      </c>
      <c r="H83" s="222">
        <f>'2007-2008'!G98</f>
        <v>92041</v>
      </c>
      <c r="I83" s="222">
        <f>'2008-2009'!G93</f>
        <v>92041</v>
      </c>
      <c r="J83" s="222">
        <f>'2009-2010'!G91</f>
        <v>92041</v>
      </c>
      <c r="K83" s="222">
        <f>'2010-2011'!G91</f>
        <v>92041</v>
      </c>
      <c r="L83" s="222">
        <f>'2011-2012'!F96</f>
        <v>92041</v>
      </c>
      <c r="M83" s="222">
        <f>'2012-2013'!E97</f>
        <v>92041</v>
      </c>
      <c r="N83" s="222">
        <f>'2013-2014'!E97</f>
        <v>92041</v>
      </c>
      <c r="O83" s="222">
        <f>'2014-2015'!F95</f>
        <v>92041</v>
      </c>
      <c r="Q83" s="271">
        <v>2007</v>
      </c>
      <c r="R83" s="272">
        <v>2.8000000000000001E-2</v>
      </c>
    </row>
    <row r="84" spans="1:18" x14ac:dyDescent="0.25">
      <c r="A84" s="36" t="s">
        <v>43</v>
      </c>
      <c r="C84" s="96">
        <f t="shared" ref="C84:O84" si="12">SUM(C76:C83)</f>
        <v>13155146</v>
      </c>
      <c r="D84" s="96">
        <f t="shared" si="12"/>
        <v>11075458</v>
      </c>
      <c r="E84" s="96">
        <f t="shared" si="12"/>
        <v>13276015</v>
      </c>
      <c r="F84" s="96">
        <f t="shared" si="12"/>
        <v>11340731</v>
      </c>
      <c r="G84" s="96">
        <f t="shared" si="12"/>
        <v>18578411</v>
      </c>
      <c r="H84" s="96">
        <f t="shared" si="12"/>
        <v>21019345</v>
      </c>
      <c r="I84" s="96">
        <f t="shared" si="12"/>
        <v>25762604</v>
      </c>
      <c r="J84" s="96">
        <f t="shared" si="12"/>
        <v>27997796</v>
      </c>
      <c r="K84" s="96">
        <f t="shared" si="12"/>
        <v>28013888</v>
      </c>
      <c r="L84" s="96">
        <f t="shared" si="12"/>
        <v>29241790</v>
      </c>
      <c r="M84" s="96">
        <f t="shared" si="12"/>
        <v>28116795</v>
      </c>
      <c r="N84" s="96">
        <f t="shared" si="12"/>
        <v>28063808.07422591</v>
      </c>
      <c r="O84" s="96">
        <f t="shared" si="12"/>
        <v>29868703</v>
      </c>
      <c r="Q84" s="271">
        <v>2008</v>
      </c>
      <c r="R84" s="272">
        <v>0.05</v>
      </c>
    </row>
    <row r="85" spans="1:18" x14ac:dyDescent="0.25">
      <c r="A85" s="36"/>
      <c r="Q85" s="271">
        <v>2009</v>
      </c>
      <c r="R85" s="272">
        <v>2.3E-2</v>
      </c>
    </row>
    <row r="86" spans="1:18" x14ac:dyDescent="0.25">
      <c r="A86" s="36" t="s">
        <v>44</v>
      </c>
      <c r="C86" s="222">
        <f>'2002-2003'!C104</f>
        <v>1556780</v>
      </c>
      <c r="D86" s="222">
        <f>'2003-2004'!C105</f>
        <v>1644166</v>
      </c>
      <c r="E86" s="222">
        <f>'2004-2005'!C103</f>
        <v>2000000</v>
      </c>
      <c r="F86" s="222">
        <f>'2005-2006'!C103</f>
        <v>2050449</v>
      </c>
      <c r="G86" s="222">
        <f>'2006-2007'!G101</f>
        <v>2070556</v>
      </c>
      <c r="H86" s="222">
        <f>'2007-2008'!G101</f>
        <v>2391759</v>
      </c>
      <c r="I86" s="222">
        <f>'2008-2009'!G96</f>
        <v>4996696</v>
      </c>
      <c r="J86" s="222">
        <f>'2009-2010'!G94</f>
        <v>7479246</v>
      </c>
      <c r="K86" s="222">
        <f>'2010-2011'!G94</f>
        <v>14032201</v>
      </c>
      <c r="L86" s="222">
        <f>'2011-2012'!F99</f>
        <v>8320037</v>
      </c>
      <c r="M86" s="222">
        <f>'2012-2013'!E100</f>
        <v>9009123</v>
      </c>
      <c r="N86" s="222">
        <f>'2013-2014'!E100</f>
        <v>9320293</v>
      </c>
      <c r="O86" s="222">
        <f>'2014-2015'!F98</f>
        <v>9295506</v>
      </c>
      <c r="Q86" s="271">
        <v>2010</v>
      </c>
      <c r="R86" s="272">
        <v>8.9999999999999993E-3</v>
      </c>
    </row>
    <row r="87" spans="1:18" x14ac:dyDescent="0.25">
      <c r="A87" s="36" t="s">
        <v>45</v>
      </c>
      <c r="C87" s="96">
        <f>'2002-2003'!C106</f>
        <v>24114613</v>
      </c>
      <c r="D87" s="96">
        <f>'2003-2004'!C107</f>
        <v>24048098</v>
      </c>
      <c r="E87" s="96">
        <f>'2004-2005'!C105</f>
        <v>26971873</v>
      </c>
      <c r="F87" s="96">
        <f>'2005-2006'!C105</f>
        <v>28074776</v>
      </c>
      <c r="G87" s="96">
        <f>'2006-2007'!G102</f>
        <v>20648967</v>
      </c>
      <c r="H87" s="96">
        <f>'2007-2008'!G102</f>
        <v>23411104</v>
      </c>
      <c r="I87" s="96">
        <f>'2008-2009'!G97</f>
        <v>30759300</v>
      </c>
      <c r="J87" s="96">
        <f>'2009-2010'!G95</f>
        <v>35477042</v>
      </c>
      <c r="K87" s="96">
        <f>'2010-2011'!G95</f>
        <v>42046089</v>
      </c>
      <c r="L87" s="96">
        <f>'2011-2012'!F100</f>
        <v>37561827</v>
      </c>
      <c r="M87" s="96">
        <f>'2012-2013'!E101</f>
        <v>37125918</v>
      </c>
      <c r="N87" s="96">
        <f>'2013-2014'!E101</f>
        <v>37384101.07422591</v>
      </c>
      <c r="O87" s="96">
        <f>'2014-2015'!F99</f>
        <v>39164209</v>
      </c>
      <c r="Q87" s="271">
        <v>2011</v>
      </c>
      <c r="R87" s="272">
        <v>2.3E-2</v>
      </c>
    </row>
    <row r="88" spans="1:18" x14ac:dyDescent="0.25">
      <c r="A88" s="36"/>
      <c r="C88" s="230"/>
      <c r="D88" s="230"/>
      <c r="E88" s="230"/>
      <c r="Q88" s="271">
        <v>2012</v>
      </c>
      <c r="R88" s="272">
        <v>1.7000000000000001E-2</v>
      </c>
    </row>
    <row r="89" spans="1:18" ht="15.75" thickBot="1" x14ac:dyDescent="0.3">
      <c r="A89" s="36" t="s">
        <v>46</v>
      </c>
      <c r="D89" s="223">
        <f t="shared" ref="D89:O89" si="13">D37+D44+D54+D62+D68+D73+D87+D84</f>
        <v>189554386</v>
      </c>
      <c r="E89" s="223">
        <f t="shared" si="13"/>
        <v>201684736</v>
      </c>
      <c r="F89" s="223">
        <f t="shared" si="13"/>
        <v>215060239</v>
      </c>
      <c r="G89" s="223">
        <f t="shared" si="13"/>
        <v>222723007</v>
      </c>
      <c r="H89" s="223">
        <f t="shared" si="13"/>
        <v>240723898</v>
      </c>
      <c r="I89" s="223">
        <f t="shared" si="13"/>
        <v>268787047</v>
      </c>
      <c r="J89" s="223">
        <f t="shared" si="13"/>
        <v>283233079</v>
      </c>
      <c r="K89" s="223">
        <f t="shared" si="13"/>
        <v>299647198</v>
      </c>
      <c r="L89" s="223">
        <f t="shared" si="13"/>
        <v>307199846</v>
      </c>
      <c r="M89" s="223">
        <f t="shared" si="13"/>
        <v>313314968</v>
      </c>
      <c r="N89" s="223">
        <f t="shared" si="13"/>
        <v>326809029.0742259</v>
      </c>
      <c r="O89" s="223">
        <f t="shared" si="13"/>
        <v>339139966</v>
      </c>
      <c r="Q89" s="271">
        <v>2013</v>
      </c>
      <c r="R89" s="272">
        <v>1.6E-2</v>
      </c>
    </row>
    <row r="90" spans="1:18" ht="15.75" thickTop="1" x14ac:dyDescent="0.25">
      <c r="N90" s="231"/>
      <c r="O90" s="235" t="s">
        <v>221</v>
      </c>
      <c r="Q90" s="233">
        <v>2014</v>
      </c>
      <c r="R90" s="273">
        <v>0.03</v>
      </c>
    </row>
    <row r="91" spans="1:18" x14ac:dyDescent="0.25">
      <c r="C91" s="227">
        <v>223.5</v>
      </c>
      <c r="D91" s="275">
        <v>231.7</v>
      </c>
      <c r="E91" s="275">
        <v>240.8</v>
      </c>
      <c r="F91" s="275">
        <v>253.1</v>
      </c>
      <c r="G91" s="275">
        <v>260.3</v>
      </c>
      <c r="H91" s="275">
        <v>273.2</v>
      </c>
      <c r="I91" s="275">
        <v>279.3</v>
      </c>
      <c r="J91" s="275">
        <v>281.8</v>
      </c>
      <c r="K91" s="275">
        <v>288.39999999999998</v>
      </c>
      <c r="L91" s="275">
        <v>293.2</v>
      </c>
      <c r="M91" s="275">
        <v>297.8</v>
      </c>
      <c r="N91" s="274">
        <f>(M91*$R$91)+M91</f>
        <v>306.80272307692309</v>
      </c>
      <c r="O91" s="274">
        <f>(N91*$R$91)+N91</f>
        <v>316.07760539763314</v>
      </c>
      <c r="Q91" s="271" t="s">
        <v>220</v>
      </c>
      <c r="R91" s="272">
        <f>AVERAGE(R78:R90)</f>
        <v>3.0230769230769231E-2</v>
      </c>
    </row>
    <row r="92" spans="1:18" x14ac:dyDescent="0.25">
      <c r="A92" s="231" t="s">
        <v>223</v>
      </c>
      <c r="C92" s="226">
        <f>$O$91/C91</f>
        <v>1.4142174738149134</v>
      </c>
      <c r="D92" s="276">
        <f t="shared" ref="D92:O92" si="14">$O$91/D91</f>
        <v>1.3641674812155078</v>
      </c>
      <c r="E92" s="276">
        <f t="shared" si="14"/>
        <v>1.3126146403556194</v>
      </c>
      <c r="F92" s="276">
        <f t="shared" si="14"/>
        <v>1.2488249916935328</v>
      </c>
      <c r="G92" s="276">
        <f t="shared" si="14"/>
        <v>1.214282003064284</v>
      </c>
      <c r="H92" s="276">
        <f t="shared" si="14"/>
        <v>1.1569458469898724</v>
      </c>
      <c r="I92" s="276">
        <f t="shared" si="14"/>
        <v>1.1316777851687545</v>
      </c>
      <c r="J92" s="276">
        <f t="shared" si="14"/>
        <v>1.1216380603180736</v>
      </c>
      <c r="K92" s="276">
        <f t="shared" si="14"/>
        <v>1.0959695055396435</v>
      </c>
      <c r="L92" s="276">
        <f t="shared" si="14"/>
        <v>1.0780273035389945</v>
      </c>
      <c r="M92" s="276">
        <f t="shared" si="14"/>
        <v>1.0613754378698224</v>
      </c>
      <c r="N92" s="276">
        <f t="shared" si="14"/>
        <v>1.0302307692307693</v>
      </c>
      <c r="O92" s="276">
        <f t="shared" si="14"/>
        <v>1</v>
      </c>
      <c r="Q92" s="231"/>
      <c r="R92" s="231"/>
    </row>
    <row r="93" spans="1:18" x14ac:dyDescent="0.25">
      <c r="C93" s="228" t="s">
        <v>174</v>
      </c>
    </row>
    <row r="94" spans="1:18" x14ac:dyDescent="0.25">
      <c r="D94" s="91">
        <v>232.4</v>
      </c>
      <c r="E94" s="91">
        <v>241.2</v>
      </c>
      <c r="F94" s="91">
        <v>252.1</v>
      </c>
      <c r="G94" s="91">
        <v>257.60000000000002</v>
      </c>
      <c r="H94" s="91">
        <v>269.5</v>
      </c>
      <c r="I94" s="91">
        <v>275.8</v>
      </c>
      <c r="J94" s="91">
        <v>280.10000000000002</v>
      </c>
      <c r="K94" s="91">
        <v>286.3</v>
      </c>
      <c r="L94" s="91">
        <v>289.2</v>
      </c>
      <c r="M94" s="91">
        <v>294.89999999999998</v>
      </c>
      <c r="N94" s="91">
        <v>302.10000000000002</v>
      </c>
      <c r="O94" s="232">
        <f>(N94*R91)+N94</f>
        <v>311.2327153846154</v>
      </c>
    </row>
    <row r="95" spans="1:18" x14ac:dyDescent="0.25">
      <c r="A95" s="231" t="s">
        <v>259</v>
      </c>
      <c r="D95" s="91">
        <f>$O$94/D94</f>
        <v>1.3392113398649543</v>
      </c>
      <c r="E95" s="91">
        <f t="shared" ref="E95:O95" si="15">$O$94/E94</f>
        <v>1.2903512246460009</v>
      </c>
      <c r="F95" s="91">
        <f t="shared" si="15"/>
        <v>1.2345605528941508</v>
      </c>
      <c r="G95" s="91">
        <f t="shared" si="15"/>
        <v>1.2082015348781652</v>
      </c>
      <c r="H95" s="91">
        <f t="shared" si="15"/>
        <v>1.1548523761952334</v>
      </c>
      <c r="I95" s="91">
        <f t="shared" si="15"/>
        <v>1.1284724995816366</v>
      </c>
      <c r="J95" s="91">
        <f t="shared" si="15"/>
        <v>1.1111485733117292</v>
      </c>
      <c r="K95" s="91">
        <f t="shared" si="15"/>
        <v>1.08708597759209</v>
      </c>
      <c r="L95" s="91">
        <f t="shared" si="15"/>
        <v>1.0761850462815195</v>
      </c>
      <c r="M95" s="91">
        <f t="shared" si="15"/>
        <v>1.0553839111041554</v>
      </c>
      <c r="N95" s="91">
        <f t="shared" si="15"/>
        <v>1.0302307692307693</v>
      </c>
      <c r="O95" s="91">
        <f t="shared" si="15"/>
        <v>1</v>
      </c>
    </row>
    <row r="96" spans="1:18" x14ac:dyDescent="0.25">
      <c r="D96" s="228" t="s">
        <v>175</v>
      </c>
      <c r="E96" s="228" t="s">
        <v>177</v>
      </c>
      <c r="F96" s="228" t="s">
        <v>178</v>
      </c>
      <c r="G96" s="228" t="s">
        <v>213</v>
      </c>
      <c r="H96" s="228" t="s">
        <v>214</v>
      </c>
      <c r="I96" s="228" t="s">
        <v>179</v>
      </c>
      <c r="J96" s="228" t="s">
        <v>180</v>
      </c>
      <c r="K96" s="228" t="s">
        <v>181</v>
      </c>
      <c r="L96" s="228" t="s">
        <v>182</v>
      </c>
      <c r="M96" s="228" t="s">
        <v>183</v>
      </c>
      <c r="N96" s="228" t="s">
        <v>184</v>
      </c>
      <c r="O96" s="228" t="s">
        <v>185</v>
      </c>
    </row>
    <row r="98" spans="1:15" ht="21" x14ac:dyDescent="0.35">
      <c r="A98" s="335" t="s">
        <v>224</v>
      </c>
    </row>
    <row r="100" spans="1:15" ht="18.75" x14ac:dyDescent="0.3">
      <c r="A100" s="31" t="s">
        <v>2</v>
      </c>
    </row>
    <row r="101" spans="1:15" x14ac:dyDescent="0.25">
      <c r="A101" s="77" t="s">
        <v>80</v>
      </c>
      <c r="D101" s="234">
        <f>D3*D$95</f>
        <v>155121650.3449389</v>
      </c>
      <c r="E101" s="234">
        <f t="shared" ref="E101:O101" si="16">E3*E$95</f>
        <v>163302041.85218361</v>
      </c>
      <c r="F101" s="234">
        <f t="shared" si="16"/>
        <v>176338791.13854587</v>
      </c>
      <c r="G101" s="234">
        <f t="shared" si="16"/>
        <v>186469911.52832454</v>
      </c>
      <c r="H101" s="234">
        <f t="shared" si="16"/>
        <v>205150062.92556503</v>
      </c>
      <c r="I101" s="234">
        <f t="shared" si="16"/>
        <v>224055952.20457229</v>
      </c>
      <c r="J101" s="234">
        <f t="shared" si="16"/>
        <v>238539817.88826224</v>
      </c>
      <c r="K101" s="234">
        <f t="shared" si="16"/>
        <v>253331014.71412683</v>
      </c>
      <c r="L101" s="234">
        <f t="shared" si="16"/>
        <v>272605246.41346461</v>
      </c>
      <c r="M101" s="234">
        <f t="shared" si="16"/>
        <v>274897893.71470296</v>
      </c>
      <c r="N101" s="234">
        <f t="shared" si="16"/>
        <v>280989800.764</v>
      </c>
      <c r="O101" s="234">
        <f t="shared" si="16"/>
        <v>280705581</v>
      </c>
    </row>
    <row r="102" spans="1:15" x14ac:dyDescent="0.25">
      <c r="A102" s="36" t="s">
        <v>82</v>
      </c>
      <c r="D102" s="234">
        <f t="shared" ref="D102:O111" si="17">D4*D$95</f>
        <v>-14175222.586480934</v>
      </c>
      <c r="E102" s="234">
        <f t="shared" si="17"/>
        <v>-15091764.693585727</v>
      </c>
      <c r="F102" s="234">
        <f t="shared" si="17"/>
        <v>-18127788.396234341</v>
      </c>
      <c r="G102" s="234">
        <f t="shared" si="17"/>
        <v>-21246796.678360067</v>
      </c>
      <c r="H102" s="234">
        <f t="shared" si="17"/>
        <v>-25291267.03867561</v>
      </c>
      <c r="I102" s="234">
        <f t="shared" si="17"/>
        <v>-25858050.192276035</v>
      </c>
      <c r="J102" s="234">
        <f t="shared" si="17"/>
        <v>-27273950.648097765</v>
      </c>
      <c r="K102" s="234">
        <f t="shared" si="17"/>
        <v>-28369644.709211558</v>
      </c>
      <c r="L102" s="234">
        <f t="shared" si="17"/>
        <v>-33329190.446557458</v>
      </c>
      <c r="M102" s="234">
        <f t="shared" si="17"/>
        <v>-35554124.640119188</v>
      </c>
      <c r="N102" s="234">
        <f t="shared" si="17"/>
        <v>-36196619.266230769</v>
      </c>
      <c r="O102" s="234">
        <f t="shared" si="17"/>
        <v>-38121517</v>
      </c>
    </row>
    <row r="103" spans="1:15" x14ac:dyDescent="0.25">
      <c r="A103" s="77" t="s">
        <v>81</v>
      </c>
      <c r="D103" s="234">
        <f t="shared" si="17"/>
        <v>79128373.384992719</v>
      </c>
      <c r="E103" s="234">
        <f t="shared" si="17"/>
        <v>74716626.3470245</v>
      </c>
      <c r="F103" s="234">
        <f t="shared" si="17"/>
        <v>70230816.540655419</v>
      </c>
      <c r="G103" s="234">
        <f t="shared" si="17"/>
        <v>78288673.347365677</v>
      </c>
      <c r="H103" s="234">
        <f t="shared" si="17"/>
        <v>69984053.997431144</v>
      </c>
      <c r="I103" s="234">
        <f t="shared" si="17"/>
        <v>72246389.284715787</v>
      </c>
      <c r="J103" s="234">
        <f t="shared" si="17"/>
        <v>68911656.67907615</v>
      </c>
      <c r="K103" s="234">
        <f t="shared" si="17"/>
        <v>67137886.433098689</v>
      </c>
      <c r="L103" s="234">
        <f t="shared" si="17"/>
        <v>56690630.156990111</v>
      </c>
      <c r="M103" s="234">
        <f t="shared" si="17"/>
        <v>58549955.389889672</v>
      </c>
      <c r="N103" s="234">
        <f t="shared" si="17"/>
        <v>59511383.407692313</v>
      </c>
      <c r="O103" s="234">
        <f t="shared" si="17"/>
        <v>63136000</v>
      </c>
    </row>
    <row r="104" spans="1:15" x14ac:dyDescent="0.25">
      <c r="A104" s="36" t="s">
        <v>3</v>
      </c>
      <c r="D104" s="234">
        <f t="shared" si="17"/>
        <v>1010970.6404640541</v>
      </c>
      <c r="E104" s="234">
        <f t="shared" si="17"/>
        <v>920213.97585629555</v>
      </c>
      <c r="F104" s="234">
        <f t="shared" si="17"/>
        <v>1004237.2324645594</v>
      </c>
      <c r="G104" s="234">
        <f t="shared" si="17"/>
        <v>984684.2509257046</v>
      </c>
      <c r="H104" s="234">
        <f t="shared" si="17"/>
        <v>1385822.8514342802</v>
      </c>
      <c r="I104" s="234">
        <f t="shared" si="17"/>
        <v>1354166.999497964</v>
      </c>
      <c r="J104" s="234">
        <f t="shared" si="17"/>
        <v>888918.85864938342</v>
      </c>
      <c r="K104" s="234">
        <f t="shared" si="17"/>
        <v>869668.78207367205</v>
      </c>
      <c r="L104" s="234">
        <f t="shared" si="17"/>
        <v>860948.03702521557</v>
      </c>
      <c r="M104" s="234">
        <f t="shared" si="17"/>
        <v>844307.12888332433</v>
      </c>
      <c r="N104" s="234">
        <f t="shared" si="17"/>
        <v>947812.30769230775</v>
      </c>
      <c r="O104" s="234">
        <f t="shared" si="17"/>
        <v>800000</v>
      </c>
    </row>
    <row r="105" spans="1:15" x14ac:dyDescent="0.25">
      <c r="A105" s="36" t="s">
        <v>4</v>
      </c>
      <c r="D105" s="234">
        <f t="shared" si="17"/>
        <v>704676.93650086061</v>
      </c>
      <c r="E105" s="234">
        <f t="shared" si="17"/>
        <v>749836.00015403761</v>
      </c>
      <c r="F105" s="234">
        <f t="shared" si="17"/>
        <v>717415.48289231991</v>
      </c>
      <c r="G105" s="234">
        <f t="shared" si="17"/>
        <v>351586.64664954605</v>
      </c>
      <c r="H105" s="234">
        <f t="shared" si="17"/>
        <v>336062.04147281294</v>
      </c>
      <c r="I105" s="234">
        <f t="shared" si="17"/>
        <v>328385.49737825629</v>
      </c>
      <c r="J105" s="234">
        <f t="shared" si="17"/>
        <v>323344.23483371321</v>
      </c>
      <c r="K105" s="234">
        <f t="shared" si="17"/>
        <v>316342.01947929821</v>
      </c>
      <c r="L105" s="234">
        <f t="shared" si="17"/>
        <v>313169.84846792219</v>
      </c>
      <c r="M105" s="234">
        <f t="shared" si="17"/>
        <v>307116.7181313092</v>
      </c>
      <c r="N105" s="234">
        <f t="shared" si="17"/>
        <v>608866.38461538462</v>
      </c>
      <c r="O105" s="234">
        <f t="shared" si="17"/>
        <v>591000</v>
      </c>
    </row>
    <row r="106" spans="1:15" x14ac:dyDescent="0.25">
      <c r="A106" s="36" t="s">
        <v>5</v>
      </c>
      <c r="D106" s="234">
        <f t="shared" si="17"/>
        <v>3531248.5314919897</v>
      </c>
      <c r="E106" s="234">
        <f t="shared" si="17"/>
        <v>3380836.3401827407</v>
      </c>
      <c r="F106" s="234">
        <f t="shared" si="17"/>
        <v>3212808.0372462091</v>
      </c>
      <c r="G106" s="234">
        <f t="shared" si="17"/>
        <v>1799755.1293775381</v>
      </c>
      <c r="H106" s="234">
        <f t="shared" si="17"/>
        <v>2161590.3157339231</v>
      </c>
      <c r="I106" s="234">
        <f t="shared" si="17"/>
        <v>2119556.8577567078</v>
      </c>
      <c r="J106" s="234">
        <f t="shared" si="17"/>
        <v>2214533.5515417294</v>
      </c>
      <c r="K106" s="234">
        <f t="shared" si="17"/>
        <v>2003495.1083583115</v>
      </c>
      <c r="L106" s="234">
        <f t="shared" si="17"/>
        <v>1993499.3512907759</v>
      </c>
      <c r="M106" s="234">
        <f t="shared" si="17"/>
        <v>1948414.9490114253</v>
      </c>
      <c r="N106" s="234">
        <f t="shared" si="17"/>
        <v>1915275.2370769233</v>
      </c>
      <c r="O106" s="234">
        <f t="shared" si="17"/>
        <v>2160199</v>
      </c>
    </row>
    <row r="107" spans="1:15" x14ac:dyDescent="0.25">
      <c r="A107" s="36" t="s">
        <v>6</v>
      </c>
      <c r="D107" s="234">
        <f t="shared" si="17"/>
        <v>225321697.25190759</v>
      </c>
      <c r="E107" s="234">
        <f t="shared" si="17"/>
        <v>227977789.82181546</v>
      </c>
      <c r="F107" s="234">
        <f t="shared" si="17"/>
        <v>233376280.03557003</v>
      </c>
      <c r="G107" s="234">
        <f t="shared" si="17"/>
        <v>246647814.22428295</v>
      </c>
      <c r="H107" s="234">
        <f t="shared" si="17"/>
        <v>253726325.09296161</v>
      </c>
      <c r="I107" s="234">
        <f t="shared" si="17"/>
        <v>274246400.651645</v>
      </c>
      <c r="J107" s="234">
        <f t="shared" si="17"/>
        <v>283604320.56426543</v>
      </c>
      <c r="K107" s="234">
        <f t="shared" si="17"/>
        <v>295288762.34792525</v>
      </c>
      <c r="L107" s="234">
        <f t="shared" si="17"/>
        <v>299134303.36068118</v>
      </c>
      <c r="M107" s="234">
        <f t="shared" si="17"/>
        <v>300993563.26049954</v>
      </c>
      <c r="N107" s="234">
        <f t="shared" si="17"/>
        <v>307776518.8348462</v>
      </c>
      <c r="O107" s="234">
        <f t="shared" si="17"/>
        <v>309271263</v>
      </c>
    </row>
    <row r="108" spans="1:15" x14ac:dyDescent="0.25">
      <c r="A108" s="28"/>
      <c r="D108" s="234">
        <f t="shared" si="17"/>
        <v>0</v>
      </c>
      <c r="E108" s="234">
        <f t="shared" si="17"/>
        <v>0</v>
      </c>
      <c r="F108" s="234">
        <f t="shared" si="17"/>
        <v>0</v>
      </c>
      <c r="G108" s="234">
        <f t="shared" si="17"/>
        <v>0</v>
      </c>
      <c r="H108" s="234">
        <f t="shared" si="17"/>
        <v>0</v>
      </c>
      <c r="I108" s="234">
        <f t="shared" si="17"/>
        <v>0</v>
      </c>
      <c r="J108" s="234">
        <f t="shared" si="17"/>
        <v>0</v>
      </c>
      <c r="K108" s="234">
        <f t="shared" si="17"/>
        <v>0</v>
      </c>
      <c r="L108" s="234">
        <f t="shared" si="17"/>
        <v>0</v>
      </c>
      <c r="M108" s="234">
        <f t="shared" si="17"/>
        <v>0</v>
      </c>
      <c r="N108" s="234">
        <f t="shared" si="17"/>
        <v>0</v>
      </c>
      <c r="O108" s="234">
        <f t="shared" si="17"/>
        <v>0</v>
      </c>
    </row>
    <row r="109" spans="1:15" ht="18.75" x14ac:dyDescent="0.3">
      <c r="A109" s="31" t="s">
        <v>7</v>
      </c>
      <c r="D109" s="234">
        <f t="shared" si="17"/>
        <v>0</v>
      </c>
      <c r="E109" s="234">
        <f t="shared" si="17"/>
        <v>0</v>
      </c>
      <c r="F109" s="234">
        <f t="shared" si="17"/>
        <v>0</v>
      </c>
      <c r="G109" s="234">
        <f t="shared" si="17"/>
        <v>0</v>
      </c>
      <c r="H109" s="234">
        <f t="shared" si="17"/>
        <v>0</v>
      </c>
      <c r="I109" s="234">
        <f t="shared" si="17"/>
        <v>0</v>
      </c>
      <c r="J109" s="234">
        <f t="shared" si="17"/>
        <v>0</v>
      </c>
      <c r="K109" s="234">
        <f t="shared" si="17"/>
        <v>0</v>
      </c>
      <c r="L109" s="234">
        <f t="shared" si="17"/>
        <v>0</v>
      </c>
      <c r="M109" s="234">
        <f t="shared" si="17"/>
        <v>0</v>
      </c>
      <c r="N109" s="234">
        <f t="shared" si="17"/>
        <v>0</v>
      </c>
      <c r="O109" s="234">
        <f t="shared" si="17"/>
        <v>0</v>
      </c>
    </row>
    <row r="110" spans="1:15" ht="18" x14ac:dyDescent="0.25">
      <c r="A110" s="43" t="s">
        <v>8</v>
      </c>
      <c r="D110" s="234">
        <f t="shared" si="17"/>
        <v>0</v>
      </c>
      <c r="E110" s="234">
        <f t="shared" si="17"/>
        <v>0</v>
      </c>
      <c r="F110" s="234">
        <f t="shared" si="17"/>
        <v>0</v>
      </c>
      <c r="G110" s="234">
        <f t="shared" si="17"/>
        <v>0</v>
      </c>
      <c r="H110" s="234">
        <f t="shared" si="17"/>
        <v>0</v>
      </c>
      <c r="I110" s="234">
        <f t="shared" si="17"/>
        <v>0</v>
      </c>
      <c r="J110" s="234">
        <f t="shared" si="17"/>
        <v>0</v>
      </c>
      <c r="K110" s="234">
        <f t="shared" si="17"/>
        <v>0</v>
      </c>
      <c r="L110" s="234">
        <f t="shared" si="17"/>
        <v>0</v>
      </c>
      <c r="M110" s="234">
        <f t="shared" si="17"/>
        <v>0</v>
      </c>
      <c r="N110" s="234">
        <f t="shared" si="17"/>
        <v>0</v>
      </c>
      <c r="O110" s="234">
        <f t="shared" si="17"/>
        <v>0</v>
      </c>
    </row>
    <row r="111" spans="1:15" x14ac:dyDescent="0.25">
      <c r="A111" s="236" t="s">
        <v>61</v>
      </c>
      <c r="D111" s="234">
        <f t="shared" si="17"/>
        <v>0</v>
      </c>
      <c r="E111" s="234">
        <f t="shared" si="17"/>
        <v>62583542.815912656</v>
      </c>
      <c r="F111" s="234">
        <f t="shared" si="17"/>
        <v>62774297.960316487</v>
      </c>
      <c r="G111" s="234">
        <f t="shared" si="17"/>
        <v>65199208.81433814</v>
      </c>
      <c r="H111" s="234">
        <f t="shared" si="17"/>
        <v>67239700.9207692</v>
      </c>
      <c r="I111" s="234">
        <f t="shared" si="17"/>
        <v>70094292.922433645</v>
      </c>
      <c r="J111" s="234">
        <f t="shared" si="17"/>
        <v>72058232.765397489</v>
      </c>
      <c r="K111" s="234">
        <f t="shared" si="17"/>
        <v>73074229.233243912</v>
      </c>
      <c r="L111" s="234">
        <f t="shared" si="17"/>
        <v>75736260.042910635</v>
      </c>
      <c r="M111" s="234">
        <f t="shared" si="17"/>
        <v>76878435.223514915</v>
      </c>
      <c r="N111" s="234">
        <f t="shared" si="17"/>
        <v>77408238.811692029</v>
      </c>
      <c r="O111" s="234">
        <f t="shared" si="17"/>
        <v>77371275.804567397</v>
      </c>
    </row>
    <row r="112" spans="1:15" x14ac:dyDescent="0.25">
      <c r="A112" s="236" t="s">
        <v>58</v>
      </c>
      <c r="D112" s="234">
        <f t="shared" ref="D112:O112" si="18">D15*D$95</f>
        <v>14954525.73568443</v>
      </c>
      <c r="E112" s="234">
        <f t="shared" si="18"/>
        <v>15189640.414677575</v>
      </c>
      <c r="F112" s="234">
        <f t="shared" si="18"/>
        <v>15120672.961826932</v>
      </c>
      <c r="G112" s="234">
        <f t="shared" si="18"/>
        <v>15548791.378713477</v>
      </c>
      <c r="H112" s="234">
        <f t="shared" si="18"/>
        <v>16841020.496560641</v>
      </c>
      <c r="I112" s="234">
        <f t="shared" si="18"/>
        <v>17351000.445137389</v>
      </c>
      <c r="J112" s="234">
        <f t="shared" si="18"/>
        <v>17745551.621834893</v>
      </c>
      <c r="K112" s="234">
        <f t="shared" si="18"/>
        <v>18006601.928519115</v>
      </c>
      <c r="L112" s="234">
        <f t="shared" si="18"/>
        <v>18702252.599388529</v>
      </c>
      <c r="M112" s="234">
        <f t="shared" si="18"/>
        <v>18965992.928199001</v>
      </c>
      <c r="N112" s="234">
        <f t="shared" si="18"/>
        <v>19063003.054867249</v>
      </c>
      <c r="O112" s="234">
        <f t="shared" si="18"/>
        <v>19243750.912495855</v>
      </c>
    </row>
    <row r="113" spans="1:15" x14ac:dyDescent="0.25">
      <c r="A113" s="236" t="s">
        <v>60</v>
      </c>
      <c r="D113" s="234">
        <f t="shared" ref="D113:O113" si="19">D16*D$95</f>
        <v>13119669.600512777</v>
      </c>
      <c r="E113" s="234">
        <f t="shared" si="19"/>
        <v>12955981.798307789</v>
      </c>
      <c r="F113" s="234">
        <f t="shared" si="19"/>
        <v>13305422.038152384</v>
      </c>
      <c r="G113" s="234">
        <f t="shared" si="19"/>
        <v>10753754.827382643</v>
      </c>
      <c r="H113" s="234">
        <f t="shared" si="19"/>
        <v>11170912.441688769</v>
      </c>
      <c r="I113" s="234">
        <f t="shared" si="19"/>
        <v>11672058.511155268</v>
      </c>
      <c r="J113" s="234">
        <f t="shared" si="19"/>
        <v>11796549.941061186</v>
      </c>
      <c r="K113" s="234">
        <f t="shared" si="19"/>
        <v>11870522.299195034</v>
      </c>
      <c r="L113" s="234">
        <f t="shared" si="19"/>
        <v>12092393.997155443</v>
      </c>
      <c r="M113" s="234">
        <f t="shared" si="19"/>
        <v>11822042.243203774</v>
      </c>
      <c r="N113" s="234">
        <f t="shared" si="19"/>
        <v>11824065.394721722</v>
      </c>
      <c r="O113" s="234">
        <f t="shared" si="19"/>
        <v>11368006.572249323</v>
      </c>
    </row>
    <row r="114" spans="1:15" x14ac:dyDescent="0.25">
      <c r="A114" s="236" t="s">
        <v>59</v>
      </c>
      <c r="D114" s="234">
        <f t="shared" ref="D114:O114" si="20">D17*D$95</f>
        <v>0</v>
      </c>
      <c r="E114" s="234">
        <f t="shared" si="20"/>
        <v>9364325.2943399362</v>
      </c>
      <c r="F114" s="234">
        <f t="shared" si="20"/>
        <v>9294231.0987128429</v>
      </c>
      <c r="G114" s="234">
        <f t="shared" si="20"/>
        <v>9803539.3580454774</v>
      </c>
      <c r="H114" s="234">
        <f t="shared" si="20"/>
        <v>9547266.2210150994</v>
      </c>
      <c r="I114" s="234">
        <f t="shared" si="20"/>
        <v>10053812.019667707</v>
      </c>
      <c r="J114" s="234">
        <f t="shared" si="20"/>
        <v>10282266.665014802</v>
      </c>
      <c r="K114" s="234">
        <f t="shared" si="20"/>
        <v>10659442.207912814</v>
      </c>
      <c r="L114" s="234">
        <f t="shared" si="20"/>
        <v>11277880.116322137</v>
      </c>
      <c r="M114" s="234">
        <f t="shared" si="20"/>
        <v>11433512.15478598</v>
      </c>
      <c r="N114" s="234">
        <f t="shared" si="20"/>
        <v>11413303.983894039</v>
      </c>
      <c r="O114" s="234">
        <f t="shared" si="20"/>
        <v>11853039.504987042</v>
      </c>
    </row>
    <row r="115" spans="1:15" x14ac:dyDescent="0.25">
      <c r="A115" s="236" t="s">
        <v>62</v>
      </c>
      <c r="D115" s="234">
        <f t="shared" ref="D115:O115" si="21">D18*D$95</f>
        <v>0</v>
      </c>
      <c r="E115" s="234">
        <f t="shared" si="21"/>
        <v>6956595.7170629557</v>
      </c>
      <c r="F115" s="234">
        <f t="shared" si="21"/>
        <v>7598285.6377488794</v>
      </c>
      <c r="G115" s="234">
        <f t="shared" si="21"/>
        <v>7999855.1572765158</v>
      </c>
      <c r="H115" s="234">
        <f t="shared" si="21"/>
        <v>8201962.5200520055</v>
      </c>
      <c r="I115" s="234">
        <f t="shared" si="21"/>
        <v>8721746.1540740505</v>
      </c>
      <c r="J115" s="234">
        <f t="shared" si="21"/>
        <v>9011011.5826260112</v>
      </c>
      <c r="K115" s="234">
        <f t="shared" si="21"/>
        <v>9028938.2564121019</v>
      </c>
      <c r="L115" s="234">
        <f t="shared" si="21"/>
        <v>9890094.2993701734</v>
      </c>
      <c r="M115" s="234">
        <f t="shared" si="21"/>
        <v>10135521.867116755</v>
      </c>
      <c r="N115" s="234">
        <f t="shared" si="21"/>
        <v>10733346.296903532</v>
      </c>
      <c r="O115" s="234">
        <f t="shared" si="21"/>
        <v>11360632.361799143</v>
      </c>
    </row>
    <row r="116" spans="1:15" x14ac:dyDescent="0.25">
      <c r="A116" s="236" t="s">
        <v>64</v>
      </c>
      <c r="D116" s="234">
        <f t="shared" ref="D116:O116" si="22">D19*D$95</f>
        <v>6369056.1096245861</v>
      </c>
      <c r="E116" s="234">
        <f t="shared" si="22"/>
        <v>6169787.2832691362</v>
      </c>
      <c r="F116" s="234">
        <f t="shared" si="22"/>
        <v>6752778.3246910265</v>
      </c>
      <c r="G116" s="234">
        <f t="shared" si="22"/>
        <v>6464530.6404270176</v>
      </c>
      <c r="H116" s="234">
        <f t="shared" si="22"/>
        <v>6509055.1829684032</v>
      </c>
      <c r="I116" s="234">
        <f t="shared" si="22"/>
        <v>6694792.878105511</v>
      </c>
      <c r="J116" s="234">
        <f t="shared" si="22"/>
        <v>7050172.1398970969</v>
      </c>
      <c r="K116" s="234">
        <f t="shared" si="22"/>
        <v>7386595.9386154115</v>
      </c>
      <c r="L116" s="234">
        <f t="shared" si="22"/>
        <v>7736892.3157663587</v>
      </c>
      <c r="M116" s="234">
        <f t="shared" si="22"/>
        <v>7789815.0324575491</v>
      </c>
      <c r="N116" s="234">
        <f t="shared" si="22"/>
        <v>7920209.6755473288</v>
      </c>
      <c r="O116" s="234">
        <f t="shared" si="22"/>
        <v>7827433.9252647758</v>
      </c>
    </row>
    <row r="117" spans="1:15" x14ac:dyDescent="0.25">
      <c r="A117" s="236" t="s">
        <v>63</v>
      </c>
      <c r="D117" s="234">
        <f t="shared" ref="D117:O117" si="23">D20*D$95</f>
        <v>0</v>
      </c>
      <c r="E117" s="234">
        <f t="shared" si="23"/>
        <v>4030748.8318514167</v>
      </c>
      <c r="F117" s="234">
        <f t="shared" si="23"/>
        <v>5267719.262811888</v>
      </c>
      <c r="G117" s="234">
        <f t="shared" si="23"/>
        <v>5326428.9586024843</v>
      </c>
      <c r="H117" s="234">
        <f t="shared" si="23"/>
        <v>5466180.7577261887</v>
      </c>
      <c r="I117" s="234">
        <f t="shared" si="23"/>
        <v>5983441.0539617334</v>
      </c>
      <c r="J117" s="234">
        <f t="shared" si="23"/>
        <v>6231103.4140118081</v>
      </c>
      <c r="K117" s="234">
        <f t="shared" si="23"/>
        <v>7367233.8502685186</v>
      </c>
      <c r="L117" s="234">
        <f t="shared" si="23"/>
        <v>8274568.355294208</v>
      </c>
      <c r="M117" s="234">
        <f t="shared" si="23"/>
        <v>8443550.4331288841</v>
      </c>
      <c r="N117" s="234">
        <f t="shared" si="23"/>
        <v>11002600.351567894</v>
      </c>
      <c r="O117" s="234">
        <f t="shared" si="23"/>
        <v>11900626.513851207</v>
      </c>
    </row>
    <row r="118" spans="1:15" x14ac:dyDescent="0.25">
      <c r="A118" s="236" t="s">
        <v>217</v>
      </c>
      <c r="D118" s="234">
        <f>D21*D$95</f>
        <v>5308403.4068742217</v>
      </c>
      <c r="E118" s="234">
        <f>E21*E$95</f>
        <v>7805512.6263526604</v>
      </c>
      <c r="F118" s="234">
        <f>F21*F$95</f>
        <v>9622783.4640940111</v>
      </c>
      <c r="G118" s="234">
        <f>G21*G$95</f>
        <v>10293496.49367848</v>
      </c>
      <c r="H118" s="234">
        <f>H21*H$95</f>
        <v>10643060.601544086</v>
      </c>
      <c r="I118" s="234">
        <f t="shared" ref="I118:O118" si="24">I21*I$95</f>
        <v>11893142.072438305</v>
      </c>
      <c r="J118" s="234">
        <f t="shared" si="24"/>
        <v>12172939.297636228</v>
      </c>
      <c r="K118" s="234">
        <f t="shared" si="24"/>
        <v>12773588.53667229</v>
      </c>
      <c r="L118" s="234">
        <f t="shared" si="24"/>
        <v>11749477.317823254</v>
      </c>
      <c r="M118" s="234">
        <f t="shared" si="24"/>
        <v>12367603.959138667</v>
      </c>
      <c r="N118" s="234">
        <f t="shared" si="24"/>
        <v>12599964.833353695</v>
      </c>
      <c r="O118" s="234">
        <f t="shared" si="24"/>
        <v>12586221.769371074</v>
      </c>
    </row>
    <row r="119" spans="1:15" x14ac:dyDescent="0.25">
      <c r="A119" s="236"/>
      <c r="D119" s="234"/>
      <c r="E119" s="234">
        <f t="shared" ref="E119:O119" si="25">SUM(E111:E118)</f>
        <v>125056134.78177413</v>
      </c>
      <c r="F119" s="234">
        <f t="shared" si="25"/>
        <v>129736190.74835445</v>
      </c>
      <c r="G119" s="234">
        <f t="shared" si="25"/>
        <v>131389605.62846424</v>
      </c>
      <c r="H119" s="234">
        <f t="shared" si="25"/>
        <v>135619159.14232442</v>
      </c>
      <c r="I119" s="234">
        <f t="shared" si="25"/>
        <v>142464286.05697358</v>
      </c>
      <c r="J119" s="234">
        <f t="shared" si="25"/>
        <v>146347827.42747951</v>
      </c>
      <c r="K119" s="234">
        <f t="shared" si="25"/>
        <v>150167152.2508392</v>
      </c>
      <c r="L119" s="234">
        <f t="shared" si="25"/>
        <v>155459819.04403073</v>
      </c>
      <c r="M119" s="234">
        <f t="shared" si="25"/>
        <v>157836473.84154552</v>
      </c>
      <c r="N119" s="234">
        <f t="shared" si="25"/>
        <v>161964732.40254748</v>
      </c>
      <c r="O119" s="234">
        <f t="shared" si="25"/>
        <v>163510987.36458579</v>
      </c>
    </row>
    <row r="120" spans="1:15" x14ac:dyDescent="0.25">
      <c r="A120" s="236"/>
      <c r="D120" s="234"/>
      <c r="E120" s="234"/>
      <c r="F120" s="234"/>
      <c r="G120" s="234"/>
      <c r="H120" s="234"/>
      <c r="I120" s="234"/>
      <c r="J120" s="234"/>
      <c r="K120" s="234"/>
      <c r="L120" s="234"/>
      <c r="M120" s="234"/>
      <c r="N120" s="234"/>
      <c r="O120" s="234"/>
    </row>
    <row r="121" spans="1:15" x14ac:dyDescent="0.25">
      <c r="A121" s="36" t="s">
        <v>134</v>
      </c>
      <c r="D121" s="234">
        <f t="shared" ref="D121:O121" si="26">D22*D$95</f>
        <v>2611914.7661695355</v>
      </c>
      <c r="E121" s="234">
        <f t="shared" si="26"/>
        <v>1776158.1379154231</v>
      </c>
      <c r="F121" s="234">
        <f t="shared" si="26"/>
        <v>2088185.1015872825</v>
      </c>
      <c r="G121" s="234">
        <f t="shared" si="26"/>
        <v>2065009.7353523648</v>
      </c>
      <c r="H121" s="234">
        <f t="shared" si="26"/>
        <v>1722155.1283631227</v>
      </c>
      <c r="I121" s="234">
        <f t="shared" si="26"/>
        <v>2058214.2211519496</v>
      </c>
      <c r="J121" s="234">
        <f t="shared" si="26"/>
        <v>2290226.1035042978</v>
      </c>
      <c r="K121" s="234">
        <f t="shared" si="26"/>
        <v>1546005.8455484563</v>
      </c>
      <c r="L121" s="234">
        <f t="shared" si="26"/>
        <v>1573708.6217326047</v>
      </c>
      <c r="M121" s="234">
        <f t="shared" si="26"/>
        <v>1575010.6228075752</v>
      </c>
      <c r="N121" s="234">
        <f t="shared" si="26"/>
        <v>1596081.5619348916</v>
      </c>
      <c r="O121" s="234">
        <f t="shared" si="26"/>
        <v>1619760</v>
      </c>
    </row>
    <row r="122" spans="1:15" x14ac:dyDescent="0.25">
      <c r="A122" s="77" t="s">
        <v>68</v>
      </c>
      <c r="D122" s="234">
        <f t="shared" ref="D122:O122" si="27">D23*D$95</f>
        <v>12104950.50750844</v>
      </c>
      <c r="E122" s="234">
        <f t="shared" si="27"/>
        <v>12637720.539802527</v>
      </c>
      <c r="F122" s="234">
        <f t="shared" si="27"/>
        <v>14445676.979532056</v>
      </c>
      <c r="G122" s="234">
        <f t="shared" si="27"/>
        <v>15369969.094140764</v>
      </c>
      <c r="H122" s="234">
        <f t="shared" si="27"/>
        <v>13288285.769642929</v>
      </c>
      <c r="I122" s="234">
        <f t="shared" si="27"/>
        <v>13159361.567681374</v>
      </c>
      <c r="J122" s="234">
        <f t="shared" si="27"/>
        <v>13500655.172480706</v>
      </c>
      <c r="K122" s="234">
        <f t="shared" si="27"/>
        <v>13540362.456794916</v>
      </c>
      <c r="L122" s="234">
        <f t="shared" si="27"/>
        <v>13687305.616669888</v>
      </c>
      <c r="M122" s="234">
        <f t="shared" si="27"/>
        <v>13757235.342576886</v>
      </c>
      <c r="N122" s="234">
        <f t="shared" si="27"/>
        <v>14056927.598869691</v>
      </c>
      <c r="O122" s="234">
        <f t="shared" si="27"/>
        <v>13830401</v>
      </c>
    </row>
    <row r="123" spans="1:15" x14ac:dyDescent="0.25">
      <c r="A123" s="36" t="s">
        <v>66</v>
      </c>
      <c r="D123" s="234">
        <f t="shared" ref="D123:O123" si="28">D24*D$95</f>
        <v>8710572.0533733293</v>
      </c>
      <c r="E123" s="234">
        <f t="shared" si="28"/>
        <v>9062087.6173423287</v>
      </c>
      <c r="F123" s="234">
        <f t="shared" si="28"/>
        <v>9449816.5923913289</v>
      </c>
      <c r="G123" s="234">
        <f t="shared" si="28"/>
        <v>10227261.677334925</v>
      </c>
      <c r="H123" s="234">
        <f t="shared" si="28"/>
        <v>10614585.40650424</v>
      </c>
      <c r="I123" s="234">
        <f t="shared" si="28"/>
        <v>10639180.045485692</v>
      </c>
      <c r="J123" s="234">
        <f t="shared" si="28"/>
        <v>10919294.808985855</v>
      </c>
      <c r="K123" s="234">
        <f t="shared" si="28"/>
        <v>11082785.013080522</v>
      </c>
      <c r="L123" s="234">
        <f t="shared" si="28"/>
        <v>10954147.511624962</v>
      </c>
      <c r="M123" s="234">
        <f t="shared" si="28"/>
        <v>11355333.536187027</v>
      </c>
      <c r="N123" s="234">
        <f t="shared" si="28"/>
        <v>11327587.374603432</v>
      </c>
      <c r="O123" s="234">
        <f t="shared" si="28"/>
        <v>11304509</v>
      </c>
    </row>
    <row r="124" spans="1:15" x14ac:dyDescent="0.25">
      <c r="A124" s="36" t="s">
        <v>84</v>
      </c>
      <c r="D124" s="234">
        <f t="shared" ref="D124:O124" si="29">D25*D$95</f>
        <v>0</v>
      </c>
      <c r="E124" s="234">
        <f t="shared" si="29"/>
        <v>0</v>
      </c>
      <c r="F124" s="234">
        <f t="shared" si="29"/>
        <v>0</v>
      </c>
      <c r="G124" s="234">
        <f t="shared" si="29"/>
        <v>0</v>
      </c>
      <c r="H124" s="234">
        <f t="shared" si="29"/>
        <v>0</v>
      </c>
      <c r="I124" s="234">
        <f t="shared" si="29"/>
        <v>0</v>
      </c>
      <c r="J124" s="234">
        <f t="shared" si="29"/>
        <v>0</v>
      </c>
      <c r="K124" s="234">
        <f t="shared" si="29"/>
        <v>1423706.4988973911</v>
      </c>
      <c r="L124" s="234">
        <f t="shared" si="29"/>
        <v>1471358.0429060007</v>
      </c>
      <c r="M124" s="234">
        <f t="shared" si="29"/>
        <v>1482420.7369024965</v>
      </c>
      <c r="N124" s="234">
        <f t="shared" si="29"/>
        <v>1570786.9884615154</v>
      </c>
      <c r="O124" s="234">
        <f t="shared" si="29"/>
        <v>1684704</v>
      </c>
    </row>
    <row r="125" spans="1:15" x14ac:dyDescent="0.25">
      <c r="A125" s="36" t="s">
        <v>85</v>
      </c>
      <c r="D125" s="234">
        <f t="shared" ref="D125:O125" si="30">D26*D$95</f>
        <v>1220107.2401427247</v>
      </c>
      <c r="E125" s="234">
        <f t="shared" si="30"/>
        <v>1207795.8436443745</v>
      </c>
      <c r="F125" s="234">
        <f t="shared" si="30"/>
        <v>965833.75734568096</v>
      </c>
      <c r="G125" s="234">
        <f t="shared" si="30"/>
        <v>1186948.0616781234</v>
      </c>
      <c r="H125" s="234">
        <f t="shared" si="30"/>
        <v>1400509.1091023549</v>
      </c>
      <c r="I125" s="234">
        <f t="shared" si="30"/>
        <v>1741874.0392342277</v>
      </c>
      <c r="J125" s="234">
        <f t="shared" si="30"/>
        <v>518560.8165302776</v>
      </c>
      <c r="K125" s="234">
        <f t="shared" si="30"/>
        <v>655875.93120454601</v>
      </c>
      <c r="L125" s="234">
        <f t="shared" si="30"/>
        <v>867628.9937925312</v>
      </c>
      <c r="M125" s="234">
        <f t="shared" si="30"/>
        <v>868529.24502707575</v>
      </c>
      <c r="N125" s="234">
        <f t="shared" si="30"/>
        <v>868646.61966863205</v>
      </c>
      <c r="O125" s="234">
        <f t="shared" si="30"/>
        <v>845008.52416599321</v>
      </c>
    </row>
    <row r="126" spans="1:15" x14ac:dyDescent="0.25">
      <c r="A126" s="36" t="s">
        <v>136</v>
      </c>
      <c r="D126" s="234">
        <f t="shared" ref="D126:O126" si="31">D27*D$95</f>
        <v>3331706.0418521119</v>
      </c>
      <c r="E126" s="234">
        <f t="shared" si="31"/>
        <v>3112089.7292208192</v>
      </c>
      <c r="F126" s="234">
        <f t="shared" si="31"/>
        <v>3184788.4509377233</v>
      </c>
      <c r="G126" s="234">
        <f t="shared" si="31"/>
        <v>2974958.2639351105</v>
      </c>
      <c r="H126" s="234">
        <f t="shared" si="31"/>
        <v>2942812.1478063366</v>
      </c>
      <c r="I126" s="234">
        <f t="shared" si="31"/>
        <v>0</v>
      </c>
      <c r="J126" s="234">
        <f t="shared" si="31"/>
        <v>0</v>
      </c>
      <c r="K126" s="234">
        <f t="shared" si="31"/>
        <v>0</v>
      </c>
      <c r="L126" s="234">
        <f t="shared" si="31"/>
        <v>0</v>
      </c>
      <c r="M126" s="234">
        <f t="shared" si="31"/>
        <v>0</v>
      </c>
      <c r="N126" s="234">
        <f t="shared" si="31"/>
        <v>0</v>
      </c>
      <c r="O126" s="234">
        <f t="shared" si="31"/>
        <v>0</v>
      </c>
    </row>
    <row r="127" spans="1:15" x14ac:dyDescent="0.25">
      <c r="A127" s="36" t="s">
        <v>17</v>
      </c>
      <c r="D127" s="234">
        <f t="shared" ref="D127:O127" si="32">D28*D$95</f>
        <v>7623706.9670677874</v>
      </c>
      <c r="E127" s="234">
        <f t="shared" si="32"/>
        <v>7503353.6607797565</v>
      </c>
      <c r="F127" s="234">
        <f t="shared" si="32"/>
        <v>7600820.1905639712</v>
      </c>
      <c r="G127" s="234">
        <f t="shared" si="32"/>
        <v>7577463.0678769704</v>
      </c>
      <c r="H127" s="234">
        <f t="shared" si="32"/>
        <v>7518728.7572473818</v>
      </c>
      <c r="I127" s="234">
        <f t="shared" si="32"/>
        <v>7666116.5543404082</v>
      </c>
      <c r="J127" s="234">
        <f t="shared" si="32"/>
        <v>8016562.4993749205</v>
      </c>
      <c r="K127" s="234">
        <f t="shared" si="32"/>
        <v>8302277.8088626238</v>
      </c>
      <c r="L127" s="234">
        <f t="shared" si="32"/>
        <v>8550484.9822000489</v>
      </c>
      <c r="M127" s="234">
        <f t="shared" si="32"/>
        <v>8508871.3095388543</v>
      </c>
      <c r="N127" s="234">
        <f t="shared" si="32"/>
        <v>8817882.9132341463</v>
      </c>
      <c r="O127" s="234">
        <f t="shared" si="32"/>
        <v>8614887</v>
      </c>
    </row>
    <row r="128" spans="1:15" x14ac:dyDescent="0.25">
      <c r="A128" s="36" t="s">
        <v>20</v>
      </c>
      <c r="D128" s="234">
        <f t="shared" ref="D128:O128" si="33">D29*D$95</f>
        <v>846352.10414517415</v>
      </c>
      <c r="E128" s="234">
        <f t="shared" si="33"/>
        <v>834632.7212328742</v>
      </c>
      <c r="F128" s="234">
        <f t="shared" si="33"/>
        <v>822948.18807481776</v>
      </c>
      <c r="G128" s="234">
        <f t="shared" si="33"/>
        <v>910845.01412162557</v>
      </c>
      <c r="H128" s="234">
        <f t="shared" si="33"/>
        <v>930243.98269664624</v>
      </c>
      <c r="I128" s="234">
        <f t="shared" si="33"/>
        <v>963472.89305530768</v>
      </c>
      <c r="J128" s="234">
        <f t="shared" si="33"/>
        <v>996661.38006055518</v>
      </c>
      <c r="K128" s="234">
        <f t="shared" si="33"/>
        <v>998723.28098949452</v>
      </c>
      <c r="L128" s="234">
        <f t="shared" si="33"/>
        <v>1004121.5432124163</v>
      </c>
      <c r="M128" s="234">
        <f t="shared" si="33"/>
        <v>1002954.5491683232</v>
      </c>
      <c r="N128" s="234">
        <f t="shared" si="33"/>
        <v>1031916.8967218793</v>
      </c>
      <c r="O128" s="234">
        <f t="shared" si="33"/>
        <v>1008980</v>
      </c>
    </row>
    <row r="129" spans="1:15" x14ac:dyDescent="0.25">
      <c r="A129" s="36" t="s">
        <v>21</v>
      </c>
      <c r="D129" s="234">
        <f t="shared" ref="D129:O129" si="34">D30*D$95</f>
        <v>813363.31121028063</v>
      </c>
      <c r="E129" s="234">
        <f t="shared" si="34"/>
        <v>789097.51686634147</v>
      </c>
      <c r="F129" s="234">
        <f t="shared" si="34"/>
        <v>853292.45190440305</v>
      </c>
      <c r="G129" s="234">
        <f t="shared" si="34"/>
        <v>876054.85092480876</v>
      </c>
      <c r="H129" s="234">
        <f t="shared" si="34"/>
        <v>872415.90481104609</v>
      </c>
      <c r="I129" s="234">
        <f t="shared" si="34"/>
        <v>800908.53018307581</v>
      </c>
      <c r="J129" s="234">
        <f t="shared" si="34"/>
        <v>795033.47109598212</v>
      </c>
      <c r="K129" s="234">
        <f t="shared" si="34"/>
        <v>808475.62530903565</v>
      </c>
      <c r="L129" s="234">
        <f t="shared" si="34"/>
        <v>639024.69007636455</v>
      </c>
      <c r="M129" s="234">
        <f t="shared" si="34"/>
        <v>620391.60138391121</v>
      </c>
      <c r="N129" s="234">
        <f t="shared" si="34"/>
        <v>624616.53996448638</v>
      </c>
      <c r="O129" s="234">
        <f t="shared" si="34"/>
        <v>608216</v>
      </c>
    </row>
    <row r="130" spans="1:15" x14ac:dyDescent="0.25">
      <c r="A130" s="36" t="s">
        <v>22</v>
      </c>
      <c r="D130" s="234">
        <f t="shared" ref="D130:O130" si="35">D31*D$95</f>
        <v>2078935.4371300808</v>
      </c>
      <c r="E130" s="234">
        <f t="shared" si="35"/>
        <v>2030425.7177855915</v>
      </c>
      <c r="F130" s="234">
        <f t="shared" si="35"/>
        <v>2136920.6139733321</v>
      </c>
      <c r="G130" s="234">
        <f t="shared" si="35"/>
        <v>2273484.9101955923</v>
      </c>
      <c r="H130" s="234">
        <f t="shared" si="35"/>
        <v>2492874.7329264167</v>
      </c>
      <c r="I130" s="234">
        <f t="shared" si="35"/>
        <v>2525679.4402136444</v>
      </c>
      <c r="J130" s="234">
        <f t="shared" si="35"/>
        <v>2685110.5280821132</v>
      </c>
      <c r="K130" s="234">
        <f t="shared" si="35"/>
        <v>2701076.0060072006</v>
      </c>
      <c r="L130" s="234">
        <f t="shared" si="35"/>
        <v>2849975.8394486918</v>
      </c>
      <c r="M130" s="234">
        <f t="shared" si="35"/>
        <v>2931738.3020493002</v>
      </c>
      <c r="N130" s="234">
        <f t="shared" si="35"/>
        <v>2994760.9310330809</v>
      </c>
      <c r="O130" s="234">
        <f t="shared" si="35"/>
        <v>2958062</v>
      </c>
    </row>
    <row r="131" spans="1:15" x14ac:dyDescent="0.25">
      <c r="A131" s="36" t="s">
        <v>23</v>
      </c>
      <c r="D131" s="234">
        <f t="shared" ref="D131:O131" si="36">D32*D$95</f>
        <v>2308590.0937468223</v>
      </c>
      <c r="E131" s="234">
        <f t="shared" si="36"/>
        <v>3168430.3347425377</v>
      </c>
      <c r="F131" s="234">
        <f t="shared" si="36"/>
        <v>3075828.6056603915</v>
      </c>
      <c r="G131" s="234">
        <f t="shared" si="36"/>
        <v>3095900.4457779499</v>
      </c>
      <c r="H131" s="234">
        <f t="shared" si="36"/>
        <v>3143764.5452309404</v>
      </c>
      <c r="I131" s="234">
        <f t="shared" si="36"/>
        <v>3383686.4219305515</v>
      </c>
      <c r="J131" s="234">
        <f t="shared" si="36"/>
        <v>3452131.9436449069</v>
      </c>
      <c r="K131" s="234">
        <f t="shared" si="36"/>
        <v>3620161.5424502539</v>
      </c>
      <c r="L131" s="234">
        <f t="shared" si="36"/>
        <v>3735076.6974676033</v>
      </c>
      <c r="M131" s="234">
        <f t="shared" si="36"/>
        <v>3717264.7686197674</v>
      </c>
      <c r="N131" s="234">
        <f t="shared" si="36"/>
        <v>3704157.9394851681</v>
      </c>
      <c r="O131" s="234">
        <f t="shared" si="36"/>
        <v>3708642</v>
      </c>
    </row>
    <row r="132" spans="1:15" x14ac:dyDescent="0.25">
      <c r="A132" s="36" t="s">
        <v>86</v>
      </c>
      <c r="D132" s="234">
        <f t="shared" ref="D132:O132" si="37">D33*D$95</f>
        <v>1432573.1192122998</v>
      </c>
      <c r="E132" s="234">
        <f t="shared" si="37"/>
        <v>0</v>
      </c>
      <c r="F132" s="234">
        <f t="shared" si="37"/>
        <v>0</v>
      </c>
      <c r="G132" s="234">
        <f t="shared" si="37"/>
        <v>0</v>
      </c>
      <c r="H132" s="234">
        <f t="shared" si="37"/>
        <v>0</v>
      </c>
      <c r="I132" s="234">
        <f t="shared" si="37"/>
        <v>0</v>
      </c>
      <c r="J132" s="234">
        <f t="shared" si="37"/>
        <v>0</v>
      </c>
      <c r="K132" s="234">
        <f t="shared" si="37"/>
        <v>0</v>
      </c>
      <c r="L132" s="234">
        <f t="shared" si="37"/>
        <v>0</v>
      </c>
      <c r="M132" s="234">
        <f t="shared" si="37"/>
        <v>0</v>
      </c>
      <c r="N132" s="234">
        <f t="shared" si="37"/>
        <v>0</v>
      </c>
      <c r="O132" s="234">
        <f t="shared" si="37"/>
        <v>0</v>
      </c>
    </row>
    <row r="133" spans="1:15" x14ac:dyDescent="0.25">
      <c r="A133" s="36" t="s">
        <v>219</v>
      </c>
      <c r="D133" s="234">
        <f t="shared" ref="D133:O133" si="38">D34*D$95</f>
        <v>1339.2113398649544</v>
      </c>
      <c r="E133" s="234">
        <f t="shared" si="38"/>
        <v>1290.3512246460009</v>
      </c>
      <c r="F133" s="234">
        <f t="shared" si="38"/>
        <v>1234.5605528941508</v>
      </c>
      <c r="G133" s="234">
        <f t="shared" si="38"/>
        <v>1208.2015348781651</v>
      </c>
      <c r="H133" s="234">
        <f t="shared" si="38"/>
        <v>1154.8523761952333</v>
      </c>
      <c r="I133" s="234">
        <f t="shared" si="38"/>
        <v>0</v>
      </c>
      <c r="J133" s="234">
        <f t="shared" si="38"/>
        <v>0</v>
      </c>
      <c r="K133" s="234">
        <f t="shared" si="38"/>
        <v>0</v>
      </c>
      <c r="L133" s="234">
        <f t="shared" si="38"/>
        <v>0</v>
      </c>
      <c r="M133" s="234">
        <f t="shared" si="38"/>
        <v>0</v>
      </c>
      <c r="N133" s="234">
        <f t="shared" si="38"/>
        <v>0</v>
      </c>
      <c r="O133" s="234">
        <f t="shared" si="38"/>
        <v>0</v>
      </c>
    </row>
    <row r="134" spans="1:15" x14ac:dyDescent="0.25">
      <c r="A134" s="85" t="s">
        <v>13</v>
      </c>
      <c r="D134" s="234">
        <f t="shared" ref="D134:O134" si="39">D35*D$95</f>
        <v>3192160.2202381836</v>
      </c>
      <c r="E134" s="234">
        <f t="shared" si="39"/>
        <v>2316863.0440374096</v>
      </c>
      <c r="F134" s="234">
        <f t="shared" si="39"/>
        <v>2370004.4117991948</v>
      </c>
      <c r="G134" s="234">
        <f t="shared" si="39"/>
        <v>2843594.1356524127</v>
      </c>
      <c r="H134" s="234">
        <f t="shared" si="39"/>
        <v>3051014.8863415727</v>
      </c>
      <c r="I134" s="234">
        <f t="shared" si="39"/>
        <v>3745533.3858664026</v>
      </c>
      <c r="J134" s="234">
        <f t="shared" si="39"/>
        <v>4874684.3492215415</v>
      </c>
      <c r="K134" s="234">
        <f t="shared" si="39"/>
        <v>3957518.0209623845</v>
      </c>
      <c r="L134" s="234">
        <f t="shared" si="39"/>
        <v>5644393.6258830996</v>
      </c>
      <c r="M134" s="234">
        <f t="shared" si="39"/>
        <v>5694505.4183951803</v>
      </c>
      <c r="N134" s="234">
        <f t="shared" si="39"/>
        <v>5722612.4756330727</v>
      </c>
      <c r="O134" s="234">
        <f t="shared" si="39"/>
        <v>5741356.1112481868</v>
      </c>
    </row>
    <row r="135" spans="1:15" x14ac:dyDescent="0.25">
      <c r="A135" s="36" t="s">
        <v>14</v>
      </c>
      <c r="D135" s="234">
        <f t="shared" ref="D135:O135" si="40">D36*D$95</f>
        <v>233901.29577545347</v>
      </c>
      <c r="E135" s="234">
        <f t="shared" si="40"/>
        <v>43452.577489954085</v>
      </c>
      <c r="F135" s="234">
        <f t="shared" si="40"/>
        <v>291436.53691895772</v>
      </c>
      <c r="G135" s="234">
        <f t="shared" si="40"/>
        <v>104643.54313733276</v>
      </c>
      <c r="H135" s="234">
        <f t="shared" si="40"/>
        <v>277703.88634653919</v>
      </c>
      <c r="I135" s="234">
        <f t="shared" si="40"/>
        <v>1806185.6869853851</v>
      </c>
      <c r="J135" s="234">
        <f t="shared" si="40"/>
        <v>514466.23403762386</v>
      </c>
      <c r="K135" s="234">
        <f t="shared" si="40"/>
        <v>797181.88908783149</v>
      </c>
      <c r="L135" s="234">
        <f t="shared" si="40"/>
        <v>199540.85035628793</v>
      </c>
      <c r="M135" s="234">
        <f t="shared" si="40"/>
        <v>166588.12883214653</v>
      </c>
      <c r="N135" s="234">
        <f t="shared" si="40"/>
        <v>176612.46076923079</v>
      </c>
      <c r="O135" s="234">
        <f t="shared" si="40"/>
        <v>210461</v>
      </c>
    </row>
    <row r="136" spans="1:15" x14ac:dyDescent="0.25">
      <c r="A136" s="36" t="s">
        <v>25</v>
      </c>
      <c r="D136" s="234">
        <f t="shared" ref="D136:D166" si="41">D37*D$95</f>
        <v>164631045.89200559</v>
      </c>
      <c r="E136" s="234">
        <f t="shared" ref="E136:O151" si="42">E37*E$95</f>
        <v>166426152.49341324</v>
      </c>
      <c r="F136" s="234">
        <f t="shared" si="42"/>
        <v>173836954.17810586</v>
      </c>
      <c r="G136" s="234">
        <f t="shared" si="42"/>
        <v>177920780.16465712</v>
      </c>
      <c r="H136" s="234">
        <f t="shared" si="42"/>
        <v>180931441.25153759</v>
      </c>
      <c r="I136" s="234">
        <f t="shared" si="42"/>
        <v>190954498.84310165</v>
      </c>
      <c r="J136" s="234">
        <f t="shared" si="42"/>
        <v>194911214.73449829</v>
      </c>
      <c r="K136" s="234">
        <f t="shared" si="42"/>
        <v>199601302.17003384</v>
      </c>
      <c r="L136" s="234">
        <f t="shared" si="42"/>
        <v>206636586.05940124</v>
      </c>
      <c r="M136" s="234">
        <f t="shared" si="42"/>
        <v>209517317.40303406</v>
      </c>
      <c r="N136" s="234">
        <f t="shared" si="42"/>
        <v>214457322.70292675</v>
      </c>
      <c r="O136" s="234">
        <f t="shared" si="42"/>
        <v>215645973.99999997</v>
      </c>
    </row>
    <row r="137" spans="1:15" x14ac:dyDescent="0.25">
      <c r="A137" s="36"/>
      <c r="D137" s="234">
        <f t="shared" si="41"/>
        <v>0</v>
      </c>
      <c r="E137" s="234">
        <f t="shared" si="42"/>
        <v>0</v>
      </c>
      <c r="F137" s="234">
        <f t="shared" si="42"/>
        <v>0</v>
      </c>
      <c r="G137" s="234">
        <f t="shared" si="42"/>
        <v>0</v>
      </c>
      <c r="H137" s="234">
        <f t="shared" si="42"/>
        <v>0</v>
      </c>
      <c r="I137" s="234">
        <f t="shared" si="42"/>
        <v>0</v>
      </c>
      <c r="J137" s="234">
        <f t="shared" si="42"/>
        <v>0</v>
      </c>
      <c r="K137" s="234">
        <f t="shared" si="42"/>
        <v>0</v>
      </c>
      <c r="L137" s="234">
        <f t="shared" si="42"/>
        <v>0</v>
      </c>
      <c r="M137" s="234">
        <f t="shared" si="42"/>
        <v>0</v>
      </c>
      <c r="N137" s="234">
        <f t="shared" si="42"/>
        <v>0</v>
      </c>
      <c r="O137" s="234">
        <f t="shared" si="42"/>
        <v>0</v>
      </c>
    </row>
    <row r="138" spans="1:15" ht="18" x14ac:dyDescent="0.25">
      <c r="A138" s="43" t="s">
        <v>87</v>
      </c>
      <c r="D138" s="234">
        <f t="shared" si="41"/>
        <v>0</v>
      </c>
      <c r="E138" s="234">
        <f t="shared" si="42"/>
        <v>0</v>
      </c>
      <c r="F138" s="234">
        <f t="shared" si="42"/>
        <v>0</v>
      </c>
      <c r="G138" s="234">
        <f t="shared" si="42"/>
        <v>0</v>
      </c>
      <c r="H138" s="234">
        <f t="shared" si="42"/>
        <v>0</v>
      </c>
      <c r="I138" s="234">
        <f t="shared" si="42"/>
        <v>0</v>
      </c>
      <c r="J138" s="234">
        <f t="shared" si="42"/>
        <v>0</v>
      </c>
      <c r="K138" s="234">
        <f t="shared" si="42"/>
        <v>0</v>
      </c>
      <c r="L138" s="234">
        <f t="shared" si="42"/>
        <v>0</v>
      </c>
      <c r="M138" s="234">
        <f t="shared" si="42"/>
        <v>0</v>
      </c>
      <c r="N138" s="234">
        <f t="shared" si="42"/>
        <v>0</v>
      </c>
      <c r="O138" s="234">
        <f t="shared" si="42"/>
        <v>0</v>
      </c>
    </row>
    <row r="139" spans="1:15" x14ac:dyDescent="0.25">
      <c r="A139" s="36" t="s">
        <v>54</v>
      </c>
      <c r="D139" s="234">
        <f t="shared" si="41"/>
        <v>190380.94486386204</v>
      </c>
      <c r="E139" s="234">
        <f t="shared" si="42"/>
        <v>110748.26490891697</v>
      </c>
      <c r="F139" s="234">
        <f t="shared" si="42"/>
        <v>106849.98129243586</v>
      </c>
      <c r="G139" s="234">
        <f t="shared" si="42"/>
        <v>99985.926220377441</v>
      </c>
      <c r="H139" s="234">
        <f t="shared" si="42"/>
        <v>99892.420836135294</v>
      </c>
      <c r="I139" s="234">
        <f t="shared" si="42"/>
        <v>211087.55188174263</v>
      </c>
      <c r="J139" s="234">
        <f t="shared" si="42"/>
        <v>209074.82670290829</v>
      </c>
      <c r="K139" s="234">
        <f t="shared" si="42"/>
        <v>261862.7057122706</v>
      </c>
      <c r="L139" s="234">
        <f t="shared" si="42"/>
        <v>262987.3397598149</v>
      </c>
      <c r="M139" s="234">
        <f t="shared" si="42"/>
        <v>191823.41353055797</v>
      </c>
      <c r="N139" s="234">
        <f t="shared" si="42"/>
        <v>193018.19684023492</v>
      </c>
      <c r="O139" s="234">
        <f t="shared" si="42"/>
        <v>194330</v>
      </c>
    </row>
    <row r="140" spans="1:15" x14ac:dyDescent="0.25">
      <c r="A140" s="36" t="s">
        <v>88</v>
      </c>
      <c r="D140" s="234">
        <f t="shared" si="41"/>
        <v>0</v>
      </c>
      <c r="E140" s="234">
        <f t="shared" si="42"/>
        <v>0</v>
      </c>
      <c r="F140" s="234">
        <f t="shared" si="42"/>
        <v>0</v>
      </c>
      <c r="G140" s="234">
        <f t="shared" si="42"/>
        <v>0</v>
      </c>
      <c r="H140" s="234">
        <f t="shared" si="42"/>
        <v>538983.46219882974</v>
      </c>
      <c r="I140" s="234">
        <f t="shared" si="42"/>
        <v>649988.87503402692</v>
      </c>
      <c r="J140" s="234">
        <f t="shared" si="42"/>
        <v>708773.89620121929</v>
      </c>
      <c r="K140" s="234">
        <f t="shared" si="42"/>
        <v>737174.74312474811</v>
      </c>
      <c r="L140" s="234">
        <f t="shared" si="42"/>
        <v>749760.90278359409</v>
      </c>
      <c r="M140" s="234">
        <f t="shared" si="42"/>
        <v>737059.01583692001</v>
      </c>
      <c r="N140" s="234">
        <f t="shared" si="42"/>
        <v>816452.03188164427</v>
      </c>
      <c r="O140" s="234">
        <f t="shared" si="42"/>
        <v>816657</v>
      </c>
    </row>
    <row r="141" spans="1:15" x14ac:dyDescent="0.25">
      <c r="A141" s="77" t="s">
        <v>89</v>
      </c>
      <c r="D141" s="234">
        <f t="shared" si="41"/>
        <v>0</v>
      </c>
      <c r="E141" s="234">
        <f t="shared" si="42"/>
        <v>0</v>
      </c>
      <c r="F141" s="234">
        <f t="shared" si="42"/>
        <v>0</v>
      </c>
      <c r="G141" s="234">
        <f t="shared" si="42"/>
        <v>0</v>
      </c>
      <c r="H141" s="234">
        <f t="shared" si="42"/>
        <v>97758.253644926503</v>
      </c>
      <c r="I141" s="234">
        <f t="shared" si="42"/>
        <v>130060.96946678196</v>
      </c>
      <c r="J141" s="234">
        <f t="shared" si="42"/>
        <v>130632.18202139344</v>
      </c>
      <c r="K141" s="234">
        <f t="shared" si="42"/>
        <v>130429.66267747655</v>
      </c>
      <c r="L141" s="234">
        <f t="shared" si="42"/>
        <v>128038.03969629749</v>
      </c>
      <c r="M141" s="234">
        <f t="shared" si="42"/>
        <v>128320.96359942094</v>
      </c>
      <c r="N141" s="234">
        <f t="shared" si="42"/>
        <v>129148.01007100413</v>
      </c>
      <c r="O141" s="234">
        <f t="shared" si="42"/>
        <v>123141</v>
      </c>
    </row>
    <row r="142" spans="1:15" x14ac:dyDescent="0.25">
      <c r="A142" s="36" t="s">
        <v>14</v>
      </c>
      <c r="D142" s="234">
        <f t="shared" si="41"/>
        <v>79443.355892128951</v>
      </c>
      <c r="E142" s="234">
        <f t="shared" si="42"/>
        <v>76544.924997225418</v>
      </c>
      <c r="F142" s="234">
        <f t="shared" si="42"/>
        <v>73235.366558233916</v>
      </c>
      <c r="G142" s="234">
        <f t="shared" si="42"/>
        <v>71671.723250507639</v>
      </c>
      <c r="H142" s="234">
        <f t="shared" si="42"/>
        <v>63887.588303496508</v>
      </c>
      <c r="I142" s="234">
        <f t="shared" si="42"/>
        <v>62428.22714935572</v>
      </c>
      <c r="J142" s="234">
        <f t="shared" si="42"/>
        <v>61469.850224178175</v>
      </c>
      <c r="K142" s="234">
        <f t="shared" si="42"/>
        <v>60138.68336637201</v>
      </c>
      <c r="L142" s="234">
        <f t="shared" si="42"/>
        <v>220834.24768201407</v>
      </c>
      <c r="M142" s="234">
        <f t="shared" si="42"/>
        <v>261956.84057516241</v>
      </c>
      <c r="N142" s="234">
        <f t="shared" si="42"/>
        <v>268928.00168046978</v>
      </c>
      <c r="O142" s="234">
        <f t="shared" si="42"/>
        <v>237084</v>
      </c>
    </row>
    <row r="143" spans="1:15" x14ac:dyDescent="0.25">
      <c r="A143" s="36" t="s">
        <v>25</v>
      </c>
      <c r="D143" s="234">
        <f t="shared" si="41"/>
        <v>269824.30075599102</v>
      </c>
      <c r="E143" s="234">
        <f t="shared" si="42"/>
        <v>187293.18990614239</v>
      </c>
      <c r="F143" s="234">
        <f t="shared" si="42"/>
        <v>180085.34785066979</v>
      </c>
      <c r="G143" s="234">
        <f t="shared" si="42"/>
        <v>171657.64947088508</v>
      </c>
      <c r="H143" s="234">
        <f t="shared" si="42"/>
        <v>800521.72498338809</v>
      </c>
      <c r="I143" s="234">
        <f t="shared" si="42"/>
        <v>1053565.6235319071</v>
      </c>
      <c r="J143" s="234">
        <f t="shared" si="42"/>
        <v>1109950.7551496993</v>
      </c>
      <c r="K143" s="234">
        <f t="shared" si="42"/>
        <v>1189605.7948808672</v>
      </c>
      <c r="L143" s="234">
        <f t="shared" si="42"/>
        <v>1361620.5299217205</v>
      </c>
      <c r="M143" s="234">
        <f t="shared" si="42"/>
        <v>1319160.2335420614</v>
      </c>
      <c r="N143" s="234">
        <f t="shared" si="42"/>
        <v>1407546.2404733533</v>
      </c>
      <c r="O143" s="234">
        <f t="shared" si="42"/>
        <v>1371212</v>
      </c>
    </row>
    <row r="144" spans="1:15" x14ac:dyDescent="0.25">
      <c r="A144" s="28"/>
      <c r="D144" s="234">
        <f t="shared" si="41"/>
        <v>0</v>
      </c>
      <c r="E144" s="234">
        <f t="shared" si="42"/>
        <v>0</v>
      </c>
      <c r="F144" s="234">
        <f t="shared" si="42"/>
        <v>0</v>
      </c>
      <c r="G144" s="234">
        <f t="shared" si="42"/>
        <v>0</v>
      </c>
      <c r="H144" s="234">
        <f t="shared" si="42"/>
        <v>0</v>
      </c>
      <c r="I144" s="234">
        <f t="shared" si="42"/>
        <v>0</v>
      </c>
      <c r="J144" s="234">
        <f t="shared" si="42"/>
        <v>0</v>
      </c>
      <c r="K144" s="234">
        <f t="shared" si="42"/>
        <v>0</v>
      </c>
      <c r="L144" s="234">
        <f t="shared" si="42"/>
        <v>0</v>
      </c>
      <c r="M144" s="234">
        <f t="shared" si="42"/>
        <v>0</v>
      </c>
      <c r="N144" s="234">
        <f t="shared" si="42"/>
        <v>0</v>
      </c>
      <c r="O144" s="234">
        <f t="shared" si="42"/>
        <v>0</v>
      </c>
    </row>
    <row r="145" spans="1:15" ht="18" x14ac:dyDescent="0.25">
      <c r="A145" s="43" t="s">
        <v>90</v>
      </c>
      <c r="D145" s="234">
        <f t="shared" si="41"/>
        <v>0</v>
      </c>
      <c r="E145" s="234">
        <f t="shared" si="42"/>
        <v>0</v>
      </c>
      <c r="F145" s="234">
        <f t="shared" si="42"/>
        <v>0</v>
      </c>
      <c r="G145" s="234">
        <f t="shared" si="42"/>
        <v>0</v>
      </c>
      <c r="H145" s="234">
        <f t="shared" si="42"/>
        <v>0</v>
      </c>
      <c r="I145" s="234">
        <f t="shared" si="42"/>
        <v>0</v>
      </c>
      <c r="J145" s="234">
        <f t="shared" si="42"/>
        <v>0</v>
      </c>
      <c r="K145" s="234">
        <f t="shared" si="42"/>
        <v>0</v>
      </c>
      <c r="L145" s="234">
        <f t="shared" si="42"/>
        <v>0</v>
      </c>
      <c r="M145" s="234">
        <f t="shared" si="42"/>
        <v>0</v>
      </c>
      <c r="N145" s="234">
        <f t="shared" si="42"/>
        <v>0</v>
      </c>
      <c r="O145" s="234">
        <f t="shared" si="42"/>
        <v>0</v>
      </c>
    </row>
    <row r="146" spans="1:15" x14ac:dyDescent="0.25">
      <c r="A146" s="36" t="s">
        <v>27</v>
      </c>
      <c r="D146" s="234">
        <f t="shared" si="41"/>
        <v>3229706.3493626374</v>
      </c>
      <c r="E146" s="234">
        <f t="shared" si="42"/>
        <v>3193219.272119212</v>
      </c>
      <c r="F146" s="234">
        <f t="shared" si="42"/>
        <v>3244317.7262377264</v>
      </c>
      <c r="G146" s="234">
        <f t="shared" si="42"/>
        <v>3484321.5326213269</v>
      </c>
      <c r="H146" s="234">
        <f t="shared" si="42"/>
        <v>3759237.3448623093</v>
      </c>
      <c r="I146" s="234">
        <f t="shared" si="42"/>
        <v>3982294.8155861269</v>
      </c>
      <c r="J146" s="234">
        <f t="shared" si="42"/>
        <v>4143576.3666967563</v>
      </c>
      <c r="K146" s="234">
        <f t="shared" si="42"/>
        <v>4186286.5682588192</v>
      </c>
      <c r="L146" s="234">
        <f t="shared" si="42"/>
        <v>4188323.8677445743</v>
      </c>
      <c r="M146" s="234">
        <f t="shared" si="42"/>
        <v>4215393.3100539958</v>
      </c>
      <c r="N146" s="234">
        <f t="shared" si="42"/>
        <v>4367139.5504624052</v>
      </c>
      <c r="O146" s="234">
        <f t="shared" si="42"/>
        <v>4755217</v>
      </c>
    </row>
    <row r="147" spans="1:15" x14ac:dyDescent="0.25">
      <c r="A147" s="36" t="s">
        <v>28</v>
      </c>
      <c r="D147" s="234">
        <f t="shared" si="41"/>
        <v>1321607.4068024296</v>
      </c>
      <c r="E147" s="234">
        <f t="shared" si="42"/>
        <v>1337310.9767645427</v>
      </c>
      <c r="F147" s="234">
        <f t="shared" si="42"/>
        <v>1515899.6190509873</v>
      </c>
      <c r="G147" s="234">
        <f t="shared" si="42"/>
        <v>1602005.159559424</v>
      </c>
      <c r="H147" s="234">
        <f t="shared" si="42"/>
        <v>1866888.1572621665</v>
      </c>
      <c r="I147" s="234">
        <f t="shared" si="42"/>
        <v>1909086.5803322364</v>
      </c>
      <c r="J147" s="234">
        <f t="shared" si="42"/>
        <v>1944389.9992496085</v>
      </c>
      <c r="K147" s="234">
        <f t="shared" si="42"/>
        <v>1954887.1459562588</v>
      </c>
      <c r="L147" s="234">
        <f t="shared" si="42"/>
        <v>2083026.1091058892</v>
      </c>
      <c r="M147" s="234">
        <f t="shared" si="42"/>
        <v>1950693.5228754992</v>
      </c>
      <c r="N147" s="234">
        <f t="shared" si="42"/>
        <v>2017923.6196745276</v>
      </c>
      <c r="O147" s="234">
        <f t="shared" si="42"/>
        <v>1966781</v>
      </c>
    </row>
    <row r="148" spans="1:15" x14ac:dyDescent="0.25">
      <c r="A148" s="36" t="s">
        <v>29</v>
      </c>
      <c r="D148" s="234">
        <f t="shared" si="41"/>
        <v>12427172.791147988</v>
      </c>
      <c r="E148" s="234">
        <f t="shared" si="42"/>
        <v>11897487.333462305</v>
      </c>
      <c r="F148" s="234">
        <f t="shared" si="42"/>
        <v>12319398.277524671</v>
      </c>
      <c r="G148" s="234">
        <f t="shared" si="42"/>
        <v>12123658.431084298</v>
      </c>
      <c r="H148" s="234">
        <f t="shared" si="42"/>
        <v>12669943.161856715</v>
      </c>
      <c r="I148" s="234">
        <f t="shared" si="42"/>
        <v>13254688.153611034</v>
      </c>
      <c r="J148" s="234">
        <f t="shared" si="42"/>
        <v>13326870.424466178</v>
      </c>
      <c r="K148" s="234">
        <f t="shared" si="42"/>
        <v>13651104.9924182</v>
      </c>
      <c r="L148" s="234">
        <f t="shared" si="42"/>
        <v>14380895.040962817</v>
      </c>
      <c r="M148" s="234">
        <f t="shared" si="42"/>
        <v>14412969.640375853</v>
      </c>
      <c r="N148" s="234">
        <f t="shared" si="42"/>
        <v>15404320.103037482</v>
      </c>
      <c r="O148" s="234">
        <f t="shared" si="42"/>
        <v>15969620</v>
      </c>
    </row>
    <row r="149" spans="1:15" x14ac:dyDescent="0.25">
      <c r="A149" s="36" t="s">
        <v>49</v>
      </c>
      <c r="D149" s="234">
        <f t="shared" si="41"/>
        <v>6813568.4767639022</v>
      </c>
      <c r="E149" s="234">
        <f t="shared" si="42"/>
        <v>6247899.9850043058</v>
      </c>
      <c r="F149" s="234">
        <f t="shared" si="42"/>
        <v>6393310.0939442841</v>
      </c>
      <c r="G149" s="234">
        <f t="shared" si="42"/>
        <v>5670030.6013080198</v>
      </c>
      <c r="H149" s="234">
        <f t="shared" si="42"/>
        <v>5829556.2127483943</v>
      </c>
      <c r="I149" s="234">
        <f t="shared" si="42"/>
        <v>6010445.4008767223</v>
      </c>
      <c r="J149" s="234">
        <f t="shared" si="42"/>
        <v>5842025.8518781196</v>
      </c>
      <c r="K149" s="234">
        <f t="shared" si="42"/>
        <v>5778298.97946495</v>
      </c>
      <c r="L149" s="234">
        <f t="shared" si="42"/>
        <v>5853372.619095277</v>
      </c>
      <c r="M149" s="234">
        <f t="shared" si="42"/>
        <v>5850744.4525950393</v>
      </c>
      <c r="N149" s="234">
        <f t="shared" si="42"/>
        <v>6326030.3110117689</v>
      </c>
      <c r="O149" s="234">
        <f t="shared" si="42"/>
        <v>5166007</v>
      </c>
    </row>
    <row r="150" spans="1:15" x14ac:dyDescent="0.25">
      <c r="A150" s="36" t="s">
        <v>30</v>
      </c>
      <c r="D150" s="234">
        <f t="shared" si="41"/>
        <v>4464340.0149088772</v>
      </c>
      <c r="E150" s="234">
        <f t="shared" si="42"/>
        <v>4512949.2134479536</v>
      </c>
      <c r="F150" s="234">
        <f t="shared" si="42"/>
        <v>4711101.588252373</v>
      </c>
      <c r="G150" s="234">
        <f t="shared" si="42"/>
        <v>4879843.8416685378</v>
      </c>
      <c r="H150" s="234">
        <f t="shared" si="42"/>
        <v>5164491.74237845</v>
      </c>
      <c r="I150" s="234">
        <f t="shared" si="42"/>
        <v>5755752.5431386456</v>
      </c>
      <c r="J150" s="234">
        <f t="shared" si="42"/>
        <v>6043840.4338030098</v>
      </c>
      <c r="K150" s="234">
        <f t="shared" si="42"/>
        <v>6084748.5165481605</v>
      </c>
      <c r="L150" s="234">
        <f t="shared" si="42"/>
        <v>6314980.6709968094</v>
      </c>
      <c r="M150" s="234">
        <f t="shared" si="42"/>
        <v>6321467.840009626</v>
      </c>
      <c r="N150" s="234">
        <f t="shared" si="42"/>
        <v>6519417.9117469704</v>
      </c>
      <c r="O150" s="234">
        <f t="shared" si="42"/>
        <v>6501592</v>
      </c>
    </row>
    <row r="151" spans="1:15" x14ac:dyDescent="0.25">
      <c r="A151" s="36" t="s">
        <v>70</v>
      </c>
      <c r="D151" s="234">
        <f t="shared" si="41"/>
        <v>0</v>
      </c>
      <c r="E151" s="234">
        <f t="shared" si="42"/>
        <v>1217549.6085514736</v>
      </c>
      <c r="F151" s="234">
        <f t="shared" si="42"/>
        <v>1095995.9455584171</v>
      </c>
      <c r="G151" s="234">
        <f t="shared" si="42"/>
        <v>1480617.1513502148</v>
      </c>
      <c r="H151" s="234">
        <f t="shared" si="42"/>
        <v>971040.29773811903</v>
      </c>
      <c r="I151" s="234">
        <f t="shared" si="42"/>
        <v>925788.68240427843</v>
      </c>
      <c r="J151" s="234">
        <f t="shared" si="42"/>
        <v>1046316.3875047098</v>
      </c>
      <c r="K151" s="234">
        <f t="shared" si="42"/>
        <v>738807.54626309138</v>
      </c>
      <c r="L151" s="234">
        <f t="shared" si="42"/>
        <v>577646.62833179068</v>
      </c>
      <c r="M151" s="234">
        <f t="shared" si="42"/>
        <v>634084.1522465765</v>
      </c>
      <c r="N151" s="234">
        <f t="shared" si="42"/>
        <v>526229.84913017042</v>
      </c>
      <c r="O151" s="234">
        <f t="shared" si="42"/>
        <v>0</v>
      </c>
    </row>
    <row r="152" spans="1:15" x14ac:dyDescent="0.25">
      <c r="A152" s="36" t="s">
        <v>14</v>
      </c>
      <c r="D152" s="234">
        <f t="shared" si="41"/>
        <v>205868.92400940025</v>
      </c>
      <c r="E152" s="234">
        <f t="shared" ref="E152:O166" si="43">E53*E$95</f>
        <v>198357.95165748184</v>
      </c>
      <c r="F152" s="234">
        <f t="shared" si="43"/>
        <v>223661.6316861746</v>
      </c>
      <c r="G152" s="234">
        <f t="shared" si="43"/>
        <v>219965.17143991875</v>
      </c>
      <c r="H152" s="234">
        <f t="shared" si="43"/>
        <v>186075.58911445699</v>
      </c>
      <c r="I152" s="234">
        <f t="shared" si="43"/>
        <v>263759.00579971552</v>
      </c>
      <c r="J152" s="234">
        <f t="shared" si="43"/>
        <v>231931.15285593056</v>
      </c>
      <c r="K152" s="234">
        <f t="shared" si="43"/>
        <v>226908.54318877455</v>
      </c>
      <c r="L152" s="234">
        <f t="shared" si="43"/>
        <v>224633.18089538784</v>
      </c>
      <c r="M152" s="234">
        <f t="shared" si="43"/>
        <v>204012.04231989986</v>
      </c>
      <c r="N152" s="234">
        <f t="shared" si="43"/>
        <v>199149.78907692307</v>
      </c>
      <c r="O152" s="234">
        <f t="shared" si="43"/>
        <v>208306</v>
      </c>
    </row>
    <row r="153" spans="1:15" x14ac:dyDescent="0.25">
      <c r="A153" s="36" t="s">
        <v>25</v>
      </c>
      <c r="D153" s="234">
        <f t="shared" si="41"/>
        <v>28462263.962995235</v>
      </c>
      <c r="E153" s="234">
        <f t="shared" si="43"/>
        <v>28604774.341007274</v>
      </c>
      <c r="F153" s="234">
        <f t="shared" si="43"/>
        <v>29503684.882254634</v>
      </c>
      <c r="G153" s="234">
        <f t="shared" si="43"/>
        <v>29460441.889031738</v>
      </c>
      <c r="H153" s="234">
        <f t="shared" si="43"/>
        <v>30447232.505960613</v>
      </c>
      <c r="I153" s="234">
        <f t="shared" si="43"/>
        <v>32101815.181748759</v>
      </c>
      <c r="J153" s="234">
        <f t="shared" si="43"/>
        <v>32578950.616454314</v>
      </c>
      <c r="K153" s="234">
        <f t="shared" si="43"/>
        <v>32621042.292098254</v>
      </c>
      <c r="L153" s="234">
        <f t="shared" si="43"/>
        <v>33622878.117132545</v>
      </c>
      <c r="M153" s="234">
        <f t="shared" si="43"/>
        <v>33589364.960476488</v>
      </c>
      <c r="N153" s="234">
        <f t="shared" si="43"/>
        <v>35360211.134140246</v>
      </c>
      <c r="O153" s="234">
        <f t="shared" si="43"/>
        <v>34567523</v>
      </c>
    </row>
    <row r="154" spans="1:15" x14ac:dyDescent="0.25">
      <c r="A154" s="36"/>
      <c r="D154" s="234">
        <f t="shared" si="41"/>
        <v>0</v>
      </c>
      <c r="E154" s="234">
        <f t="shared" si="43"/>
        <v>0</v>
      </c>
      <c r="F154" s="234">
        <f t="shared" si="43"/>
        <v>0</v>
      </c>
      <c r="G154" s="234">
        <f t="shared" si="43"/>
        <v>0</v>
      </c>
      <c r="H154" s="234">
        <f t="shared" si="43"/>
        <v>0</v>
      </c>
      <c r="I154" s="234">
        <f t="shared" si="43"/>
        <v>0</v>
      </c>
      <c r="J154" s="234">
        <f t="shared" si="43"/>
        <v>0</v>
      </c>
      <c r="K154" s="234">
        <f t="shared" si="43"/>
        <v>0</v>
      </c>
      <c r="L154" s="234">
        <f t="shared" si="43"/>
        <v>0</v>
      </c>
      <c r="M154" s="234">
        <f t="shared" si="43"/>
        <v>0</v>
      </c>
      <c r="N154" s="234">
        <f t="shared" si="43"/>
        <v>0</v>
      </c>
      <c r="O154" s="234">
        <f t="shared" si="43"/>
        <v>0</v>
      </c>
    </row>
    <row r="155" spans="1:15" ht="18" x14ac:dyDescent="0.25">
      <c r="A155" s="43" t="s">
        <v>31</v>
      </c>
      <c r="D155" s="234">
        <f t="shared" si="41"/>
        <v>0</v>
      </c>
      <c r="E155" s="234">
        <f t="shared" si="43"/>
        <v>0</v>
      </c>
      <c r="F155" s="234">
        <f t="shared" si="43"/>
        <v>0</v>
      </c>
      <c r="G155" s="234">
        <f t="shared" si="43"/>
        <v>0</v>
      </c>
      <c r="H155" s="234">
        <f t="shared" si="43"/>
        <v>0</v>
      </c>
      <c r="I155" s="234">
        <f t="shared" si="43"/>
        <v>0</v>
      </c>
      <c r="J155" s="234">
        <f t="shared" si="43"/>
        <v>0</v>
      </c>
      <c r="K155" s="234">
        <f t="shared" si="43"/>
        <v>0</v>
      </c>
      <c r="L155" s="234">
        <f t="shared" si="43"/>
        <v>0</v>
      </c>
      <c r="M155" s="234">
        <f t="shared" si="43"/>
        <v>0</v>
      </c>
      <c r="N155" s="234">
        <f t="shared" si="43"/>
        <v>0</v>
      </c>
      <c r="O155" s="234">
        <f t="shared" si="43"/>
        <v>0</v>
      </c>
    </row>
    <row r="156" spans="1:15" x14ac:dyDescent="0.25">
      <c r="A156" s="36" t="s">
        <v>135</v>
      </c>
      <c r="D156" s="234">
        <f t="shared" si="41"/>
        <v>1123311.7229199656</v>
      </c>
      <c r="E156" s="234">
        <f t="shared" si="43"/>
        <v>1098790.8432399542</v>
      </c>
      <c r="F156" s="234">
        <f t="shared" si="43"/>
        <v>1170004.1470227628</v>
      </c>
      <c r="G156" s="234">
        <f t="shared" si="43"/>
        <v>1154696.3299060857</v>
      </c>
      <c r="H156" s="234">
        <f t="shared" si="43"/>
        <v>1324748.4835191951</v>
      </c>
      <c r="I156" s="234">
        <f t="shared" si="43"/>
        <v>1399996.5246509735</v>
      </c>
      <c r="J156" s="234">
        <f t="shared" si="43"/>
        <v>1461691.5029229668</v>
      </c>
      <c r="K156" s="234">
        <f t="shared" si="43"/>
        <v>1530497.4769921277</v>
      </c>
      <c r="L156" s="234">
        <f t="shared" si="43"/>
        <v>1624362.4994909833</v>
      </c>
      <c r="M156" s="234">
        <f t="shared" si="43"/>
        <v>1617751.5604394712</v>
      </c>
      <c r="N156" s="234">
        <f t="shared" si="43"/>
        <v>1698954.9140946567</v>
      </c>
      <c r="O156" s="234">
        <f t="shared" si="43"/>
        <v>1720416</v>
      </c>
    </row>
    <row r="157" spans="1:15" x14ac:dyDescent="0.25">
      <c r="A157" s="36" t="s">
        <v>52</v>
      </c>
      <c r="D157" s="234">
        <f t="shared" si="41"/>
        <v>3116071.5887524164</v>
      </c>
      <c r="E157" s="234">
        <f t="shared" si="43"/>
        <v>2686664.801508707</v>
      </c>
      <c r="F157" s="234">
        <f t="shared" si="43"/>
        <v>2767532.9098311113</v>
      </c>
      <c r="G157" s="234">
        <f t="shared" si="43"/>
        <v>2749858.2359719598</v>
      </c>
      <c r="H157" s="234">
        <f t="shared" si="43"/>
        <v>2778845.052581761</v>
      </c>
      <c r="I157" s="234">
        <f t="shared" si="43"/>
        <v>3017809.6826986945</v>
      </c>
      <c r="J157" s="234">
        <f t="shared" si="43"/>
        <v>3088388.5689827255</v>
      </c>
      <c r="K157" s="234">
        <f t="shared" si="43"/>
        <v>3333087.1387456674</v>
      </c>
      <c r="L157" s="234">
        <f t="shared" si="43"/>
        <v>3538130.5292579001</v>
      </c>
      <c r="M157" s="234">
        <f t="shared" si="43"/>
        <v>3538758.1892795218</v>
      </c>
      <c r="N157" s="234">
        <f t="shared" si="43"/>
        <v>3648620.6068046982</v>
      </c>
      <c r="O157" s="234">
        <f t="shared" si="43"/>
        <v>3796578</v>
      </c>
    </row>
    <row r="158" spans="1:15" x14ac:dyDescent="0.25">
      <c r="A158" s="36" t="s">
        <v>33</v>
      </c>
      <c r="D158" s="234">
        <f t="shared" si="41"/>
        <v>743637.27280021179</v>
      </c>
      <c r="E158" s="234">
        <f t="shared" si="43"/>
        <v>716506.22802143137</v>
      </c>
      <c r="F158" s="234">
        <f t="shared" si="43"/>
        <v>685526.78381106409</v>
      </c>
      <c r="G158" s="234">
        <f t="shared" si="43"/>
        <v>906489.44758838974</v>
      </c>
      <c r="H158" s="234">
        <f t="shared" si="43"/>
        <v>866462.64081175975</v>
      </c>
      <c r="I158" s="234">
        <f t="shared" si="43"/>
        <v>872625.21447648795</v>
      </c>
      <c r="J158" s="234">
        <f t="shared" si="43"/>
        <v>859228.96877049399</v>
      </c>
      <c r="K158" s="234">
        <f t="shared" si="43"/>
        <v>977812.09512453317</v>
      </c>
      <c r="L158" s="234">
        <f t="shared" si="43"/>
        <v>997063.92167890212</v>
      </c>
      <c r="M158" s="234">
        <f t="shared" si="43"/>
        <v>977792.08595977793</v>
      </c>
      <c r="N158" s="234">
        <f t="shared" si="43"/>
        <v>954488.20307692315</v>
      </c>
      <c r="O158" s="234">
        <f t="shared" si="43"/>
        <v>1012480</v>
      </c>
    </row>
    <row r="159" spans="1:15" x14ac:dyDescent="0.25">
      <c r="A159" s="36" t="s">
        <v>34</v>
      </c>
      <c r="D159" s="234">
        <f t="shared" si="41"/>
        <v>59736.861026016151</v>
      </c>
      <c r="E159" s="234">
        <f t="shared" si="43"/>
        <v>57792.250649445094</v>
      </c>
      <c r="F159" s="234">
        <f t="shared" si="43"/>
        <v>55458.929157111044</v>
      </c>
      <c r="G159" s="234">
        <f t="shared" si="43"/>
        <v>54190.255242355466</v>
      </c>
      <c r="H159" s="234">
        <f t="shared" si="43"/>
        <v>51871.349329185105</v>
      </c>
      <c r="I159" s="234">
        <f t="shared" si="43"/>
        <v>50765.463866179503</v>
      </c>
      <c r="J159" s="234">
        <f t="shared" si="43"/>
        <v>50120.578696372169</v>
      </c>
      <c r="K159" s="234">
        <f t="shared" si="43"/>
        <v>49246.081870899274</v>
      </c>
      <c r="L159" s="234">
        <f t="shared" si="43"/>
        <v>48667.240162942871</v>
      </c>
      <c r="M159" s="234">
        <f t="shared" si="43"/>
        <v>47669.580496752489</v>
      </c>
      <c r="N159" s="234">
        <f t="shared" si="43"/>
        <v>47313.689378696436</v>
      </c>
      <c r="O159" s="234">
        <f t="shared" si="43"/>
        <v>45209</v>
      </c>
    </row>
    <row r="160" spans="1:15" x14ac:dyDescent="0.25">
      <c r="A160" s="36" t="s">
        <v>14</v>
      </c>
      <c r="D160" s="234">
        <f t="shared" si="41"/>
        <v>33912.848759400236</v>
      </c>
      <c r="E160" s="234">
        <f t="shared" si="43"/>
        <v>76544.924997225418</v>
      </c>
      <c r="F160" s="234">
        <f t="shared" si="43"/>
        <v>31262.776880938582</v>
      </c>
      <c r="G160" s="234">
        <f t="shared" si="43"/>
        <v>30595.287467719776</v>
      </c>
      <c r="H160" s="234">
        <f t="shared" si="43"/>
        <v>29244.326722391896</v>
      </c>
      <c r="I160" s="234">
        <f t="shared" si="43"/>
        <v>28576.309106905785</v>
      </c>
      <c r="J160" s="234">
        <f t="shared" si="43"/>
        <v>28137.61532197292</v>
      </c>
      <c r="K160" s="234">
        <f t="shared" si="43"/>
        <v>27528.278210564495</v>
      </c>
      <c r="L160" s="234">
        <f t="shared" si="43"/>
        <v>27252.233926986915</v>
      </c>
      <c r="M160" s="234">
        <f t="shared" si="43"/>
        <v>26725.486780890529</v>
      </c>
      <c r="N160" s="234">
        <f t="shared" si="43"/>
        <v>26088.533769230769</v>
      </c>
      <c r="O160" s="234">
        <f t="shared" si="43"/>
        <v>25323</v>
      </c>
    </row>
    <row r="161" spans="1:15" x14ac:dyDescent="0.25">
      <c r="A161" s="36" t="s">
        <v>25</v>
      </c>
      <c r="D161" s="234">
        <f t="shared" si="41"/>
        <v>5076670.2942580096</v>
      </c>
      <c r="E161" s="234">
        <f t="shared" si="43"/>
        <v>4636299.0484167626</v>
      </c>
      <c r="F161" s="234">
        <f t="shared" si="43"/>
        <v>4709785.5467029875</v>
      </c>
      <c r="G161" s="234">
        <f t="shared" si="43"/>
        <v>4895829.5561765106</v>
      </c>
      <c r="H161" s="234">
        <f t="shared" si="43"/>
        <v>5051171.8529642932</v>
      </c>
      <c r="I161" s="234">
        <f t="shared" si="43"/>
        <v>5369773.1947992416</v>
      </c>
      <c r="J161" s="234">
        <f t="shared" si="43"/>
        <v>5487567.2346945321</v>
      </c>
      <c r="K161" s="234">
        <f t="shared" si="43"/>
        <v>5918171.0709437924</v>
      </c>
      <c r="L161" s="234">
        <f t="shared" si="43"/>
        <v>6235476.4245177153</v>
      </c>
      <c r="M161" s="234">
        <f t="shared" si="43"/>
        <v>6208696.902956414</v>
      </c>
      <c r="N161" s="234">
        <f t="shared" si="43"/>
        <v>6375465.9471242055</v>
      </c>
      <c r="O161" s="234">
        <f t="shared" si="43"/>
        <v>6600006</v>
      </c>
    </row>
    <row r="162" spans="1:15" x14ac:dyDescent="0.25">
      <c r="A162" s="36"/>
      <c r="D162" s="234">
        <f t="shared" si="41"/>
        <v>0</v>
      </c>
      <c r="E162" s="234">
        <f t="shared" si="43"/>
        <v>0</v>
      </c>
      <c r="F162" s="234">
        <f t="shared" si="43"/>
        <v>0</v>
      </c>
      <c r="G162" s="234">
        <f t="shared" si="43"/>
        <v>0</v>
      </c>
      <c r="H162" s="234">
        <f t="shared" si="43"/>
        <v>0</v>
      </c>
      <c r="I162" s="234">
        <f t="shared" si="43"/>
        <v>0</v>
      </c>
      <c r="J162" s="234">
        <f t="shared" si="43"/>
        <v>0</v>
      </c>
      <c r="K162" s="234">
        <f t="shared" si="43"/>
        <v>0</v>
      </c>
      <c r="L162" s="234">
        <f t="shared" si="43"/>
        <v>0</v>
      </c>
      <c r="M162" s="234">
        <f t="shared" si="43"/>
        <v>0</v>
      </c>
      <c r="N162" s="234">
        <f t="shared" si="43"/>
        <v>0</v>
      </c>
      <c r="O162" s="234">
        <f t="shared" si="43"/>
        <v>0</v>
      </c>
    </row>
    <row r="163" spans="1:15" ht="18" x14ac:dyDescent="0.25">
      <c r="A163" s="43" t="s">
        <v>47</v>
      </c>
      <c r="D163" s="234">
        <f t="shared" si="41"/>
        <v>0</v>
      </c>
      <c r="E163" s="234">
        <f t="shared" si="43"/>
        <v>0</v>
      </c>
      <c r="F163" s="234">
        <f t="shared" si="43"/>
        <v>0</v>
      </c>
      <c r="G163" s="234">
        <f t="shared" si="43"/>
        <v>0</v>
      </c>
      <c r="H163" s="234">
        <f t="shared" si="43"/>
        <v>0</v>
      </c>
      <c r="I163" s="234">
        <f t="shared" si="43"/>
        <v>0</v>
      </c>
      <c r="J163" s="234">
        <f t="shared" si="43"/>
        <v>0</v>
      </c>
      <c r="K163" s="234">
        <f t="shared" si="43"/>
        <v>0</v>
      </c>
      <c r="L163" s="234">
        <f t="shared" si="43"/>
        <v>0</v>
      </c>
      <c r="M163" s="234">
        <f t="shared" si="43"/>
        <v>0</v>
      </c>
      <c r="N163" s="234">
        <f t="shared" si="43"/>
        <v>0</v>
      </c>
      <c r="O163" s="234">
        <f t="shared" si="43"/>
        <v>0</v>
      </c>
    </row>
    <row r="164" spans="1:15" x14ac:dyDescent="0.25">
      <c r="A164" s="77" t="s">
        <v>216</v>
      </c>
      <c r="D164" s="234">
        <f t="shared" si="41"/>
        <v>3324380.5558230504</v>
      </c>
      <c r="E164" s="234">
        <f t="shared" si="43"/>
        <v>3373992.3172872183</v>
      </c>
      <c r="F164" s="234">
        <f t="shared" si="43"/>
        <v>3526588.8856119979</v>
      </c>
      <c r="G164" s="234">
        <f t="shared" si="43"/>
        <v>3713343.382766692</v>
      </c>
      <c r="H164" s="234">
        <f t="shared" si="43"/>
        <v>4302132.2920593126</v>
      </c>
      <c r="I164" s="234">
        <f t="shared" si="43"/>
        <v>4614390.6306667877</v>
      </c>
      <c r="J164" s="234">
        <f t="shared" si="43"/>
        <v>4847585.6578156147</v>
      </c>
      <c r="K164" s="234">
        <f t="shared" si="43"/>
        <v>4876890.5481035225</v>
      </c>
      <c r="L164" s="234">
        <f t="shared" si="43"/>
        <v>4164412.1122012455</v>
      </c>
      <c r="M164" s="234">
        <f t="shared" si="43"/>
        <v>4444969.9168525711</v>
      </c>
      <c r="N164" s="234">
        <f t="shared" si="43"/>
        <v>4764339.2110354444</v>
      </c>
      <c r="O164" s="234">
        <f t="shared" si="43"/>
        <v>5132548</v>
      </c>
    </row>
    <row r="165" spans="1:15" x14ac:dyDescent="0.25">
      <c r="A165" s="77" t="s">
        <v>93</v>
      </c>
      <c r="D165" s="234">
        <f t="shared" si="41"/>
        <v>0</v>
      </c>
      <c r="E165" s="234">
        <f t="shared" si="43"/>
        <v>0</v>
      </c>
      <c r="F165" s="234">
        <f t="shared" si="43"/>
        <v>0</v>
      </c>
      <c r="G165" s="234">
        <f t="shared" si="43"/>
        <v>0</v>
      </c>
      <c r="H165" s="234">
        <f t="shared" si="43"/>
        <v>0</v>
      </c>
      <c r="I165" s="234">
        <f t="shared" si="43"/>
        <v>0</v>
      </c>
      <c r="J165" s="234">
        <f t="shared" si="43"/>
        <v>0</v>
      </c>
      <c r="K165" s="234">
        <f t="shared" si="43"/>
        <v>0</v>
      </c>
      <c r="L165" s="234">
        <f t="shared" si="43"/>
        <v>826347.61160221847</v>
      </c>
      <c r="M165" s="234">
        <f t="shared" si="43"/>
        <v>829392.44345160038</v>
      </c>
      <c r="N165" s="234">
        <f t="shared" si="43"/>
        <v>841980.8090414094</v>
      </c>
      <c r="O165" s="234">
        <f t="shared" si="43"/>
        <v>828530</v>
      </c>
    </row>
    <row r="166" spans="1:15" x14ac:dyDescent="0.25">
      <c r="A166" s="36" t="s">
        <v>94</v>
      </c>
      <c r="D166" s="234">
        <f t="shared" si="41"/>
        <v>544805.90438180196</v>
      </c>
      <c r="E166" s="234">
        <f t="shared" si="43"/>
        <v>542151.38984481443</v>
      </c>
      <c r="F166" s="234">
        <f t="shared" si="43"/>
        <v>531137.57930833311</v>
      </c>
      <c r="G166" s="234">
        <f t="shared" si="43"/>
        <v>529368.66970072861</v>
      </c>
      <c r="H166" s="234">
        <f t="shared" si="43"/>
        <v>519666.24650221207</v>
      </c>
      <c r="I166" s="234">
        <f t="shared" si="43"/>
        <v>602640.42589658056</v>
      </c>
      <c r="J166" s="234">
        <f t="shared" si="43"/>
        <v>578907.29554683762</v>
      </c>
      <c r="K166" s="234">
        <f t="shared" si="43"/>
        <v>608799.6729449206</v>
      </c>
      <c r="L166" s="234">
        <f t="shared" si="43"/>
        <v>619378.93205649545</v>
      </c>
      <c r="M166" s="234">
        <f t="shared" si="43"/>
        <v>618137.30134979275</v>
      </c>
      <c r="N166" s="234">
        <f t="shared" si="43"/>
        <v>617060.14489940123</v>
      </c>
      <c r="O166" s="234">
        <f t="shared" si="43"/>
        <v>589016</v>
      </c>
    </row>
    <row r="167" spans="1:15" x14ac:dyDescent="0.25">
      <c r="A167" s="36" t="s">
        <v>25</v>
      </c>
      <c r="D167" s="234">
        <f t="shared" ref="D167:O188" si="44">D68*D$95</f>
        <v>3869186.4602048523</v>
      </c>
      <c r="E167" s="234">
        <f t="shared" si="44"/>
        <v>3916143.7071320326</v>
      </c>
      <c r="F167" s="234">
        <f t="shared" si="44"/>
        <v>4057726.4649203313</v>
      </c>
      <c r="G167" s="234">
        <f t="shared" si="44"/>
        <v>4242712.0524674207</v>
      </c>
      <c r="H167" s="234">
        <f t="shared" si="44"/>
        <v>4821798.5385615248</v>
      </c>
      <c r="I167" s="234">
        <f t="shared" si="44"/>
        <v>5217031.0565633681</v>
      </c>
      <c r="J167" s="234">
        <f t="shared" si="44"/>
        <v>5426492.9533624528</v>
      </c>
      <c r="K167" s="234">
        <f t="shared" si="44"/>
        <v>5485690.2210484426</v>
      </c>
      <c r="L167" s="234">
        <f t="shared" si="44"/>
        <v>5610138.6558599593</v>
      </c>
      <c r="M167" s="234">
        <f t="shared" si="44"/>
        <v>5892499.6616539648</v>
      </c>
      <c r="N167" s="234">
        <f t="shared" si="44"/>
        <v>6223380.164976255</v>
      </c>
      <c r="O167" s="234">
        <f t="shared" si="44"/>
        <v>6550094</v>
      </c>
    </row>
    <row r="168" spans="1:15" x14ac:dyDescent="0.25">
      <c r="A168" s="36"/>
      <c r="D168" s="234">
        <f t="shared" si="44"/>
        <v>0</v>
      </c>
      <c r="E168" s="234">
        <f t="shared" si="44"/>
        <v>0</v>
      </c>
      <c r="F168" s="234">
        <f t="shared" si="44"/>
        <v>0</v>
      </c>
      <c r="G168" s="234">
        <f t="shared" si="44"/>
        <v>0</v>
      </c>
      <c r="H168" s="234">
        <f t="shared" si="44"/>
        <v>0</v>
      </c>
      <c r="I168" s="234">
        <f t="shared" si="44"/>
        <v>0</v>
      </c>
      <c r="J168" s="234">
        <f t="shared" si="44"/>
        <v>0</v>
      </c>
      <c r="K168" s="234">
        <f t="shared" si="44"/>
        <v>0</v>
      </c>
      <c r="L168" s="234">
        <f t="shared" si="44"/>
        <v>0</v>
      </c>
      <c r="M168" s="234">
        <f t="shared" si="44"/>
        <v>0</v>
      </c>
      <c r="N168" s="234">
        <f t="shared" si="44"/>
        <v>0</v>
      </c>
      <c r="O168" s="234">
        <f t="shared" si="44"/>
        <v>0</v>
      </c>
    </row>
    <row r="169" spans="1:15" ht="18" x14ac:dyDescent="0.25">
      <c r="A169" s="43" t="s">
        <v>35</v>
      </c>
      <c r="D169" s="234">
        <f t="shared" si="44"/>
        <v>0</v>
      </c>
      <c r="E169" s="234">
        <f t="shared" si="44"/>
        <v>0</v>
      </c>
      <c r="F169" s="234">
        <f t="shared" si="44"/>
        <v>0</v>
      </c>
      <c r="G169" s="234">
        <f t="shared" si="44"/>
        <v>0</v>
      </c>
      <c r="H169" s="234">
        <f t="shared" si="44"/>
        <v>0</v>
      </c>
      <c r="I169" s="234">
        <f t="shared" si="44"/>
        <v>0</v>
      </c>
      <c r="J169" s="234">
        <f t="shared" si="44"/>
        <v>0</v>
      </c>
      <c r="K169" s="234">
        <f t="shared" si="44"/>
        <v>0</v>
      </c>
      <c r="L169" s="234">
        <f t="shared" si="44"/>
        <v>0</v>
      </c>
      <c r="M169" s="234">
        <f t="shared" si="44"/>
        <v>0</v>
      </c>
      <c r="N169" s="234">
        <f t="shared" si="44"/>
        <v>0</v>
      </c>
      <c r="O169" s="234">
        <f t="shared" si="44"/>
        <v>0</v>
      </c>
    </row>
    <row r="170" spans="1:15" x14ac:dyDescent="0.25">
      <c r="A170" s="36" t="s">
        <v>35</v>
      </c>
      <c r="D170" s="234">
        <f t="shared" si="44"/>
        <v>3750552.4236629154</v>
      </c>
      <c r="E170" s="234">
        <f t="shared" si="44"/>
        <v>3799643.0564636439</v>
      </c>
      <c r="F170" s="234">
        <f t="shared" si="44"/>
        <v>3769446.6993351239</v>
      </c>
      <c r="G170" s="234">
        <f t="shared" si="44"/>
        <v>4226331.2560575427</v>
      </c>
      <c r="H170" s="234">
        <f t="shared" si="44"/>
        <v>3871560.5966758099</v>
      </c>
      <c r="I170" s="234">
        <f t="shared" si="44"/>
        <v>3962724.8454983826</v>
      </c>
      <c r="J170" s="234">
        <f t="shared" si="44"/>
        <v>3815015.2893113443</v>
      </c>
      <c r="K170" s="234">
        <f t="shared" si="44"/>
        <v>3877004.0851180041</v>
      </c>
      <c r="L170" s="234">
        <f t="shared" si="44"/>
        <v>4305999.3216302274</v>
      </c>
      <c r="M170" s="234">
        <f t="shared" si="44"/>
        <v>4334309.747621567</v>
      </c>
      <c r="N170" s="234">
        <f t="shared" si="44"/>
        <v>4430525.2403490786</v>
      </c>
      <c r="O170" s="234">
        <f t="shared" si="44"/>
        <v>4367393</v>
      </c>
    </row>
    <row r="171" spans="1:15" x14ac:dyDescent="0.25">
      <c r="A171" s="36" t="s">
        <v>53</v>
      </c>
      <c r="D171" s="234">
        <f t="shared" si="44"/>
        <v>755975.42687438766</v>
      </c>
      <c r="E171" s="234">
        <f t="shared" si="44"/>
        <v>739928.68345120561</v>
      </c>
      <c r="F171" s="234">
        <f t="shared" si="44"/>
        <v>786374.33169532858</v>
      </c>
      <c r="G171" s="234">
        <f t="shared" si="44"/>
        <v>781948.03337314853</v>
      </c>
      <c r="H171" s="234">
        <f t="shared" si="44"/>
        <v>766229.53852464678</v>
      </c>
      <c r="I171" s="234">
        <f t="shared" si="44"/>
        <v>875967.75002024882</v>
      </c>
      <c r="J171" s="234">
        <f t="shared" si="44"/>
        <v>854864.37717452552</v>
      </c>
      <c r="K171" s="234">
        <f t="shared" si="44"/>
        <v>888232.94931301218</v>
      </c>
      <c r="L171" s="234">
        <f t="shared" si="44"/>
        <v>938127.72380434105</v>
      </c>
      <c r="M171" s="234">
        <f t="shared" si="44"/>
        <v>950117.80904280476</v>
      </c>
      <c r="N171" s="234">
        <f t="shared" si="44"/>
        <v>1007816.1981557296</v>
      </c>
      <c r="O171" s="234">
        <f t="shared" si="44"/>
        <v>1004852</v>
      </c>
    </row>
    <row r="172" spans="1:15" x14ac:dyDescent="0.25">
      <c r="A172" s="36" t="s">
        <v>25</v>
      </c>
      <c r="D172" s="234">
        <f t="shared" si="44"/>
        <v>4506527.8505373029</v>
      </c>
      <c r="E172" s="234">
        <f t="shared" si="44"/>
        <v>4539571.7399148494</v>
      </c>
      <c r="F172" s="234">
        <f t="shared" si="44"/>
        <v>4555821.0310304519</v>
      </c>
      <c r="G172" s="234">
        <f t="shared" si="44"/>
        <v>5008279.2894306909</v>
      </c>
      <c r="H172" s="234">
        <f t="shared" si="44"/>
        <v>4637790.1352004567</v>
      </c>
      <c r="I172" s="234">
        <f t="shared" si="44"/>
        <v>4838692.5955186309</v>
      </c>
      <c r="J172" s="234">
        <f t="shared" si="44"/>
        <v>4669879.6664858703</v>
      </c>
      <c r="K172" s="234">
        <f t="shared" si="44"/>
        <v>4765237.0344310161</v>
      </c>
      <c r="L172" s="234">
        <f t="shared" si="44"/>
        <v>5244127.0454345681</v>
      </c>
      <c r="M172" s="234">
        <f t="shared" si="44"/>
        <v>5284427.5566643719</v>
      </c>
      <c r="N172" s="234">
        <f t="shared" si="44"/>
        <v>5438341.4385048077</v>
      </c>
      <c r="O172" s="234">
        <f t="shared" si="44"/>
        <v>5372245</v>
      </c>
    </row>
    <row r="173" spans="1:15" x14ac:dyDescent="0.25">
      <c r="A173" s="36"/>
      <c r="D173" s="234">
        <f t="shared" si="44"/>
        <v>0</v>
      </c>
      <c r="E173" s="234">
        <f t="shared" si="44"/>
        <v>0</v>
      </c>
      <c r="F173" s="234">
        <f t="shared" si="44"/>
        <v>0</v>
      </c>
      <c r="G173" s="234">
        <f t="shared" si="44"/>
        <v>0</v>
      </c>
      <c r="H173" s="234">
        <f t="shared" si="44"/>
        <v>0</v>
      </c>
      <c r="I173" s="234">
        <f t="shared" si="44"/>
        <v>0</v>
      </c>
      <c r="J173" s="234">
        <f t="shared" si="44"/>
        <v>0</v>
      </c>
      <c r="K173" s="234">
        <f t="shared" si="44"/>
        <v>0</v>
      </c>
      <c r="L173" s="234">
        <f t="shared" si="44"/>
        <v>0</v>
      </c>
      <c r="M173" s="234">
        <f t="shared" si="44"/>
        <v>0</v>
      </c>
      <c r="N173" s="234">
        <f t="shared" si="44"/>
        <v>0</v>
      </c>
      <c r="O173" s="234">
        <f t="shared" si="44"/>
        <v>0</v>
      </c>
    </row>
    <row r="174" spans="1:15" ht="18" x14ac:dyDescent="0.25">
      <c r="A174" s="43" t="s">
        <v>36</v>
      </c>
      <c r="D174" s="234">
        <f t="shared" si="44"/>
        <v>0</v>
      </c>
      <c r="E174" s="234">
        <f t="shared" si="44"/>
        <v>0</v>
      </c>
      <c r="F174" s="234">
        <f t="shared" si="44"/>
        <v>0</v>
      </c>
      <c r="G174" s="234">
        <f t="shared" si="44"/>
        <v>0</v>
      </c>
      <c r="H174" s="234">
        <f t="shared" si="44"/>
        <v>0</v>
      </c>
      <c r="I174" s="234">
        <f t="shared" si="44"/>
        <v>0</v>
      </c>
      <c r="J174" s="234">
        <f t="shared" si="44"/>
        <v>0</v>
      </c>
      <c r="K174" s="234">
        <f t="shared" si="44"/>
        <v>0</v>
      </c>
      <c r="L174" s="234">
        <f t="shared" si="44"/>
        <v>0</v>
      </c>
      <c r="M174" s="234">
        <f t="shared" si="44"/>
        <v>0</v>
      </c>
      <c r="N174" s="234">
        <f t="shared" si="44"/>
        <v>0</v>
      </c>
      <c r="O174" s="234">
        <f t="shared" si="44"/>
        <v>0</v>
      </c>
    </row>
    <row r="175" spans="1:15" x14ac:dyDescent="0.25">
      <c r="A175" s="36" t="s">
        <v>95</v>
      </c>
      <c r="D175" s="234">
        <f t="shared" si="44"/>
        <v>3601657.5676853899</v>
      </c>
      <c r="E175" s="234">
        <f t="shared" si="44"/>
        <v>4497541.1294744555</v>
      </c>
      <c r="F175" s="234">
        <f t="shared" si="44"/>
        <v>3933067.9476523972</v>
      </c>
      <c r="G175" s="234">
        <f t="shared" si="44"/>
        <v>3803395.4759673011</v>
      </c>
      <c r="H175" s="234">
        <f t="shared" si="44"/>
        <v>6407099.0409360072</v>
      </c>
      <c r="I175" s="234">
        <f t="shared" si="44"/>
        <v>6363834.4634282086</v>
      </c>
      <c r="J175" s="234">
        <f t="shared" si="44"/>
        <v>14666422.253913574</v>
      </c>
      <c r="K175" s="234">
        <f t="shared" si="44"/>
        <v>14841457.615365673</v>
      </c>
      <c r="L175" s="234">
        <f t="shared" si="44"/>
        <v>16099840.215616344</v>
      </c>
      <c r="M175" s="234">
        <f t="shared" si="44"/>
        <v>15212705.795925427</v>
      </c>
      <c r="N175" s="234">
        <f t="shared" si="44"/>
        <v>13986153.304923078</v>
      </c>
      <c r="O175" s="234">
        <f t="shared" si="44"/>
        <v>14476758</v>
      </c>
    </row>
    <row r="176" spans="1:15" x14ac:dyDescent="0.25">
      <c r="A176" s="36" t="s">
        <v>38</v>
      </c>
      <c r="D176" s="234">
        <f t="shared" si="44"/>
        <v>5310112.2405438898</v>
      </c>
      <c r="E176" s="234">
        <f t="shared" si="44"/>
        <v>5360680.2899622088</v>
      </c>
      <c r="F176" s="234">
        <f t="shared" si="44"/>
        <v>6296345.2389988713</v>
      </c>
      <c r="G176" s="234">
        <f t="shared" si="44"/>
        <v>7319638.9013416441</v>
      </c>
      <c r="H176" s="234">
        <f t="shared" si="44"/>
        <v>6348367.8684922224</v>
      </c>
      <c r="I176" s="234">
        <f t="shared" si="44"/>
        <v>7094440.2853598483</v>
      </c>
      <c r="J176" s="234">
        <f t="shared" si="44"/>
        <v>6613849.6515747663</v>
      </c>
      <c r="K176" s="234">
        <f t="shared" si="44"/>
        <v>6075763.7509433618</v>
      </c>
      <c r="L176" s="234">
        <f t="shared" si="44"/>
        <v>5523344.3318773545</v>
      </c>
      <c r="M176" s="234">
        <f t="shared" si="44"/>
        <v>5257949.0297186803</v>
      </c>
      <c r="N176" s="234">
        <f t="shared" si="44"/>
        <v>5614411.5347692315</v>
      </c>
      <c r="O176" s="234">
        <f t="shared" si="44"/>
        <v>5639045</v>
      </c>
    </row>
    <row r="177" spans="1:15" x14ac:dyDescent="0.25">
      <c r="A177" s="36" t="s">
        <v>133</v>
      </c>
      <c r="D177" s="234">
        <f t="shared" si="44"/>
        <v>0</v>
      </c>
      <c r="E177" s="234">
        <f t="shared" si="44"/>
        <v>0</v>
      </c>
      <c r="F177" s="234">
        <f t="shared" si="44"/>
        <v>0</v>
      </c>
      <c r="G177" s="234">
        <f t="shared" si="44"/>
        <v>2239022.1696147276</v>
      </c>
      <c r="H177" s="234">
        <f t="shared" si="44"/>
        <v>2296343.1103978879</v>
      </c>
      <c r="I177" s="234">
        <f t="shared" si="44"/>
        <v>2153403.1334366598</v>
      </c>
      <c r="J177" s="234">
        <f t="shared" si="44"/>
        <v>3050102.8337406968</v>
      </c>
      <c r="K177" s="234">
        <f t="shared" si="44"/>
        <v>2984051.0084902872</v>
      </c>
      <c r="L177" s="234">
        <f t="shared" si="44"/>
        <v>2954127.952042771</v>
      </c>
      <c r="M177" s="234">
        <f t="shared" si="44"/>
        <v>2791490.444870491</v>
      </c>
      <c r="N177" s="234">
        <f t="shared" si="44"/>
        <v>2724960.384615385</v>
      </c>
      <c r="O177" s="234">
        <f t="shared" si="44"/>
        <v>2800000</v>
      </c>
    </row>
    <row r="178" spans="1:15" x14ac:dyDescent="0.25">
      <c r="A178" s="36" t="s">
        <v>39</v>
      </c>
      <c r="D178" s="234">
        <f t="shared" si="44"/>
        <v>743931.89929498208</v>
      </c>
      <c r="E178" s="234">
        <f t="shared" si="44"/>
        <v>729435.54729238432</v>
      </c>
      <c r="F178" s="234">
        <f t="shared" si="44"/>
        <v>697897.08055106341</v>
      </c>
      <c r="G178" s="234">
        <f t="shared" si="44"/>
        <v>682996.32766662678</v>
      </c>
      <c r="H178" s="234">
        <f t="shared" si="44"/>
        <v>652838.0482631654</v>
      </c>
      <c r="I178" s="234">
        <f t="shared" si="44"/>
        <v>637925.50401349925</v>
      </c>
      <c r="J178" s="234">
        <f t="shared" si="44"/>
        <v>628132.28849312058</v>
      </c>
      <c r="K178" s="234">
        <f t="shared" si="44"/>
        <v>614529.70313280844</v>
      </c>
      <c r="L178" s="234">
        <f t="shared" si="44"/>
        <v>608367.40666294296</v>
      </c>
      <c r="M178" s="234">
        <f t="shared" si="44"/>
        <v>596608.52494717902</v>
      </c>
      <c r="N178" s="234">
        <f t="shared" si="44"/>
        <v>582389.45384615392</v>
      </c>
      <c r="O178" s="234">
        <f t="shared" si="44"/>
        <v>865300</v>
      </c>
    </row>
    <row r="179" spans="1:15" x14ac:dyDescent="0.25">
      <c r="A179" s="36" t="s">
        <v>40</v>
      </c>
      <c r="D179" s="234">
        <f t="shared" si="44"/>
        <v>484199.89519621345</v>
      </c>
      <c r="E179" s="234">
        <f t="shared" si="44"/>
        <v>501902.75444565638</v>
      </c>
      <c r="F179" s="234">
        <f t="shared" si="44"/>
        <v>490757.57274427125</v>
      </c>
      <c r="G179" s="234">
        <f t="shared" si="44"/>
        <v>309964.10377299326</v>
      </c>
      <c r="H179" s="234">
        <f t="shared" si="44"/>
        <v>296277.3771128871</v>
      </c>
      <c r="I179" s="234">
        <f t="shared" si="44"/>
        <v>738303.13285128574</v>
      </c>
      <c r="J179" s="234">
        <f t="shared" si="44"/>
        <v>701790.32741795504</v>
      </c>
      <c r="K179" s="234">
        <f t="shared" si="44"/>
        <v>981238.59012590337</v>
      </c>
      <c r="L179" s="234">
        <f t="shared" si="44"/>
        <v>971399.06069518044</v>
      </c>
      <c r="M179" s="234">
        <f t="shared" si="44"/>
        <v>1068715.520669223</v>
      </c>
      <c r="N179" s="234">
        <f t="shared" si="44"/>
        <v>990702.87507692317</v>
      </c>
      <c r="O179" s="234">
        <f t="shared" si="44"/>
        <v>956550</v>
      </c>
    </row>
    <row r="180" spans="1:15" x14ac:dyDescent="0.25">
      <c r="A180" s="36" t="s">
        <v>97</v>
      </c>
      <c r="D180" s="234">
        <f t="shared" si="44"/>
        <v>0</v>
      </c>
      <c r="E180" s="234">
        <f t="shared" si="44"/>
        <v>0</v>
      </c>
      <c r="F180" s="234">
        <f t="shared" si="44"/>
        <v>0</v>
      </c>
      <c r="G180" s="234">
        <f t="shared" si="44"/>
        <v>851854.57418119919</v>
      </c>
      <c r="H180" s="234">
        <f t="shared" si="44"/>
        <v>775966.09890834882</v>
      </c>
      <c r="I180" s="234">
        <f t="shared" si="44"/>
        <v>808740.12933017232</v>
      </c>
      <c r="J180" s="234">
        <f t="shared" si="44"/>
        <v>832079.16453019518</v>
      </c>
      <c r="K180" s="234">
        <f t="shared" si="44"/>
        <v>834189.55702299892</v>
      </c>
      <c r="L180" s="234">
        <f t="shared" si="44"/>
        <v>833371.87139929796</v>
      </c>
      <c r="M180" s="234">
        <f t="shared" si="44"/>
        <v>744484.69703544886</v>
      </c>
      <c r="N180" s="234">
        <f t="shared" si="44"/>
        <v>741424.19370058388</v>
      </c>
      <c r="O180" s="234">
        <f t="shared" si="44"/>
        <v>721395</v>
      </c>
    </row>
    <row r="181" spans="1:15" x14ac:dyDescent="0.25">
      <c r="A181" s="36" t="s">
        <v>41</v>
      </c>
      <c r="D181" s="234">
        <f t="shared" si="44"/>
        <v>4569214.9941450413</v>
      </c>
      <c r="E181" s="234">
        <f t="shared" si="44"/>
        <v>5922397.275426331</v>
      </c>
      <c r="F181" s="234">
        <f t="shared" si="44"/>
        <v>2469121.1057883017</v>
      </c>
      <c r="G181" s="234">
        <f t="shared" si="44"/>
        <v>7128389.0557811745</v>
      </c>
      <c r="H181" s="234">
        <f t="shared" si="44"/>
        <v>7391055.2076494936</v>
      </c>
      <c r="I181" s="234">
        <f t="shared" si="44"/>
        <v>11171877.745858204</v>
      </c>
      <c r="J181" s="234">
        <f t="shared" si="44"/>
        <v>4515063.3357663471</v>
      </c>
      <c r="K181" s="234">
        <f t="shared" si="44"/>
        <v>4022218.1170907333</v>
      </c>
      <c r="L181" s="234">
        <f t="shared" si="44"/>
        <v>4380073.1383657837</v>
      </c>
      <c r="M181" s="234">
        <f t="shared" si="44"/>
        <v>3904920.4710853752</v>
      </c>
      <c r="N181" s="234">
        <f t="shared" si="44"/>
        <v>4177333.3626923077</v>
      </c>
      <c r="O181" s="234">
        <f t="shared" si="44"/>
        <v>4317614</v>
      </c>
    </row>
    <row r="182" spans="1:15" x14ac:dyDescent="0.25">
      <c r="A182" s="36" t="s">
        <v>42</v>
      </c>
      <c r="D182" s="234">
        <f t="shared" si="44"/>
        <v>123262.35093251026</v>
      </c>
      <c r="E182" s="234">
        <f t="shared" si="44"/>
        <v>118765.21706764257</v>
      </c>
      <c r="F182" s="234">
        <f t="shared" si="44"/>
        <v>113630.18784893054</v>
      </c>
      <c r="G182" s="234">
        <f t="shared" si="44"/>
        <v>111204.0774717212</v>
      </c>
      <c r="H182" s="234">
        <f t="shared" si="44"/>
        <v>106293.76755738548</v>
      </c>
      <c r="I182" s="234">
        <f t="shared" si="44"/>
        <v>103865.73733399341</v>
      </c>
      <c r="J182" s="234">
        <f t="shared" si="44"/>
        <v>102271.22583618487</v>
      </c>
      <c r="K182" s="234">
        <f t="shared" si="44"/>
        <v>100056.48046355355</v>
      </c>
      <c r="L182" s="234">
        <f t="shared" si="44"/>
        <v>99053.147844797335</v>
      </c>
      <c r="M182" s="234">
        <f t="shared" si="44"/>
        <v>97138.59056193757</v>
      </c>
      <c r="N182" s="234">
        <f t="shared" si="44"/>
        <v>94823.470230769235</v>
      </c>
      <c r="O182" s="234">
        <f t="shared" si="44"/>
        <v>92041</v>
      </c>
    </row>
    <row r="183" spans="1:15" x14ac:dyDescent="0.25">
      <c r="A183" s="36" t="s">
        <v>43</v>
      </c>
      <c r="D183" s="234">
        <f t="shared" si="44"/>
        <v>14832378.947798027</v>
      </c>
      <c r="E183" s="234">
        <f t="shared" si="44"/>
        <v>17130722.213668678</v>
      </c>
      <c r="F183" s="234">
        <f t="shared" si="44"/>
        <v>14000819.133583836</v>
      </c>
      <c r="G183" s="234">
        <f t="shared" si="44"/>
        <v>22446464.685797386</v>
      </c>
      <c r="H183" s="234">
        <f t="shared" si="44"/>
        <v>24274240.5193174</v>
      </c>
      <c r="I183" s="234">
        <f t="shared" si="44"/>
        <v>29072390.131611869</v>
      </c>
      <c r="J183" s="234">
        <f t="shared" si="44"/>
        <v>31109711.08127284</v>
      </c>
      <c r="K183" s="234">
        <f t="shared" si="44"/>
        <v>30453504.822635319</v>
      </c>
      <c r="L183" s="234">
        <f t="shared" si="44"/>
        <v>31469577.124504473</v>
      </c>
      <c r="M183" s="234">
        <f t="shared" si="44"/>
        <v>29674013.074813761</v>
      </c>
      <c r="N183" s="234">
        <f t="shared" si="44"/>
        <v>28912198.579854432</v>
      </c>
      <c r="O183" s="234">
        <f t="shared" si="44"/>
        <v>29868703</v>
      </c>
    </row>
    <row r="184" spans="1:15" x14ac:dyDescent="0.25">
      <c r="A184" s="36"/>
      <c r="D184" s="234">
        <f t="shared" si="44"/>
        <v>0</v>
      </c>
      <c r="E184" s="234">
        <f t="shared" si="44"/>
        <v>0</v>
      </c>
      <c r="F184" s="234">
        <f t="shared" si="44"/>
        <v>0</v>
      </c>
      <c r="G184" s="234">
        <f t="shared" si="44"/>
        <v>0</v>
      </c>
      <c r="H184" s="234">
        <f t="shared" si="44"/>
        <v>0</v>
      </c>
      <c r="I184" s="234">
        <f t="shared" si="44"/>
        <v>0</v>
      </c>
      <c r="J184" s="234">
        <f t="shared" si="44"/>
        <v>0</v>
      </c>
      <c r="K184" s="234">
        <f t="shared" si="44"/>
        <v>0</v>
      </c>
      <c r="L184" s="234">
        <f t="shared" si="44"/>
        <v>0</v>
      </c>
      <c r="M184" s="234">
        <f t="shared" si="44"/>
        <v>0</v>
      </c>
      <c r="N184" s="234">
        <f t="shared" si="44"/>
        <v>0</v>
      </c>
      <c r="O184" s="234">
        <f t="shared" si="44"/>
        <v>0</v>
      </c>
    </row>
    <row r="185" spans="1:15" x14ac:dyDescent="0.25">
      <c r="A185" s="36" t="s">
        <v>44</v>
      </c>
      <c r="D185" s="234">
        <f t="shared" si="44"/>
        <v>2201885.7518204027</v>
      </c>
      <c r="E185" s="234">
        <f t="shared" si="44"/>
        <v>2580702.4492920018</v>
      </c>
      <c r="F185" s="234">
        <f t="shared" si="44"/>
        <v>2531403.4511212585</v>
      </c>
      <c r="G185" s="234">
        <f t="shared" si="44"/>
        <v>2501648.9372511944</v>
      </c>
      <c r="H185" s="234">
        <f t="shared" si="44"/>
        <v>2762128.5644363351</v>
      </c>
      <c r="I185" s="234">
        <f t="shared" si="44"/>
        <v>5638634.0247695651</v>
      </c>
      <c r="J185" s="234">
        <f t="shared" si="44"/>
        <v>8310553.5223474577</v>
      </c>
      <c r="K185" s="234">
        <f t="shared" si="44"/>
        <v>15254208.941853704</v>
      </c>
      <c r="L185" s="234">
        <f t="shared" si="44"/>
        <v>8953899.4039089549</v>
      </c>
      <c r="M185" s="234">
        <f t="shared" si="44"/>
        <v>9508083.467358401</v>
      </c>
      <c r="N185" s="234">
        <f t="shared" si="44"/>
        <v>9602052.6268461552</v>
      </c>
      <c r="O185" s="234">
        <f t="shared" si="44"/>
        <v>9295506</v>
      </c>
    </row>
    <row r="186" spans="1:15" x14ac:dyDescent="0.25">
      <c r="A186" s="36" t="s">
        <v>45</v>
      </c>
      <c r="D186" s="234">
        <f t="shared" si="44"/>
        <v>32205485.543783728</v>
      </c>
      <c r="E186" s="234">
        <f t="shared" si="44"/>
        <v>34803189.356546409</v>
      </c>
      <c r="F186" s="234">
        <f t="shared" si="44"/>
        <v>34660010.980939433</v>
      </c>
      <c r="G186" s="234">
        <f t="shared" si="44"/>
        <v>24948113.623048581</v>
      </c>
      <c r="H186" s="234">
        <f t="shared" si="44"/>
        <v>27036369.083753735</v>
      </c>
      <c r="I186" s="234">
        <f t="shared" si="44"/>
        <v>34711024.156381436</v>
      </c>
      <c r="J186" s="234">
        <f t="shared" si="44"/>
        <v>39420264.603620298</v>
      </c>
      <c r="K186" s="234">
        <f t="shared" si="44"/>
        <v>45707713.764489025</v>
      </c>
      <c r="L186" s="234">
        <f t="shared" si="44"/>
        <v>40423476.52841343</v>
      </c>
      <c r="M186" s="234">
        <f t="shared" si="44"/>
        <v>39182096.542172164</v>
      </c>
      <c r="N186" s="234">
        <f t="shared" si="44"/>
        <v>38514251.206700586</v>
      </c>
      <c r="O186" s="234">
        <f t="shared" si="44"/>
        <v>39164209</v>
      </c>
    </row>
    <row r="187" spans="1:15" x14ac:dyDescent="0.25">
      <c r="A187" s="36"/>
      <c r="D187" s="234">
        <f t="shared" si="44"/>
        <v>0</v>
      </c>
      <c r="E187" s="234">
        <f t="shared" si="44"/>
        <v>0</v>
      </c>
      <c r="F187" s="234">
        <f t="shared" si="44"/>
        <v>0</v>
      </c>
      <c r="G187" s="234">
        <f t="shared" si="44"/>
        <v>0</v>
      </c>
      <c r="H187" s="234">
        <f t="shared" si="44"/>
        <v>0</v>
      </c>
      <c r="I187" s="234">
        <f t="shared" si="44"/>
        <v>0</v>
      </c>
      <c r="J187" s="234">
        <f t="shared" si="44"/>
        <v>0</v>
      </c>
      <c r="K187" s="234">
        <f t="shared" si="44"/>
        <v>0</v>
      </c>
      <c r="L187" s="234">
        <f t="shared" si="44"/>
        <v>0</v>
      </c>
      <c r="M187" s="234">
        <f t="shared" si="44"/>
        <v>0</v>
      </c>
      <c r="N187" s="234">
        <f t="shared" si="44"/>
        <v>0</v>
      </c>
      <c r="O187" s="234">
        <f t="shared" si="44"/>
        <v>0</v>
      </c>
    </row>
    <row r="188" spans="1:15" x14ac:dyDescent="0.25">
      <c r="A188" s="36" t="s">
        <v>46</v>
      </c>
      <c r="D188" s="234">
        <f t="shared" si="44"/>
        <v>253853383.25233874</v>
      </c>
      <c r="E188" s="234">
        <f t="shared" si="44"/>
        <v>260244146.0900054</v>
      </c>
      <c r="F188" s="234">
        <f t="shared" si="44"/>
        <v>265504887.5653882</v>
      </c>
      <c r="G188" s="234">
        <f t="shared" ref="G188:O188" si="45">G89*G$95</f>
        <v>269094278.91008031</v>
      </c>
      <c r="H188" s="234">
        <f t="shared" si="45"/>
        <v>278000565.612279</v>
      </c>
      <c r="I188" s="234">
        <f t="shared" si="45"/>
        <v>303318790.78325683</v>
      </c>
      <c r="J188" s="234">
        <f t="shared" si="45"/>
        <v>314714031.64553827</v>
      </c>
      <c r="K188" s="234">
        <f t="shared" si="45"/>
        <v>325742267.17056054</v>
      </c>
      <c r="L188" s="234">
        <f t="shared" si="45"/>
        <v>330603880.48518562</v>
      </c>
      <c r="M188" s="234">
        <f t="shared" si="45"/>
        <v>330667576.33531332</v>
      </c>
      <c r="N188" s="234">
        <f t="shared" si="45"/>
        <v>336688717.41470057</v>
      </c>
      <c r="O188" s="234">
        <f t="shared" si="45"/>
        <v>339139966</v>
      </c>
    </row>
    <row r="190" spans="1:15" ht="15.75" x14ac:dyDescent="0.25">
      <c r="A190" s="277" t="s">
        <v>261</v>
      </c>
    </row>
    <row r="191" spans="1:15" x14ac:dyDescent="0.25">
      <c r="A191" s="231" t="s">
        <v>260</v>
      </c>
    </row>
    <row r="193" spans="1:15" x14ac:dyDescent="0.25">
      <c r="A193" s="77" t="s">
        <v>80</v>
      </c>
      <c r="D193" s="268">
        <f>D101/'Colleges FYES'!$E$52</f>
        <v>9105.8413858752301</v>
      </c>
      <c r="E193" s="268">
        <f>E101/'Colleges FYES'!$E$52</f>
        <v>9586.0409413447051</v>
      </c>
      <c r="F193" s="268">
        <f>F101/'Colleges FYES'!$E$52</f>
        <v>10351.314975788409</v>
      </c>
      <c r="G193" s="268">
        <f>G101/'Colleges FYES'!$E$52</f>
        <v>10946.024838179586</v>
      </c>
      <c r="H193" s="268">
        <f>H101/'Colleges FYES'!$E$52</f>
        <v>12042.573871207311</v>
      </c>
      <c r="I193" s="268">
        <f>I101/'Colleges FYES'!$E$52</f>
        <v>13152.374009684085</v>
      </c>
      <c r="J193" s="268">
        <f>J101/'Colleges FYES'!$E$52</f>
        <v>14002.595647197144</v>
      </c>
      <c r="K193" s="268">
        <f>K101/'Colleges FYES'!$E$52</f>
        <v>14870.858020012844</v>
      </c>
      <c r="L193" s="268">
        <f>L101/'Colleges FYES'!$E$52</f>
        <v>16002.280334683341</v>
      </c>
      <c r="M193" s="268">
        <f>M101/'Colleges FYES'!$E$52</f>
        <v>16136.86169474758</v>
      </c>
      <c r="N193" s="268">
        <f>N101/'Colleges FYES'!$E$52</f>
        <v>16494.464512955376</v>
      </c>
      <c r="O193" s="268">
        <f>O101/'Colleges FYES'!$E$52</f>
        <v>16477.780445425407</v>
      </c>
    </row>
    <row r="194" spans="1:15" x14ac:dyDescent="0.25">
      <c r="A194" s="36" t="s">
        <v>82</v>
      </c>
      <c r="D194" s="268">
        <f>D102/'Colleges FYES'!$E$52</f>
        <v>-832.10388875406113</v>
      </c>
      <c r="E194" s="268">
        <f>E102/'Colleges FYES'!$E$52</f>
        <v>-885.90609516569771</v>
      </c>
      <c r="F194" s="268">
        <f>F102/'Colleges FYES'!$E$52</f>
        <v>-1064.1246108828873</v>
      </c>
      <c r="G194" s="268">
        <f>G102/'Colleges FYES'!$E$52</f>
        <v>-1247.2144286814555</v>
      </c>
      <c r="H194" s="268">
        <f>H102/'Colleges FYES'!$E$52</f>
        <v>-1484.6300667243274</v>
      </c>
      <c r="I194" s="268">
        <f>I102/'Colleges FYES'!$E$52</f>
        <v>-1517.9009704659727</v>
      </c>
      <c r="J194" s="268">
        <f>J102/'Colleges FYES'!$E$52</f>
        <v>-1601.016157419125</v>
      </c>
      <c r="K194" s="268">
        <f>K102/'Colleges FYES'!$E$52</f>
        <v>-1665.334815103347</v>
      </c>
      <c r="L194" s="268">
        <f>L102/'Colleges FYES'!$E$52</f>
        <v>-1956.4665606065871</v>
      </c>
      <c r="M194" s="268">
        <f>M102/'Colleges FYES'!$E$52</f>
        <v>-2087.0730737240797</v>
      </c>
      <c r="N194" s="268">
        <f>N102/'Colleges FYES'!$E$52</f>
        <v>-2124.7883387669658</v>
      </c>
      <c r="O194" s="268">
        <f>O102/'Colleges FYES'!$E$52</f>
        <v>-2237.7823238667715</v>
      </c>
    </row>
    <row r="195" spans="1:15" x14ac:dyDescent="0.25">
      <c r="A195" s="77" t="s">
        <v>81</v>
      </c>
      <c r="D195" s="268">
        <f>D103/'Colleges FYES'!$E$52</f>
        <v>4644.9377992294112</v>
      </c>
      <c r="E195" s="268">
        <f>E103/'Colleges FYES'!$E$52</f>
        <v>4385.9625454655888</v>
      </c>
      <c r="F195" s="268">
        <f>F103/'Colleges FYES'!$E$52</f>
        <v>4122.639711462919</v>
      </c>
      <c r="G195" s="268">
        <f>G103/'Colleges FYES'!$E$52</f>
        <v>4595.6463216223674</v>
      </c>
      <c r="H195" s="268">
        <f>H103/'Colleges FYES'!$E$52</f>
        <v>4108.1544312097831</v>
      </c>
      <c r="I195" s="268">
        <f>I103/'Colleges FYES'!$E$52</f>
        <v>4240.9564368735564</v>
      </c>
      <c r="J195" s="268">
        <f>J103/'Colleges FYES'!$E$52</f>
        <v>4045.2033224389297</v>
      </c>
      <c r="K195" s="268">
        <f>K103/'Colleges FYES'!$E$52</f>
        <v>3941.0807162202636</v>
      </c>
      <c r="L195" s="268">
        <f>L103/'Colleges FYES'!$E$52</f>
        <v>3327.8132686634954</v>
      </c>
      <c r="M195" s="268">
        <f>M103/'Colleges FYES'!$E$52</f>
        <v>3436.9580632030752</v>
      </c>
      <c r="N195" s="268">
        <f>N103/'Colleges FYES'!$E$52</f>
        <v>3493.3951305923142</v>
      </c>
      <c r="O195" s="268">
        <f>O103/'Colleges FYES'!$E$52</f>
        <v>3706.1648097491102</v>
      </c>
    </row>
    <row r="196" spans="1:15" x14ac:dyDescent="0.25">
      <c r="A196" s="36" t="s">
        <v>3</v>
      </c>
      <c r="D196" s="268">
        <f>D104/'Colleges FYES'!$E$52</f>
        <v>59.34528337837996</v>
      </c>
      <c r="E196" s="268">
        <f>E104/'Colleges FYES'!$E$52</f>
        <v>54.017749853616323</v>
      </c>
      <c r="F196" s="268">
        <f>F104/'Colleges FYES'!$E$52</f>
        <v>58.950023625189857</v>
      </c>
      <c r="G196" s="268">
        <f>G104/'Colleges FYES'!$E$52</f>
        <v>57.802238334626985</v>
      </c>
      <c r="H196" s="268">
        <f>H104/'Colleges FYES'!$E$52</f>
        <v>81.349592697223429</v>
      </c>
      <c r="I196" s="268">
        <f>I104/'Colleges FYES'!$E$52</f>
        <v>79.491353270129494</v>
      </c>
      <c r="J196" s="268">
        <f>J104/'Colleges FYES'!$E$52</f>
        <v>52.180686021424997</v>
      </c>
      <c r="K196" s="268">
        <f>K104/'Colleges FYES'!$E$52</f>
        <v>51.050681643734343</v>
      </c>
      <c r="L196" s="268">
        <f>L104/'Colleges FYES'!$E$52</f>
        <v>50.538762636933413</v>
      </c>
      <c r="M196" s="268">
        <f>M104/'Colleges FYES'!$E$52</f>
        <v>49.561919818925546</v>
      </c>
      <c r="N196" s="268">
        <f>N104/'Colleges FYES'!$E$52</f>
        <v>55.637807606061948</v>
      </c>
      <c r="O196" s="268">
        <f>O104/'Colleges FYES'!$E$52</f>
        <v>46.961034081970482</v>
      </c>
    </row>
    <row r="197" spans="1:15" x14ac:dyDescent="0.25">
      <c r="A197" s="36" t="s">
        <v>4</v>
      </c>
      <c r="D197" s="268">
        <f>D105/'Colleges FYES'!$E$52</f>
        <v>41.365447039744332</v>
      </c>
      <c r="E197" s="268">
        <f>E105/'Colleges FYES'!$E$52</f>
        <v>44.016342448902726</v>
      </c>
      <c r="F197" s="268">
        <f>F105/'Colleges FYES'!$E$52</f>
        <v>42.113216178799433</v>
      </c>
      <c r="G197" s="268">
        <f>G105/'Colleges FYES'!$E$52</f>
        <v>20.638590620093805</v>
      </c>
      <c r="H197" s="268">
        <f>H105/'Colleges FYES'!$E$52</f>
        <v>19.727276229076683</v>
      </c>
      <c r="I197" s="268">
        <f>I105/'Colleges FYES'!$E$52</f>
        <v>19.276653168006401</v>
      </c>
      <c r="J197" s="268">
        <f>J105/'Colleges FYES'!$E$52</f>
        <v>18.980724540293341</v>
      </c>
      <c r="K197" s="268">
        <f>K105/'Colleges FYES'!$E$52</f>
        <v>18.569685447908366</v>
      </c>
      <c r="L197" s="268">
        <f>L105/'Colleges FYES'!$E$52</f>
        <v>18.383474909184532</v>
      </c>
      <c r="M197" s="268">
        <f>M105/'Colleges FYES'!$E$52</f>
        <v>18.028148334134166</v>
      </c>
      <c r="N197" s="268">
        <f>N105/'Colleges FYES'!$E$52</f>
        <v>35.74124379911153</v>
      </c>
      <c r="O197" s="268">
        <f>O105/'Colleges FYES'!$E$52</f>
        <v>34.692463928055695</v>
      </c>
    </row>
    <row r="198" spans="1:15" x14ac:dyDescent="0.25">
      <c r="A198" s="36" t="s">
        <v>5</v>
      </c>
      <c r="D198" s="268">
        <f>D106/'Colleges FYES'!$E$52</f>
        <v>207.28885329912941</v>
      </c>
      <c r="E198" s="268">
        <f>E106/'Colleges FYES'!$E$52</f>
        <v>198.45946324610753</v>
      </c>
      <c r="F198" s="268">
        <f>F106/'Colleges FYES'!$E$52</f>
        <v>188.59598466993489</v>
      </c>
      <c r="G198" s="268">
        <f>G106/'Colleges FYES'!$E$52</f>
        <v>105.6479524623747</v>
      </c>
      <c r="H198" s="268">
        <f>H106/'Colleges FYES'!$E$52</f>
        <v>126.88814561054762</v>
      </c>
      <c r="I198" s="268">
        <f>I106/'Colleges FYES'!$E$52</f>
        <v>124.42072729473377</v>
      </c>
      <c r="J198" s="268">
        <f>J106/'Colleges FYES'!$E$52</f>
        <v>129.99598198702284</v>
      </c>
      <c r="K198" s="268">
        <f>K106/'Colleges FYES'!$E$52</f>
        <v>117.60775258334476</v>
      </c>
      <c r="L198" s="268">
        <f>L106/'Colleges FYES'!$E$52</f>
        <v>117.02098872294022</v>
      </c>
      <c r="M198" s="268">
        <f>M106/'Colleges FYES'!$E$52</f>
        <v>114.3744760329329</v>
      </c>
      <c r="N198" s="268">
        <f>N106/'Colleges FYES'!$E$52</f>
        <v>112.42913210590436</v>
      </c>
      <c r="O198" s="268">
        <f>O106/'Colleges FYES'!$E$52</f>
        <v>126.80647357854819</v>
      </c>
    </row>
    <row r="199" spans="1:15" x14ac:dyDescent="0.25">
      <c r="A199" s="36" t="s">
        <v>6</v>
      </c>
      <c r="D199" s="268">
        <f>D107/'Colleges FYES'!$E$52</f>
        <v>13226.674880067832</v>
      </c>
      <c r="E199" s="268">
        <f>E107/'Colleges FYES'!$E$52</f>
        <v>13382.590947193223</v>
      </c>
      <c r="F199" s="268">
        <f>F107/'Colleges FYES'!$E$52</f>
        <v>13699.489300842364</v>
      </c>
      <c r="G199" s="268">
        <f>G107/'Colleges FYES'!$E$52</f>
        <v>14478.545512537594</v>
      </c>
      <c r="H199" s="268">
        <f>H107/'Colleges FYES'!$E$52</f>
        <v>14894.063250229616</v>
      </c>
      <c r="I199" s="268">
        <f>I107/'Colleges FYES'!$E$52</f>
        <v>16098.618209824541</v>
      </c>
      <c r="J199" s="268">
        <f>J107/'Colleges FYES'!$E$52</f>
        <v>16647.940204765688</v>
      </c>
      <c r="K199" s="268">
        <f>K107/'Colleges FYES'!$E$52</f>
        <v>17333.832040804748</v>
      </c>
      <c r="L199" s="268">
        <f>L107/'Colleges FYES'!$E$52</f>
        <v>17559.570269009306</v>
      </c>
      <c r="M199" s="268">
        <f>M107/'Colleges FYES'!$E$52</f>
        <v>17668.711228412572</v>
      </c>
      <c r="N199" s="268">
        <f>N107/'Colleges FYES'!$E$52</f>
        <v>18066.879488291801</v>
      </c>
      <c r="O199" s="268">
        <f>O107/'Colleges FYES'!$E$52</f>
        <v>18154.622902896321</v>
      </c>
    </row>
    <row r="200" spans="1:15" x14ac:dyDescent="0.25">
      <c r="A200" s="28"/>
      <c r="D200" s="268"/>
      <c r="E200" s="268"/>
      <c r="F200" s="268"/>
      <c r="G200" s="268"/>
      <c r="H200" s="268"/>
      <c r="I200" s="268"/>
      <c r="J200" s="268"/>
      <c r="K200" s="268"/>
      <c r="L200" s="268"/>
      <c r="M200" s="268"/>
      <c r="N200" s="268"/>
      <c r="O200" s="268"/>
    </row>
    <row r="201" spans="1:15" ht="18.75" x14ac:dyDescent="0.3">
      <c r="A201" s="31" t="s">
        <v>7</v>
      </c>
      <c r="D201" s="268"/>
      <c r="E201" s="268"/>
      <c r="F201" s="268"/>
      <c r="G201" s="268"/>
      <c r="H201" s="268"/>
      <c r="I201" s="268"/>
      <c r="J201" s="268"/>
      <c r="K201" s="268"/>
      <c r="L201" s="268"/>
      <c r="M201" s="268"/>
      <c r="N201" s="268"/>
      <c r="O201" s="268"/>
    </row>
    <row r="202" spans="1:15" ht="18" x14ac:dyDescent="0.25">
      <c r="A202" s="43" t="s">
        <v>8</v>
      </c>
      <c r="D202" s="268"/>
      <c r="E202" s="268"/>
      <c r="F202" s="268"/>
      <c r="G202" s="268"/>
      <c r="H202" s="268"/>
      <c r="I202" s="268"/>
      <c r="J202" s="268"/>
      <c r="K202" s="268"/>
      <c r="L202" s="268"/>
      <c r="M202" s="268"/>
      <c r="N202" s="268"/>
      <c r="O202" s="268"/>
    </row>
    <row r="203" spans="1:15" x14ac:dyDescent="0.25">
      <c r="A203" s="236" t="s">
        <v>61</v>
      </c>
      <c r="D203" s="268"/>
      <c r="E203" s="268">
        <f>E111/'Colleges FYES'!G72</f>
        <v>7583.9718974988918</v>
      </c>
      <c r="F203" s="268">
        <f>F111/'Colleges FYES'!H72</f>
        <v>7131.8625941202208</v>
      </c>
      <c r="G203" s="268">
        <f>G111/'Colleges FYES'!I72</f>
        <v>7157.3156243613103</v>
      </c>
      <c r="H203" s="268">
        <f>H111/'Colleges FYES'!J72</f>
        <v>7352.6190181267575</v>
      </c>
      <c r="I203" s="268">
        <f>I111/'Colleges FYES'!K72</f>
        <v>7318.1452495976409</v>
      </c>
      <c r="J203" s="268">
        <f>J111/'Colleges FYES'!L72</f>
        <v>7513.2426250280205</v>
      </c>
      <c r="K203" s="268">
        <f>K111/'Colleges FYES'!M72</f>
        <v>7291.7602223667482</v>
      </c>
      <c r="L203" s="268">
        <f>L111/'Colleges FYES'!N72</f>
        <v>7417.9237840635697</v>
      </c>
      <c r="M203" s="268">
        <f>M111/'Colleges FYES'!O72</f>
        <v>7542.5217556847138</v>
      </c>
      <c r="N203" s="268">
        <f>N111/'Colleges FYES'!P72</f>
        <v>7957.8994627130915</v>
      </c>
      <c r="O203" s="268">
        <f>O111/'Colleges FYES'!Q72</f>
        <v>8255.2079190398417</v>
      </c>
    </row>
    <row r="204" spans="1:15" x14ac:dyDescent="0.25">
      <c r="A204" s="236" t="s">
        <v>58</v>
      </c>
      <c r="D204" s="268"/>
      <c r="E204" s="268">
        <f>E112/'Colleges FYES'!G73</f>
        <v>6231.7240477534397</v>
      </c>
      <c r="F204" s="268">
        <f>F112/'Colleges FYES'!H73</f>
        <v>5937.7789932248452</v>
      </c>
      <c r="G204" s="268">
        <f>G112/'Colleges FYES'!I73</f>
        <v>5633.0485960531096</v>
      </c>
      <c r="H204" s="268">
        <f>H112/'Colleges FYES'!J73</f>
        <v>6039.8016370172363</v>
      </c>
      <c r="I204" s="268">
        <f>I112/'Colleges FYES'!K73</f>
        <v>5923.9054022688406</v>
      </c>
      <c r="J204" s="268">
        <f>J112/'Colleges FYES'!L73</f>
        <v>6226.2253377336792</v>
      </c>
      <c r="K204" s="268">
        <f>K112/'Colleges FYES'!M73</f>
        <v>6555.0777505830483</v>
      </c>
      <c r="L204" s="268">
        <f>L112/'Colleges FYES'!N73</f>
        <v>6948.6871904634363</v>
      </c>
      <c r="M204" s="268">
        <f>M112/'Colleges FYES'!O73</f>
        <v>6795.1678292425931</v>
      </c>
      <c r="N204" s="268">
        <f>N112/'Colleges FYES'!P73</f>
        <v>6527.8668110152385</v>
      </c>
      <c r="O204" s="268">
        <f>O112/'Colleges FYES'!Q73</f>
        <v>6106.4133123360589</v>
      </c>
    </row>
    <row r="205" spans="1:15" x14ac:dyDescent="0.25">
      <c r="A205" s="236" t="s">
        <v>60</v>
      </c>
      <c r="D205" s="268"/>
      <c r="E205" s="268">
        <f>E113/'Colleges FYES'!G74</f>
        <v>23087.445512603652</v>
      </c>
      <c r="F205" s="268">
        <f>F113/'Colleges FYES'!H74</f>
        <v>22001.524660028746</v>
      </c>
      <c r="G205" s="268">
        <f>G113/'Colleges FYES'!I74</f>
        <v>17478.675054665004</v>
      </c>
      <c r="H205" s="268">
        <f>H113/'Colleges FYES'!J74</f>
        <v>19498.206454110117</v>
      </c>
      <c r="I205" s="268">
        <f>I113/'Colleges FYES'!K74</f>
        <v>20974.049436038218</v>
      </c>
      <c r="J205" s="268">
        <f>J113/'Colleges FYES'!L74</f>
        <v>20602.448463203717</v>
      </c>
      <c r="K205" s="268">
        <f>K113/'Colleges FYES'!M74</f>
        <v>20603.895473582412</v>
      </c>
      <c r="L205" s="268">
        <f>L113/'Colleges FYES'!N74</f>
        <v>21513.652855741962</v>
      </c>
      <c r="M205" s="268">
        <f>M113/'Colleges FYES'!O74</f>
        <v>22914.487213528791</v>
      </c>
      <c r="N205" s="268">
        <f>N113/'Colleges FYES'!P74</f>
        <v>26084.990612459402</v>
      </c>
      <c r="O205" s="268">
        <f>O113/'Colleges FYES'!Q74</f>
        <v>24390.676648320725</v>
      </c>
    </row>
    <row r="206" spans="1:15" x14ac:dyDescent="0.25">
      <c r="A206" s="236" t="s">
        <v>59</v>
      </c>
      <c r="D206" s="268"/>
      <c r="E206" s="268">
        <f>E114/'Colleges FYES'!G75</f>
        <v>6913.1350128379754</v>
      </c>
      <c r="F206" s="268">
        <f>F114/'Colleges FYES'!H75</f>
        <v>6095.8968817598843</v>
      </c>
      <c r="G206" s="268">
        <f>G114/'Colleges FYES'!I75</f>
        <v>5927.8152145006579</v>
      </c>
      <c r="H206" s="268">
        <f>H114/'Colleges FYES'!J75</f>
        <v>5652.7820367773465</v>
      </c>
      <c r="I206" s="268">
        <f>I114/'Colleges FYES'!K75</f>
        <v>5920.275597496</v>
      </c>
      <c r="J206" s="268">
        <f>J114/'Colleges FYES'!L75</f>
        <v>5377.1077041019134</v>
      </c>
      <c r="K206" s="268">
        <f>K114/'Colleges FYES'!M75</f>
        <v>5123.4263422843278</v>
      </c>
      <c r="L206" s="268">
        <f>L114/'Colleges FYES'!N75</f>
        <v>5584.9060917236429</v>
      </c>
      <c r="M206" s="268">
        <f>M114/'Colleges FYES'!O75</f>
        <v>5546.9904351259593</v>
      </c>
      <c r="N206" s="268">
        <f>N114/'Colleges FYES'!P75</f>
        <v>5302.0277446166028</v>
      </c>
      <c r="O206" s="268">
        <f>O114/'Colleges FYES'!Q75</f>
        <v>5707.2198305063166</v>
      </c>
    </row>
    <row r="207" spans="1:15" x14ac:dyDescent="0.25">
      <c r="A207" s="236" t="s">
        <v>62</v>
      </c>
      <c r="D207" s="268"/>
      <c r="E207" s="268">
        <f>E115/'Colleges FYES'!G76</f>
        <v>7273.7303607935546</v>
      </c>
      <c r="F207" s="268">
        <f>F115/'Colleges FYES'!H76</f>
        <v>9055.0643981181238</v>
      </c>
      <c r="G207" s="268">
        <f>G115/'Colleges FYES'!I76</f>
        <v>9680.6011245147711</v>
      </c>
      <c r="H207" s="268">
        <f>H115/'Colleges FYES'!J76</f>
        <v>8959.2914241340568</v>
      </c>
      <c r="I207" s="268">
        <f>I115/'Colleges FYES'!K76</f>
        <v>8610.5835208202607</v>
      </c>
      <c r="J207" s="268">
        <f>J115/'Colleges FYES'!L76</f>
        <v>9235.432594676653</v>
      </c>
      <c r="K207" s="268">
        <f>K115/'Colleges FYES'!M76</f>
        <v>8888.3249556142837</v>
      </c>
      <c r="L207" s="268">
        <f>L115/'Colleges FYES'!N76</f>
        <v>9006.2235228387744</v>
      </c>
      <c r="M207" s="268">
        <f>M115/'Colleges FYES'!O76</f>
        <v>8083.1979161948757</v>
      </c>
      <c r="N207" s="268">
        <f>N115/'Colleges FYES'!P76</f>
        <v>7463.0415080680932</v>
      </c>
      <c r="O207" s="268">
        <f>O115/'Colleges FYES'!Q76</f>
        <v>6929.2006622624431</v>
      </c>
    </row>
    <row r="208" spans="1:15" x14ac:dyDescent="0.25">
      <c r="A208" s="236" t="s">
        <v>64</v>
      </c>
      <c r="D208" s="268"/>
      <c r="E208" s="268">
        <f>E116/'Colleges FYES'!G77</f>
        <v>6118.6961702475692</v>
      </c>
      <c r="F208" s="268">
        <f>F116/'Colleges FYES'!H77</f>
        <v>6133.0351252813471</v>
      </c>
      <c r="G208" s="268">
        <f>G116/'Colleges FYES'!I77</f>
        <v>5195.6491942156672</v>
      </c>
      <c r="H208" s="268">
        <f>H116/'Colleges FYES'!J77</f>
        <v>5146.8408224820723</v>
      </c>
      <c r="I208" s="268">
        <f>I116/'Colleges FYES'!K77</f>
        <v>4971.7008110216339</v>
      </c>
      <c r="J208" s="268">
        <f>J116/'Colleges FYES'!L77</f>
        <v>5316.5511431415125</v>
      </c>
      <c r="K208" s="268">
        <f>K116/'Colleges FYES'!M77</f>
        <v>5958.4698782068044</v>
      </c>
      <c r="L208" s="268">
        <f>L116/'Colleges FYES'!N77</f>
        <v>7179.9440553897748</v>
      </c>
      <c r="M208" s="268">
        <f>M116/'Colleges FYES'!O77</f>
        <v>7450.5896841387139</v>
      </c>
      <c r="N208" s="268">
        <f>N116/'Colleges FYES'!P77</f>
        <v>8327.4205399509283</v>
      </c>
      <c r="O208" s="268">
        <f>O116/'Colleges FYES'!Q77</f>
        <v>7289.267319095924</v>
      </c>
    </row>
    <row r="209" spans="1:15" x14ac:dyDescent="0.25">
      <c r="A209" s="236" t="s">
        <v>63</v>
      </c>
      <c r="D209" s="268"/>
      <c r="E209" s="268">
        <f>E117/'Colleges FYES'!G78</f>
        <v>9353.1705113155058</v>
      </c>
      <c r="F209" s="268">
        <f>F117/'Colleges FYES'!H78</f>
        <v>9609.9959186570977</v>
      </c>
      <c r="G209" s="268">
        <f>G117/'Colleges FYES'!I78</f>
        <v>7018.3402403416449</v>
      </c>
      <c r="H209" s="268">
        <f>H117/'Colleges FYES'!J78</f>
        <v>5953.6670127283896</v>
      </c>
      <c r="I209" s="268">
        <f>I117/'Colleges FYES'!K78</f>
        <v>5753.8619616902906</v>
      </c>
      <c r="J209" s="268">
        <f>J117/'Colleges FYES'!L78</f>
        <v>4247.7169421934295</v>
      </c>
      <c r="K209" s="268">
        <f>K117/'Colleges FYES'!M78</f>
        <v>4859.5888248628107</v>
      </c>
      <c r="L209" s="268">
        <f>L117/'Colleges FYES'!N78</f>
        <v>5045.8684867057809</v>
      </c>
      <c r="M209" s="268">
        <f>M117/'Colleges FYES'!O78</f>
        <v>4929.1587952742493</v>
      </c>
      <c r="N209" s="268">
        <f>N117/'Colleges FYES'!P78</f>
        <v>5602.3383478881087</v>
      </c>
      <c r="O209" s="268">
        <f>O117/'Colleges FYES'!Q78</f>
        <v>5587.9356312397085</v>
      </c>
    </row>
    <row r="210" spans="1:15" x14ac:dyDescent="0.25">
      <c r="A210" s="236" t="s">
        <v>217</v>
      </c>
      <c r="D210" s="268"/>
      <c r="E210" s="268">
        <f>E118/'Colleges FYES'!G79</f>
        <v>95503.64158023565</v>
      </c>
      <c r="F210" s="268">
        <f>F118/'Colleges FYES'!H79</f>
        <v>111207.48253893459</v>
      </c>
      <c r="G210" s="268">
        <f>G118/'Colleges FYES'!I79</f>
        <v>101184.47354446555</v>
      </c>
      <c r="H210" s="268">
        <f>H118/'Colleges FYES'!J79</f>
        <v>121955.54717020839</v>
      </c>
      <c r="I210" s="268">
        <f>I118/'Colleges FYES'!K79</f>
        <v>119890.54508506355</v>
      </c>
      <c r="J210" s="268">
        <f>J118/'Colleges FYES'!L79</f>
        <v>100995.09912582948</v>
      </c>
      <c r="K210" s="268">
        <f>K118/'Colleges FYES'!M79</f>
        <v>84817.984971263548</v>
      </c>
      <c r="L210" s="268">
        <f>L118/'Colleges FYES'!N79</f>
        <v>69742.252732375229</v>
      </c>
      <c r="M210" s="268">
        <f>M118/'Colleges FYES'!O79</f>
        <v>67361.677337356581</v>
      </c>
      <c r="N210" s="268">
        <f>N118/'Colleges FYES'!P79</f>
        <v>56687.653904502156</v>
      </c>
      <c r="O210" s="268">
        <f>O118/'Colleges FYES'!Q79</f>
        <v>56372.203024907394</v>
      </c>
    </row>
    <row r="211" spans="1:15" x14ac:dyDescent="0.25">
      <c r="A211" s="36" t="s">
        <v>134</v>
      </c>
      <c r="D211" s="268">
        <f>D121/'Colleges FYES'!E$52</f>
        <v>153.3227729416119</v>
      </c>
      <c r="E211" s="268">
        <f>E121/'Colleges FYES'!F$52</f>
        <v>99.816240832190076</v>
      </c>
      <c r="F211" s="268">
        <f>F121/'Colleges FYES'!G$52</f>
        <v>113.39895742959528</v>
      </c>
      <c r="G211" s="268">
        <f>G121/'Colleges FYES'!H$52</f>
        <v>108.24002730635949</v>
      </c>
      <c r="H211" s="268">
        <f>H121/'Colleges FYES'!I$52</f>
        <v>89.334797301062409</v>
      </c>
      <c r="I211" s="268">
        <f>I121/'Colleges FYES'!J$52</f>
        <v>102.77422688429513</v>
      </c>
      <c r="J211" s="268">
        <f>J121/'Colleges FYES'!K$52</f>
        <v>111.15665296699738</v>
      </c>
      <c r="K211" s="268">
        <f>K121/'Colleges FYES'!L$52</f>
        <v>74.849169111929882</v>
      </c>
      <c r="L211" s="268">
        <f>L121/'Colleges FYES'!M$52</f>
        <v>76.042498025264152</v>
      </c>
      <c r="M211" s="268">
        <f>M121/'Colleges FYES'!N$52</f>
        <v>75.494563843647981</v>
      </c>
      <c r="N211" s="268">
        <f>N121/'Colleges FYES'!O$52</f>
        <v>76.302590375698941</v>
      </c>
      <c r="O211" s="268">
        <f>O121/'Colleges FYES'!P$52</f>
        <v>75.726946143618264</v>
      </c>
    </row>
    <row r="212" spans="1:15" x14ac:dyDescent="0.25">
      <c r="A212" s="77" t="s">
        <v>68</v>
      </c>
      <c r="D212" s="268">
        <f>D122/'Colleges FYES'!E$52</f>
        <v>710.57624167958716</v>
      </c>
      <c r="E212" s="268">
        <f>E122/'Colleges FYES'!F$52</f>
        <v>710.21252558701599</v>
      </c>
      <c r="F212" s="268">
        <f>F122/'Colleges FYES'!G$52</f>
        <v>784.47294140661199</v>
      </c>
      <c r="G212" s="268">
        <f>G122/'Colleges FYES'!H$52</f>
        <v>805.63585050790084</v>
      </c>
      <c r="H212" s="268">
        <f>H122/'Colleges FYES'!I$52</f>
        <v>689.31439227426984</v>
      </c>
      <c r="I212" s="268">
        <f>I122/'Colleges FYES'!J$52</f>
        <v>657.09545561900666</v>
      </c>
      <c r="J212" s="268">
        <f>J122/'Colleges FYES'!K$52</f>
        <v>655.2574173957405</v>
      </c>
      <c r="K212" s="268">
        <f>K122/'Colleges FYES'!L$52</f>
        <v>655.55048338509243</v>
      </c>
      <c r="L212" s="268">
        <f>L122/'Colleges FYES'!M$52</f>
        <v>661.37841272096455</v>
      </c>
      <c r="M212" s="268">
        <f>M122/'Colleges FYES'!N$52</f>
        <v>659.42189013994368</v>
      </c>
      <c r="N212" s="268">
        <f>N122/'Colleges FYES'!O$52</f>
        <v>672.00825703239639</v>
      </c>
      <c r="O212" s="268">
        <f>O122/'Colleges FYES'!P$52</f>
        <v>646.59828102412962</v>
      </c>
    </row>
    <row r="213" spans="1:15" x14ac:dyDescent="0.25">
      <c r="A213" s="36" t="s">
        <v>66</v>
      </c>
      <c r="D213" s="268">
        <f>D123/'Colleges FYES'!E$52</f>
        <v>511.32183883990564</v>
      </c>
      <c r="E213" s="268">
        <f>E123/'Colleges FYES'!F$52</f>
        <v>509.26969887752296</v>
      </c>
      <c r="F213" s="268">
        <f>F123/'Colleges FYES'!G$52</f>
        <v>513.1725864069798</v>
      </c>
      <c r="G213" s="268">
        <f>G123/'Colleges FYES'!H$52</f>
        <v>536.07451058099855</v>
      </c>
      <c r="H213" s="268">
        <f>H123/'Colleges FYES'!I$52</f>
        <v>550.61929097303073</v>
      </c>
      <c r="I213" s="268">
        <f>I123/'Colleges FYES'!J$52</f>
        <v>531.25349762943267</v>
      </c>
      <c r="J213" s="268">
        <f>J123/'Colleges FYES'!K$52</f>
        <v>529.97049586920798</v>
      </c>
      <c r="K213" s="268">
        <f>K123/'Colleges FYES'!L$52</f>
        <v>536.56799038876989</v>
      </c>
      <c r="L213" s="268">
        <f>L123/'Colleges FYES'!M$52</f>
        <v>529.31065447433809</v>
      </c>
      <c r="M213" s="268">
        <f>M123/'Colleges FYES'!N$52</f>
        <v>544.29217187465531</v>
      </c>
      <c r="N213" s="268">
        <f>N123/'Colleges FYES'!O$52</f>
        <v>541.52887922688922</v>
      </c>
      <c r="O213" s="268">
        <f>O123/'Colleges FYES'!P$52</f>
        <v>528.50789266499237</v>
      </c>
    </row>
    <row r="214" spans="1:15" x14ac:dyDescent="0.25">
      <c r="A214" s="36" t="s">
        <v>84</v>
      </c>
      <c r="D214" s="268">
        <f>D124/'Colleges FYES'!E$52</f>
        <v>0</v>
      </c>
      <c r="E214" s="268">
        <f>E124/'Colleges FYES'!F$52</f>
        <v>0</v>
      </c>
      <c r="F214" s="268">
        <f>F124/'Colleges FYES'!G$52</f>
        <v>0</v>
      </c>
      <c r="G214" s="268">
        <f>G124/'Colleges FYES'!H$52</f>
        <v>0</v>
      </c>
      <c r="H214" s="268">
        <f>H124/'Colleges FYES'!I$52</f>
        <v>0</v>
      </c>
      <c r="I214" s="268">
        <f>I124/'Colleges FYES'!J$52</f>
        <v>0</v>
      </c>
      <c r="J214" s="268">
        <f>J124/'Colleges FYES'!K$52</f>
        <v>0</v>
      </c>
      <c r="K214" s="268">
        <f>K124/'Colleges FYES'!L$52</f>
        <v>68.928101927014637</v>
      </c>
      <c r="L214" s="268">
        <f>L124/'Colleges FYES'!M$52</f>
        <v>71.096859689917281</v>
      </c>
      <c r="M214" s="268">
        <f>M124/'Colleges FYES'!N$52</f>
        <v>71.056477552981079</v>
      </c>
      <c r="N214" s="268">
        <f>N124/'Colleges FYES'!O$52</f>
        <v>75.093353000556718</v>
      </c>
      <c r="O214" s="268">
        <f>O124/'Colleges FYES'!P$52</f>
        <v>78.763205089604796</v>
      </c>
    </row>
    <row r="215" spans="1:15" x14ac:dyDescent="0.25">
      <c r="A215" s="36" t="s">
        <v>85</v>
      </c>
      <c r="D215" s="268">
        <f>D125/'Colleges FYES'!E$52</f>
        <v>71.621872110001803</v>
      </c>
      <c r="E215" s="268">
        <f>E125/'Colleges FYES'!F$52</f>
        <v>67.875510762131128</v>
      </c>
      <c r="F215" s="268">
        <f>F125/'Colleges FYES'!G$52</f>
        <v>52.449632482319963</v>
      </c>
      <c r="G215" s="268">
        <f>G125/'Colleges FYES'!H$52</f>
        <v>62.215343786429194</v>
      </c>
      <c r="H215" s="268">
        <f>H125/'Colleges FYES'!I$52</f>
        <v>72.649783587654582</v>
      </c>
      <c r="I215" s="268">
        <f>I125/'Colleges FYES'!J$52</f>
        <v>86.978194918859131</v>
      </c>
      <c r="J215" s="268">
        <f>J125/'Colleges FYES'!K$52</f>
        <v>25.168469015850032</v>
      </c>
      <c r="K215" s="268">
        <f>K125/'Colleges FYES'!L$52</f>
        <v>31.75393458732875</v>
      </c>
      <c r="L215" s="268">
        <f>L125/'Colleges FYES'!M$52</f>
        <v>41.924327754201535</v>
      </c>
      <c r="M215" s="268">
        <f>M125/'Colleges FYES'!N$52</f>
        <v>41.630980508493238</v>
      </c>
      <c r="N215" s="268">
        <f>N125/'Colleges FYES'!O$52</f>
        <v>41.526691857439623</v>
      </c>
      <c r="O215" s="268">
        <f>O125/'Colleges FYES'!P$52</f>
        <v>39.505800242268315</v>
      </c>
    </row>
    <row r="216" spans="1:15" x14ac:dyDescent="0.25">
      <c r="A216" s="36" t="s">
        <v>136</v>
      </c>
      <c r="D216" s="268">
        <f>D126/'Colleges FYES'!E$52</f>
        <v>195.575451228155</v>
      </c>
      <c r="E216" s="268">
        <f>E126/'Colleges FYES'!F$52</f>
        <v>174.89270311700272</v>
      </c>
      <c r="F216" s="268">
        <f>F126/'Colleges FYES'!G$52</f>
        <v>172.95003670681925</v>
      </c>
      <c r="G216" s="268">
        <f>G126/'Colleges FYES'!H$52</f>
        <v>155.93609957905105</v>
      </c>
      <c r="H216" s="268">
        <f>H126/'Colleges FYES'!I$52</f>
        <v>152.65496260447838</v>
      </c>
      <c r="I216" s="268">
        <f>I126/'Colleges FYES'!J$52</f>
        <v>0</v>
      </c>
      <c r="J216" s="268">
        <f>J126/'Colleges FYES'!K$52</f>
        <v>0</v>
      </c>
      <c r="K216" s="268">
        <f>K126/'Colleges FYES'!L$52</f>
        <v>0</v>
      </c>
      <c r="L216" s="268">
        <f>L126/'Colleges FYES'!M$52</f>
        <v>0</v>
      </c>
      <c r="M216" s="268">
        <f>M126/'Colleges FYES'!N$52</f>
        <v>0</v>
      </c>
      <c r="N216" s="268">
        <f>N126/'Colleges FYES'!O$52</f>
        <v>0</v>
      </c>
      <c r="O216" s="268">
        <f>O126/'Colleges FYES'!P$52</f>
        <v>0</v>
      </c>
    </row>
    <row r="217" spans="1:15" x14ac:dyDescent="0.25">
      <c r="A217" s="36" t="s">
        <v>17</v>
      </c>
      <c r="D217" s="268">
        <f>D127/'Colleges FYES'!E$52</f>
        <v>447.52145338928273</v>
      </c>
      <c r="E217" s="268">
        <f>E127/'Colleges FYES'!F$52</f>
        <v>421.67222617491444</v>
      </c>
      <c r="F217" s="268">
        <f>F127/'Colleges FYES'!G$52</f>
        <v>412.76277881908123</v>
      </c>
      <c r="G217" s="268">
        <f>G127/'Colleges FYES'!H$52</f>
        <v>397.18205456304099</v>
      </c>
      <c r="H217" s="268">
        <f>H127/'Colleges FYES'!I$52</f>
        <v>390.0253225902984</v>
      </c>
      <c r="I217" s="268">
        <f>I127/'Colleges FYES'!J$52</f>
        <v>382.79747267331021</v>
      </c>
      <c r="J217" s="268">
        <f>J127/'Colleges FYES'!K$52</f>
        <v>389.08571270224849</v>
      </c>
      <c r="K217" s="268">
        <f>K127/'Colleges FYES'!L$52</f>
        <v>401.95100006839152</v>
      </c>
      <c r="L217" s="268">
        <f>L127/'Colleges FYES'!M$52</f>
        <v>413.16431033983127</v>
      </c>
      <c r="M217" s="268">
        <f>M127/'Colleges FYES'!N$52</f>
        <v>407.85345762956598</v>
      </c>
      <c r="N217" s="268">
        <f>N127/'Colleges FYES'!O$52</f>
        <v>421.54945208046098</v>
      </c>
      <c r="O217" s="268">
        <f>O127/'Colleges FYES'!P$52</f>
        <v>402.76280676295079</v>
      </c>
    </row>
    <row r="218" spans="1:15" x14ac:dyDescent="0.25">
      <c r="A218" s="36" t="s">
        <v>20</v>
      </c>
      <c r="D218" s="268">
        <f>D128/'Colleges FYES'!E$52</f>
        <v>49.681962510136188</v>
      </c>
      <c r="E218" s="268">
        <f>E128/'Colleges FYES'!F$52</f>
        <v>46.904551419494034</v>
      </c>
      <c r="F218" s="268">
        <f>F128/'Colleges FYES'!G$52</f>
        <v>44.690227162009165</v>
      </c>
      <c r="G218" s="268">
        <f>G128/'Colleges FYES'!H$52</f>
        <v>47.743062665786013</v>
      </c>
      <c r="H218" s="268">
        <f>H128/'Colleges FYES'!I$52</f>
        <v>48.255326286271291</v>
      </c>
      <c r="I218" s="268">
        <f>I128/'Colleges FYES'!J$52</f>
        <v>48.109754898260491</v>
      </c>
      <c r="J218" s="268">
        <f>J128/'Colleges FYES'!K$52</f>
        <v>48.37319030618233</v>
      </c>
      <c r="K218" s="268">
        <f>K128/'Colleges FYES'!L$52</f>
        <v>48.352732927917735</v>
      </c>
      <c r="L218" s="268">
        <f>L128/'Colleges FYES'!M$52</f>
        <v>48.519725578417344</v>
      </c>
      <c r="M218" s="268">
        <f>M128/'Colleges FYES'!N$52</f>
        <v>48.074352736423329</v>
      </c>
      <c r="N218" s="268">
        <f>N128/'Colleges FYES'!O$52</f>
        <v>49.332022968099366</v>
      </c>
      <c r="O218" s="268">
        <f>O128/'Colleges FYES'!P$52</f>
        <v>47.171787252425027</v>
      </c>
    </row>
    <row r="219" spans="1:15" x14ac:dyDescent="0.25">
      <c r="A219" s="36" t="s">
        <v>21</v>
      </c>
      <c r="D219" s="268">
        <f>D129/'Colleges FYES'!E$52</f>
        <v>47.74547772346294</v>
      </c>
      <c r="E219" s="268">
        <f>E129/'Colleges FYES'!F$52</f>
        <v>44.345571546943262</v>
      </c>
      <c r="F219" s="268">
        <f>F129/'Colleges FYES'!G$52</f>
        <v>46.338073360905973</v>
      </c>
      <c r="G219" s="268">
        <f>G129/'Colleges FYES'!H$52</f>
        <v>45.919493435119122</v>
      </c>
      <c r="H219" s="268">
        <f>H129/'Colleges FYES'!I$52</f>
        <v>45.255561903180904</v>
      </c>
      <c r="I219" s="268">
        <f>I129/'Colleges FYES'!J$52</f>
        <v>39.992316712559507</v>
      </c>
      <c r="J219" s="268">
        <f>J129/'Colleges FYES'!K$52</f>
        <v>38.587133169315742</v>
      </c>
      <c r="K219" s="268">
        <f>K129/'Colleges FYES'!L$52</f>
        <v>39.141979298378146</v>
      </c>
      <c r="L219" s="268">
        <f>L129/'Colleges FYES'!M$52</f>
        <v>30.878037434736527</v>
      </c>
      <c r="M219" s="268">
        <f>M129/'Colleges FYES'!N$52</f>
        <v>29.737065058806813</v>
      </c>
      <c r="N219" s="268">
        <f>N129/'Colleges FYES'!O$52</f>
        <v>29.86054167120362</v>
      </c>
      <c r="O219" s="268">
        <f>O129/'Colleges FYES'!P$52</f>
        <v>28.435286879344424</v>
      </c>
    </row>
    <row r="220" spans="1:15" x14ac:dyDescent="0.25">
      <c r="A220" s="36" t="s">
        <v>22</v>
      </c>
      <c r="D220" s="268">
        <f>D130/'Colleges FYES'!E$52</f>
        <v>122.0361973966024</v>
      </c>
      <c r="E220" s="268">
        <f>E130/'Colleges FYES'!F$52</f>
        <v>114.10552816891673</v>
      </c>
      <c r="F220" s="268">
        <f>F130/'Colleges FYES'!G$52</f>
        <v>116.04554095812171</v>
      </c>
      <c r="G220" s="268">
        <f>G130/'Colleges FYES'!H$52</f>
        <v>119.16751022879644</v>
      </c>
      <c r="H220" s="268">
        <f>H130/'Colleges FYES'!I$52</f>
        <v>129.31498173140434</v>
      </c>
      <c r="I220" s="268">
        <f>I130/'Colleges FYES'!J$52</f>
        <v>126.11648931287472</v>
      </c>
      <c r="J220" s="268">
        <f>J130/'Colleges FYES'!K$52</f>
        <v>130.32245973066409</v>
      </c>
      <c r="K220" s="268">
        <f>K130/'Colleges FYES'!L$52</f>
        <v>130.77136502422908</v>
      </c>
      <c r="L220" s="268">
        <f>L130/'Colleges FYES'!M$52</f>
        <v>137.71245778950265</v>
      </c>
      <c r="M220" s="268">
        <f>M130/'Colleges FYES'!N$52</f>
        <v>140.52622960878264</v>
      </c>
      <c r="N220" s="268">
        <f>N130/'Colleges FYES'!O$52</f>
        <v>143.16813253374667</v>
      </c>
      <c r="O220" s="268">
        <f>O130/'Colleges FYES'!P$52</f>
        <v>138.2951806215018</v>
      </c>
    </row>
    <row r="221" spans="1:15" x14ac:dyDescent="0.25">
      <c r="A221" s="36" t="s">
        <v>23</v>
      </c>
      <c r="D221" s="268">
        <f>D131/'Colleges FYES'!E$52</f>
        <v>135.51722259217993</v>
      </c>
      <c r="E221" s="268">
        <f>E131/'Colleges FYES'!F$52</f>
        <v>178.05892313386875</v>
      </c>
      <c r="F221" s="268">
        <f>F131/'Colleges FYES'!G$52</f>
        <v>167.03296889192708</v>
      </c>
      <c r="G221" s="268">
        <f>G131/'Colleges FYES'!H$52</f>
        <v>162.27543292022091</v>
      </c>
      <c r="H221" s="268">
        <f>H131/'Colleges FYES'!I$52</f>
        <v>163.07913484972357</v>
      </c>
      <c r="I221" s="268">
        <f>I131/'Colleges FYES'!J$52</f>
        <v>168.95994229316224</v>
      </c>
      <c r="J221" s="268">
        <f>J131/'Colleges FYES'!K$52</f>
        <v>167.55002131399948</v>
      </c>
      <c r="K221" s="268">
        <f>K131/'Colleges FYES'!L$52</f>
        <v>175.26847280919361</v>
      </c>
      <c r="L221" s="268">
        <f>L131/'Colleges FYES'!M$52</f>
        <v>180.48103598662891</v>
      </c>
      <c r="M221" s="268">
        <f>M131/'Colleges FYES'!N$52</f>
        <v>178.17866008932589</v>
      </c>
      <c r="N221" s="268">
        <f>N131/'Colleges FYES'!O$52</f>
        <v>177.08170602559679</v>
      </c>
      <c r="O221" s="268">
        <f>O131/'Colleges FYES'!P$52</f>
        <v>173.38626277964681</v>
      </c>
    </row>
    <row r="222" spans="1:15" x14ac:dyDescent="0.25">
      <c r="A222" s="36" t="s">
        <v>86</v>
      </c>
      <c r="D222" s="268">
        <f>D132/'Colleges FYES'!E$52</f>
        <v>84.093893845304464</v>
      </c>
      <c r="E222" s="268">
        <f>E132/'Colleges FYES'!F$52</f>
        <v>0</v>
      </c>
      <c r="F222" s="268">
        <f>F132/'Colleges FYES'!G$52</f>
        <v>0</v>
      </c>
      <c r="G222" s="268">
        <f>G132/'Colleges FYES'!H$52</f>
        <v>0</v>
      </c>
      <c r="H222" s="268">
        <f>H132/'Colleges FYES'!I$52</f>
        <v>0</v>
      </c>
      <c r="I222" s="268">
        <f>I132/'Colleges FYES'!J$52</f>
        <v>0</v>
      </c>
      <c r="J222" s="268">
        <f>J132/'Colleges FYES'!K$52</f>
        <v>0</v>
      </c>
      <c r="K222" s="268">
        <f>K132/'Colleges FYES'!L$52</f>
        <v>0</v>
      </c>
      <c r="L222" s="268">
        <f>L132/'Colleges FYES'!M$52</f>
        <v>0</v>
      </c>
      <c r="M222" s="268">
        <f>M132/'Colleges FYES'!N$52</f>
        <v>0</v>
      </c>
      <c r="N222" s="268">
        <f>N132/'Colleges FYES'!O$52</f>
        <v>0</v>
      </c>
      <c r="O222" s="268">
        <f>O132/'Colleges FYES'!P$52</f>
        <v>0</v>
      </c>
    </row>
    <row r="223" spans="1:15" x14ac:dyDescent="0.25">
      <c r="A223" s="36" t="s">
        <v>219</v>
      </c>
      <c r="D223" s="268">
        <f>D133/'Colleges FYES'!E$52</f>
        <v>7.8613436717949348E-2</v>
      </c>
      <c r="E223" s="268">
        <f>E133/'Colleges FYES'!F$52</f>
        <v>7.2514944389208275E-2</v>
      </c>
      <c r="F223" s="268">
        <f>F133/'Colleges FYES'!G$52</f>
        <v>6.7042849542162469E-2</v>
      </c>
      <c r="G223" s="268">
        <f>G133/'Colleges FYES'!H$52</f>
        <v>6.3329370747243957E-2</v>
      </c>
      <c r="H223" s="268">
        <f>H133/'Colleges FYES'!I$52</f>
        <v>5.9906625855541386E-2</v>
      </c>
      <c r="I223" s="268">
        <f>I133/'Colleges FYES'!J$52</f>
        <v>0</v>
      </c>
      <c r="J223" s="268">
        <f>J133/'Colleges FYES'!K$52</f>
        <v>0</v>
      </c>
      <c r="K223" s="268">
        <f>K133/'Colleges FYES'!L$52</f>
        <v>0</v>
      </c>
      <c r="L223" s="268">
        <f>L133/'Colleges FYES'!M$52</f>
        <v>0</v>
      </c>
      <c r="M223" s="268">
        <f>M133/'Colleges FYES'!N$52</f>
        <v>0</v>
      </c>
      <c r="N223" s="268">
        <f>N133/'Colleges FYES'!O$52</f>
        <v>0</v>
      </c>
      <c r="O223" s="268">
        <f>O133/'Colleges FYES'!P$52</f>
        <v>0</v>
      </c>
    </row>
    <row r="224" spans="1:15" x14ac:dyDescent="0.25">
      <c r="A224" s="85" t="s">
        <v>13</v>
      </c>
      <c r="D224" s="268">
        <f>D134/'Colleges FYES'!E$52</f>
        <v>187.38393112214467</v>
      </c>
      <c r="E224" s="268">
        <f>E134/'Colleges FYES'!F$52</f>
        <v>130.20268558421074</v>
      </c>
      <c r="F224" s="268">
        <f>F134/'Colleges FYES'!G$52</f>
        <v>128.70316390883244</v>
      </c>
      <c r="G224" s="268">
        <f>G134/'Colleges FYES'!H$52</f>
        <v>149.05048708581546</v>
      </c>
      <c r="H224" s="268">
        <f>H134/'Colleges FYES'!I$52</f>
        <v>158.26785400738748</v>
      </c>
      <c r="I224" s="268">
        <f>I134/'Colleges FYES'!J$52</f>
        <v>187.02829571660845</v>
      </c>
      <c r="J224" s="268">
        <f>J134/'Colleges FYES'!K$52</f>
        <v>236.59393092279265</v>
      </c>
      <c r="K224" s="268">
        <f>K134/'Colleges FYES'!L$52</f>
        <v>191.60143311711644</v>
      </c>
      <c r="L224" s="268">
        <f>L134/'Colleges FYES'!M$52</f>
        <v>272.74031877481747</v>
      </c>
      <c r="M224" s="268">
        <f>M134/'Colleges FYES'!N$52</f>
        <v>272.95320846833255</v>
      </c>
      <c r="N224" s="268">
        <f>N134/'Colleges FYES'!O$52</f>
        <v>273.57634222511422</v>
      </c>
      <c r="O224" s="268">
        <f>O134/'Colleges FYES'!P$52</f>
        <v>268.41962082519944</v>
      </c>
    </row>
    <row r="225" spans="1:15" x14ac:dyDescent="0.25">
      <c r="A225" s="36" t="s">
        <v>14</v>
      </c>
      <c r="D225" s="268">
        <f>D135/'Colleges FYES'!E$52</f>
        <v>13.730308403410161</v>
      </c>
      <c r="E225" s="268">
        <f>E135/'Colleges FYES'!F$52</f>
        <v>2.4419407523065888</v>
      </c>
      <c r="F225" s="268">
        <f>F135/'Colleges FYES'!G$52</f>
        <v>15.826470277170584</v>
      </c>
      <c r="G225" s="268">
        <f>G135/'Colleges FYES'!H$52</f>
        <v>5.4850201297895467</v>
      </c>
      <c r="H225" s="268">
        <f>H135/'Colleges FYES'!I$52</f>
        <v>14.405566599604471</v>
      </c>
      <c r="I225" s="268">
        <f>I135/'Colleges FYES'!J$52</f>
        <v>90.189512676434944</v>
      </c>
      <c r="J225" s="268">
        <f>J135/'Colleges FYES'!K$52</f>
        <v>24.969737508736287</v>
      </c>
      <c r="K225" s="268">
        <f>K135/'Colleges FYES'!L$52</f>
        <v>38.595198201294679</v>
      </c>
      <c r="L225" s="268">
        <f>L135/'Colleges FYES'!M$52</f>
        <v>9.6419276793895339</v>
      </c>
      <c r="M225" s="268">
        <f>M135/'Colleges FYES'!N$52</f>
        <v>7.9850243202130189</v>
      </c>
      <c r="N225" s="268">
        <f>N135/'Colleges FYES'!O$52</f>
        <v>8.4431701804650867</v>
      </c>
      <c r="O225" s="268">
        <f>O135/'Colleges FYES'!P$52</f>
        <v>9.839463137953798</v>
      </c>
    </row>
    <row r="226" spans="1:15" x14ac:dyDescent="0.25">
      <c r="A226" s="36" t="s">
        <v>25</v>
      </c>
      <c r="D226" s="268">
        <f>D136/'Colleges FYES'!E$52</f>
        <v>9664.055196356152</v>
      </c>
      <c r="E226" s="268">
        <f>E136/'Colleges FYES'!F$52</f>
        <v>9352.7893510393933</v>
      </c>
      <c r="F226" s="268">
        <f>F136/'Colleges FYES'!G$52</f>
        <v>9440.2212483698095</v>
      </c>
      <c r="G226" s="268">
        <f>G136/'Colleges FYES'!H$52</f>
        <v>9325.936712886798</v>
      </c>
      <c r="H226" s="268">
        <f>H136/'Colleges FYES'!I$52</f>
        <v>9385.6083946155777</v>
      </c>
      <c r="I226" s="268">
        <f>I136/'Colleges FYES'!J$52</f>
        <v>9535.0623793153518</v>
      </c>
      <c r="J226" s="268">
        <f>J136/'Colleges FYES'!K$52</f>
        <v>9460.0608308793908</v>
      </c>
      <c r="K226" s="268">
        <f>K136/'Colleges FYES'!L$52</f>
        <v>9663.6061655939047</v>
      </c>
      <c r="L226" s="268">
        <f>L136/'Colleges FYES'!M$52</f>
        <v>9984.7976749785103</v>
      </c>
      <c r="M226" s="268">
        <f>M136/'Colleges FYES'!N$52</f>
        <v>10042.737659024466</v>
      </c>
      <c r="N226" s="268">
        <f>N136/'Colleges FYES'!O$52</f>
        <v>10252.38912442121</v>
      </c>
      <c r="O226" s="268">
        <f>O136/'Colleges FYES'!P$52</f>
        <v>10081.87080751846</v>
      </c>
    </row>
    <row r="227" spans="1:15" x14ac:dyDescent="0.25">
      <c r="A227" s="36"/>
      <c r="D227" s="268">
        <f>D137/'Colleges FYES'!E$52</f>
        <v>0</v>
      </c>
      <c r="E227" s="268">
        <f>E137/'Colleges FYES'!F$52</f>
        <v>0</v>
      </c>
      <c r="F227" s="268">
        <f>F137/'Colleges FYES'!G$52</f>
        <v>0</v>
      </c>
      <c r="G227" s="268">
        <f>G137/'Colleges FYES'!H$52</f>
        <v>0</v>
      </c>
      <c r="H227" s="268">
        <f>H137/'Colleges FYES'!I$52</f>
        <v>0</v>
      </c>
      <c r="I227" s="268">
        <f>I137/'Colleges FYES'!J$52</f>
        <v>0</v>
      </c>
      <c r="J227" s="268">
        <f>J137/'Colleges FYES'!K$52</f>
        <v>0</v>
      </c>
      <c r="K227" s="268">
        <f>K137/'Colleges FYES'!L$52</f>
        <v>0</v>
      </c>
      <c r="L227" s="268">
        <f>L137/'Colleges FYES'!M$52</f>
        <v>0</v>
      </c>
      <c r="M227" s="268">
        <f>M137/'Colleges FYES'!N$52</f>
        <v>0</v>
      </c>
      <c r="N227" s="268">
        <f>N137/'Colleges FYES'!O$52</f>
        <v>0</v>
      </c>
      <c r="O227" s="268">
        <f>O137/'Colleges FYES'!P$52</f>
        <v>0</v>
      </c>
    </row>
    <row r="228" spans="1:15" ht="18" x14ac:dyDescent="0.25">
      <c r="A228" s="43" t="s">
        <v>87</v>
      </c>
      <c r="D228" s="268">
        <f>D138/'Colleges FYES'!E$52</f>
        <v>0</v>
      </c>
      <c r="E228" s="268">
        <f>E138/'Colleges FYES'!F$52</f>
        <v>0</v>
      </c>
      <c r="F228" s="268">
        <f>F138/'Colleges FYES'!G$52</f>
        <v>0</v>
      </c>
      <c r="G228" s="268">
        <f>G138/'Colleges FYES'!H$52</f>
        <v>0</v>
      </c>
      <c r="H228" s="268">
        <f>H138/'Colleges FYES'!I$52</f>
        <v>0</v>
      </c>
      <c r="I228" s="268">
        <f>I138/'Colleges FYES'!J$52</f>
        <v>0</v>
      </c>
      <c r="J228" s="268">
        <f>J138/'Colleges FYES'!K$52</f>
        <v>0</v>
      </c>
      <c r="K228" s="268">
        <f>K138/'Colleges FYES'!L$52</f>
        <v>0</v>
      </c>
      <c r="L228" s="268">
        <f>L138/'Colleges FYES'!M$52</f>
        <v>0</v>
      </c>
      <c r="M228" s="268">
        <f>M138/'Colleges FYES'!N$52</f>
        <v>0</v>
      </c>
      <c r="N228" s="268">
        <f>N138/'Colleges FYES'!O$52</f>
        <v>0</v>
      </c>
      <c r="O228" s="268">
        <f>O138/'Colleges FYES'!P$52</f>
        <v>0</v>
      </c>
    </row>
    <row r="229" spans="1:15" x14ac:dyDescent="0.25">
      <c r="A229" s="36" t="s">
        <v>54</v>
      </c>
      <c r="D229" s="268">
        <f>D139/'Colleges FYES'!E$52</f>
        <v>11.17560755038696</v>
      </c>
      <c r="E229" s="268">
        <f>E139/'Colleges FYES'!F$52</f>
        <v>6.2238126470369677</v>
      </c>
      <c r="F229" s="268">
        <f>F139/'Colleges FYES'!G$52</f>
        <v>5.8024915850246197</v>
      </c>
      <c r="G229" s="268">
        <f>G139/'Colleges FYES'!H$52</f>
        <v>5.2408854055589211</v>
      </c>
      <c r="H229" s="268">
        <f>H139/'Colleges FYES'!I$52</f>
        <v>5.1818033232526188</v>
      </c>
      <c r="I229" s="268">
        <f>I139/'Colleges FYES'!J$52</f>
        <v>10.540379969487651</v>
      </c>
      <c r="J229" s="268">
        <f>J139/'Colleges FYES'!K$52</f>
        <v>10.147495009506027</v>
      </c>
      <c r="K229" s="268">
        <f>K139/'Colleges FYES'!L$52</f>
        <v>12.677963670319734</v>
      </c>
      <c r="L229" s="268">
        <f>L139/'Colleges FYES'!M$52</f>
        <v>12.707698228365668</v>
      </c>
      <c r="M229" s="268">
        <f>M139/'Colleges FYES'!N$52</f>
        <v>9.1946204868603427</v>
      </c>
      <c r="N229" s="268">
        <f>N139/'Colleges FYES'!O$52</f>
        <v>9.2274660392056198</v>
      </c>
      <c r="O229" s="268">
        <f>O139/'Colleges FYES'!P$52</f>
        <v>9.085307356700584</v>
      </c>
    </row>
    <row r="230" spans="1:15" x14ac:dyDescent="0.25">
      <c r="A230" s="36" t="s">
        <v>88</v>
      </c>
      <c r="D230" s="268">
        <f>D140/'Colleges FYES'!E$52</f>
        <v>0</v>
      </c>
      <c r="E230" s="268">
        <f>E140/'Colleges FYES'!F$52</f>
        <v>0</v>
      </c>
      <c r="F230" s="268">
        <f>F140/'Colleges FYES'!G$52</f>
        <v>0</v>
      </c>
      <c r="G230" s="268">
        <f>G140/'Colleges FYES'!H$52</f>
        <v>0</v>
      </c>
      <c r="H230" s="268">
        <f>H140/'Colleges FYES'!I$52</f>
        <v>27.959141166291431</v>
      </c>
      <c r="I230" s="268">
        <f>I140/'Colleges FYES'!J$52</f>
        <v>32.456341729884059</v>
      </c>
      <c r="J230" s="268">
        <f>J140/'Colleges FYES'!K$52</f>
        <v>34.400504776168582</v>
      </c>
      <c r="K230" s="268">
        <f>K140/'Colleges FYES'!L$52</f>
        <v>35.689979550894485</v>
      </c>
      <c r="L230" s="268">
        <f>L140/'Colleges FYES'!M$52</f>
        <v>36.228874381187168</v>
      </c>
      <c r="M230" s="268">
        <f>M140/'Colleges FYES'!N$52</f>
        <v>35.329253099542385</v>
      </c>
      <c r="N230" s="268">
        <f>N140/'Colleges FYES'!O$52</f>
        <v>39.031467085272595</v>
      </c>
      <c r="O230" s="268">
        <f>O140/'Colleges FYES'!P$52</f>
        <v>38.180311068805786</v>
      </c>
    </row>
    <row r="231" spans="1:15" x14ac:dyDescent="0.25">
      <c r="A231" s="77" t="s">
        <v>89</v>
      </c>
      <c r="D231" s="268">
        <f>D141/'Colleges FYES'!E$52</f>
        <v>0</v>
      </c>
      <c r="E231" s="268">
        <f>E141/'Colleges FYES'!F$52</f>
        <v>0</v>
      </c>
      <c r="F231" s="268">
        <f>F141/'Colleges FYES'!G$52</f>
        <v>0</v>
      </c>
      <c r="G231" s="268">
        <f>G141/'Colleges FYES'!H$52</f>
        <v>0</v>
      </c>
      <c r="H231" s="268">
        <f>H141/'Colleges FYES'!I$52</f>
        <v>5.0710958786715787</v>
      </c>
      <c r="I231" s="268">
        <f>I141/'Colleges FYES'!J$52</f>
        <v>6.4944238784285444</v>
      </c>
      <c r="J231" s="268">
        <f>J141/'Colleges FYES'!K$52</f>
        <v>6.3402631299396583</v>
      </c>
      <c r="K231" s="268">
        <f>K141/'Colleges FYES'!L$52</f>
        <v>6.3146927335808867</v>
      </c>
      <c r="L231" s="268">
        <f>L141/'Colleges FYES'!M$52</f>
        <v>6.1868710931029876</v>
      </c>
      <c r="M231" s="268">
        <f>M141/'Colleges FYES'!N$52</f>
        <v>6.1507745018672644</v>
      </c>
      <c r="N231" s="268">
        <f>N141/'Colleges FYES'!O$52</f>
        <v>6.1740752761646487</v>
      </c>
      <c r="O231" s="268">
        <f>O141/'Colleges FYES'!P$52</f>
        <v>5.7570824536173859</v>
      </c>
    </row>
    <row r="232" spans="1:15" x14ac:dyDescent="0.25">
      <c r="A232" s="36" t="s">
        <v>14</v>
      </c>
      <c r="D232" s="268">
        <f>D142/'Colleges FYES'!E$52</f>
        <v>4.6634276795454728</v>
      </c>
      <c r="E232" s="268">
        <f>E142/'Colleges FYES'!F$52</f>
        <v>4.3016590161122235</v>
      </c>
      <c r="F232" s="268">
        <f>F142/'Colleges FYES'!G$52</f>
        <v>3.9770488776906197</v>
      </c>
      <c r="G232" s="268">
        <f>G142/'Colleges FYES'!H$52</f>
        <v>3.7567616020972592</v>
      </c>
      <c r="H232" s="268">
        <f>H142/'Colleges FYES'!I$52</f>
        <v>3.3140944489544051</v>
      </c>
      <c r="I232" s="268">
        <f>I142/'Colleges FYES'!J$52</f>
        <v>3.1172716207554227</v>
      </c>
      <c r="J232" s="268">
        <f>J142/'Colleges FYES'!K$52</f>
        <v>2.9834533799293315</v>
      </c>
      <c r="K232" s="268">
        <f>K142/'Colleges FYES'!L$52</f>
        <v>2.9115869738911013</v>
      </c>
      <c r="L232" s="268">
        <f>L142/'Colleges FYES'!M$52</f>
        <v>10.670836780942274</v>
      </c>
      <c r="M232" s="268">
        <f>M142/'Colleges FYES'!N$52</f>
        <v>12.556307328155755</v>
      </c>
      <c r="N232" s="268">
        <f>N142/'Colleges FYES'!O$52</f>
        <v>12.856425161571551</v>
      </c>
      <c r="O232" s="268">
        <f>O142/'Colleges FYES'!P$52</f>
        <v>11.084140427911292</v>
      </c>
    </row>
    <row r="233" spans="1:15" x14ac:dyDescent="0.25">
      <c r="A233" s="36" t="s">
        <v>25</v>
      </c>
      <c r="D233" s="268">
        <f>D143/'Colleges FYES'!E$52</f>
        <v>15.839035229932435</v>
      </c>
      <c r="E233" s="268">
        <f>E143/'Colleges FYES'!F$52</f>
        <v>10.525471663149192</v>
      </c>
      <c r="F233" s="268">
        <f>F143/'Colleges FYES'!G$52</f>
        <v>9.7795404627152394</v>
      </c>
      <c r="G233" s="268">
        <f>G143/'Colleges FYES'!H$52</f>
        <v>8.9976470076561803</v>
      </c>
      <c r="H233" s="268">
        <f>H143/'Colleges FYES'!I$52</f>
        <v>41.526134817170039</v>
      </c>
      <c r="I233" s="268">
        <f>I143/'Colleges FYES'!J$52</f>
        <v>52.608417198555671</v>
      </c>
      <c r="J233" s="268">
        <f>J143/'Colleges FYES'!K$52</f>
        <v>53.871716295543607</v>
      </c>
      <c r="K233" s="268">
        <f>K143/'Colleges FYES'!L$52</f>
        <v>57.594222928686207</v>
      </c>
      <c r="L233" s="268">
        <f>L143/'Colleges FYES'!M$52</f>
        <v>65.794280483598087</v>
      </c>
      <c r="M233" s="268">
        <f>M143/'Colleges FYES'!N$52</f>
        <v>63.230955416425751</v>
      </c>
      <c r="N233" s="268">
        <f>N143/'Colleges FYES'!O$52</f>
        <v>67.289433562214427</v>
      </c>
      <c r="O233" s="268">
        <f>O143/'Colleges FYES'!P$52</f>
        <v>64.106841307035054</v>
      </c>
    </row>
    <row r="234" spans="1:15" x14ac:dyDescent="0.25">
      <c r="A234" s="28"/>
      <c r="D234" s="268">
        <f>D144/'Colleges FYES'!E$52</f>
        <v>0</v>
      </c>
      <c r="E234" s="268">
        <f>E144/'Colleges FYES'!F$52</f>
        <v>0</v>
      </c>
      <c r="F234" s="268">
        <f>F144/'Colleges FYES'!G$52</f>
        <v>0</v>
      </c>
      <c r="G234" s="268">
        <f>G144/'Colleges FYES'!H$52</f>
        <v>0</v>
      </c>
      <c r="H234" s="268">
        <f>H144/'Colleges FYES'!I$52</f>
        <v>0</v>
      </c>
      <c r="I234" s="268">
        <f>I144/'Colleges FYES'!J$52</f>
        <v>0</v>
      </c>
      <c r="J234" s="268">
        <f>J144/'Colleges FYES'!K$52</f>
        <v>0</v>
      </c>
      <c r="K234" s="268">
        <f>K144/'Colleges FYES'!L$52</f>
        <v>0</v>
      </c>
      <c r="L234" s="268">
        <f>L144/'Colleges FYES'!M$52</f>
        <v>0</v>
      </c>
      <c r="M234" s="268">
        <f>M144/'Colleges FYES'!N$52</f>
        <v>0</v>
      </c>
      <c r="N234" s="268">
        <f>N144/'Colleges FYES'!O$52</f>
        <v>0</v>
      </c>
      <c r="O234" s="268">
        <f>O144/'Colleges FYES'!P$52</f>
        <v>0</v>
      </c>
    </row>
    <row r="235" spans="1:15" ht="18" x14ac:dyDescent="0.25">
      <c r="A235" s="43" t="s">
        <v>90</v>
      </c>
      <c r="D235" s="268">
        <f>D145/'Colleges FYES'!E$52</f>
        <v>0</v>
      </c>
      <c r="E235" s="268">
        <f>E145/'Colleges FYES'!F$52</f>
        <v>0</v>
      </c>
      <c r="F235" s="268">
        <f>F145/'Colleges FYES'!G$52</f>
        <v>0</v>
      </c>
      <c r="G235" s="268">
        <f>G145/'Colleges FYES'!H$52</f>
        <v>0</v>
      </c>
      <c r="H235" s="268">
        <f>H145/'Colleges FYES'!I$52</f>
        <v>0</v>
      </c>
      <c r="I235" s="268">
        <f>I145/'Colleges FYES'!J$52</f>
        <v>0</v>
      </c>
      <c r="J235" s="268">
        <f>J145/'Colleges FYES'!K$52</f>
        <v>0</v>
      </c>
      <c r="K235" s="268">
        <f>K145/'Colleges FYES'!L$52</f>
        <v>0</v>
      </c>
      <c r="L235" s="268">
        <f>L145/'Colleges FYES'!M$52</f>
        <v>0</v>
      </c>
      <c r="M235" s="268">
        <f>M145/'Colleges FYES'!N$52</f>
        <v>0</v>
      </c>
      <c r="N235" s="268">
        <f>N145/'Colleges FYES'!O$52</f>
        <v>0</v>
      </c>
      <c r="O235" s="268">
        <f>O145/'Colleges FYES'!P$52</f>
        <v>0</v>
      </c>
    </row>
    <row r="236" spans="1:15" x14ac:dyDescent="0.25">
      <c r="A236" s="36" t="s">
        <v>27</v>
      </c>
      <c r="D236" s="268">
        <f>D146/'Colleges FYES'!E$52</f>
        <v>189.5879374339691</v>
      </c>
      <c r="E236" s="268">
        <f>E146/'Colleges FYES'!F$52</f>
        <v>179.45200773052983</v>
      </c>
      <c r="F236" s="268">
        <f>F146/'Colleges FYES'!G$52</f>
        <v>176.1827758688928</v>
      </c>
      <c r="G236" s="268">
        <f>G146/'Colleges FYES'!H$52</f>
        <v>182.63500233364013</v>
      </c>
      <c r="H236" s="268">
        <f>H146/'Colleges FYES'!I$52</f>
        <v>195.00607156630508</v>
      </c>
      <c r="I236" s="268">
        <f>I146/'Colleges FYES'!J$52</f>
        <v>198.85066709340629</v>
      </c>
      <c r="J236" s="268">
        <f>J146/'Colleges FYES'!K$52</f>
        <v>201.10943610782181</v>
      </c>
      <c r="K236" s="268">
        <f>K146/'Colleges FYES'!L$52</f>
        <v>202.67715817558596</v>
      </c>
      <c r="L236" s="268">
        <f>L146/'Colleges FYES'!M$52</f>
        <v>202.38219772316248</v>
      </c>
      <c r="M236" s="268">
        <f>M146/'Colleges FYES'!N$52</f>
        <v>202.05532252517287</v>
      </c>
      <c r="N236" s="268">
        <f>N146/'Colleges FYES'!O$52</f>
        <v>208.77633585873102</v>
      </c>
      <c r="O236" s="268">
        <f>O146/'Colleges FYES'!P$52</f>
        <v>222.31568976898924</v>
      </c>
    </row>
    <row r="237" spans="1:15" x14ac:dyDescent="0.25">
      <c r="A237" s="36" t="s">
        <v>28</v>
      </c>
      <c r="D237" s="268">
        <f>D147/'Colleges FYES'!E$52</f>
        <v>77.580063092291908</v>
      </c>
      <c r="E237" s="268">
        <f>E147/'Colleges FYES'!F$52</f>
        <v>75.153980760364732</v>
      </c>
      <c r="F237" s="268">
        <f>F147/'Colleges FYES'!G$52</f>
        <v>82.320976352927715</v>
      </c>
      <c r="G237" s="268">
        <f>G147/'Colleges FYES'!H$52</f>
        <v>83.971072507342143</v>
      </c>
      <c r="H237" s="268">
        <f>H147/'Colleges FYES'!I$52</f>
        <v>96.842655093033983</v>
      </c>
      <c r="I237" s="268">
        <f>I147/'Colleges FYES'!J$52</f>
        <v>95.32773378614381</v>
      </c>
      <c r="J237" s="268">
        <f>J147/'Colleges FYES'!K$52</f>
        <v>94.371417760186858</v>
      </c>
      <c r="K237" s="268">
        <f>K147/'Colleges FYES'!L$52</f>
        <v>94.644971106502737</v>
      </c>
      <c r="L237" s="268">
        <f>L147/'Colleges FYES'!M$52</f>
        <v>100.653009458553</v>
      </c>
      <c r="M237" s="268">
        <f>M147/'Colleges FYES'!N$52</f>
        <v>93.502072030219637</v>
      </c>
      <c r="N237" s="268">
        <f>N147/'Colleges FYES'!O$52</f>
        <v>96.469255101735286</v>
      </c>
      <c r="O237" s="268">
        <f>O147/'Colleges FYES'!P$52</f>
        <v>91.950856215298359</v>
      </c>
    </row>
    <row r="238" spans="1:15" x14ac:dyDescent="0.25">
      <c r="A238" s="36" t="s">
        <v>29</v>
      </c>
      <c r="D238" s="268">
        <f>D148/'Colleges FYES'!E$52</f>
        <v>729.49110623454612</v>
      </c>
      <c r="E238" s="268">
        <f>E148/'Colleges FYES'!F$52</f>
        <v>668.61302246914772</v>
      </c>
      <c r="F238" s="268">
        <f>F148/'Colleges FYES'!G$52</f>
        <v>669.00530981154361</v>
      </c>
      <c r="G238" s="268">
        <f>G148/'Colleges FYES'!H$52</f>
        <v>635.4764808939849</v>
      </c>
      <c r="H238" s="268">
        <f>H148/'Colleges FYES'!I$52</f>
        <v>657.23858759243728</v>
      </c>
      <c r="I238" s="268">
        <f>I148/'Colleges FYES'!J$52</f>
        <v>661.85546362485786</v>
      </c>
      <c r="J238" s="268">
        <f>J148/'Colleges FYES'!K$52</f>
        <v>646.82273450724745</v>
      </c>
      <c r="K238" s="268">
        <f>K148/'Colleges FYES'!L$52</f>
        <v>660.91203282594245</v>
      </c>
      <c r="L238" s="268">
        <f>L148/'Colleges FYES'!M$52</f>
        <v>694.89304922913311</v>
      </c>
      <c r="M238" s="268">
        <f>M148/'Colleges FYES'!N$52</f>
        <v>690.85302723374218</v>
      </c>
      <c r="N238" s="268">
        <f>N148/'Colleges FYES'!O$52</f>
        <v>736.42196919643425</v>
      </c>
      <c r="O238" s="268">
        <f>O148/'Colleges FYES'!P$52</f>
        <v>746.61095080385314</v>
      </c>
    </row>
    <row r="239" spans="1:15" x14ac:dyDescent="0.25">
      <c r="A239" s="36" t="s">
        <v>49</v>
      </c>
      <c r="D239" s="268">
        <f>D149/'Colleges FYES'!E$52</f>
        <v>399.96527682143665</v>
      </c>
      <c r="E239" s="268">
        <f>E149/'Colleges FYES'!F$52</f>
        <v>351.11844845671226</v>
      </c>
      <c r="F239" s="268">
        <f>F149/'Colleges FYES'!G$52</f>
        <v>347.1889051532371</v>
      </c>
      <c r="G239" s="268">
        <f>G149/'Colleges FYES'!H$52</f>
        <v>297.20163377764925</v>
      </c>
      <c r="H239" s="268">
        <f>H149/'Colleges FYES'!I$52</f>
        <v>302.40145852367027</v>
      </c>
      <c r="I239" s="268">
        <f>I149/'Colleges FYES'!J$52</f>
        <v>300.12370576258337</v>
      </c>
      <c r="J239" s="268">
        <f>J149/'Colleges FYES'!K$52</f>
        <v>283.5440742063941</v>
      </c>
      <c r="K239" s="268">
        <f>K149/'Colleges FYES'!L$52</f>
        <v>279.75371421692864</v>
      </c>
      <c r="L239" s="268">
        <f>L149/'Colleges FYES'!M$52</f>
        <v>282.83830289919928</v>
      </c>
      <c r="M239" s="268">
        <f>M149/'Colleges FYES'!N$52</f>
        <v>280.44217239750611</v>
      </c>
      <c r="N239" s="268">
        <f>N149/'Colleges FYES'!O$52</f>
        <v>302.42345443814901</v>
      </c>
      <c r="O239" s="268">
        <f>O149/'Colleges FYES'!P$52</f>
        <v>241.52092523988429</v>
      </c>
    </row>
    <row r="240" spans="1:15" x14ac:dyDescent="0.25">
      <c r="A240" s="36" t="s">
        <v>30</v>
      </c>
      <c r="D240" s="268">
        <f>D150/'Colleges FYES'!E$52</f>
        <v>262.06252949205049</v>
      </c>
      <c r="E240" s="268">
        <f>E150/'Colleges FYES'!F$52</f>
        <v>253.61797237359161</v>
      </c>
      <c r="F240" s="268">
        <f>F150/'Colleges FYES'!G$52</f>
        <v>255.83651949563512</v>
      </c>
      <c r="G240" s="268">
        <f>G150/'Colleges FYES'!H$52</f>
        <v>255.78302205090756</v>
      </c>
      <c r="H240" s="268">
        <f>H150/'Colleges FYES'!I$52</f>
        <v>267.90201147960011</v>
      </c>
      <c r="I240" s="268">
        <f>I150/'Colleges FYES'!J$52</f>
        <v>287.40595205260638</v>
      </c>
      <c r="J240" s="268">
        <f>J150/'Colleges FYES'!K$52</f>
        <v>293.33919155851044</v>
      </c>
      <c r="K240" s="268">
        <f>K150/'Colleges FYES'!L$52</f>
        <v>294.59032902757741</v>
      </c>
      <c r="L240" s="268">
        <f>L150/'Colleges FYES'!M$52</f>
        <v>305.14346720370838</v>
      </c>
      <c r="M240" s="268">
        <f>M150/'Colleges FYES'!N$52</f>
        <v>303.00523089962672</v>
      </c>
      <c r="N240" s="268">
        <f>N150/'Colleges FYES'!O$52</f>
        <v>311.6685802729146</v>
      </c>
      <c r="O240" s="268">
        <f>O150/'Colleges FYES'!P$52</f>
        <v>303.96213465685003</v>
      </c>
    </row>
    <row r="241" spans="1:15" x14ac:dyDescent="0.25">
      <c r="A241" s="36" t="s">
        <v>70</v>
      </c>
      <c r="D241" s="268">
        <f>D151/'Colleges FYES'!E$52</f>
        <v>0</v>
      </c>
      <c r="E241" s="268">
        <f>E151/'Colleges FYES'!F$52</f>
        <v>68.423651226769152</v>
      </c>
      <c r="F241" s="268">
        <f>F151/'Colleges FYES'!G$52</f>
        <v>59.51809419524924</v>
      </c>
      <c r="G241" s="268">
        <f>G151/'Colleges FYES'!H$52</f>
        <v>77.608370628366544</v>
      </c>
      <c r="H241" s="268">
        <f>H151/'Colleges FYES'!I$52</f>
        <v>50.371587751244142</v>
      </c>
      <c r="I241" s="268">
        <f>I151/'Colleges FYES'!J$52</f>
        <v>46.228043278739754</v>
      </c>
      <c r="J241" s="268">
        <f>J151/'Colleges FYES'!K$52</f>
        <v>50.783207562600005</v>
      </c>
      <c r="K241" s="268">
        <f>K151/'Colleges FYES'!L$52</f>
        <v>35.769030971418054</v>
      </c>
      <c r="L241" s="268">
        <f>L151/'Colleges FYES'!M$52</f>
        <v>27.912214489782649</v>
      </c>
      <c r="M241" s="268">
        <f>M151/'Colleges FYES'!N$52</f>
        <v>30.393386445034171</v>
      </c>
      <c r="N241" s="268">
        <f>N151/'Colleges FYES'!O$52</f>
        <v>25.157048097823452</v>
      </c>
      <c r="O241" s="268">
        <f>O151/'Colleges FYES'!P$52</f>
        <v>0</v>
      </c>
    </row>
    <row r="242" spans="1:15" x14ac:dyDescent="0.25">
      <c r="A242" s="36" t="s">
        <v>14</v>
      </c>
      <c r="D242" s="268">
        <f>D152/'Colleges FYES'!E$52</f>
        <v>12.084771946030045</v>
      </c>
      <c r="E242" s="268">
        <f>E152/'Colleges FYES'!F$52</f>
        <v>11.147287311286652</v>
      </c>
      <c r="F242" s="268">
        <f>F152/'Colleges FYES'!G$52</f>
        <v>12.145951923004947</v>
      </c>
      <c r="G242" s="268">
        <f>G152/'Colleges FYES'!H$52</f>
        <v>11.529745238243235</v>
      </c>
      <c r="H242" s="268">
        <f>H152/'Colleges FYES'!I$52</f>
        <v>9.6524550909741063</v>
      </c>
      <c r="I242" s="268">
        <f>I152/'Colleges FYES'!J$52</f>
        <v>13.17045991921306</v>
      </c>
      <c r="J242" s="268">
        <f>J152/'Colleges FYES'!K$52</f>
        <v>11.256832079066346</v>
      </c>
      <c r="K242" s="268">
        <f>K152/'Colleges FYES'!L$52</f>
        <v>10.985673806461625</v>
      </c>
      <c r="L242" s="268">
        <f>L152/'Colleges FYES'!M$52</f>
        <v>10.854403400192309</v>
      </c>
      <c r="M242" s="268">
        <f>M152/'Colleges FYES'!N$52</f>
        <v>9.77885477771434</v>
      </c>
      <c r="N242" s="268">
        <f>N152/'Colleges FYES'!O$52</f>
        <v>9.520594148661166</v>
      </c>
      <c r="O242" s="268">
        <f>O152/'Colleges FYES'!P$52</f>
        <v>9.7387126755769664</v>
      </c>
    </row>
    <row r="243" spans="1:15" x14ac:dyDescent="0.25">
      <c r="A243" s="36" t="s">
        <v>25</v>
      </c>
      <c r="D243" s="268">
        <f>D153/'Colleges FYES'!E$52</f>
        <v>1670.7716850203242</v>
      </c>
      <c r="E243" s="268">
        <f>E153/'Colleges FYES'!F$52</f>
        <v>1607.526370328402</v>
      </c>
      <c r="F243" s="268">
        <f>F153/'Colleges FYES'!G$52</f>
        <v>1602.1985328004905</v>
      </c>
      <c r="G243" s="268">
        <f>G153/'Colleges FYES'!H$52</f>
        <v>1544.2053274301336</v>
      </c>
      <c r="H243" s="268">
        <f>H153/'Colleges FYES'!I$52</f>
        <v>1579.4148270972651</v>
      </c>
      <c r="I243" s="268">
        <f>I153/'Colleges FYES'!J$52</f>
        <v>1602.9620255175505</v>
      </c>
      <c r="J243" s="268">
        <f>J153/'Colleges FYES'!K$52</f>
        <v>1581.2268937818271</v>
      </c>
      <c r="K243" s="268">
        <f>K153/'Colleges FYES'!L$52</f>
        <v>1579.3329101304168</v>
      </c>
      <c r="L243" s="268">
        <f>L153/'Colleges FYES'!M$52</f>
        <v>1624.6766444037312</v>
      </c>
      <c r="M243" s="268">
        <f>M153/'Colleges FYES'!N$52</f>
        <v>1610.0300663090161</v>
      </c>
      <c r="N243" s="268">
        <f>N153/'Colleges FYES'!O$52</f>
        <v>1690.4372371144486</v>
      </c>
      <c r="O243" s="268">
        <f>O153/'Colleges FYES'!P$52</f>
        <v>1616.0992693604519</v>
      </c>
    </row>
    <row r="244" spans="1:15" x14ac:dyDescent="0.25">
      <c r="A244" s="36"/>
      <c r="D244" s="268">
        <f>D154/'Colleges FYES'!E$52</f>
        <v>0</v>
      </c>
      <c r="E244" s="268">
        <f>E154/'Colleges FYES'!F$52</f>
        <v>0</v>
      </c>
      <c r="F244" s="268">
        <f>F154/'Colleges FYES'!G$52</f>
        <v>0</v>
      </c>
      <c r="G244" s="268">
        <f>G154/'Colleges FYES'!H$52</f>
        <v>0</v>
      </c>
      <c r="H244" s="268">
        <f>H154/'Colleges FYES'!I$52</f>
        <v>0</v>
      </c>
      <c r="I244" s="268">
        <f>I154/'Colleges FYES'!J$52</f>
        <v>0</v>
      </c>
      <c r="J244" s="268">
        <f>J154/'Colleges FYES'!K$52</f>
        <v>0</v>
      </c>
      <c r="K244" s="268">
        <f>K154/'Colleges FYES'!L$52</f>
        <v>0</v>
      </c>
      <c r="L244" s="268">
        <f>L154/'Colleges FYES'!M$52</f>
        <v>0</v>
      </c>
      <c r="M244" s="268">
        <f>M154/'Colleges FYES'!N$52</f>
        <v>0</v>
      </c>
      <c r="N244" s="268">
        <f>N154/'Colleges FYES'!O$52</f>
        <v>0</v>
      </c>
      <c r="O244" s="268">
        <f>O154/'Colleges FYES'!P$52</f>
        <v>0</v>
      </c>
    </row>
    <row r="245" spans="1:15" ht="18" x14ac:dyDescent="0.25">
      <c r="A245" s="43" t="s">
        <v>31</v>
      </c>
      <c r="D245" s="268">
        <f>D155/'Colleges FYES'!E$52</f>
        <v>0</v>
      </c>
      <c r="E245" s="268">
        <f>E155/'Colleges FYES'!F$52</f>
        <v>0</v>
      </c>
      <c r="F245" s="268">
        <f>F155/'Colleges FYES'!G$52</f>
        <v>0</v>
      </c>
      <c r="G245" s="268">
        <f>G155/'Colleges FYES'!H$52</f>
        <v>0</v>
      </c>
      <c r="H245" s="268">
        <f>H155/'Colleges FYES'!I$52</f>
        <v>0</v>
      </c>
      <c r="I245" s="268">
        <f>I155/'Colleges FYES'!J$52</f>
        <v>0</v>
      </c>
      <c r="J245" s="268">
        <f>J155/'Colleges FYES'!K$52</f>
        <v>0</v>
      </c>
      <c r="K245" s="268">
        <f>K155/'Colleges FYES'!L$52</f>
        <v>0</v>
      </c>
      <c r="L245" s="268">
        <f>L155/'Colleges FYES'!M$52</f>
        <v>0</v>
      </c>
      <c r="M245" s="268">
        <f>M155/'Colleges FYES'!N$52</f>
        <v>0</v>
      </c>
      <c r="N245" s="268">
        <f>N155/'Colleges FYES'!O$52</f>
        <v>0</v>
      </c>
      <c r="O245" s="268">
        <f>O155/'Colleges FYES'!P$52</f>
        <v>0</v>
      </c>
    </row>
    <row r="246" spans="1:15" x14ac:dyDescent="0.25">
      <c r="A246" s="36" t="s">
        <v>135</v>
      </c>
      <c r="D246" s="268">
        <f>D156/'Colleges FYES'!E$52</f>
        <v>65.93985013090186</v>
      </c>
      <c r="E246" s="268">
        <f>E156/'Colleges FYES'!F$52</f>
        <v>61.749665804963968</v>
      </c>
      <c r="F246" s="268">
        <f>F156/'Colleges FYES'!G$52</f>
        <v>63.537111896753252</v>
      </c>
      <c r="G246" s="268">
        <f>G156/'Colleges FYES'!H$52</f>
        <v>60.524829563702269</v>
      </c>
      <c r="H246" s="268">
        <f>H156/'Colleges FYES'!I$52</f>
        <v>68.719789118279351</v>
      </c>
      <c r="I246" s="268">
        <f>I156/'Colleges FYES'!J$52</f>
        <v>69.906989750160463</v>
      </c>
      <c r="J246" s="268">
        <f>J156/'Colleges FYES'!K$52</f>
        <v>70.943534739478253</v>
      </c>
      <c r="K246" s="268">
        <f>K156/'Colleges FYES'!L$52</f>
        <v>74.09833850927393</v>
      </c>
      <c r="L246" s="268">
        <f>L156/'Colleges FYES'!M$52</f>
        <v>78.490122284431465</v>
      </c>
      <c r="M246" s="268">
        <f>M156/'Colleges FYES'!N$52</f>
        <v>77.543253800441235</v>
      </c>
      <c r="N246" s="268">
        <f>N156/'Colleges FYES'!O$52</f>
        <v>81.220574166518389</v>
      </c>
      <c r="O246" s="268">
        <f>O156/'Colleges FYES'!P$52</f>
        <v>80.43281089582355</v>
      </c>
    </row>
    <row r="247" spans="1:15" x14ac:dyDescent="0.25">
      <c r="A247" s="36" t="s">
        <v>52</v>
      </c>
      <c r="D247" s="268">
        <f>D157/'Colleges FYES'!E$52</f>
        <v>182.91743010157768</v>
      </c>
      <c r="E247" s="268">
        <f>E157/'Colleges FYES'!F$52</f>
        <v>150.98474349671395</v>
      </c>
      <c r="F247" s="268">
        <f>F157/'Colleges FYES'!G$52</f>
        <v>150.29096146140876</v>
      </c>
      <c r="G247" s="268">
        <f>G157/'Colleges FYES'!H$52</f>
        <v>144.13720451513203</v>
      </c>
      <c r="H247" s="268">
        <f>H157/'Colleges FYES'!I$52</f>
        <v>144.14935995888277</v>
      </c>
      <c r="I247" s="268">
        <f>I157/'Colleges FYES'!J$52</f>
        <v>150.69036732712431</v>
      </c>
      <c r="J247" s="268">
        <f>J157/'Colleges FYES'!K$52</f>
        <v>149.89565260145079</v>
      </c>
      <c r="K247" s="268">
        <f>K157/'Colleges FYES'!L$52</f>
        <v>161.36989625952458</v>
      </c>
      <c r="L247" s="268">
        <f>L157/'Colleges FYES'!M$52</f>
        <v>170.96448482820588</v>
      </c>
      <c r="M247" s="268">
        <f>M157/'Colleges FYES'!N$52</f>
        <v>169.62235186170841</v>
      </c>
      <c r="N247" s="268">
        <f>N157/'Colleges FYES'!O$52</f>
        <v>174.4266773308604</v>
      </c>
      <c r="O247" s="268">
        <f>O157/'Colleges FYES'!P$52</f>
        <v>177.49744266807795</v>
      </c>
    </row>
    <row r="248" spans="1:15" x14ac:dyDescent="0.25">
      <c r="A248" s="36" t="s">
        <v>33</v>
      </c>
      <c r="D248" s="268">
        <f>D158/'Colleges FYES'!E$52</f>
        <v>43.652469140742909</v>
      </c>
      <c r="E248" s="268">
        <f>E158/'Colleges FYES'!F$52</f>
        <v>40.266098320439568</v>
      </c>
      <c r="F248" s="268">
        <f>F158/'Colleges FYES'!G$52</f>
        <v>37.227553493771978</v>
      </c>
      <c r="G248" s="268">
        <f>G158/'Colleges FYES'!H$52</f>
        <v>47.514760284242193</v>
      </c>
      <c r="H248" s="268">
        <f>H158/'Colleges FYES'!I$52</f>
        <v>44.946743246895593</v>
      </c>
      <c r="I248" s="268">
        <f>I158/'Colleges FYES'!J$52</f>
        <v>43.573395254925856</v>
      </c>
      <c r="J248" s="268">
        <f>J158/'Colleges FYES'!K$52</f>
        <v>41.702876477861089</v>
      </c>
      <c r="K248" s="268">
        <f>K158/'Colleges FYES'!L$52</f>
        <v>47.340327385180458</v>
      </c>
      <c r="L248" s="268">
        <f>L158/'Colleges FYES'!M$52</f>
        <v>48.178697281238385</v>
      </c>
      <c r="M248" s="268">
        <f>M158/'Colleges FYES'!N$52</f>
        <v>46.868247102815133</v>
      </c>
      <c r="N248" s="268">
        <f>N158/'Colleges FYES'!O$52</f>
        <v>45.630451547554649</v>
      </c>
      <c r="O248" s="268">
        <f>O158/'Colleges FYES'!P$52</f>
        <v>47.335419093872318</v>
      </c>
    </row>
    <row r="249" spans="1:15" x14ac:dyDescent="0.25">
      <c r="A249" s="36" t="s">
        <v>34</v>
      </c>
      <c r="D249" s="268">
        <f>D159/'Colleges FYES'!E$52</f>
        <v>3.5066309582408484</v>
      </c>
      <c r="E249" s="268">
        <f>E159/'Colleges FYES'!F$52</f>
        <v>3.2477993293038603</v>
      </c>
      <c r="F249" s="268">
        <f>F159/'Colleges FYES'!G$52</f>
        <v>3.0116988871330226</v>
      </c>
      <c r="G249" s="268">
        <f>G159/'Colleges FYES'!H$52</f>
        <v>2.840448936755386</v>
      </c>
      <c r="H249" s="268">
        <f>H159/'Colleges FYES'!I$52</f>
        <v>2.6907660069274972</v>
      </c>
      <c r="I249" s="268">
        <f>I159/'Colleges FYES'!J$52</f>
        <v>2.5349068370293999</v>
      </c>
      <c r="J249" s="268">
        <f>J159/'Colleges FYES'!K$52</f>
        <v>2.4326138646892201</v>
      </c>
      <c r="K249" s="268">
        <f>K159/'Colleges FYES'!L$52</f>
        <v>2.384226631916285</v>
      </c>
      <c r="L249" s="268">
        <f>L159/'Colleges FYES'!M$52</f>
        <v>2.3516287976558181</v>
      </c>
      <c r="M249" s="268">
        <f>M159/'Colleges FYES'!N$52</f>
        <v>2.2849332798764719</v>
      </c>
      <c r="N249" s="268">
        <f>N159/'Colleges FYES'!O$52</f>
        <v>2.2618875788836408</v>
      </c>
      <c r="O249" s="268">
        <f>O159/'Colleges FYES'!P$52</f>
        <v>2.1136091199973071</v>
      </c>
    </row>
    <row r="250" spans="1:15" x14ac:dyDescent="0.25">
      <c r="A250" s="36" t="s">
        <v>14</v>
      </c>
      <c r="D250" s="268">
        <f>D160/'Colleges FYES'!E$52</f>
        <v>1.9907280580086311</v>
      </c>
      <c r="E250" s="268">
        <f>E160/'Colleges FYES'!F$52</f>
        <v>4.3016590161122235</v>
      </c>
      <c r="F250" s="268">
        <f>F160/'Colleges FYES'!G$52</f>
        <v>1.6977260789561803</v>
      </c>
      <c r="G250" s="268">
        <f>G160/'Colleges FYES'!H$52</f>
        <v>1.6036896554324587</v>
      </c>
      <c r="H250" s="268">
        <f>H160/'Colleges FYES'!I$52</f>
        <v>1.5170154865398746</v>
      </c>
      <c r="I250" s="268">
        <f>I160/'Colleges FYES'!J$52</f>
        <v>1.4269205049147624</v>
      </c>
      <c r="J250" s="268">
        <f>J160/'Colleges FYES'!K$52</f>
        <v>1.3656656593328114</v>
      </c>
      <c r="K250" s="268">
        <f>K160/'Colleges FYES'!L$52</f>
        <v>1.3327690558710863</v>
      </c>
      <c r="L250" s="268">
        <f>L160/'Colleges FYES'!M$52</f>
        <v>1.3168434842120711</v>
      </c>
      <c r="M250" s="268">
        <f>M160/'Colleges FYES'!N$52</f>
        <v>1.2810256253611385</v>
      </c>
      <c r="N250" s="268">
        <f>N160/'Colleges FYES'!O$52</f>
        <v>1.2471935978528692</v>
      </c>
      <c r="O250" s="268">
        <f>O160/'Colleges FYES'!P$52</f>
        <v>1.1838997488484995</v>
      </c>
    </row>
    <row r="251" spans="1:15" x14ac:dyDescent="0.25">
      <c r="A251" s="36" t="s">
        <v>25</v>
      </c>
      <c r="D251" s="268">
        <f>D161/'Colleges FYES'!E$52</f>
        <v>298.00710838947185</v>
      </c>
      <c r="E251" s="268">
        <f>E161/'Colleges FYES'!F$52</f>
        <v>260.54996596753352</v>
      </c>
      <c r="F251" s="268">
        <f>F161/'Colleges FYES'!G$52</f>
        <v>255.76505181802315</v>
      </c>
      <c r="G251" s="268">
        <f>G161/'Colleges FYES'!H$52</f>
        <v>256.62093295526432</v>
      </c>
      <c r="H251" s="268">
        <f>H161/'Colleges FYES'!I$52</f>
        <v>262.02367381752509</v>
      </c>
      <c r="I251" s="268">
        <f>I161/'Colleges FYES'!J$52</f>
        <v>268.13257967415478</v>
      </c>
      <c r="J251" s="268">
        <f>J161/'Colleges FYES'!K$52</f>
        <v>266.34034334281222</v>
      </c>
      <c r="K251" s="268">
        <f>K161/'Colleges FYES'!L$52</f>
        <v>286.52555784176639</v>
      </c>
      <c r="L251" s="268">
        <f>L161/'Colleges FYES'!M$52</f>
        <v>301.30177667574361</v>
      </c>
      <c r="M251" s="268">
        <f>M161/'Colleges FYES'!N$52</f>
        <v>297.59981167020237</v>
      </c>
      <c r="N251" s="268">
        <f>N161/'Colleges FYES'!O$52</f>
        <v>304.78678422166996</v>
      </c>
      <c r="O251" s="268">
        <f>O161/'Colleges FYES'!P$52</f>
        <v>308.56318152661964</v>
      </c>
    </row>
    <row r="252" spans="1:15" x14ac:dyDescent="0.25">
      <c r="A252" s="36"/>
      <c r="D252" s="268">
        <f>D162/'Colleges FYES'!E$52</f>
        <v>0</v>
      </c>
      <c r="E252" s="268">
        <f>E162/'Colleges FYES'!F$52</f>
        <v>0</v>
      </c>
      <c r="F252" s="268">
        <f>F162/'Colleges FYES'!G$52</f>
        <v>0</v>
      </c>
      <c r="G252" s="268">
        <f>G162/'Colleges FYES'!H$52</f>
        <v>0</v>
      </c>
      <c r="H252" s="268">
        <f>H162/'Colleges FYES'!I$52</f>
        <v>0</v>
      </c>
      <c r="I252" s="268">
        <f>I162/'Colleges FYES'!J$52</f>
        <v>0</v>
      </c>
      <c r="J252" s="268">
        <f>J162/'Colleges FYES'!K$52</f>
        <v>0</v>
      </c>
      <c r="K252" s="268">
        <f>K162/'Colleges FYES'!L$52</f>
        <v>0</v>
      </c>
      <c r="L252" s="268">
        <f>L162/'Colleges FYES'!M$52</f>
        <v>0</v>
      </c>
      <c r="M252" s="268">
        <f>M162/'Colleges FYES'!N$52</f>
        <v>0</v>
      </c>
      <c r="N252" s="268">
        <f>N162/'Colleges FYES'!O$52</f>
        <v>0</v>
      </c>
      <c r="O252" s="268">
        <f>O162/'Colleges FYES'!P$52</f>
        <v>0</v>
      </c>
    </row>
    <row r="253" spans="1:15" ht="18" x14ac:dyDescent="0.25">
      <c r="A253" s="43" t="s">
        <v>47</v>
      </c>
      <c r="D253" s="268">
        <f>D163/'Colleges FYES'!E$52</f>
        <v>0</v>
      </c>
      <c r="E253" s="268">
        <f>E163/'Colleges FYES'!F$52</f>
        <v>0</v>
      </c>
      <c r="F253" s="268">
        <f>F163/'Colleges FYES'!G$52</f>
        <v>0</v>
      </c>
      <c r="G253" s="268">
        <f>G163/'Colleges FYES'!H$52</f>
        <v>0</v>
      </c>
      <c r="H253" s="268">
        <f>H163/'Colleges FYES'!I$52</f>
        <v>0</v>
      </c>
      <c r="I253" s="268">
        <f>I163/'Colleges FYES'!J$52</f>
        <v>0</v>
      </c>
      <c r="J253" s="268">
        <f>J163/'Colleges FYES'!K$52</f>
        <v>0</v>
      </c>
      <c r="K253" s="268">
        <f>K163/'Colleges FYES'!L$52</f>
        <v>0</v>
      </c>
      <c r="L253" s="268">
        <f>L163/'Colleges FYES'!M$52</f>
        <v>0</v>
      </c>
      <c r="M253" s="268">
        <f>M163/'Colleges FYES'!N$52</f>
        <v>0</v>
      </c>
      <c r="N253" s="268">
        <f>N163/'Colleges FYES'!O$52</f>
        <v>0</v>
      </c>
      <c r="O253" s="268">
        <f>O163/'Colleges FYES'!P$52</f>
        <v>0</v>
      </c>
    </row>
    <row r="254" spans="1:15" x14ac:dyDescent="0.25">
      <c r="A254" s="77" t="s">
        <v>216</v>
      </c>
      <c r="D254" s="268">
        <f>D164/'Colleges FYES'!E$52</f>
        <v>195.14543572930779</v>
      </c>
      <c r="E254" s="268">
        <f>E164/'Colleges FYES'!F$52</f>
        <v>189.61106137968036</v>
      </c>
      <c r="F254" s="268">
        <f>F164/'Colleges FYES'!G$52</f>
        <v>191.51152003106236</v>
      </c>
      <c r="G254" s="268">
        <f>G164/'Colleges FYES'!H$52</f>
        <v>194.63946453500469</v>
      </c>
      <c r="H254" s="268">
        <f>H164/'Colleges FYES'!I$52</f>
        <v>223.16811647436927</v>
      </c>
      <c r="I254" s="268">
        <f>I164/'Colleges FYES'!J$52</f>
        <v>230.41354234909977</v>
      </c>
      <c r="J254" s="268">
        <f>J164/'Colleges FYES'!K$52</f>
        <v>235.27868967571257</v>
      </c>
      <c r="K254" s="268">
        <f>K164/'Colleges FYES'!L$52</f>
        <v>236.11243542606118</v>
      </c>
      <c r="L254" s="268">
        <f>L164/'Colleges FYES'!M$52</f>
        <v>201.22676805939011</v>
      </c>
      <c r="M254" s="268">
        <f>M164/'Colleges FYES'!N$52</f>
        <v>213.05955674936362</v>
      </c>
      <c r="N254" s="268">
        <f>N164/'Colleges FYES'!O$52</f>
        <v>227.76494127895177</v>
      </c>
      <c r="O254" s="268">
        <f>O164/'Colleges FYES'!P$52</f>
        <v>239.95665158760289</v>
      </c>
    </row>
    <row r="255" spans="1:15" x14ac:dyDescent="0.25">
      <c r="A255" s="77" t="s">
        <v>93</v>
      </c>
      <c r="D255" s="268">
        <f>D165/'Colleges FYES'!E$52</f>
        <v>0</v>
      </c>
      <c r="E255" s="268">
        <f>E165/'Colleges FYES'!F$52</f>
        <v>0</v>
      </c>
      <c r="F255" s="268">
        <f>F165/'Colleges FYES'!G$52</f>
        <v>0</v>
      </c>
      <c r="G255" s="268">
        <f>G165/'Colleges FYES'!H$52</f>
        <v>0</v>
      </c>
      <c r="H255" s="268">
        <f>H165/'Colleges FYES'!I$52</f>
        <v>0</v>
      </c>
      <c r="I255" s="268">
        <f>I165/'Colleges FYES'!J$52</f>
        <v>0</v>
      </c>
      <c r="J255" s="268">
        <f>J165/'Colleges FYES'!K$52</f>
        <v>0</v>
      </c>
      <c r="K255" s="268">
        <f>K165/'Colleges FYES'!L$52</f>
        <v>0</v>
      </c>
      <c r="L255" s="268">
        <f>L165/'Colleges FYES'!M$52</f>
        <v>39.929587825642884</v>
      </c>
      <c r="M255" s="268">
        <f>M165/'Colleges FYES'!N$52</f>
        <v>39.755046643419313</v>
      </c>
      <c r="N255" s="268">
        <f>N165/'Colleges FYES'!O$52</f>
        <v>40.251900848101513</v>
      </c>
      <c r="O255" s="268">
        <f>O165/'Colleges FYES'!P$52</f>
        <v>38.735397026949698</v>
      </c>
    </row>
    <row r="256" spans="1:15" x14ac:dyDescent="0.25">
      <c r="A256" s="36" t="s">
        <v>94</v>
      </c>
      <c r="D256" s="268">
        <f>D166/'Colleges FYES'!E$52</f>
        <v>31.98081080466569</v>
      </c>
      <c r="E256" s="268">
        <f>E166/'Colleges FYES'!F$52</f>
        <v>30.46773400468097</v>
      </c>
      <c r="F256" s="268">
        <f>F166/'Colleges FYES'!G$52</f>
        <v>28.843442901427306</v>
      </c>
      <c r="G256" s="268">
        <f>G166/'Colleges FYES'!H$52</f>
        <v>27.747510475421954</v>
      </c>
      <c r="H256" s="268">
        <f>H166/'Colleges FYES'!I$52</f>
        <v>26.957083035605791</v>
      </c>
      <c r="I256" s="268">
        <f>I166/'Colleges FYES'!J$52</f>
        <v>30.092059040423344</v>
      </c>
      <c r="J256" s="268">
        <f>J166/'Colleges FYES'!K$52</f>
        <v>28.097399314723191</v>
      </c>
      <c r="K256" s="268">
        <f>K166/'Colleges FYES'!L$52</f>
        <v>29.474758977626216</v>
      </c>
      <c r="L256" s="268">
        <f>L166/'Colleges FYES'!M$52</f>
        <v>29.928743204025658</v>
      </c>
      <c r="M256" s="268">
        <f>M166/'Colleges FYES'!N$52</f>
        <v>29.629010296899796</v>
      </c>
      <c r="N256" s="268">
        <f>N166/'Colleges FYES'!O$52</f>
        <v>29.499299156335407</v>
      </c>
      <c r="O256" s="268">
        <f>O166/'Colleges FYES'!P$52</f>
        <v>27.537649349119288</v>
      </c>
    </row>
    <row r="257" spans="1:15" x14ac:dyDescent="0.25">
      <c r="A257" s="36" t="s">
        <v>25</v>
      </c>
      <c r="D257" s="268">
        <f>D167/'Colleges FYES'!E$52</f>
        <v>227.1262465339735</v>
      </c>
      <c r="E257" s="268">
        <f>E167/'Colleges FYES'!F$52</f>
        <v>220.07879538436131</v>
      </c>
      <c r="F257" s="268">
        <f>F167/'Colleges FYES'!G$52</f>
        <v>220.35496293248968</v>
      </c>
      <c r="G257" s="268">
        <f>G167/'Colleges FYES'!H$52</f>
        <v>222.38697501042665</v>
      </c>
      <c r="H257" s="268">
        <f>H167/'Colleges FYES'!I$52</f>
        <v>250.12519950997506</v>
      </c>
      <c r="I257" s="268">
        <f>I167/'Colleges FYES'!J$52</f>
        <v>260.50560138952312</v>
      </c>
      <c r="J257" s="268">
        <f>J167/'Colleges FYES'!K$52</f>
        <v>263.37608899043579</v>
      </c>
      <c r="K257" s="268">
        <f>K167/'Colleges FYES'!L$52</f>
        <v>265.58719440368736</v>
      </c>
      <c r="L257" s="268">
        <f>L167/'Colleges FYES'!M$52</f>
        <v>271.08509908905864</v>
      </c>
      <c r="M257" s="268">
        <f>M167/'Colleges FYES'!N$52</f>
        <v>282.44361368968276</v>
      </c>
      <c r="N257" s="268">
        <f>N167/'Colleges FYES'!O$52</f>
        <v>297.51614128338866</v>
      </c>
      <c r="O257" s="268">
        <f>O167/'Colleges FYES'!P$52</f>
        <v>306.22969796367187</v>
      </c>
    </row>
    <row r="258" spans="1:15" x14ac:dyDescent="0.25">
      <c r="A258" s="36"/>
      <c r="D258" s="268">
        <f>D168/'Colleges FYES'!E$52</f>
        <v>0</v>
      </c>
      <c r="E258" s="268">
        <f>E168/'Colleges FYES'!F$52</f>
        <v>0</v>
      </c>
      <c r="F258" s="268">
        <f>F168/'Colleges FYES'!G$52</f>
        <v>0</v>
      </c>
      <c r="G258" s="268">
        <f>G168/'Colleges FYES'!H$52</f>
        <v>0</v>
      </c>
      <c r="H258" s="268">
        <f>H168/'Colleges FYES'!I$52</f>
        <v>0</v>
      </c>
      <c r="I258" s="268">
        <f>I168/'Colleges FYES'!J$52</f>
        <v>0</v>
      </c>
      <c r="J258" s="268">
        <f>J168/'Colleges FYES'!K$52</f>
        <v>0</v>
      </c>
      <c r="K258" s="268">
        <f>K168/'Colleges FYES'!L$52</f>
        <v>0</v>
      </c>
      <c r="L258" s="268">
        <f>L168/'Colleges FYES'!M$52</f>
        <v>0</v>
      </c>
      <c r="M258" s="268">
        <f>M168/'Colleges FYES'!N$52</f>
        <v>0</v>
      </c>
      <c r="N258" s="268">
        <f>N168/'Colleges FYES'!O$52</f>
        <v>0</v>
      </c>
      <c r="O258" s="268">
        <f>O168/'Colleges FYES'!P$52</f>
        <v>0</v>
      </c>
    </row>
    <row r="259" spans="1:15" ht="18" x14ac:dyDescent="0.25">
      <c r="A259" s="43" t="s">
        <v>35</v>
      </c>
      <c r="D259" s="268">
        <f>D169/'Colleges FYES'!E$52</f>
        <v>0</v>
      </c>
      <c r="E259" s="268">
        <f>E169/'Colleges FYES'!F$52</f>
        <v>0</v>
      </c>
      <c r="F259" s="268">
        <f>F169/'Colleges FYES'!G$52</f>
        <v>0</v>
      </c>
      <c r="G259" s="268">
        <f>G169/'Colleges FYES'!H$52</f>
        <v>0</v>
      </c>
      <c r="H259" s="268">
        <f>H169/'Colleges FYES'!I$52</f>
        <v>0</v>
      </c>
      <c r="I259" s="268">
        <f>I169/'Colleges FYES'!J$52</f>
        <v>0</v>
      </c>
      <c r="J259" s="268">
        <f>J169/'Colleges FYES'!K$52</f>
        <v>0</v>
      </c>
      <c r="K259" s="268">
        <f>K169/'Colleges FYES'!L$52</f>
        <v>0</v>
      </c>
      <c r="L259" s="268">
        <f>L169/'Colleges FYES'!M$52</f>
        <v>0</v>
      </c>
      <c r="M259" s="268">
        <f>M169/'Colleges FYES'!N$52</f>
        <v>0</v>
      </c>
      <c r="N259" s="268">
        <f>N169/'Colleges FYES'!O$52</f>
        <v>0</v>
      </c>
      <c r="O259" s="268">
        <f>O169/'Colleges FYES'!P$52</f>
        <v>0</v>
      </c>
    </row>
    <row r="260" spans="1:15" x14ac:dyDescent="0.25">
      <c r="A260" s="36" t="s">
        <v>35</v>
      </c>
      <c r="D260" s="268">
        <f>D170/'Colleges FYES'!E$52</f>
        <v>220.16227524231394</v>
      </c>
      <c r="E260" s="268">
        <f>E170/'Colleges FYES'!F$52</f>
        <v>213.53171111523727</v>
      </c>
      <c r="F260" s="268">
        <f>F170/'Colleges FYES'!G$52</f>
        <v>204.6999212215984</v>
      </c>
      <c r="G260" s="268">
        <f>G170/'Colleges FYES'!H$52</f>
        <v>221.52835540183554</v>
      </c>
      <c r="H260" s="268">
        <f>H170/'Colleges FYES'!I$52</f>
        <v>200.83270981026675</v>
      </c>
      <c r="I260" s="268">
        <f>I170/'Colleges FYES'!J$52</f>
        <v>197.87346631165724</v>
      </c>
      <c r="J260" s="268">
        <f>J170/'Colleges FYES'!K$52</f>
        <v>185.16264832057638</v>
      </c>
      <c r="K260" s="268">
        <f>K170/'Colleges FYES'!L$52</f>
        <v>187.70338757140559</v>
      </c>
      <c r="L260" s="268">
        <f>L170/'Colleges FYES'!M$52</f>
        <v>208.06834276052652</v>
      </c>
      <c r="M260" s="268">
        <f>M170/'Colleges FYES'!N$52</f>
        <v>207.75531239063869</v>
      </c>
      <c r="N260" s="268">
        <f>N170/'Colleges FYES'!O$52</f>
        <v>211.80656466811638</v>
      </c>
      <c r="O260" s="268">
        <f>O170/'Colleges FYES'!P$52</f>
        <v>204.18415968971664</v>
      </c>
    </row>
    <row r="261" spans="1:15" x14ac:dyDescent="0.25">
      <c r="A261" s="36" t="s">
        <v>53</v>
      </c>
      <c r="D261" s="268">
        <f>D171/'Colleges FYES'!E$52</f>
        <v>44.376734733225376</v>
      </c>
      <c r="E261" s="268">
        <f>E171/'Colleges FYES'!F$52</f>
        <v>41.582389590992477</v>
      </c>
      <c r="F261" s="268">
        <f>F171/'Colleges FYES'!G$52</f>
        <v>42.704082744322605</v>
      </c>
      <c r="G261" s="268">
        <f>G171/'Colleges FYES'!H$52</f>
        <v>40.986768747616289</v>
      </c>
      <c r="H261" s="268">
        <f>H171/'Colleges FYES'!I$52</f>
        <v>39.74726746901559</v>
      </c>
      <c r="I261" s="268">
        <f>I171/'Colleges FYES'!J$52</f>
        <v>43.740300382105005</v>
      </c>
      <c r="J261" s="268">
        <f>J171/'Colleges FYES'!K$52</f>
        <v>41.491040016546897</v>
      </c>
      <c r="K261" s="268">
        <f>K171/'Colleges FYES'!L$52</f>
        <v>43.003393826323091</v>
      </c>
      <c r="L261" s="268">
        <f>L171/'Colleges FYES'!M$52</f>
        <v>45.330866590980925</v>
      </c>
      <c r="M261" s="268">
        <f>M171/'Colleges FYES'!N$52</f>
        <v>45.541743373074588</v>
      </c>
      <c r="N261" s="268">
        <f>N171/'Colleges FYES'!O$52</f>
        <v>48.179860212562104</v>
      </c>
      <c r="O261" s="268">
        <f>O171/'Colleges FYES'!P$52</f>
        <v>46.97879518342662</v>
      </c>
    </row>
    <row r="262" spans="1:15" x14ac:dyDescent="0.25">
      <c r="A262" s="36" t="s">
        <v>25</v>
      </c>
      <c r="D262" s="268">
        <f>D172/'Colleges FYES'!E$52</f>
        <v>264.53900997553933</v>
      </c>
      <c r="E262" s="268">
        <f>E172/'Colleges FYES'!F$52</f>
        <v>255.11410070622975</v>
      </c>
      <c r="F262" s="268">
        <f>F172/'Colleges FYES'!G$52</f>
        <v>247.40400396592099</v>
      </c>
      <c r="G262" s="268">
        <f>G172/'Colleges FYES'!H$52</f>
        <v>262.51512414945182</v>
      </c>
      <c r="H262" s="268">
        <f>H172/'Colleges FYES'!I$52</f>
        <v>240.57997727928233</v>
      </c>
      <c r="I262" s="268">
        <f>I172/'Colleges FYES'!J$52</f>
        <v>241.61376669376222</v>
      </c>
      <c r="J262" s="268">
        <f>J172/'Colleges FYES'!K$52</f>
        <v>226.6536883371233</v>
      </c>
      <c r="K262" s="268">
        <f>K172/'Colleges FYES'!L$52</f>
        <v>230.70678139772866</v>
      </c>
      <c r="L262" s="268">
        <f>L172/'Colleges FYES'!M$52</f>
        <v>253.39920935150744</v>
      </c>
      <c r="M262" s="268">
        <f>M172/'Colleges FYES'!N$52</f>
        <v>253.29705576371327</v>
      </c>
      <c r="N262" s="268">
        <f>N172/'Colleges FYES'!O$52</f>
        <v>259.9864248806785</v>
      </c>
      <c r="O262" s="268">
        <f>O172/'Colleges FYES'!P$52</f>
        <v>251.16295487314326</v>
      </c>
    </row>
    <row r="263" spans="1:15" x14ac:dyDescent="0.25">
      <c r="A263" s="36"/>
      <c r="D263" s="268">
        <f>D173/'Colleges FYES'!E$52</f>
        <v>0</v>
      </c>
      <c r="E263" s="268">
        <f>E173/'Colleges FYES'!F$52</f>
        <v>0</v>
      </c>
      <c r="F263" s="268">
        <f>F173/'Colleges FYES'!G$52</f>
        <v>0</v>
      </c>
      <c r="G263" s="268">
        <f>G173/'Colleges FYES'!H$52</f>
        <v>0</v>
      </c>
      <c r="H263" s="268">
        <f>H173/'Colleges FYES'!I$52</f>
        <v>0</v>
      </c>
      <c r="I263" s="268">
        <f>I173/'Colleges FYES'!J$52</f>
        <v>0</v>
      </c>
      <c r="J263" s="268">
        <f>J173/'Colleges FYES'!K$52</f>
        <v>0</v>
      </c>
      <c r="K263" s="268">
        <f>K173/'Colleges FYES'!L$52</f>
        <v>0</v>
      </c>
      <c r="L263" s="268">
        <f>L173/'Colleges FYES'!M$52</f>
        <v>0</v>
      </c>
      <c r="M263" s="268">
        <f>M173/'Colleges FYES'!N$52</f>
        <v>0</v>
      </c>
      <c r="N263" s="268">
        <f>N173/'Colleges FYES'!O$52</f>
        <v>0</v>
      </c>
      <c r="O263" s="268">
        <f>O173/'Colleges FYES'!P$52</f>
        <v>0</v>
      </c>
    </row>
    <row r="264" spans="1:15" ht="18" x14ac:dyDescent="0.25">
      <c r="A264" s="43" t="s">
        <v>36</v>
      </c>
      <c r="D264" s="268">
        <f>D174/'Colleges FYES'!E$52</f>
        <v>0</v>
      </c>
      <c r="E264" s="268">
        <f>E174/'Colleges FYES'!F$52</f>
        <v>0</v>
      </c>
      <c r="F264" s="268">
        <f>F174/'Colleges FYES'!G$52</f>
        <v>0</v>
      </c>
      <c r="G264" s="268">
        <f>G174/'Colleges FYES'!H$52</f>
        <v>0</v>
      </c>
      <c r="H264" s="268">
        <f>H174/'Colleges FYES'!I$52</f>
        <v>0</v>
      </c>
      <c r="I264" s="268">
        <f>I174/'Colleges FYES'!J$52</f>
        <v>0</v>
      </c>
      <c r="J264" s="268">
        <f>J174/'Colleges FYES'!K$52</f>
        <v>0</v>
      </c>
      <c r="K264" s="268">
        <f>K174/'Colleges FYES'!L$52</f>
        <v>0</v>
      </c>
      <c r="L264" s="268">
        <f>L174/'Colleges FYES'!M$52</f>
        <v>0</v>
      </c>
      <c r="M264" s="268">
        <f>M174/'Colleges FYES'!N$52</f>
        <v>0</v>
      </c>
      <c r="N264" s="268">
        <f>N174/'Colleges FYES'!O$52</f>
        <v>0</v>
      </c>
      <c r="O264" s="268">
        <f>O174/'Colleges FYES'!P$52</f>
        <v>0</v>
      </c>
    </row>
    <row r="265" spans="1:15" x14ac:dyDescent="0.25">
      <c r="A265" s="36" t="s">
        <v>95</v>
      </c>
      <c r="D265" s="268">
        <f>D175/'Colleges FYES'!E$52</f>
        <v>211.42195473457562</v>
      </c>
      <c r="E265" s="268">
        <f>E175/'Colleges FYES'!F$52</f>
        <v>252.75207142264009</v>
      </c>
      <c r="F265" s="268">
        <f>F175/'Colleges FYES'!G$52</f>
        <v>213.58537824281936</v>
      </c>
      <c r="G265" s="268">
        <f>G175/'Colleges FYES'!H$52</f>
        <v>199.35965585427977</v>
      </c>
      <c r="H265" s="268">
        <f>H175/'Colleges FYES'!I$52</f>
        <v>332.36082202065239</v>
      </c>
      <c r="I265" s="268">
        <f>I175/'Colleges FYES'!J$52</f>
        <v>317.76972497664144</v>
      </c>
      <c r="J265" s="268">
        <f>J175/'Colleges FYES'!K$52</f>
        <v>711.83819198079436</v>
      </c>
      <c r="K265" s="268">
        <f>K175/'Colleges FYES'!L$52</f>
        <v>718.54241309544068</v>
      </c>
      <c r="L265" s="268">
        <f>L175/'Colleges FYES'!M$52</f>
        <v>777.95346031413897</v>
      </c>
      <c r="M265" s="268">
        <f>M175/'Colleges FYES'!N$52</f>
        <v>729.18656694383424</v>
      </c>
      <c r="N265" s="268">
        <f>N175/'Colleges FYES'!O$52</f>
        <v>668.62480715807351</v>
      </c>
      <c r="O265" s="268">
        <f>O175/'Colleges FYES'!P$52</f>
        <v>676.81673420765719</v>
      </c>
    </row>
    <row r="266" spans="1:15" x14ac:dyDescent="0.25">
      <c r="A266" s="36" t="s">
        <v>38</v>
      </c>
      <c r="D266" s="268">
        <f>D176/'Colleges FYES'!E$52</f>
        <v>311.71045238408783</v>
      </c>
      <c r="E266" s="268">
        <f>E176/'Colleges FYES'!F$52</f>
        <v>301.2586229935805</v>
      </c>
      <c r="F266" s="268">
        <f>F176/'Colleges FYES'!G$52</f>
        <v>341.9232256644965</v>
      </c>
      <c r="G266" s="268">
        <f>G176/'Colleges FYES'!H$52</f>
        <v>383.66788349243285</v>
      </c>
      <c r="H266" s="268">
        <f>H176/'Colleges FYES'!I$52</f>
        <v>329.31421065614296</v>
      </c>
      <c r="I266" s="268">
        <f>I176/'Colleges FYES'!J$52</f>
        <v>354.25156818544212</v>
      </c>
      <c r="J266" s="268">
        <f>J176/'Colleges FYES'!K$52</f>
        <v>321.00472061299831</v>
      </c>
      <c r="K266" s="268">
        <f>K176/'Colleges FYES'!L$52</f>
        <v>294.15533569160715</v>
      </c>
      <c r="L266" s="268">
        <f>L176/'Colleges FYES'!M$52</f>
        <v>266.89114785888438</v>
      </c>
      <c r="M266" s="268">
        <f>M176/'Colleges FYES'!N$52</f>
        <v>252.02786759822402</v>
      </c>
      <c r="N266" s="268">
        <f>N176/'Colleges FYES'!O$52</f>
        <v>268.40366667650989</v>
      </c>
      <c r="O266" s="268">
        <f>O176/'Colleges FYES'!P$52</f>
        <v>263.63637638689676</v>
      </c>
    </row>
    <row r="267" spans="1:15" x14ac:dyDescent="0.25">
      <c r="A267" s="36" t="s">
        <v>133</v>
      </c>
      <c r="D267" s="268">
        <f>D177/'Colleges FYES'!E$52</f>
        <v>0</v>
      </c>
      <c r="E267" s="268">
        <f>E177/'Colleges FYES'!F$52</f>
        <v>0</v>
      </c>
      <c r="F267" s="268">
        <f>F177/'Colleges FYES'!G$52</f>
        <v>0</v>
      </c>
      <c r="G267" s="268">
        <f>G177/'Colleges FYES'!H$52</f>
        <v>117.36110325760205</v>
      </c>
      <c r="H267" s="268">
        <f>H177/'Colleges FYES'!I$52</f>
        <v>119.12013204993416</v>
      </c>
      <c r="I267" s="268">
        <f>I177/'Colleges FYES'!J$52</f>
        <v>107.52736033730504</v>
      </c>
      <c r="J267" s="268">
        <f>J177/'Colleges FYES'!K$52</f>
        <v>148.03744559762143</v>
      </c>
      <c r="K267" s="268">
        <f>K177/'Colleges FYES'!L$52</f>
        <v>144.47147093022676</v>
      </c>
      <c r="L267" s="268">
        <f>L177/'Colleges FYES'!M$52</f>
        <v>142.74514726383666</v>
      </c>
      <c r="M267" s="268">
        <f>M177/'Colleges FYES'!N$52</f>
        <v>133.8037665000281</v>
      </c>
      <c r="N267" s="268">
        <f>N177/'Colleges FYES'!O$52</f>
        <v>130.26999432613985</v>
      </c>
      <c r="O267" s="268">
        <f>O177/'Colleges FYES'!P$52</f>
        <v>130.90547315783274</v>
      </c>
    </row>
    <row r="268" spans="1:15" x14ac:dyDescent="0.25">
      <c r="A268" s="36" t="s">
        <v>39</v>
      </c>
      <c r="D268" s="268">
        <f>D178/'Colleges FYES'!E$52</f>
        <v>43.669764096820856</v>
      </c>
      <c r="E268" s="268">
        <f>E178/'Colleges FYES'!F$52</f>
        <v>40.992698063219436</v>
      </c>
      <c r="F268" s="268">
        <f>F178/'Colleges FYES'!G$52</f>
        <v>37.89932284618444</v>
      </c>
      <c r="G268" s="268">
        <f>G178/'Colleges FYES'!H$52</f>
        <v>35.800093283417013</v>
      </c>
      <c r="H268" s="268">
        <f>H178/'Colleges FYES'!I$52</f>
        <v>33.865215596137546</v>
      </c>
      <c r="I268" s="268">
        <f>I178/'Colleges FYES'!J$52</f>
        <v>31.853973124365801</v>
      </c>
      <c r="J268" s="268">
        <f>J178/'Colleges FYES'!K$52</f>
        <v>30.486545718154971</v>
      </c>
      <c r="K268" s="268">
        <f>K178/'Colleges FYES'!L$52</f>
        <v>29.752175780275838</v>
      </c>
      <c r="L268" s="268">
        <f>L178/'Colleges FYES'!M$52</f>
        <v>29.39666001757627</v>
      </c>
      <c r="M268" s="268">
        <f>M178/'Colleges FYES'!N$52</f>
        <v>28.597077203200708</v>
      </c>
      <c r="N268" s="268">
        <f>N178/'Colleges FYES'!O$52</f>
        <v>27.841825252388226</v>
      </c>
      <c r="O268" s="268">
        <f>O178/'Colleges FYES'!P$52</f>
        <v>40.454466401240239</v>
      </c>
    </row>
    <row r="269" spans="1:15" x14ac:dyDescent="0.25">
      <c r="A269" s="36" t="s">
        <v>40</v>
      </c>
      <c r="D269" s="268">
        <f>D179/'Colleges FYES'!E$52</f>
        <v>28.423159725994893</v>
      </c>
      <c r="E269" s="268">
        <f>E179/'Colleges FYES'!F$52</f>
        <v>28.205847859292785</v>
      </c>
      <c r="F269" s="268">
        <f>F179/'Colleges FYES'!G$52</f>
        <v>26.650605378602258</v>
      </c>
      <c r="G269" s="268">
        <f>G179/'Colleges FYES'!H$52</f>
        <v>16.247150065205435</v>
      </c>
      <c r="H269" s="268">
        <f>H179/'Colleges FYES'!I$52</f>
        <v>15.369044863239141</v>
      </c>
      <c r="I269" s="268">
        <f>I179/'Colleges FYES'!J$52</f>
        <v>36.866198331180478</v>
      </c>
      <c r="J269" s="268">
        <f>J179/'Colleges FYES'!K$52</f>
        <v>34.061555652095343</v>
      </c>
      <c r="K269" s="268">
        <f>K179/'Colleges FYES'!L$52</f>
        <v>47.506219580580122</v>
      </c>
      <c r="L269" s="268">
        <f>L179/'Colleges FYES'!M$52</f>
        <v>46.938556562860256</v>
      </c>
      <c r="M269" s="268">
        <f>M179/'Colleges FYES'!N$52</f>
        <v>51.226455833064819</v>
      </c>
      <c r="N269" s="268">
        <f>N179/'Colleges FYES'!O$52</f>
        <v>47.361737309578267</v>
      </c>
      <c r="O269" s="268">
        <f>O179/'Colleges FYES'!P$52</f>
        <v>44.720582267544607</v>
      </c>
    </row>
    <row r="270" spans="1:15" x14ac:dyDescent="0.25">
      <c r="A270" s="36" t="s">
        <v>97</v>
      </c>
      <c r="D270" s="268">
        <f>D180/'Colleges FYES'!E$52</f>
        <v>0</v>
      </c>
      <c r="E270" s="268">
        <f>E180/'Colleges FYES'!F$52</f>
        <v>0</v>
      </c>
      <c r="F270" s="268">
        <f>F180/'Colleges FYES'!G$52</f>
        <v>0</v>
      </c>
      <c r="G270" s="268">
        <f>G180/'Colleges FYES'!H$52</f>
        <v>44.65100613905183</v>
      </c>
      <c r="H270" s="268">
        <f>H180/'Colleges FYES'!I$52</f>
        <v>40.252340231603661</v>
      </c>
      <c r="I270" s="268">
        <f>I180/'Colleges FYES'!J$52</f>
        <v>40.383377341399232</v>
      </c>
      <c r="J270" s="268">
        <f>J180/'Colleges FYES'!K$52</f>
        <v>40.385154457557888</v>
      </c>
      <c r="K270" s="268">
        <f>K180/'Colleges FYES'!L$52</f>
        <v>40.386907594692744</v>
      </c>
      <c r="L270" s="268">
        <f>L180/'Colleges FYES'!M$52</f>
        <v>40.269004064692446</v>
      </c>
      <c r="M270" s="268">
        <f>M180/'Colleges FYES'!N$52</f>
        <v>35.685186294663069</v>
      </c>
      <c r="N270" s="268">
        <f>N180/'Colleges FYES'!O$52</f>
        <v>35.444671435203425</v>
      </c>
      <c r="O270" s="268">
        <f>O180/'Colleges FYES'!P$52</f>
        <v>33.726626360248126</v>
      </c>
    </row>
    <row r="271" spans="1:15" x14ac:dyDescent="0.25">
      <c r="A271" s="36" t="s">
        <v>41</v>
      </c>
      <c r="D271" s="268">
        <f>D181/'Colleges FYES'!E$52</f>
        <v>268.21882633486979</v>
      </c>
      <c r="E271" s="268">
        <f>E181/'Colleges FYES'!F$52</f>
        <v>332.82590110003503</v>
      </c>
      <c r="F271" s="268">
        <f>F181/'Colleges FYES'!G$52</f>
        <v>134.08569908432494</v>
      </c>
      <c r="G271" s="268">
        <f>G181/'Colleges FYES'!H$52</f>
        <v>373.64328740873935</v>
      </c>
      <c r="H271" s="268">
        <f>H181/'Colleges FYES'!I$52</f>
        <v>383.40240547546489</v>
      </c>
      <c r="I271" s="268">
        <f>I181/'Colleges FYES'!J$52</f>
        <v>557.85305843131334</v>
      </c>
      <c r="J271" s="268">
        <f>J181/'Colleges FYES'!K$52</f>
        <v>219.13964196367465</v>
      </c>
      <c r="K271" s="268">
        <f>K181/'Colleges FYES'!L$52</f>
        <v>194.73385881305609</v>
      </c>
      <c r="L271" s="268">
        <f>L181/'Colleges FYES'!M$52</f>
        <v>211.64763182652644</v>
      </c>
      <c r="M271" s="268">
        <f>M181/'Colleges FYES'!N$52</f>
        <v>187.17351079399015</v>
      </c>
      <c r="N271" s="268">
        <f>N181/'Colleges FYES'!O$52</f>
        <v>199.70242375950363</v>
      </c>
      <c r="O271" s="268">
        <f>O181/'Colleges FYES'!P$52</f>
        <v>201.85689413674388</v>
      </c>
    </row>
    <row r="272" spans="1:15" x14ac:dyDescent="0.25">
      <c r="A272" s="36" t="s">
        <v>42</v>
      </c>
      <c r="D272" s="268">
        <f>D182/'Colleges FYES'!E$52</f>
        <v>7.2356593289567757</v>
      </c>
      <c r="E272" s="268">
        <f>E182/'Colleges FYES'!F$52</f>
        <v>6.6743479965271186</v>
      </c>
      <c r="F272" s="268">
        <f>F182/'Colleges FYES'!G$52</f>
        <v>6.1706909147101765</v>
      </c>
      <c r="G272" s="268">
        <f>G182/'Colleges FYES'!H$52</f>
        <v>5.8288986129470812</v>
      </c>
      <c r="H272" s="268">
        <f>H182/'Colleges FYES'!I$52</f>
        <v>5.5138657503698854</v>
      </c>
      <c r="I272" s="268">
        <f>I182/'Colleges FYES'!J$52</f>
        <v>5.1863993283915661</v>
      </c>
      <c r="J272" s="268">
        <f>J182/'Colleges FYES'!K$52</f>
        <v>4.9637575702188244</v>
      </c>
      <c r="K272" s="268">
        <f>K182/'Colleges FYES'!L$52</f>
        <v>4.8441889456790523</v>
      </c>
      <c r="L272" s="268">
        <f>L182/'Colleges FYES'!M$52</f>
        <v>4.7863045899128558</v>
      </c>
      <c r="M272" s="268">
        <f>M182/'Colleges FYES'!N$52</f>
        <v>4.6561181370242295</v>
      </c>
      <c r="N272" s="268">
        <f>N182/'Colleges FYES'!O$52</f>
        <v>4.5331495454715451</v>
      </c>
      <c r="O272" s="268">
        <f>O182/'Colleges FYES'!P$52</f>
        <v>4.3030966624714582</v>
      </c>
    </row>
    <row r="273" spans="1:15" x14ac:dyDescent="0.25">
      <c r="A273" s="36" t="s">
        <v>43</v>
      </c>
      <c r="D273" s="268">
        <f>D183/'Colleges FYES'!E$52</f>
        <v>870.67981660530575</v>
      </c>
      <c r="E273" s="268">
        <f>E183/'Colleges FYES'!F$52</f>
        <v>962.70948943529493</v>
      </c>
      <c r="F273" s="268">
        <f>F183/'Colleges FYES'!G$52</f>
        <v>760.31492213113779</v>
      </c>
      <c r="G273" s="268">
        <f>G183/'Colleges FYES'!H$52</f>
        <v>1176.5590781136752</v>
      </c>
      <c r="H273" s="268">
        <f>H183/'Colleges FYES'!I$52</f>
        <v>1259.1980366435446</v>
      </c>
      <c r="I273" s="268">
        <f>I183/'Colleges FYES'!J$52</f>
        <v>1451.6916600560389</v>
      </c>
      <c r="J273" s="268">
        <f>J183/'Colleges FYES'!K$52</f>
        <v>1509.9170135531158</v>
      </c>
      <c r="K273" s="268">
        <f>K183/'Colleges FYES'!L$52</f>
        <v>1474.3925704315584</v>
      </c>
      <c r="L273" s="268">
        <f>L183/'Colleges FYES'!M$52</f>
        <v>1520.6279124984283</v>
      </c>
      <c r="M273" s="268">
        <f>M183/'Colleges FYES'!N$52</f>
        <v>1422.3565493040292</v>
      </c>
      <c r="N273" s="268">
        <f>N183/'Colleges FYES'!O$52</f>
        <v>1382.1822754628683</v>
      </c>
      <c r="O273" s="268">
        <f>O183/'Colleges FYES'!P$52</f>
        <v>1396.4202495806351</v>
      </c>
    </row>
    <row r="274" spans="1:15" x14ac:dyDescent="0.25">
      <c r="A274" s="36"/>
      <c r="D274" s="268">
        <f>D184/'Colleges FYES'!E$52</f>
        <v>0</v>
      </c>
      <c r="E274" s="268">
        <f>E184/'Colleges FYES'!F$52</f>
        <v>0</v>
      </c>
      <c r="F274" s="268">
        <f>F184/'Colleges FYES'!G$52</f>
        <v>0</v>
      </c>
      <c r="G274" s="268">
        <f>G184/'Colleges FYES'!H$52</f>
        <v>0</v>
      </c>
      <c r="H274" s="268">
        <f>H184/'Colleges FYES'!I$52</f>
        <v>0</v>
      </c>
      <c r="I274" s="268">
        <f>I184/'Colleges FYES'!J$52</f>
        <v>0</v>
      </c>
      <c r="J274" s="268">
        <f>J184/'Colleges FYES'!K$52</f>
        <v>0</v>
      </c>
      <c r="K274" s="268">
        <f>K184/'Colleges FYES'!L$52</f>
        <v>0</v>
      </c>
      <c r="L274" s="268">
        <f>L184/'Colleges FYES'!M$52</f>
        <v>0</v>
      </c>
      <c r="M274" s="268">
        <f>M184/'Colleges FYES'!N$52</f>
        <v>0</v>
      </c>
      <c r="N274" s="268">
        <f>N184/'Colleges FYES'!O$52</f>
        <v>0</v>
      </c>
      <c r="O274" s="268">
        <f>O184/'Colleges FYES'!P$52</f>
        <v>0</v>
      </c>
    </row>
    <row r="275" spans="1:15" x14ac:dyDescent="0.25">
      <c r="A275" s="36" t="s">
        <v>44</v>
      </c>
      <c r="D275" s="268">
        <f>D185/'Colleges FYES'!E$52</f>
        <v>129.25353979480391</v>
      </c>
      <c r="E275" s="268">
        <f>E185/'Colleges FYES'!F$52</f>
        <v>145.02988877841653</v>
      </c>
      <c r="F275" s="268">
        <f>F185/'Colleges FYES'!G$52</f>
        <v>137.46794380087749</v>
      </c>
      <c r="G275" s="268">
        <f>G185/'Colleges FYES'!H$52</f>
        <v>131.12700857693048</v>
      </c>
      <c r="H275" s="268">
        <f>H185/'Colleges FYES'!I$52</f>
        <v>143.28221154962381</v>
      </c>
      <c r="I275" s="268">
        <f>I185/'Colleges FYES'!J$52</f>
        <v>281.55779249005144</v>
      </c>
      <c r="J275" s="268">
        <f>J185/'Colleges FYES'!K$52</f>
        <v>403.3546349130155</v>
      </c>
      <c r="K275" s="268">
        <f>K185/'Colleges FYES'!L$52</f>
        <v>738.52558064065533</v>
      </c>
      <c r="L275" s="268">
        <f>L185/'Colleges FYES'!M$52</f>
        <v>432.65752524793066</v>
      </c>
      <c r="M275" s="268">
        <f>M185/'Colleges FYES'!N$52</f>
        <v>455.7484273202391</v>
      </c>
      <c r="N275" s="268">
        <f>N185/'Colleges FYES'!O$52</f>
        <v>459.03762428278299</v>
      </c>
      <c r="O275" s="268">
        <f>O185/'Colleges FYES'!P$52</f>
        <v>434.58307541838326</v>
      </c>
    </row>
    <row r="276" spans="1:15" x14ac:dyDescent="0.25">
      <c r="A276" s="36" t="s">
        <v>45</v>
      </c>
      <c r="D276" s="268">
        <f>D186/'Colleges FYES'!E$52</f>
        <v>1890.5036303100442</v>
      </c>
      <c r="E276" s="268">
        <f>E186/'Colleges FYES'!F$52</f>
        <v>1955.8638706677882</v>
      </c>
      <c r="F276" s="268">
        <f>F186/'Colleges FYES'!G$52</f>
        <v>1882.2129832979138</v>
      </c>
      <c r="G276" s="268">
        <f>G186/'Colleges FYES'!H$52</f>
        <v>1307.6860866906059</v>
      </c>
      <c r="H276" s="268">
        <f>H186/'Colleges FYES'!I$52</f>
        <v>1402.4802481931686</v>
      </c>
      <c r="I276" s="268">
        <f>I186/'Colleges FYES'!J$52</f>
        <v>1733.2494525460904</v>
      </c>
      <c r="J276" s="268">
        <f>J186/'Colleges FYES'!K$52</f>
        <v>1913.2716484661312</v>
      </c>
      <c r="K276" s="268">
        <f>K186/'Colleges FYES'!L$52</f>
        <v>2212.9181510722137</v>
      </c>
      <c r="L276" s="268">
        <f>L186/'Colleges FYES'!M$52</f>
        <v>1953.2854377463591</v>
      </c>
      <c r="M276" s="268">
        <f>M186/'Colleges FYES'!N$52</f>
        <v>1878.1049766242684</v>
      </c>
      <c r="N276" s="268">
        <f>N186/'Colleges FYES'!O$52</f>
        <v>1841.2198997456512</v>
      </c>
      <c r="O276" s="268">
        <f>O186/'Colleges FYES'!P$52</f>
        <v>1831.0033249990183</v>
      </c>
    </row>
    <row r="277" spans="1:15" x14ac:dyDescent="0.25">
      <c r="A277" s="36"/>
      <c r="D277" s="268">
        <f>D187/'Colleges FYES'!E$52</f>
        <v>0</v>
      </c>
      <c r="E277" s="268">
        <f>E187/'Colleges FYES'!F$52</f>
        <v>0</v>
      </c>
      <c r="F277" s="268">
        <f>F187/'Colleges FYES'!G$52</f>
        <v>0</v>
      </c>
      <c r="G277" s="268">
        <f>G187/'Colleges FYES'!H$52</f>
        <v>0</v>
      </c>
      <c r="H277" s="268">
        <f>H187/'Colleges FYES'!I$52</f>
        <v>0</v>
      </c>
      <c r="I277" s="268">
        <f>I187/'Colleges FYES'!J$52</f>
        <v>0</v>
      </c>
      <c r="J277" s="268">
        <f>J187/'Colleges FYES'!K$52</f>
        <v>0</v>
      </c>
      <c r="K277" s="268">
        <f>K187/'Colleges FYES'!L$52</f>
        <v>0</v>
      </c>
      <c r="L277" s="268">
        <f>L187/'Colleges FYES'!M$52</f>
        <v>0</v>
      </c>
      <c r="M277" s="268">
        <f>M187/'Colleges FYES'!N$52</f>
        <v>0</v>
      </c>
      <c r="N277" s="268">
        <f>N187/'Colleges FYES'!O$52</f>
        <v>0</v>
      </c>
      <c r="O277" s="268">
        <f>O187/'Colleges FYES'!P$52</f>
        <v>0</v>
      </c>
    </row>
    <row r="278" spans="1:15" x14ac:dyDescent="0.25">
      <c r="A278" s="36" t="s">
        <v>46</v>
      </c>
      <c r="D278" s="268">
        <f>D188/'Colleges FYES'!E$52</f>
        <v>14901.521728420743</v>
      </c>
      <c r="E278" s="268">
        <f>E188/'Colleges FYES'!F$52</f>
        <v>14625.157415192152</v>
      </c>
      <c r="F278" s="268">
        <f>F188/'Colleges FYES'!G$52</f>
        <v>14418.251245778501</v>
      </c>
      <c r="G278" s="268">
        <f>G188/'Colleges FYES'!H$52</f>
        <v>14104.90788424401</v>
      </c>
      <c r="H278" s="268">
        <f>H188/'Colleges FYES'!I$52</f>
        <v>14420.956491973508</v>
      </c>
      <c r="I278" s="268">
        <f>I188/'Colleges FYES'!J$52</f>
        <v>15145.825882391026</v>
      </c>
      <c r="J278" s="268">
        <f>J188/'Colleges FYES'!K$52</f>
        <v>15274.718223646378</v>
      </c>
      <c r="K278" s="268">
        <f>K188/'Colleges FYES'!L$52</f>
        <v>15770.663553799963</v>
      </c>
      <c r="L278" s="268">
        <f>L188/'Colleges FYES'!M$52</f>
        <v>15974.968035226935</v>
      </c>
      <c r="M278" s="268">
        <f>M188/'Colleges FYES'!N$52</f>
        <v>15849.800687801806</v>
      </c>
      <c r="N278" s="268">
        <f>N188/'Colleges FYES'!O$52</f>
        <v>16095.807320692127</v>
      </c>
      <c r="O278" s="268">
        <f>O188/'Colleges FYES'!P$52</f>
        <v>15855.456327129037</v>
      </c>
    </row>
    <row r="281" spans="1:15" x14ac:dyDescent="0.25">
      <c r="A281" s="231" t="s">
        <v>272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33"/>
  <sheetViews>
    <sheetView topLeftCell="G1" zoomScale="70" zoomScaleNormal="70" workbookViewId="0">
      <selection activeCell="A28" sqref="A28:XFD28"/>
    </sheetView>
  </sheetViews>
  <sheetFormatPr defaultRowHeight="15" x14ac:dyDescent="0.2"/>
  <cols>
    <col min="1" max="1" width="17.77734375" customWidth="1"/>
    <col min="2" max="2" width="12.33203125" bestFit="1" customWidth="1"/>
  </cols>
  <sheetData>
    <row r="1" spans="1:41" x14ac:dyDescent="0.2">
      <c r="A1" s="354" t="s">
        <v>285</v>
      </c>
      <c r="B1" s="354"/>
      <c r="C1" s="354"/>
      <c r="D1" s="354"/>
      <c r="E1" s="354"/>
      <c r="F1" s="354"/>
      <c r="G1" s="354"/>
      <c r="H1" s="354"/>
      <c r="I1" s="354"/>
      <c r="J1" s="354"/>
      <c r="K1" s="354"/>
      <c r="L1" s="354"/>
      <c r="M1" s="354"/>
      <c r="N1" s="354"/>
      <c r="O1" s="354"/>
      <c r="P1" s="354"/>
    </row>
    <row r="2" spans="1:41" x14ac:dyDescent="0.2">
      <c r="A2" s="291"/>
      <c r="B2" s="291"/>
      <c r="C2" s="291"/>
      <c r="D2" s="291"/>
      <c r="E2" s="291"/>
      <c r="F2" s="291"/>
      <c r="G2" s="229"/>
      <c r="H2" s="229"/>
      <c r="I2" s="229"/>
      <c r="J2" s="229"/>
      <c r="K2" s="229"/>
      <c r="L2" s="289"/>
      <c r="M2" s="289"/>
      <c r="N2" s="289"/>
      <c r="O2" s="289"/>
    </row>
    <row r="3" spans="1:41" x14ac:dyDescent="0.2">
      <c r="A3" s="291"/>
    </row>
    <row r="4" spans="1:41" ht="23.25" x14ac:dyDescent="0.25">
      <c r="A4" s="291"/>
      <c r="B4" s="292"/>
      <c r="C4" s="292"/>
      <c r="D4" s="292"/>
      <c r="E4" s="292"/>
      <c r="F4" s="355" t="s">
        <v>286</v>
      </c>
      <c r="G4" s="355"/>
      <c r="H4" s="355"/>
      <c r="I4" s="355"/>
      <c r="J4" s="355"/>
      <c r="K4" s="356"/>
      <c r="L4" s="356"/>
      <c r="M4" s="356"/>
      <c r="N4" s="356"/>
      <c r="O4" s="292"/>
      <c r="P4" s="292"/>
      <c r="Q4" s="292"/>
      <c r="R4" s="292"/>
      <c r="S4" s="355" t="s">
        <v>286</v>
      </c>
      <c r="T4" s="355"/>
      <c r="U4" s="355"/>
      <c r="V4" s="355"/>
      <c r="W4" s="355"/>
      <c r="X4" s="356"/>
      <c r="Y4" s="356"/>
      <c r="Z4" s="356"/>
      <c r="AA4" s="356"/>
      <c r="AB4" s="293"/>
      <c r="AC4" s="355" t="s">
        <v>286</v>
      </c>
      <c r="AD4" s="355"/>
      <c r="AE4" s="355"/>
      <c r="AF4" s="355"/>
      <c r="AG4" s="355"/>
      <c r="AH4" s="356"/>
      <c r="AI4" s="356"/>
      <c r="AJ4" s="356"/>
      <c r="AK4" s="356"/>
      <c r="AL4" s="293"/>
      <c r="AN4" s="326" t="s">
        <v>370</v>
      </c>
      <c r="AO4" s="327" t="s">
        <v>371</v>
      </c>
    </row>
    <row r="5" spans="1:41" ht="15.75" x14ac:dyDescent="0.25">
      <c r="B5" s="303" t="s">
        <v>312</v>
      </c>
      <c r="C5" s="303" t="s">
        <v>291</v>
      </c>
      <c r="D5" s="303" t="s">
        <v>292</v>
      </c>
      <c r="E5" s="303" t="s">
        <v>293</v>
      </c>
      <c r="F5" s="303" t="s">
        <v>294</v>
      </c>
      <c r="G5" s="303" t="s">
        <v>295</v>
      </c>
      <c r="H5" s="303" t="s">
        <v>296</v>
      </c>
      <c r="I5" s="303" t="s">
        <v>297</v>
      </c>
      <c r="J5" s="303" t="s">
        <v>298</v>
      </c>
      <c r="K5" s="303" t="s">
        <v>299</v>
      </c>
      <c r="L5" s="303" t="s">
        <v>300</v>
      </c>
      <c r="M5" s="303" t="s">
        <v>301</v>
      </c>
      <c r="N5" s="303" t="s">
        <v>302</v>
      </c>
      <c r="O5" s="303" t="s">
        <v>303</v>
      </c>
      <c r="P5" s="303" t="s">
        <v>304</v>
      </c>
      <c r="Q5" s="303" t="s">
        <v>305</v>
      </c>
      <c r="R5" s="303" t="s">
        <v>306</v>
      </c>
      <c r="S5" s="303" t="s">
        <v>307</v>
      </c>
      <c r="T5" s="303" t="s">
        <v>308</v>
      </c>
      <c r="U5" s="303" t="s">
        <v>309</v>
      </c>
      <c r="V5" s="303" t="s">
        <v>310</v>
      </c>
      <c r="W5" s="303" t="s">
        <v>311</v>
      </c>
      <c r="X5" s="294" t="s">
        <v>287</v>
      </c>
      <c r="Y5" s="294" t="s">
        <v>288</v>
      </c>
      <c r="Z5" s="294" t="s">
        <v>289</v>
      </c>
      <c r="AA5" s="294" t="s">
        <v>290</v>
      </c>
      <c r="AB5" s="294" t="s">
        <v>161</v>
      </c>
      <c r="AC5" s="294" t="s">
        <v>162</v>
      </c>
      <c r="AD5" s="294" t="s">
        <v>163</v>
      </c>
      <c r="AE5" s="294" t="s">
        <v>164</v>
      </c>
      <c r="AF5" s="294" t="s">
        <v>165</v>
      </c>
      <c r="AG5" s="294" t="s">
        <v>166</v>
      </c>
      <c r="AH5" s="294" t="s">
        <v>167</v>
      </c>
      <c r="AI5" s="294" t="s">
        <v>168</v>
      </c>
      <c r="AJ5" s="294" t="s">
        <v>169</v>
      </c>
      <c r="AK5" s="294" t="s">
        <v>170</v>
      </c>
      <c r="AL5" s="294" t="s">
        <v>171</v>
      </c>
    </row>
    <row r="6" spans="1:41" x14ac:dyDescent="0.2">
      <c r="A6" s="296" t="s">
        <v>273</v>
      </c>
      <c r="B6" s="297">
        <f>[2]Instruction!E5</f>
        <v>7032417</v>
      </c>
      <c r="C6" s="297">
        <f>[2]Instruction!F5</f>
        <v>7391813</v>
      </c>
      <c r="D6" s="297">
        <f>[2]Instruction!G5</f>
        <v>7976211</v>
      </c>
      <c r="E6" s="297">
        <f>[2]Instruction!H5</f>
        <v>8483849</v>
      </c>
      <c r="F6" s="297">
        <f>[2]Instruction!I5</f>
        <v>8664412</v>
      </c>
      <c r="G6" s="297">
        <f>[2]Instruction!J5</f>
        <v>8992384</v>
      </c>
      <c r="H6" s="297">
        <f>[2]Instruction!K5</f>
        <v>9019021</v>
      </c>
      <c r="I6" s="297">
        <f>[2]Instruction!L5</f>
        <v>9959243</v>
      </c>
      <c r="J6" s="297">
        <f>[2]Instruction!M5</f>
        <v>11072339</v>
      </c>
      <c r="K6" s="297">
        <f>[2]Instruction!N5</f>
        <v>12222571</v>
      </c>
      <c r="L6" s="297">
        <f>[2]Instruction!O5</f>
        <v>13103133</v>
      </c>
      <c r="M6" s="297">
        <f>[2]Instruction!P5</f>
        <v>15244617</v>
      </c>
      <c r="N6" s="297">
        <f>[2]Instruction!Q5</f>
        <v>18218684</v>
      </c>
      <c r="O6" s="297">
        <f>[2]Instruction!R5</f>
        <v>20644923</v>
      </c>
      <c r="P6" s="297">
        <f>[2]Instruction!S5</f>
        <v>23568117</v>
      </c>
      <c r="Q6" s="297">
        <f>[2]Instruction!T5</f>
        <v>26504204</v>
      </c>
      <c r="R6" s="297">
        <f>[2]Instruction!U5</f>
        <v>29120402</v>
      </c>
      <c r="S6" s="297">
        <f>[2]Instruction!V5</f>
        <v>30970481</v>
      </c>
      <c r="T6" s="297">
        <f>[2]Instruction!W5</f>
        <v>32660131</v>
      </c>
      <c r="U6" s="297">
        <f>[2]Instruction!X5</f>
        <v>37082940</v>
      </c>
      <c r="V6" s="297">
        <f>[2]Instruction!Y5</f>
        <v>41567017</v>
      </c>
      <c r="W6" s="297">
        <f>[2]Instruction!Z5</f>
        <v>48432473</v>
      </c>
      <c r="X6" s="297">
        <v>52304702</v>
      </c>
      <c r="Y6" s="297">
        <v>58251262</v>
      </c>
      <c r="Z6" s="297">
        <v>66522754</v>
      </c>
      <c r="AA6" s="297">
        <v>73270000</v>
      </c>
      <c r="AB6" s="297">
        <v>82191939</v>
      </c>
      <c r="AC6" s="297">
        <v>85889496</v>
      </c>
      <c r="AD6" s="297">
        <v>92025376</v>
      </c>
      <c r="AE6" s="297">
        <v>95030312</v>
      </c>
      <c r="AF6" s="297">
        <v>100528784</v>
      </c>
      <c r="AG6" s="297">
        <v>106539033</v>
      </c>
      <c r="AH6" s="297">
        <v>116087275</v>
      </c>
      <c r="AI6" s="297">
        <v>126293940</v>
      </c>
      <c r="AJ6" s="297">
        <v>125727397</v>
      </c>
      <c r="AK6" s="297">
        <v>130948308</v>
      </c>
      <c r="AL6" s="297">
        <v>139921437</v>
      </c>
      <c r="AN6" s="322">
        <f t="shared" ref="AN6:AN15" si="0">(AL6-B6)/B6</f>
        <v>18.896635395767913</v>
      </c>
      <c r="AO6" s="324">
        <f t="shared" ref="AO6:AO15" si="1">((AL6/B6)^((1/36))-1)</f>
        <v>8.6618794025581147E-2</v>
      </c>
    </row>
    <row r="7" spans="1:41" x14ac:dyDescent="0.2">
      <c r="A7" s="296" t="s">
        <v>274</v>
      </c>
      <c r="B7" s="297">
        <f>[2]Research!E5</f>
        <v>85808</v>
      </c>
      <c r="C7" s="297">
        <f>[2]Research!F5</f>
        <v>59982</v>
      </c>
      <c r="D7" s="297">
        <f>[2]Research!G5</f>
        <v>99349</v>
      </c>
      <c r="E7" s="297">
        <f>[2]Research!H5</f>
        <v>90568</v>
      </c>
      <c r="F7" s="297">
        <f>[2]Research!I5</f>
        <v>84168</v>
      </c>
      <c r="G7" s="297">
        <f>[2]Research!J5</f>
        <v>75366</v>
      </c>
      <c r="H7" s="297">
        <f>[2]Research!K5</f>
        <v>89687</v>
      </c>
      <c r="I7" s="297">
        <f>[2]Research!L5</f>
        <v>101047</v>
      </c>
      <c r="J7" s="297">
        <f>[2]Research!M5</f>
        <v>143161</v>
      </c>
      <c r="K7" s="297">
        <f>[2]Research!N5</f>
        <v>413747</v>
      </c>
      <c r="L7" s="297">
        <f>[2]Research!O5</f>
        <v>414346</v>
      </c>
      <c r="M7" s="297">
        <f>[2]Research!P5</f>
        <v>507656</v>
      </c>
      <c r="N7" s="297">
        <f>[2]Research!Q5</f>
        <v>432594</v>
      </c>
      <c r="O7" s="297">
        <f>[2]Research!R5</f>
        <v>486222</v>
      </c>
      <c r="P7" s="297">
        <f>[2]Research!S5</f>
        <v>460706</v>
      </c>
      <c r="Q7" s="297">
        <f>[2]Research!T5</f>
        <v>548455</v>
      </c>
      <c r="R7" s="297">
        <f>[2]Research!U5</f>
        <v>319508</v>
      </c>
      <c r="S7" s="297">
        <f>[2]Research!V5</f>
        <v>698957</v>
      </c>
      <c r="T7" s="297">
        <f>[2]Research!W5</f>
        <v>606657</v>
      </c>
      <c r="U7" s="297">
        <f>[2]Research!X5</f>
        <v>603946</v>
      </c>
      <c r="V7" s="297">
        <f>[2]Research!Y5</f>
        <v>678131</v>
      </c>
      <c r="W7" s="297">
        <f>[2]Research!Z5</f>
        <v>655780</v>
      </c>
      <c r="X7" s="297">
        <v>649988</v>
      </c>
      <c r="Y7" s="297">
        <v>752813</v>
      </c>
      <c r="Z7" s="297">
        <v>918954</v>
      </c>
      <c r="AA7" s="297">
        <v>1862723</v>
      </c>
      <c r="AB7" s="297">
        <v>1538894</v>
      </c>
      <c r="AC7" s="297">
        <v>1883883</v>
      </c>
      <c r="AD7" s="297">
        <v>2078672</v>
      </c>
      <c r="AE7" s="297">
        <v>2417373</v>
      </c>
      <c r="AF7" s="297">
        <v>2560798</v>
      </c>
      <c r="AG7" s="297">
        <v>2760506</v>
      </c>
      <c r="AH7" s="297">
        <v>2845320</v>
      </c>
      <c r="AI7" s="297">
        <v>3033636</v>
      </c>
      <c r="AJ7" s="297">
        <v>3336560</v>
      </c>
      <c r="AK7" s="297">
        <v>3097717</v>
      </c>
      <c r="AL7" s="297">
        <v>3461493</v>
      </c>
      <c r="AN7" s="322">
        <f t="shared" si="0"/>
        <v>39.339979955248928</v>
      </c>
      <c r="AO7" s="324">
        <f t="shared" si="1"/>
        <v>0.10816331448940431</v>
      </c>
    </row>
    <row r="8" spans="1:41" x14ac:dyDescent="0.2">
      <c r="A8" s="296" t="s">
        <v>275</v>
      </c>
      <c r="B8" s="297">
        <f>[2]PublicServ!E5</f>
        <v>289306</v>
      </c>
      <c r="C8" s="297">
        <f>[2]PublicServ!F5</f>
        <v>297206</v>
      </c>
      <c r="D8" s="297">
        <f>[2]PublicServ!G5</f>
        <v>349975</v>
      </c>
      <c r="E8" s="297">
        <f>[2]PublicServ!H5</f>
        <v>290450</v>
      </c>
      <c r="F8" s="297">
        <f>[2]PublicServ!I5</f>
        <v>352452</v>
      </c>
      <c r="G8" s="297">
        <f>[2]PublicServ!J5</f>
        <v>355287</v>
      </c>
      <c r="H8" s="297">
        <f>[2]PublicServ!K5</f>
        <v>373281</v>
      </c>
      <c r="I8" s="297">
        <f>[2]PublicServ!L5</f>
        <v>502069</v>
      </c>
      <c r="J8" s="297">
        <f>[2]PublicServ!M5</f>
        <v>616189</v>
      </c>
      <c r="K8" s="297">
        <f>[2]PublicServ!N5</f>
        <v>812164</v>
      </c>
      <c r="L8" s="297">
        <f>[2]PublicServ!O5</f>
        <v>879027</v>
      </c>
      <c r="M8" s="297">
        <f>[2]PublicServ!P5</f>
        <v>878909</v>
      </c>
      <c r="N8" s="297">
        <f>[2]PublicServ!Q5</f>
        <v>671110</v>
      </c>
      <c r="O8" s="297">
        <f>[2]PublicServ!R5</f>
        <v>660586</v>
      </c>
      <c r="P8" s="297">
        <f>[2]PublicServ!S5</f>
        <v>622847</v>
      </c>
      <c r="Q8" s="297">
        <f>[2]PublicServ!T5</f>
        <v>901527</v>
      </c>
      <c r="R8" s="297">
        <f>[2]PublicServ!U5</f>
        <v>738278</v>
      </c>
      <c r="S8" s="297">
        <f>[2]PublicServ!V5</f>
        <v>819817</v>
      </c>
      <c r="T8" s="297">
        <f>[2]PublicServ!W5</f>
        <v>796404</v>
      </c>
      <c r="U8" s="297">
        <f>[2]PublicServ!X5</f>
        <v>818705</v>
      </c>
      <c r="V8" s="297">
        <f>[2]PublicServ!Y5</f>
        <v>785514</v>
      </c>
      <c r="W8" s="297">
        <f>[2]PublicServ!Z5</f>
        <v>993984</v>
      </c>
      <c r="X8" s="297">
        <v>1670673</v>
      </c>
      <c r="Y8" s="297">
        <v>1887836</v>
      </c>
      <c r="Z8" s="297">
        <v>3685622</v>
      </c>
      <c r="AA8" s="297">
        <v>2989547</v>
      </c>
      <c r="AB8" s="297">
        <v>3240358</v>
      </c>
      <c r="AC8" s="297">
        <v>3618837</v>
      </c>
      <c r="AD8" s="297">
        <v>3569820</v>
      </c>
      <c r="AE8" s="297">
        <v>1690409</v>
      </c>
      <c r="AF8" s="297">
        <v>1734202</v>
      </c>
      <c r="AG8" s="297">
        <v>1810576</v>
      </c>
      <c r="AH8" s="297">
        <v>1675236</v>
      </c>
      <c r="AI8" s="297">
        <v>3674005</v>
      </c>
      <c r="AJ8" s="297">
        <v>2203950</v>
      </c>
      <c r="AK8" s="297">
        <v>2198870</v>
      </c>
      <c r="AL8" s="297">
        <v>2318310</v>
      </c>
      <c r="AN8" s="322">
        <f t="shared" si="0"/>
        <v>7.0133491873656268</v>
      </c>
      <c r="AO8" s="324">
        <f t="shared" si="1"/>
        <v>5.9512162108851019E-2</v>
      </c>
    </row>
    <row r="9" spans="1:41" x14ac:dyDescent="0.2">
      <c r="A9" s="296" t="s">
        <v>276</v>
      </c>
      <c r="B9" s="297">
        <f>[2]AcadSupport!E5</f>
        <v>1669948</v>
      </c>
      <c r="C9" s="297">
        <f>[2]AcadSupport!F5</f>
        <v>1876292</v>
      </c>
      <c r="D9" s="297">
        <f>[2]AcadSupport!G5</f>
        <v>1993277</v>
      </c>
      <c r="E9" s="297">
        <f>[2]AcadSupport!H5</f>
        <v>2031242</v>
      </c>
      <c r="F9" s="297">
        <f>[2]AcadSupport!I5</f>
        <v>2120112</v>
      </c>
      <c r="G9" s="297">
        <f>[2]AcadSupport!J5</f>
        <v>2013989</v>
      </c>
      <c r="H9" s="297">
        <f>[2]AcadSupport!K5</f>
        <v>2297108</v>
      </c>
      <c r="I9" s="297">
        <f>[2]AcadSupport!L5</f>
        <v>2547998</v>
      </c>
      <c r="J9" s="297">
        <f>[2]AcadSupport!M5</f>
        <v>3117305</v>
      </c>
      <c r="K9" s="297">
        <f>[2]AcadSupport!N5</f>
        <v>3241430</v>
      </c>
      <c r="L9" s="297">
        <f>[2]AcadSupport!O5</f>
        <v>3782576</v>
      </c>
      <c r="M9" s="297">
        <f>[2]AcadSupport!P5</f>
        <v>4524033</v>
      </c>
      <c r="N9" s="297">
        <f>[2]AcadSupport!Q5</f>
        <v>4253208</v>
      </c>
      <c r="O9" s="297">
        <f>[2]AcadSupport!R5</f>
        <v>4655662</v>
      </c>
      <c r="P9" s="297">
        <f>[2]AcadSupport!S5</f>
        <v>5021544</v>
      </c>
      <c r="Q9" s="297">
        <f>[2]AcadSupport!T5</f>
        <v>5305646</v>
      </c>
      <c r="R9" s="297">
        <f>[2]AcadSupport!U5</f>
        <v>5576443</v>
      </c>
      <c r="S9" s="297">
        <f>[2]AcadSupport!V5</f>
        <v>6313748</v>
      </c>
      <c r="T9" s="297">
        <f>[2]AcadSupport!W5</f>
        <v>6968398</v>
      </c>
      <c r="U9" s="297">
        <f>[2]AcadSupport!X5</f>
        <v>7476881</v>
      </c>
      <c r="V9" s="297">
        <f>[2]AcadSupport!Y5</f>
        <v>7901920</v>
      </c>
      <c r="W9" s="297">
        <f>[2]AcadSupport!Z5</f>
        <v>9404196</v>
      </c>
      <c r="X9" s="297">
        <v>10328197</v>
      </c>
      <c r="Y9" s="297">
        <v>11215568</v>
      </c>
      <c r="Z9" s="297">
        <v>13821656</v>
      </c>
      <c r="AA9" s="297">
        <v>15742372</v>
      </c>
      <c r="AB9" s="297">
        <v>16106894</v>
      </c>
      <c r="AC9" s="297">
        <v>19767471</v>
      </c>
      <c r="AD9" s="297">
        <v>22086644</v>
      </c>
      <c r="AE9" s="297">
        <v>24183512</v>
      </c>
      <c r="AF9" s="297">
        <v>25970312</v>
      </c>
      <c r="AG9" s="297">
        <v>29146880</v>
      </c>
      <c r="AH9" s="297">
        <v>28833947</v>
      </c>
      <c r="AI9" s="297">
        <v>29381560</v>
      </c>
      <c r="AJ9" s="297">
        <v>36007296</v>
      </c>
      <c r="AK9" s="297">
        <v>36868332</v>
      </c>
      <c r="AL9" s="297">
        <v>36169032</v>
      </c>
      <c r="AN9" s="322">
        <f t="shared" si="0"/>
        <v>20.658777399056738</v>
      </c>
      <c r="AO9" s="324">
        <f t="shared" si="1"/>
        <v>8.918322189417327E-2</v>
      </c>
    </row>
    <row r="10" spans="1:41" x14ac:dyDescent="0.2">
      <c r="A10" s="296" t="s">
        <v>277</v>
      </c>
      <c r="B10" s="297">
        <f>[2]StudentServ!E5</f>
        <v>1020901</v>
      </c>
      <c r="C10" s="297">
        <f>[2]StudentServ!F5</f>
        <v>1144674</v>
      </c>
      <c r="D10" s="297">
        <f>[2]StudentServ!G5</f>
        <v>1204409</v>
      </c>
      <c r="E10" s="297">
        <f>[2]StudentServ!H5</f>
        <v>1338041</v>
      </c>
      <c r="F10" s="297">
        <f>[2]StudentServ!I5</f>
        <v>1324051</v>
      </c>
      <c r="G10" s="297">
        <f>[2]StudentServ!J5</f>
        <v>1359500</v>
      </c>
      <c r="H10" s="297">
        <f>[2]StudentServ!K5</f>
        <v>1434993</v>
      </c>
      <c r="I10" s="297">
        <f>[2]StudentServ!L5</f>
        <v>1561432</v>
      </c>
      <c r="J10" s="297">
        <f>[2]StudentServ!M5</f>
        <v>2228400</v>
      </c>
      <c r="K10" s="297">
        <f>[2]StudentServ!N5</f>
        <v>2500434</v>
      </c>
      <c r="L10" s="297">
        <f>[2]StudentServ!O5</f>
        <v>2707004</v>
      </c>
      <c r="M10" s="297">
        <f>[2]StudentServ!P5</f>
        <v>3096565</v>
      </c>
      <c r="N10" s="297">
        <f>[2]StudentServ!Q5</f>
        <v>3363447</v>
      </c>
      <c r="O10" s="297">
        <f>[2]StudentServ!R5</f>
        <v>3754745</v>
      </c>
      <c r="P10" s="297">
        <f>[2]StudentServ!S5</f>
        <v>4091186</v>
      </c>
      <c r="Q10" s="297">
        <f>[2]StudentServ!T5</f>
        <v>4393107</v>
      </c>
      <c r="R10" s="297">
        <f>[2]StudentServ!U5</f>
        <v>4523260</v>
      </c>
      <c r="S10" s="297">
        <f>[2]StudentServ!V5</f>
        <v>5533632</v>
      </c>
      <c r="T10" s="297">
        <f>[2]StudentServ!W5</f>
        <v>5612031</v>
      </c>
      <c r="U10" s="297">
        <f>[2]StudentServ!X5</f>
        <v>6478098</v>
      </c>
      <c r="V10" s="297">
        <f>[2]StudentServ!Y5</f>
        <v>6981934</v>
      </c>
      <c r="W10" s="297">
        <f>[2]StudentServ!Z5</f>
        <v>7395732</v>
      </c>
      <c r="X10" s="297">
        <v>8463877</v>
      </c>
      <c r="Y10" s="297">
        <v>9541547</v>
      </c>
      <c r="Z10" s="297">
        <v>10394368</v>
      </c>
      <c r="AA10" s="297">
        <v>11191972</v>
      </c>
      <c r="AB10" s="297">
        <v>12612492</v>
      </c>
      <c r="AC10" s="297">
        <v>12742089</v>
      </c>
      <c r="AD10" s="297">
        <v>12021179</v>
      </c>
      <c r="AE10" s="297">
        <v>13213439</v>
      </c>
      <c r="AF10" s="297">
        <v>14293356</v>
      </c>
      <c r="AG10" s="297">
        <v>14855803</v>
      </c>
      <c r="AH10" s="297">
        <v>16087330</v>
      </c>
      <c r="AI10" s="297">
        <v>17191670</v>
      </c>
      <c r="AJ10" s="297">
        <v>18279576</v>
      </c>
      <c r="AK10" s="297">
        <v>18252107</v>
      </c>
      <c r="AL10" s="297">
        <v>18696367</v>
      </c>
      <c r="AN10" s="322">
        <f t="shared" si="0"/>
        <v>17.313594560099364</v>
      </c>
      <c r="AO10" s="324">
        <f t="shared" si="1"/>
        <v>8.4119220887781898E-2</v>
      </c>
    </row>
    <row r="11" spans="1:41" x14ac:dyDescent="0.2">
      <c r="A11" s="296" t="s">
        <v>278</v>
      </c>
      <c r="B11" s="297">
        <f>[2]InstSupp!E5</f>
        <v>1898611</v>
      </c>
      <c r="C11" s="297">
        <f>[2]InstSupp!F5</f>
        <v>2121661</v>
      </c>
      <c r="D11" s="297">
        <f>[2]InstSupp!G5</f>
        <v>2216879</v>
      </c>
      <c r="E11" s="297">
        <f>[2]InstSupp!H5</f>
        <v>2368622</v>
      </c>
      <c r="F11" s="297">
        <f>[2]InstSupp!I5</f>
        <v>2464243</v>
      </c>
      <c r="G11" s="297">
        <f>[2]InstSupp!J5</f>
        <v>2543935</v>
      </c>
      <c r="H11" s="297">
        <f>[2]InstSupp!K5</f>
        <v>2941781</v>
      </c>
      <c r="I11" s="297">
        <f>[2]InstSupp!L5</f>
        <v>3063221</v>
      </c>
      <c r="J11" s="297">
        <f>[2]InstSupp!M5</f>
        <v>3169831</v>
      </c>
      <c r="K11" s="297">
        <f>[2]InstSupp!N5</f>
        <v>3471909</v>
      </c>
      <c r="L11" s="297">
        <f>[2]InstSupp!O5</f>
        <v>3858039</v>
      </c>
      <c r="M11" s="297">
        <f>[2]InstSupp!P5</f>
        <v>4380829</v>
      </c>
      <c r="N11" s="297">
        <f>[2]InstSupp!Q5</f>
        <v>4754499</v>
      </c>
      <c r="O11" s="297">
        <f>[2]InstSupp!R5</f>
        <v>5161423</v>
      </c>
      <c r="P11" s="297">
        <f>[2]InstSupp!S5</f>
        <v>6086504</v>
      </c>
      <c r="Q11" s="297">
        <f>[2]InstSupp!T5</f>
        <v>6132159</v>
      </c>
      <c r="R11" s="297">
        <f>[2]InstSupp!U5</f>
        <v>5873957</v>
      </c>
      <c r="S11" s="297">
        <f>[2]InstSupp!V5</f>
        <v>6281102</v>
      </c>
      <c r="T11" s="297">
        <f>[2]InstSupp!W5</f>
        <v>6826590</v>
      </c>
      <c r="U11" s="297">
        <f>[2]InstSupp!X5</f>
        <v>6674914</v>
      </c>
      <c r="V11" s="297">
        <f>[2]InstSupp!Y5</f>
        <v>7397987</v>
      </c>
      <c r="W11" s="297">
        <f>[2]InstSupp!Z5</f>
        <v>8144349</v>
      </c>
      <c r="X11" s="297">
        <v>9376702</v>
      </c>
      <c r="Y11" s="297">
        <v>11409413</v>
      </c>
      <c r="Z11" s="297">
        <v>12912249</v>
      </c>
      <c r="AA11" s="297">
        <v>14512875</v>
      </c>
      <c r="AB11" s="297">
        <v>15501232</v>
      </c>
      <c r="AC11" s="297">
        <v>16834849</v>
      </c>
      <c r="AD11" s="297">
        <v>18562226</v>
      </c>
      <c r="AE11" s="297">
        <v>20746273</v>
      </c>
      <c r="AF11" s="297">
        <v>22705431</v>
      </c>
      <c r="AG11" s="297">
        <v>23769578</v>
      </c>
      <c r="AH11" s="297">
        <v>25580189</v>
      </c>
      <c r="AI11" s="297">
        <v>29733755</v>
      </c>
      <c r="AJ11" s="297">
        <v>31796250</v>
      </c>
      <c r="AK11" s="297">
        <v>32075547</v>
      </c>
      <c r="AL11" s="297">
        <v>32904831</v>
      </c>
      <c r="AN11" s="322">
        <f t="shared" si="0"/>
        <v>16.331001979868439</v>
      </c>
      <c r="AO11" s="324">
        <f t="shared" si="1"/>
        <v>8.2459780083934398E-2</v>
      </c>
    </row>
    <row r="12" spans="1:41" x14ac:dyDescent="0.2">
      <c r="A12" s="296" t="s">
        <v>279</v>
      </c>
      <c r="B12" s="297">
        <f>[2]PlantMainten!E5</f>
        <v>1501129</v>
      </c>
      <c r="C12" s="297">
        <f>[2]PlantMainten!F5</f>
        <v>1862241</v>
      </c>
      <c r="D12" s="297">
        <f>[2]PlantMainten!G5</f>
        <v>1995787</v>
      </c>
      <c r="E12" s="297">
        <f>[2]PlantMainten!H5</f>
        <v>2451827</v>
      </c>
      <c r="F12" s="297">
        <f>[2]PlantMainten!I5</f>
        <v>2602754</v>
      </c>
      <c r="G12" s="297">
        <f>[2]PlantMainten!J5</f>
        <v>2527243</v>
      </c>
      <c r="H12" s="297">
        <f>[2]PlantMainten!K5</f>
        <v>3063543</v>
      </c>
      <c r="I12" s="297">
        <f>[2]PlantMainten!L5</f>
        <v>3577362</v>
      </c>
      <c r="J12" s="297">
        <f>[2]PlantMainten!M5</f>
        <v>3746365</v>
      </c>
      <c r="K12" s="297">
        <f>[2]PlantMainten!N5</f>
        <v>4018250</v>
      </c>
      <c r="L12" s="297">
        <f>[2]PlantMainten!O5</f>
        <v>4419088</v>
      </c>
      <c r="M12" s="297">
        <f>[2]PlantMainten!P5</f>
        <v>4474793</v>
      </c>
      <c r="N12" s="297">
        <f>[2]PlantMainten!Q5</f>
        <v>4941045</v>
      </c>
      <c r="O12" s="297">
        <f>[2]PlantMainten!R5</f>
        <v>5959295</v>
      </c>
      <c r="P12" s="297">
        <f>[2]PlantMainten!S5</f>
        <v>6098776</v>
      </c>
      <c r="Q12" s="297">
        <f>[2]PlantMainten!T5</f>
        <v>7482135</v>
      </c>
      <c r="R12" s="297">
        <f>[2]PlantMainten!U5</f>
        <v>5326521</v>
      </c>
      <c r="S12" s="297">
        <f>[2]PlantMainten!V5</f>
        <v>4958320</v>
      </c>
      <c r="T12" s="297">
        <f>[2]PlantMainten!W5</f>
        <v>5624513</v>
      </c>
      <c r="U12" s="297">
        <f>[2]PlantMainten!X5</f>
        <v>10587993</v>
      </c>
      <c r="V12" s="297">
        <f>[2]PlantMainten!Y5</f>
        <v>14348950</v>
      </c>
      <c r="W12" s="297">
        <f>[2]PlantMainten!Z5</f>
        <v>13660168</v>
      </c>
      <c r="X12" s="297">
        <v>12176463</v>
      </c>
      <c r="Y12" s="297">
        <v>14127269</v>
      </c>
      <c r="Z12" s="297">
        <v>16325079</v>
      </c>
      <c r="AA12" s="297">
        <v>17001536</v>
      </c>
      <c r="AB12" s="297">
        <v>19575604</v>
      </c>
      <c r="AC12" s="297">
        <v>21169517</v>
      </c>
      <c r="AD12" s="297">
        <v>17473404</v>
      </c>
      <c r="AE12" s="297">
        <v>25789824</v>
      </c>
      <c r="AF12" s="297">
        <v>23454675</v>
      </c>
      <c r="AG12" s="297">
        <v>24302596</v>
      </c>
      <c r="AH12" s="297">
        <v>33294156</v>
      </c>
      <c r="AI12" s="297">
        <v>30290802</v>
      </c>
      <c r="AJ12" s="297">
        <v>30335381</v>
      </c>
      <c r="AK12" s="297">
        <v>39988975</v>
      </c>
      <c r="AL12" s="297">
        <v>61865659</v>
      </c>
      <c r="AN12" s="322">
        <f t="shared" si="0"/>
        <v>40.212753201090649</v>
      </c>
      <c r="AO12" s="324">
        <f t="shared" si="1"/>
        <v>0.1088223971190716</v>
      </c>
    </row>
    <row r="13" spans="1:41" x14ac:dyDescent="0.2">
      <c r="A13" s="296" t="s">
        <v>280</v>
      </c>
      <c r="B13" s="297">
        <f>[2]FinAid!E5</f>
        <v>356642</v>
      </c>
      <c r="C13" s="297">
        <f>[2]FinAid!F5</f>
        <v>517193</v>
      </c>
      <c r="D13" s="297">
        <f>[2]FinAid!G5</f>
        <v>419292</v>
      </c>
      <c r="E13" s="297">
        <f>[2]FinAid!H5</f>
        <v>463982</v>
      </c>
      <c r="F13" s="297">
        <f>[2]FinAid!I5</f>
        <v>585976</v>
      </c>
      <c r="G13" s="297">
        <f>[2]FinAid!J5</f>
        <v>543550</v>
      </c>
      <c r="H13" s="297">
        <f>[2]FinAid!K5</f>
        <v>533652</v>
      </c>
      <c r="I13" s="297">
        <f>[2]FinAid!L5</f>
        <v>856880</v>
      </c>
      <c r="J13" s="297">
        <f>[2]FinAid!M5</f>
        <v>1010235</v>
      </c>
      <c r="K13" s="297">
        <f>[2]FinAid!N5</f>
        <v>1173253</v>
      </c>
      <c r="L13" s="297">
        <f>[2]FinAid!O5</f>
        <v>1405516</v>
      </c>
      <c r="M13" s="297">
        <f>[2]FinAid!P5</f>
        <v>1590184</v>
      </c>
      <c r="N13" s="297">
        <f>[2]FinAid!Q5</f>
        <v>1974827</v>
      </c>
      <c r="O13" s="297">
        <f>[2]FinAid!R5</f>
        <v>2343131</v>
      </c>
      <c r="P13" s="297">
        <f>[2]FinAid!S5</f>
        <v>2550795</v>
      </c>
      <c r="Q13" s="297">
        <f>[2]FinAid!T5</f>
        <v>2590800</v>
      </c>
      <c r="R13" s="297">
        <f>[2]FinAid!U5</f>
        <v>2894246</v>
      </c>
      <c r="S13" s="297">
        <f>[2]FinAid!V5</f>
        <v>3454381</v>
      </c>
      <c r="T13" s="297">
        <f>[2]FinAid!W5</f>
        <v>3224258</v>
      </c>
      <c r="U13" s="297">
        <f>[2]FinAid!X5</f>
        <v>3826011</v>
      </c>
      <c r="V13" s="297">
        <f>[2]FinAid!Y5</f>
        <v>4287079</v>
      </c>
      <c r="W13" s="297">
        <f>[2]FinAid!Z5</f>
        <v>4914271</v>
      </c>
      <c r="X13" s="297">
        <v>6044001</v>
      </c>
      <c r="Y13" s="297">
        <v>6247133</v>
      </c>
      <c r="Z13" s="297">
        <v>5833338</v>
      </c>
      <c r="AA13" s="297">
        <v>7522675</v>
      </c>
      <c r="AB13" s="297">
        <v>8704377</v>
      </c>
      <c r="AC13" s="297">
        <v>10678629</v>
      </c>
      <c r="AD13" s="297">
        <v>12587253</v>
      </c>
      <c r="AE13" s="297">
        <v>15636961</v>
      </c>
      <c r="AF13" s="297">
        <v>19196886</v>
      </c>
      <c r="AG13" s="297">
        <v>22026439</v>
      </c>
      <c r="AH13" s="297">
        <v>22528075</v>
      </c>
      <c r="AI13" s="297">
        <v>24449275</v>
      </c>
      <c r="AJ13" s="297">
        <v>26054409</v>
      </c>
      <c r="AK13" s="297">
        <v>30208014</v>
      </c>
      <c r="AL13" s="297">
        <v>35850646</v>
      </c>
      <c r="AN13" s="322">
        <f t="shared" si="0"/>
        <v>99.522781949405854</v>
      </c>
      <c r="AO13" s="324">
        <f t="shared" si="1"/>
        <v>0.13662828250106918</v>
      </c>
    </row>
    <row r="14" spans="1:41" x14ac:dyDescent="0.2">
      <c r="A14" s="296" t="s">
        <v>281</v>
      </c>
      <c r="B14" s="297">
        <f>[2]AuxEnter!E5</f>
        <v>251683</v>
      </c>
      <c r="C14" s="297">
        <f>[2]AuxEnter!F5</f>
        <v>298919</v>
      </c>
      <c r="D14" s="297">
        <f>[2]AuxEnter!G5</f>
        <v>349481</v>
      </c>
      <c r="E14" s="297">
        <f>[2]AuxEnter!H5</f>
        <v>348329</v>
      </c>
      <c r="F14" s="297">
        <f>[2]AuxEnter!I5</f>
        <v>362110</v>
      </c>
      <c r="G14" s="297">
        <f>[2]AuxEnter!J5</f>
        <v>440510</v>
      </c>
      <c r="H14" s="297">
        <f>[2]AuxEnter!K5</f>
        <v>553632</v>
      </c>
      <c r="I14" s="297">
        <f>[2]AuxEnter!L5</f>
        <v>554745</v>
      </c>
      <c r="J14" s="297">
        <f>[2]AuxEnter!M5</f>
        <v>699712</v>
      </c>
      <c r="K14" s="297">
        <f>[2]AuxEnter!N5</f>
        <v>764309</v>
      </c>
      <c r="L14" s="297">
        <f>[2]AuxEnter!O5</f>
        <v>829722</v>
      </c>
      <c r="M14" s="297">
        <f>[2]AuxEnter!P5</f>
        <v>918313</v>
      </c>
      <c r="N14" s="297">
        <f>[2]AuxEnter!Q5</f>
        <v>1031407</v>
      </c>
      <c r="O14" s="297">
        <f>[2]AuxEnter!R5</f>
        <v>1063152</v>
      </c>
      <c r="P14" s="297">
        <f>[2]AuxEnter!S5</f>
        <v>1207457</v>
      </c>
      <c r="Q14" s="297">
        <f>[2]AuxEnter!T5</f>
        <v>1279589</v>
      </c>
      <c r="R14" s="297">
        <f>[2]AuxEnter!U5</f>
        <v>1032568</v>
      </c>
      <c r="S14" s="297">
        <f>[2]AuxEnter!V5</f>
        <v>1077546</v>
      </c>
      <c r="T14" s="297">
        <f>[2]AuxEnter!W5</f>
        <v>1201119</v>
      </c>
      <c r="U14" s="297">
        <f>[2]AuxEnter!X5</f>
        <v>1742067</v>
      </c>
      <c r="V14" s="297">
        <f>[2]AuxEnter!Y5</f>
        <v>2059861</v>
      </c>
      <c r="W14" s="297">
        <f>[2]AuxEnter!Z5</f>
        <v>2000350</v>
      </c>
      <c r="X14" s="297">
        <v>2330656</v>
      </c>
      <c r="Y14" s="297">
        <v>2690953</v>
      </c>
      <c r="Z14" s="297">
        <v>3130996</v>
      </c>
      <c r="AA14" s="297">
        <v>3538298</v>
      </c>
      <c r="AB14" s="297">
        <v>3802828</v>
      </c>
      <c r="AC14" s="297">
        <v>4116149</v>
      </c>
      <c r="AD14" s="297">
        <v>4025354</v>
      </c>
      <c r="AE14" s="297">
        <v>4221379</v>
      </c>
      <c r="AF14" s="297">
        <v>4604819</v>
      </c>
      <c r="AG14" s="297">
        <v>4932951</v>
      </c>
      <c r="AH14" s="297">
        <v>5149177</v>
      </c>
      <c r="AI14" s="297">
        <v>5672935</v>
      </c>
      <c r="AJ14" s="297">
        <v>5821496</v>
      </c>
      <c r="AK14" s="297">
        <v>6190498</v>
      </c>
      <c r="AL14" s="297">
        <v>6302294</v>
      </c>
      <c r="AN14" s="322">
        <f t="shared" si="0"/>
        <v>24.040602662873535</v>
      </c>
      <c r="AO14" s="324">
        <f t="shared" si="1"/>
        <v>9.3581724351647466E-2</v>
      </c>
    </row>
    <row r="15" spans="1:41" x14ac:dyDescent="0.2">
      <c r="A15" s="296" t="s">
        <v>282</v>
      </c>
      <c r="B15" s="297">
        <f>[2]MandatoryTransfer!E5</f>
        <v>506919</v>
      </c>
      <c r="C15" s="297">
        <f>[2]MandatoryTransfer!F5</f>
        <v>370860</v>
      </c>
      <c r="D15" s="297">
        <f>[2]MandatoryTransfer!G5</f>
        <v>349340</v>
      </c>
      <c r="E15" s="297">
        <f>[2]MandatoryTransfer!H5</f>
        <v>351290</v>
      </c>
      <c r="F15" s="297">
        <f>[2]MandatoryTransfer!I5</f>
        <v>370774</v>
      </c>
      <c r="G15" s="297">
        <f>[2]MandatoryTransfer!J5</f>
        <v>354290</v>
      </c>
      <c r="H15" s="297">
        <f>[2]MandatoryTransfer!K5</f>
        <v>382856</v>
      </c>
      <c r="I15" s="297">
        <f>[2]MandatoryTransfer!L5</f>
        <v>384837</v>
      </c>
      <c r="J15" s="297">
        <f>[2]MandatoryTransfer!M5</f>
        <v>370476</v>
      </c>
      <c r="K15" s="297">
        <f>[2]MandatoryTransfer!N5</f>
        <v>363964</v>
      </c>
      <c r="L15" s="297">
        <f>[2]MandatoryTransfer!O5</f>
        <v>361783</v>
      </c>
      <c r="M15" s="297">
        <f>[2]MandatoryTransfer!P5</f>
        <v>351246</v>
      </c>
      <c r="N15" s="297">
        <f>[2]MandatoryTransfer!Q5</f>
        <v>364985</v>
      </c>
      <c r="O15" s="297">
        <f>[2]MandatoryTransfer!R5</f>
        <v>432222</v>
      </c>
      <c r="P15" s="297">
        <f>[2]MandatoryTransfer!S5</f>
        <v>490093</v>
      </c>
      <c r="Q15" s="297">
        <f>[2]MandatoryTransfer!T5</f>
        <v>495439</v>
      </c>
      <c r="R15" s="297">
        <f>[2]MandatoryTransfer!U5</f>
        <v>5413654</v>
      </c>
      <c r="S15" s="297">
        <f>[2]MandatoryTransfer!V5</f>
        <v>5000764</v>
      </c>
      <c r="T15" s="297">
        <f>[2]MandatoryTransfer!W5</f>
        <v>9559431</v>
      </c>
      <c r="U15" s="297">
        <f>[2]MandatoryTransfer!X5</f>
        <v>3949615</v>
      </c>
      <c r="V15" s="297">
        <f>[2]MandatoryTransfer!Y5</f>
        <v>2357931</v>
      </c>
      <c r="W15" s="297">
        <f>[2]MandatoryTransfer!Z5</f>
        <v>2335278</v>
      </c>
      <c r="X15" s="297">
        <v>7665465</v>
      </c>
      <c r="Y15" s="297">
        <v>10522876</v>
      </c>
      <c r="Z15" s="297">
        <v>9652036</v>
      </c>
      <c r="AA15" s="297">
        <v>7224991</v>
      </c>
      <c r="AB15" s="297">
        <v>2822310</v>
      </c>
      <c r="AC15" s="297">
        <v>3383178</v>
      </c>
      <c r="AD15" s="297">
        <v>3382862</v>
      </c>
      <c r="AE15" s="297">
        <v>3542966</v>
      </c>
      <c r="AF15" s="297">
        <v>3704236</v>
      </c>
      <c r="AG15" s="297">
        <v>5972926</v>
      </c>
      <c r="AH15" s="297">
        <v>5932659</v>
      </c>
      <c r="AI15" s="297">
        <v>5758361</v>
      </c>
      <c r="AJ15" s="297">
        <v>6124414</v>
      </c>
      <c r="AK15" s="297">
        <v>6727417</v>
      </c>
      <c r="AL15" s="297">
        <v>6721685</v>
      </c>
      <c r="AN15" s="323">
        <f t="shared" si="0"/>
        <v>12.259879783555164</v>
      </c>
      <c r="AO15" s="325">
        <f t="shared" si="1"/>
        <v>7.4438730861830393E-2</v>
      </c>
    </row>
    <row r="16" spans="1:41" x14ac:dyDescent="0.2">
      <c r="A16" s="296" t="s">
        <v>283</v>
      </c>
      <c r="B16" s="301">
        <f>[2]NonmandatoryTransfer!E5</f>
        <v>0</v>
      </c>
      <c r="C16" s="301">
        <f>[2]NonmandatoryTransfer!F5</f>
        <v>0</v>
      </c>
      <c r="D16" s="301">
        <f>[2]NonmandatoryTransfer!G5</f>
        <v>0</v>
      </c>
      <c r="E16" s="301">
        <f>[2]NonmandatoryTransfer!H5</f>
        <v>0</v>
      </c>
      <c r="F16" s="301">
        <f>[2]NonmandatoryTransfer!I5</f>
        <v>0</v>
      </c>
      <c r="G16" s="301">
        <f>[2]NonmandatoryTransfer!J5</f>
        <v>0</v>
      </c>
      <c r="H16" s="301">
        <f>[2]NonmandatoryTransfer!K5</f>
        <v>0</v>
      </c>
      <c r="I16" s="301">
        <f>[2]NonmandatoryTransfer!L5</f>
        <v>0</v>
      </c>
      <c r="J16" s="301">
        <f>[2]NonmandatoryTransfer!M5</f>
        <v>0</v>
      </c>
      <c r="K16" s="301">
        <f>[2]NonmandatoryTransfer!N5</f>
        <v>0</v>
      </c>
      <c r="L16" s="301">
        <f>[2]NonmandatoryTransfer!O5</f>
        <v>0</v>
      </c>
      <c r="M16" s="301">
        <f>[2]NonmandatoryTransfer!P5</f>
        <v>0</v>
      </c>
      <c r="N16" s="301">
        <f>[2]NonmandatoryTransfer!Q5</f>
        <v>0</v>
      </c>
      <c r="O16" s="301">
        <f>[2]NonmandatoryTransfer!R5</f>
        <v>0</v>
      </c>
      <c r="P16" s="301">
        <f>[2]NonmandatoryTransfer!S5</f>
        <v>0</v>
      </c>
      <c r="Q16" s="301">
        <f>[2]NonmandatoryTransfer!T5</f>
        <v>0</v>
      </c>
      <c r="R16" s="301">
        <f>[2]NonmandatoryTransfer!U5</f>
        <v>0</v>
      </c>
      <c r="S16" s="301">
        <f>[2]NonmandatoryTransfer!V5</f>
        <v>0</v>
      </c>
      <c r="T16" s="301">
        <f>[2]NonmandatoryTransfer!W5</f>
        <v>0</v>
      </c>
      <c r="U16" s="301">
        <f>[2]NonmandatoryTransfer!X5</f>
        <v>0</v>
      </c>
      <c r="V16" s="301">
        <f>[2]NonmandatoryTransfer!Y5</f>
        <v>0</v>
      </c>
      <c r="W16" s="301">
        <f>[2]NonmandatoryTransfer!Z5</f>
        <v>0</v>
      </c>
      <c r="X16" s="297">
        <v>0</v>
      </c>
      <c r="Y16" s="297">
        <v>0</v>
      </c>
      <c r="Z16" s="297">
        <v>0</v>
      </c>
      <c r="AA16" s="297">
        <v>0</v>
      </c>
      <c r="AB16" s="297">
        <v>-345708</v>
      </c>
      <c r="AC16" s="297">
        <v>-1894260</v>
      </c>
      <c r="AD16" s="297">
        <v>5079360</v>
      </c>
      <c r="AE16" s="297">
        <v>1123346</v>
      </c>
      <c r="AF16" s="297">
        <v>5377594</v>
      </c>
      <c r="AG16" s="297">
        <v>9053509</v>
      </c>
      <c r="AH16" s="297">
        <v>13016532</v>
      </c>
      <c r="AI16" s="297">
        <v>12088953</v>
      </c>
      <c r="AJ16" s="297">
        <v>15665735</v>
      </c>
      <c r="AK16" s="297">
        <v>2316097</v>
      </c>
      <c r="AL16" s="297">
        <v>-21624724</v>
      </c>
      <c r="AN16" s="322"/>
      <c r="AO16" s="324"/>
    </row>
    <row r="17" spans="1:42" x14ac:dyDescent="0.2">
      <c r="A17" s="296" t="s">
        <v>284</v>
      </c>
      <c r="B17" s="297">
        <f>SUM(B6:B16)</f>
        <v>14613364</v>
      </c>
      <c r="C17" s="297">
        <f t="shared" ref="C17:W17" si="2">SUM(C6:C16)</f>
        <v>15940841</v>
      </c>
      <c r="D17" s="297">
        <f t="shared" si="2"/>
        <v>16954000</v>
      </c>
      <c r="E17" s="297">
        <f t="shared" si="2"/>
        <v>18218200</v>
      </c>
      <c r="F17" s="297">
        <f t="shared" si="2"/>
        <v>18931052</v>
      </c>
      <c r="G17" s="297">
        <f t="shared" si="2"/>
        <v>19206054</v>
      </c>
      <c r="H17" s="297">
        <f t="shared" si="2"/>
        <v>20689554</v>
      </c>
      <c r="I17" s="297">
        <f t="shared" si="2"/>
        <v>23108834</v>
      </c>
      <c r="J17" s="297">
        <f t="shared" si="2"/>
        <v>26174013</v>
      </c>
      <c r="K17" s="297">
        <f t="shared" si="2"/>
        <v>28982031</v>
      </c>
      <c r="L17" s="297">
        <f t="shared" si="2"/>
        <v>31760234</v>
      </c>
      <c r="M17" s="297">
        <f t="shared" si="2"/>
        <v>35967145</v>
      </c>
      <c r="N17" s="297">
        <f t="shared" si="2"/>
        <v>40005806</v>
      </c>
      <c r="O17" s="297">
        <f t="shared" si="2"/>
        <v>45161361</v>
      </c>
      <c r="P17" s="297">
        <f t="shared" si="2"/>
        <v>50198025</v>
      </c>
      <c r="Q17" s="297">
        <f t="shared" si="2"/>
        <v>55633061</v>
      </c>
      <c r="R17" s="297">
        <f t="shared" si="2"/>
        <v>60818837</v>
      </c>
      <c r="S17" s="297">
        <f t="shared" si="2"/>
        <v>65108748</v>
      </c>
      <c r="T17" s="297">
        <f t="shared" si="2"/>
        <v>73079532</v>
      </c>
      <c r="U17" s="297">
        <f t="shared" si="2"/>
        <v>79241170</v>
      </c>
      <c r="V17" s="297">
        <f t="shared" si="2"/>
        <v>88366324</v>
      </c>
      <c r="W17" s="297">
        <f t="shared" si="2"/>
        <v>97936581</v>
      </c>
      <c r="X17" s="297">
        <v>111010724</v>
      </c>
      <c r="Y17" s="297">
        <v>126646670</v>
      </c>
      <c r="Z17" s="297">
        <v>143197052</v>
      </c>
      <c r="AA17" s="297">
        <v>154856989</v>
      </c>
      <c r="AB17" s="297">
        <v>165751220</v>
      </c>
      <c r="AC17" s="297">
        <v>178189838</v>
      </c>
      <c r="AD17" s="297">
        <v>192892150</v>
      </c>
      <c r="AE17" s="297">
        <v>207595794</v>
      </c>
      <c r="AF17" s="297">
        <v>224131093</v>
      </c>
      <c r="AG17" s="297">
        <v>245170797</v>
      </c>
      <c r="AH17" s="297">
        <v>271029896</v>
      </c>
      <c r="AI17" s="297">
        <v>287568892</v>
      </c>
      <c r="AJ17" s="297">
        <v>301352464</v>
      </c>
      <c r="AK17" s="297">
        <v>308871882</v>
      </c>
      <c r="AL17" s="297">
        <v>322587030</v>
      </c>
      <c r="AN17" s="322">
        <f>(AL17-B17)/B17</f>
        <v>21.074796056541121</v>
      </c>
      <c r="AO17" s="324">
        <f>((AL17/B17)^((1/36))-1)</f>
        <v>8.9758998674308588E-2</v>
      </c>
    </row>
    <row r="18" spans="1:42" s="289" customFormat="1" ht="15.75" x14ac:dyDescent="0.25">
      <c r="B18" s="298" t="s">
        <v>189</v>
      </c>
      <c r="C18" s="298" t="s">
        <v>190</v>
      </c>
      <c r="D18" s="298" t="s">
        <v>191</v>
      </c>
      <c r="E18" s="298" t="s">
        <v>192</v>
      </c>
      <c r="F18" s="298" t="s">
        <v>193</v>
      </c>
      <c r="G18" s="298" t="s">
        <v>194</v>
      </c>
      <c r="H18" s="298" t="s">
        <v>195</v>
      </c>
      <c r="I18" s="298" t="s">
        <v>196</v>
      </c>
      <c r="J18" s="298" t="s">
        <v>197</v>
      </c>
      <c r="K18" s="298" t="s">
        <v>198</v>
      </c>
      <c r="L18" s="298" t="s">
        <v>199</v>
      </c>
      <c r="M18" s="298" t="s">
        <v>200</v>
      </c>
      <c r="N18" s="298" t="s">
        <v>201</v>
      </c>
      <c r="O18" s="298" t="s">
        <v>202</v>
      </c>
      <c r="P18" s="298" t="s">
        <v>203</v>
      </c>
      <c r="Q18" s="298" t="s">
        <v>204</v>
      </c>
      <c r="R18" s="298" t="s">
        <v>205</v>
      </c>
      <c r="S18" s="298" t="s">
        <v>206</v>
      </c>
      <c r="T18" s="298" t="s">
        <v>207</v>
      </c>
      <c r="U18" s="298" t="s">
        <v>208</v>
      </c>
      <c r="V18" s="298" t="s">
        <v>209</v>
      </c>
      <c r="W18" s="298" t="s">
        <v>210</v>
      </c>
      <c r="X18" s="298" t="s">
        <v>211</v>
      </c>
      <c r="Y18" s="298" t="s">
        <v>212</v>
      </c>
      <c r="Z18" s="298" t="s">
        <v>172</v>
      </c>
      <c r="AA18" s="298" t="s">
        <v>173</v>
      </c>
      <c r="AB18" s="298" t="s">
        <v>174</v>
      </c>
      <c r="AC18" s="298" t="s">
        <v>175</v>
      </c>
      <c r="AD18" s="298" t="s">
        <v>177</v>
      </c>
      <c r="AE18" s="298" t="s">
        <v>178</v>
      </c>
      <c r="AF18" s="298" t="s">
        <v>213</v>
      </c>
      <c r="AG18" s="298" t="s">
        <v>214</v>
      </c>
      <c r="AH18" s="298" t="s">
        <v>179</v>
      </c>
      <c r="AI18" s="298" t="s">
        <v>180</v>
      </c>
      <c r="AJ18" s="298" t="s">
        <v>181</v>
      </c>
      <c r="AK18" s="298" t="s">
        <v>182</v>
      </c>
      <c r="AL18" s="298" t="s">
        <v>183</v>
      </c>
      <c r="AM18" s="298"/>
      <c r="AN18" s="322"/>
      <c r="AO18" s="324"/>
      <c r="AP18" s="298"/>
    </row>
    <row r="19" spans="1:42" x14ac:dyDescent="0.2">
      <c r="AN19" s="322"/>
      <c r="AO19" s="324"/>
    </row>
    <row r="20" spans="1:42" x14ac:dyDescent="0.2">
      <c r="A20" s="296" t="s">
        <v>313</v>
      </c>
      <c r="B20" s="302">
        <f>'[2]GF GrossSquareFt'!E5</f>
        <v>523193</v>
      </c>
      <c r="C20" s="302">
        <f>'[2]GF GrossSquareFt'!F5</f>
        <v>547406</v>
      </c>
      <c r="D20" s="302">
        <f>'[2]GF GrossSquareFt'!G5</f>
        <v>559123</v>
      </c>
      <c r="E20" s="302">
        <f>'[2]GF GrossSquareFt'!H5</f>
        <v>555494</v>
      </c>
      <c r="F20" s="302">
        <f>'[2]GF GrossSquareFt'!I5</f>
        <v>555494</v>
      </c>
      <c r="G20" s="302">
        <f>'[2]GF GrossSquareFt'!J5</f>
        <v>549665</v>
      </c>
      <c r="H20" s="302">
        <f>'[2]GF GrossSquareFt'!K5</f>
        <v>629244</v>
      </c>
      <c r="I20" s="302">
        <f>'[2]GF GrossSquareFt'!L5</f>
        <v>629244</v>
      </c>
      <c r="J20" s="302">
        <f>'[2]GF GrossSquareFt'!M5</f>
        <v>629244</v>
      </c>
      <c r="K20" s="302">
        <f>'[2]GF GrossSquareFt'!N5</f>
        <v>636380</v>
      </c>
      <c r="L20" s="302">
        <f>'[2]GF GrossSquareFt'!O5</f>
        <v>636380</v>
      </c>
      <c r="M20" s="302">
        <f>'[2]GF GrossSquareFt'!P5</f>
        <v>705799</v>
      </c>
      <c r="N20" s="302">
        <f>'[2]GF GrossSquareFt'!Q5</f>
        <v>745063</v>
      </c>
      <c r="O20" s="302">
        <f>'[2]GF GrossSquareFt'!R5</f>
        <v>750563</v>
      </c>
      <c r="P20" s="302">
        <f>'[2]GF GrossSquareFt'!S5</f>
        <v>739621</v>
      </c>
      <c r="Q20" s="302">
        <f>'[2]GF GrossSquareFt'!T5</f>
        <v>841545</v>
      </c>
      <c r="R20" s="302">
        <f>'[2]GF GrossSquareFt'!U5</f>
        <v>894182</v>
      </c>
      <c r="S20" s="302">
        <f>'[2]GF GrossSquareFt'!V5</f>
        <v>909586</v>
      </c>
      <c r="T20" s="302">
        <f>'[2]GF GrossSquareFt'!W5</f>
        <v>986746</v>
      </c>
      <c r="U20" s="302">
        <f>'[2]GF GrossSquareFt'!X5</f>
        <v>1222550</v>
      </c>
      <c r="V20" s="302">
        <f>'[2]GF GrossSquareFt'!Y5</f>
        <v>1224950</v>
      </c>
      <c r="W20" s="302">
        <f>'[2]GF GrossSquareFt'!Z5</f>
        <v>1286321</v>
      </c>
      <c r="X20" s="302">
        <f>'[2]GF GrossSquareFt'!AA5</f>
        <v>1387335</v>
      </c>
      <c r="Y20" s="302">
        <f>'[2]GF GrossSquareFt'!AB5</f>
        <v>1393582</v>
      </c>
      <c r="Z20" s="302">
        <f>'[2]GF GrossSquareFt'!AC5</f>
        <v>1692084</v>
      </c>
      <c r="AA20" s="302">
        <f>'[2]GF GrossSquareFt'!AD5</f>
        <v>1749784</v>
      </c>
      <c r="AB20" s="302">
        <f>'[2]GF GrossSquareFt'!AE5</f>
        <v>1933638</v>
      </c>
      <c r="AC20" s="302">
        <f>'[2]GF GrossSquareFt'!AF5</f>
        <v>2240044</v>
      </c>
      <c r="AD20" s="302">
        <f>'[2]GF GrossSquareFt'!AG5</f>
        <v>2275402</v>
      </c>
      <c r="AE20" s="302">
        <f>'[2]GF GrossSquareFt'!AH5</f>
        <v>2312501</v>
      </c>
      <c r="AF20" s="302">
        <f>'[2]GF GrossSquareFt'!AI5</f>
        <v>2339536</v>
      </c>
      <c r="AG20" s="302">
        <f>'[2]GF GrossSquareFt'!AJ5</f>
        <v>2406091</v>
      </c>
      <c r="AH20" s="302">
        <f>'[2]GF GrossSquareFt'!AK5</f>
        <v>2713962</v>
      </c>
      <c r="AI20" s="302">
        <f>'[2]GF GrossSquareFt'!AL5</f>
        <v>2731922</v>
      </c>
      <c r="AJ20" s="302">
        <f>'[2]GF GrossSquareFt'!AM5</f>
        <v>2732130</v>
      </c>
      <c r="AK20" s="302">
        <f>'[2]GF GrossSquareFt'!AN5</f>
        <v>2758548</v>
      </c>
      <c r="AL20" s="302">
        <f>'[2]GF GrossSquareFt'!AO5</f>
        <v>2818744</v>
      </c>
      <c r="AN20" s="322">
        <f>(AL20-B20)/B20</f>
        <v>4.387579726792981</v>
      </c>
      <c r="AO20" s="324">
        <f>((AL20/B20)^((1/36))-1)</f>
        <v>4.7891920717537895E-2</v>
      </c>
    </row>
    <row r="22" spans="1:42" x14ac:dyDescent="0.2">
      <c r="A22" s="296" t="s">
        <v>369</v>
      </c>
    </row>
    <row r="23" spans="1:42" x14ac:dyDescent="0.2">
      <c r="A23" s="296" t="s">
        <v>273</v>
      </c>
      <c r="B23" s="324">
        <f>B6/B$17</f>
        <v>0.48123190526151266</v>
      </c>
      <c r="C23" s="324">
        <f t="shared" ref="C23:AL23" si="3">C6/C$17</f>
        <v>0.4637028247129496</v>
      </c>
      <c r="D23" s="324">
        <f t="shared" si="3"/>
        <v>0.4704618968974873</v>
      </c>
      <c r="E23" s="324">
        <f t="shared" si="3"/>
        <v>0.46567986958096846</v>
      </c>
      <c r="F23" s="324">
        <f t="shared" si="3"/>
        <v>0.45768254188937835</v>
      </c>
      <c r="G23" s="324">
        <f t="shared" si="3"/>
        <v>0.46820570222285118</v>
      </c>
      <c r="H23" s="324">
        <f t="shared" si="3"/>
        <v>0.43592147998937048</v>
      </c>
      <c r="I23" s="324">
        <f t="shared" si="3"/>
        <v>0.43097124675351428</v>
      </c>
      <c r="J23" s="324">
        <f t="shared" si="3"/>
        <v>0.42302794760589446</v>
      </c>
      <c r="K23" s="324">
        <f t="shared" si="3"/>
        <v>0.42172927770313956</v>
      </c>
      <c r="L23" s="324">
        <f t="shared" si="3"/>
        <v>0.41256412027694755</v>
      </c>
      <c r="M23" s="324">
        <f t="shared" si="3"/>
        <v>0.4238484038696983</v>
      </c>
      <c r="N23" s="324">
        <f t="shared" si="3"/>
        <v>0.45540099854506116</v>
      </c>
      <c r="O23" s="324">
        <f t="shared" si="3"/>
        <v>0.45713686529509151</v>
      </c>
      <c r="P23" s="324">
        <f t="shared" si="3"/>
        <v>0.46950287386804562</v>
      </c>
      <c r="Q23" s="324">
        <f t="shared" si="3"/>
        <v>0.47641103192218742</v>
      </c>
      <c r="R23" s="324">
        <f t="shared" si="3"/>
        <v>0.47880563714166385</v>
      </c>
      <c r="S23" s="324">
        <f t="shared" si="3"/>
        <v>0.47567311538535495</v>
      </c>
      <c r="T23" s="324">
        <f t="shared" si="3"/>
        <v>0.44691215318675004</v>
      </c>
      <c r="U23" s="324">
        <f t="shared" si="3"/>
        <v>0.46797567476603386</v>
      </c>
      <c r="V23" s="324">
        <f t="shared" si="3"/>
        <v>0.47039432125749625</v>
      </c>
      <c r="W23" s="324">
        <f t="shared" si="3"/>
        <v>0.49452893398433012</v>
      </c>
      <c r="X23" s="324">
        <f t="shared" si="3"/>
        <v>0.47116801075903264</v>
      </c>
      <c r="Y23" s="324">
        <f t="shared" si="3"/>
        <v>0.45995099594801819</v>
      </c>
      <c r="Z23" s="324">
        <f t="shared" si="3"/>
        <v>0.46455393509078663</v>
      </c>
      <c r="AA23" s="324">
        <f t="shared" si="3"/>
        <v>0.47314622654841881</v>
      </c>
      <c r="AB23" s="324">
        <f t="shared" si="3"/>
        <v>0.49587531844411159</v>
      </c>
      <c r="AC23" s="324">
        <f t="shared" si="3"/>
        <v>0.48201119078406707</v>
      </c>
      <c r="AD23" s="324">
        <f t="shared" si="3"/>
        <v>0.47708201707534498</v>
      </c>
      <c r="AE23" s="324">
        <f t="shared" si="3"/>
        <v>0.4577660759350452</v>
      </c>
      <c r="AF23" s="324">
        <f t="shared" si="3"/>
        <v>0.4485267200298711</v>
      </c>
      <c r="AG23" s="324">
        <f t="shared" si="3"/>
        <v>0.43455025763121374</v>
      </c>
      <c r="AH23" s="324">
        <f t="shared" si="3"/>
        <v>0.42831907739063591</v>
      </c>
      <c r="AI23" s="324">
        <f t="shared" si="3"/>
        <v>0.43917803181576398</v>
      </c>
      <c r="AJ23" s="324">
        <f t="shared" si="3"/>
        <v>0.41721044962154352</v>
      </c>
      <c r="AK23" s="324">
        <f t="shared" si="3"/>
        <v>0.4239567135476579</v>
      </c>
      <c r="AL23" s="324">
        <f t="shared" si="3"/>
        <v>0.43374786952841843</v>
      </c>
      <c r="AN23" s="322">
        <f>(AL23-B23)/B23</f>
        <v>-9.8671836206060154E-2</v>
      </c>
    </row>
    <row r="24" spans="1:42" x14ac:dyDescent="0.2">
      <c r="A24" s="296" t="s">
        <v>274</v>
      </c>
      <c r="B24" s="324">
        <f>B7/B$17</f>
        <v>5.8718854878315489E-3</v>
      </c>
      <c r="C24" s="324">
        <f t="shared" ref="C24:AL31" si="4">C7/C$17</f>
        <v>3.7627876722438921E-3</v>
      </c>
      <c r="D24" s="324">
        <f t="shared" si="4"/>
        <v>5.8599150642916122E-3</v>
      </c>
      <c r="E24" s="324">
        <f t="shared" si="4"/>
        <v>4.9712924438199161E-3</v>
      </c>
      <c r="F24" s="324">
        <f t="shared" si="4"/>
        <v>4.4460286728915015E-3</v>
      </c>
      <c r="G24" s="324">
        <f t="shared" si="4"/>
        <v>3.9240751900416404E-3</v>
      </c>
      <c r="H24" s="324">
        <f t="shared" si="4"/>
        <v>4.3348928642927727E-3</v>
      </c>
      <c r="I24" s="324">
        <f t="shared" si="4"/>
        <v>4.3726567943670374E-3</v>
      </c>
      <c r="J24" s="324">
        <f t="shared" si="4"/>
        <v>5.4695854242908792E-3</v>
      </c>
      <c r="K24" s="324">
        <f t="shared" si="4"/>
        <v>1.4275983625854241E-2</v>
      </c>
      <c r="L24" s="324">
        <f t="shared" si="4"/>
        <v>1.3046062569942023E-2</v>
      </c>
      <c r="M24" s="324">
        <f t="shared" si="4"/>
        <v>1.4114436939601406E-2</v>
      </c>
      <c r="N24" s="324">
        <f t="shared" si="4"/>
        <v>1.0813280452342342E-2</v>
      </c>
      <c r="O24" s="324">
        <f t="shared" si="4"/>
        <v>1.0766327436411849E-2</v>
      </c>
      <c r="P24" s="324">
        <f t="shared" si="4"/>
        <v>9.1777714362268233E-3</v>
      </c>
      <c r="Q24" s="324">
        <f t="shared" si="4"/>
        <v>9.8584365149348881E-3</v>
      </c>
      <c r="R24" s="324">
        <f t="shared" si="4"/>
        <v>5.2534381740972783E-3</v>
      </c>
      <c r="S24" s="324">
        <f t="shared" si="4"/>
        <v>1.0735224090010147E-2</v>
      </c>
      <c r="T24" s="324">
        <f t="shared" si="4"/>
        <v>8.3013257391960308E-3</v>
      </c>
      <c r="U24" s="324">
        <f t="shared" si="4"/>
        <v>7.6216189135016555E-3</v>
      </c>
      <c r="V24" s="324">
        <f t="shared" si="4"/>
        <v>7.6740886041610154E-3</v>
      </c>
      <c r="W24" s="324">
        <f t="shared" si="4"/>
        <v>6.6959658311943728E-3</v>
      </c>
      <c r="X24" s="324">
        <f t="shared" si="4"/>
        <v>5.8551820633112889E-3</v>
      </c>
      <c r="Y24" s="324">
        <f t="shared" si="4"/>
        <v>5.9441989276149149E-3</v>
      </c>
      <c r="Z24" s="324">
        <f t="shared" si="4"/>
        <v>6.4174086488875482E-3</v>
      </c>
      <c r="AA24" s="324">
        <f t="shared" si="4"/>
        <v>1.2028666010030713E-2</v>
      </c>
      <c r="AB24" s="324">
        <f t="shared" si="4"/>
        <v>9.2843600185868926E-3</v>
      </c>
      <c r="AC24" s="324">
        <f t="shared" si="4"/>
        <v>1.0572336902848523E-2</v>
      </c>
      <c r="AD24" s="324">
        <f t="shared" si="4"/>
        <v>1.0776343153415004E-2</v>
      </c>
      <c r="AE24" s="324">
        <f t="shared" si="4"/>
        <v>1.1644614533953419E-2</v>
      </c>
      <c r="AF24" s="324">
        <f t="shared" si="4"/>
        <v>1.1425447338535934E-2</v>
      </c>
      <c r="AG24" s="324">
        <f t="shared" si="4"/>
        <v>1.1259522071056448E-2</v>
      </c>
      <c r="AH24" s="324">
        <f t="shared" si="4"/>
        <v>1.0498177662290067E-2</v>
      </c>
      <c r="AI24" s="324">
        <f t="shared" si="4"/>
        <v>1.0549249534264645E-2</v>
      </c>
      <c r="AJ24" s="324">
        <f t="shared" si="4"/>
        <v>1.1071951945280925E-2</v>
      </c>
      <c r="AK24" s="324">
        <f t="shared" si="4"/>
        <v>1.0029132402540934E-2</v>
      </c>
      <c r="AL24" s="324">
        <f t="shared" si="4"/>
        <v>1.0730415912877836E-2</v>
      </c>
      <c r="AN24" s="322">
        <f t="shared" ref="AN24:AN32" si="5">(AL24-B24)/B24</f>
        <v>0.82742254342574251</v>
      </c>
    </row>
    <row r="25" spans="1:42" x14ac:dyDescent="0.2">
      <c r="A25" s="296" t="s">
        <v>275</v>
      </c>
      <c r="B25" s="324">
        <f t="shared" ref="B25:Q33" si="6">B8/B$17</f>
        <v>1.979735808948576E-2</v>
      </c>
      <c r="C25" s="324">
        <f t="shared" si="6"/>
        <v>1.8644311175301229E-2</v>
      </c>
      <c r="D25" s="324">
        <f t="shared" si="6"/>
        <v>2.0642621210333844E-2</v>
      </c>
      <c r="E25" s="324">
        <f t="shared" si="6"/>
        <v>1.5942848360430778E-2</v>
      </c>
      <c r="F25" s="324">
        <f t="shared" si="6"/>
        <v>1.86176658328338E-2</v>
      </c>
      <c r="G25" s="324">
        <f t="shared" si="6"/>
        <v>1.849869837916732E-2</v>
      </c>
      <c r="H25" s="324">
        <f t="shared" si="6"/>
        <v>1.8042003225395772E-2</v>
      </c>
      <c r="I25" s="324">
        <f t="shared" si="6"/>
        <v>2.1726280088385248E-2</v>
      </c>
      <c r="J25" s="324">
        <f t="shared" si="6"/>
        <v>2.3542014745694517E-2</v>
      </c>
      <c r="K25" s="324">
        <f t="shared" si="6"/>
        <v>2.8023018814657952E-2</v>
      </c>
      <c r="L25" s="324">
        <f t="shared" si="6"/>
        <v>2.7676968626868428E-2</v>
      </c>
      <c r="M25" s="324">
        <f t="shared" si="6"/>
        <v>2.4436440534826992E-2</v>
      </c>
      <c r="N25" s="324">
        <f t="shared" si="6"/>
        <v>1.6775315063018603E-2</v>
      </c>
      <c r="O25" s="324">
        <f t="shared" si="6"/>
        <v>1.4627238536943117E-2</v>
      </c>
      <c r="P25" s="324">
        <f t="shared" si="6"/>
        <v>1.2407798912407411E-2</v>
      </c>
      <c r="Q25" s="324">
        <f t="shared" si="6"/>
        <v>1.6204878606266154E-2</v>
      </c>
      <c r="R25" s="324">
        <f t="shared" si="4"/>
        <v>1.2138969378845571E-2</v>
      </c>
      <c r="S25" s="324">
        <f t="shared" si="4"/>
        <v>1.2591503064995199E-2</v>
      </c>
      <c r="T25" s="324">
        <f t="shared" si="4"/>
        <v>1.0897770938106172E-2</v>
      </c>
      <c r="U25" s="324">
        <f t="shared" si="4"/>
        <v>1.0331813626679162E-2</v>
      </c>
      <c r="V25" s="324">
        <f t="shared" si="4"/>
        <v>8.8892913549283772E-3</v>
      </c>
      <c r="W25" s="324">
        <f t="shared" si="4"/>
        <v>1.014926179626385E-2</v>
      </c>
      <c r="X25" s="324">
        <f t="shared" si="4"/>
        <v>1.5049654121704495E-2</v>
      </c>
      <c r="Y25" s="324">
        <f t="shared" si="4"/>
        <v>1.4906321658516564E-2</v>
      </c>
      <c r="Z25" s="324">
        <f t="shared" si="4"/>
        <v>2.573811365893203E-2</v>
      </c>
      <c r="AA25" s="324">
        <f t="shared" si="4"/>
        <v>1.9305211984975375E-2</v>
      </c>
      <c r="AB25" s="324">
        <f t="shared" si="4"/>
        <v>1.9549527297596965E-2</v>
      </c>
      <c r="AC25" s="324">
        <f t="shared" si="4"/>
        <v>2.0308885403442591E-2</v>
      </c>
      <c r="AD25" s="324">
        <f t="shared" si="4"/>
        <v>1.8506818447510693E-2</v>
      </c>
      <c r="AE25" s="324">
        <f t="shared" si="4"/>
        <v>8.1427902147188976E-3</v>
      </c>
      <c r="AF25" s="324">
        <f t="shared" si="4"/>
        <v>7.7374449782386953E-3</v>
      </c>
      <c r="AG25" s="324">
        <f t="shared" si="4"/>
        <v>7.3849578422669976E-3</v>
      </c>
      <c r="AH25" s="324">
        <f t="shared" si="4"/>
        <v>6.1810007852417873E-3</v>
      </c>
      <c r="AI25" s="324">
        <f t="shared" si="4"/>
        <v>1.277608636472404E-2</v>
      </c>
      <c r="AJ25" s="324">
        <f t="shared" si="4"/>
        <v>7.3135290508193757E-3</v>
      </c>
      <c r="AK25" s="324">
        <f t="shared" si="4"/>
        <v>7.1190358467139456E-3</v>
      </c>
      <c r="AL25" s="324">
        <f t="shared" si="4"/>
        <v>7.1866187552549771E-3</v>
      </c>
      <c r="AN25" s="322">
        <f t="shared" si="5"/>
        <v>-0.63699102058108747</v>
      </c>
    </row>
    <row r="26" spans="1:42" x14ac:dyDescent="0.2">
      <c r="A26" s="296" t="s">
        <v>276</v>
      </c>
      <c r="B26" s="324">
        <f t="shared" si="6"/>
        <v>0.11427539887461916</v>
      </c>
      <c r="C26" s="324">
        <f t="shared" si="4"/>
        <v>0.11770345115417687</v>
      </c>
      <c r="D26" s="324">
        <f t="shared" si="4"/>
        <v>0.11756971806063465</v>
      </c>
      <c r="E26" s="324">
        <f t="shared" si="4"/>
        <v>0.11149520808861468</v>
      </c>
      <c r="F26" s="324">
        <f t="shared" si="4"/>
        <v>0.11199124063469901</v>
      </c>
      <c r="G26" s="324">
        <f t="shared" si="4"/>
        <v>0.10486219605547292</v>
      </c>
      <c r="H26" s="324">
        <f t="shared" si="4"/>
        <v>0.11102742959079737</v>
      </c>
      <c r="I26" s="324">
        <f t="shared" si="4"/>
        <v>0.11026077732870468</v>
      </c>
      <c r="J26" s="324">
        <f t="shared" si="4"/>
        <v>0.11909923785855842</v>
      </c>
      <c r="K26" s="324">
        <f t="shared" si="4"/>
        <v>0.1118427483567318</v>
      </c>
      <c r="L26" s="324">
        <f t="shared" si="4"/>
        <v>0.11909786306990056</v>
      </c>
      <c r="M26" s="324">
        <f t="shared" si="4"/>
        <v>0.12578237722232333</v>
      </c>
      <c r="N26" s="324">
        <f t="shared" si="4"/>
        <v>0.10631476841136508</v>
      </c>
      <c r="O26" s="324">
        <f t="shared" si="4"/>
        <v>0.1030894972363654</v>
      </c>
      <c r="P26" s="324">
        <f t="shared" si="4"/>
        <v>0.10003469259995787</v>
      </c>
      <c r="Q26" s="324">
        <f t="shared" si="4"/>
        <v>9.5368579485496943E-2</v>
      </c>
      <c r="R26" s="324">
        <f t="shared" si="4"/>
        <v>9.1689405372878147E-2</v>
      </c>
      <c r="S26" s="324">
        <f t="shared" si="4"/>
        <v>9.6972345405873878E-2</v>
      </c>
      <c r="T26" s="324">
        <f t="shared" si="4"/>
        <v>9.5353621038514594E-2</v>
      </c>
      <c r="U26" s="324">
        <f t="shared" si="4"/>
        <v>9.4356014682771591E-2</v>
      </c>
      <c r="V26" s="324">
        <f t="shared" si="4"/>
        <v>8.9422300739815774E-2</v>
      </c>
      <c r="W26" s="324">
        <f t="shared" si="4"/>
        <v>9.6023323501562716E-2</v>
      </c>
      <c r="X26" s="324">
        <f t="shared" si="4"/>
        <v>9.3037831191876558E-2</v>
      </c>
      <c r="Y26" s="324">
        <f t="shared" si="4"/>
        <v>8.8557938396643193E-2</v>
      </c>
      <c r="Z26" s="324">
        <f t="shared" si="4"/>
        <v>9.6521931191711957E-2</v>
      </c>
      <c r="AA26" s="324">
        <f t="shared" si="4"/>
        <v>0.10165748476486262</v>
      </c>
      <c r="AB26" s="324">
        <f t="shared" si="4"/>
        <v>9.7175115815135479E-2</v>
      </c>
      <c r="AC26" s="324">
        <f t="shared" si="4"/>
        <v>0.11093489517623334</v>
      </c>
      <c r="AD26" s="324">
        <f t="shared" si="4"/>
        <v>0.11450255492512267</v>
      </c>
      <c r="AE26" s="324">
        <f t="shared" si="4"/>
        <v>0.11649326575470022</v>
      </c>
      <c r="AF26" s="324">
        <f t="shared" si="4"/>
        <v>0.11587108085891501</v>
      </c>
      <c r="AG26" s="324">
        <f t="shared" si="4"/>
        <v>0.11888397948145513</v>
      </c>
      <c r="AH26" s="324">
        <f t="shared" si="4"/>
        <v>0.1063865921270914</v>
      </c>
      <c r="AI26" s="324">
        <f t="shared" si="4"/>
        <v>0.1021722474766151</v>
      </c>
      <c r="AJ26" s="324">
        <f t="shared" si="4"/>
        <v>0.11948565318516859</v>
      </c>
      <c r="AK26" s="324">
        <f t="shared" si="4"/>
        <v>0.11936448135476443</v>
      </c>
      <c r="AL26" s="324">
        <f t="shared" si="4"/>
        <v>0.11212177997360898</v>
      </c>
      <c r="AN26" s="322">
        <f t="shared" si="5"/>
        <v>-1.8845866408859265E-2</v>
      </c>
    </row>
    <row r="27" spans="1:42" x14ac:dyDescent="0.2">
      <c r="A27" s="296" t="s">
        <v>277</v>
      </c>
      <c r="B27" s="324">
        <f t="shared" si="6"/>
        <v>6.9860779489240118E-2</v>
      </c>
      <c r="C27" s="324">
        <f t="shared" si="4"/>
        <v>7.1807629221068078E-2</v>
      </c>
      <c r="D27" s="324">
        <f t="shared" si="4"/>
        <v>7.1039813613306593E-2</v>
      </c>
      <c r="E27" s="324">
        <f t="shared" si="4"/>
        <v>7.3445290972763505E-2</v>
      </c>
      <c r="F27" s="324">
        <f t="shared" si="4"/>
        <v>6.9940698488388284E-2</v>
      </c>
      <c r="G27" s="324">
        <f t="shared" si="4"/>
        <v>7.0784972280094602E-2</v>
      </c>
      <c r="H27" s="324">
        <f t="shared" si="4"/>
        <v>6.9358334162254051E-2</v>
      </c>
      <c r="I27" s="324">
        <f t="shared" si="4"/>
        <v>6.7568618996527469E-2</v>
      </c>
      <c r="J27" s="324">
        <f t="shared" si="4"/>
        <v>8.5137880843873651E-2</v>
      </c>
      <c r="K27" s="324">
        <f t="shared" si="4"/>
        <v>8.6275320042270329E-2</v>
      </c>
      <c r="L27" s="324">
        <f t="shared" si="4"/>
        <v>8.5232495453276574E-2</v>
      </c>
      <c r="M27" s="324">
        <f t="shared" si="4"/>
        <v>8.6094267421003248E-2</v>
      </c>
      <c r="N27" s="324">
        <f t="shared" si="4"/>
        <v>8.4073971663013114E-2</v>
      </c>
      <c r="O27" s="324">
        <f t="shared" si="4"/>
        <v>8.3140652027736725E-2</v>
      </c>
      <c r="P27" s="324">
        <f t="shared" si="4"/>
        <v>8.1500935544774916E-2</v>
      </c>
      <c r="Q27" s="324">
        <f t="shared" si="4"/>
        <v>7.8965761024725925E-2</v>
      </c>
      <c r="R27" s="324">
        <f t="shared" si="4"/>
        <v>7.4372681608495736E-2</v>
      </c>
      <c r="S27" s="324">
        <f t="shared" si="4"/>
        <v>8.4990606792193266E-2</v>
      </c>
      <c r="T27" s="324">
        <f t="shared" si="4"/>
        <v>7.6793472076422162E-2</v>
      </c>
      <c r="U27" s="324">
        <f t="shared" si="4"/>
        <v>8.1751670249189903E-2</v>
      </c>
      <c r="V27" s="324">
        <f t="shared" si="4"/>
        <v>7.901125320093659E-2</v>
      </c>
      <c r="W27" s="324">
        <f t="shared" si="4"/>
        <v>7.5515521621078441E-2</v>
      </c>
      <c r="X27" s="324">
        <f t="shared" si="4"/>
        <v>7.6243778033552867E-2</v>
      </c>
      <c r="Y27" s="324">
        <f t="shared" si="4"/>
        <v>7.5339896422069369E-2</v>
      </c>
      <c r="Z27" s="324">
        <f t="shared" si="4"/>
        <v>7.258786305181758E-2</v>
      </c>
      <c r="AA27" s="324">
        <f t="shared" si="4"/>
        <v>7.2272953725065647E-2</v>
      </c>
      <c r="AB27" s="324">
        <f t="shared" si="4"/>
        <v>7.6092905982833789E-2</v>
      </c>
      <c r="AC27" s="324">
        <f t="shared" si="4"/>
        <v>7.1508505440136261E-2</v>
      </c>
      <c r="AD27" s="324">
        <f t="shared" si="4"/>
        <v>6.2320726893240599E-2</v>
      </c>
      <c r="AE27" s="324">
        <f t="shared" si="4"/>
        <v>6.3649839649448772E-2</v>
      </c>
      <c r="AF27" s="324">
        <f t="shared" si="4"/>
        <v>6.3772303113696055E-2</v>
      </c>
      <c r="AG27" s="324">
        <f t="shared" si="4"/>
        <v>6.0593688896806087E-2</v>
      </c>
      <c r="AH27" s="324">
        <f t="shared" si="4"/>
        <v>5.935629329983582E-2</v>
      </c>
      <c r="AI27" s="324">
        <f t="shared" si="4"/>
        <v>5.9782787631980722E-2</v>
      </c>
      <c r="AJ27" s="324">
        <f t="shared" si="4"/>
        <v>6.0658458727584852E-2</v>
      </c>
      <c r="AK27" s="324">
        <f t="shared" si="4"/>
        <v>5.909280858398111E-2</v>
      </c>
      <c r="AL27" s="324">
        <f t="shared" si="4"/>
        <v>5.7957590545410331E-2</v>
      </c>
      <c r="AN27" s="322">
        <f t="shared" si="5"/>
        <v>-0.17038442787004837</v>
      </c>
    </row>
    <row r="28" spans="1:42" x14ac:dyDescent="0.2">
      <c r="A28" s="296" t="s">
        <v>278</v>
      </c>
      <c r="B28" s="324">
        <f t="shared" si="6"/>
        <v>0.129922925344226</v>
      </c>
      <c r="C28" s="324">
        <f t="shared" si="4"/>
        <v>0.13309592636925494</v>
      </c>
      <c r="D28" s="324">
        <f t="shared" si="4"/>
        <v>0.13075846407927333</v>
      </c>
      <c r="E28" s="324">
        <f t="shared" si="4"/>
        <v>0.13001405188218376</v>
      </c>
      <c r="F28" s="324">
        <f t="shared" si="4"/>
        <v>0.13016936406914945</v>
      </c>
      <c r="G28" s="324">
        <f t="shared" si="4"/>
        <v>0.13245484991346998</v>
      </c>
      <c r="H28" s="324">
        <f t="shared" si="4"/>
        <v>0.14218677696000601</v>
      </c>
      <c r="I28" s="324">
        <f t="shared" si="4"/>
        <v>0.13255627696317349</v>
      </c>
      <c r="J28" s="324">
        <f t="shared" si="4"/>
        <v>0.12110603750368734</v>
      </c>
      <c r="K28" s="324">
        <f t="shared" si="4"/>
        <v>0.11979522760154386</v>
      </c>
      <c r="L28" s="324">
        <f t="shared" si="4"/>
        <v>0.12147388460676958</v>
      </c>
      <c r="M28" s="324">
        <f t="shared" si="4"/>
        <v>0.12180085464108981</v>
      </c>
      <c r="N28" s="324">
        <f t="shared" si="4"/>
        <v>0.11884522461564703</v>
      </c>
      <c r="O28" s="324">
        <f t="shared" si="4"/>
        <v>0.11428847328139646</v>
      </c>
      <c r="P28" s="324">
        <f t="shared" si="4"/>
        <v>0.12124986989029947</v>
      </c>
      <c r="Q28" s="324">
        <f t="shared" si="4"/>
        <v>0.11022508720129565</v>
      </c>
      <c r="R28" s="324">
        <f t="shared" si="4"/>
        <v>9.658121216622409E-2</v>
      </c>
      <c r="S28" s="324">
        <f t="shared" si="4"/>
        <v>9.6470938129542896E-2</v>
      </c>
      <c r="T28" s="324">
        <f t="shared" si="4"/>
        <v>9.3413159788708011E-2</v>
      </c>
      <c r="U28" s="324">
        <f t="shared" si="4"/>
        <v>8.4235429638406398E-2</v>
      </c>
      <c r="V28" s="324">
        <f t="shared" si="4"/>
        <v>8.37195287200133E-2</v>
      </c>
      <c r="W28" s="324">
        <f t="shared" si="4"/>
        <v>8.3159417215105766E-2</v>
      </c>
      <c r="X28" s="324">
        <f t="shared" si="4"/>
        <v>8.4466632250772458E-2</v>
      </c>
      <c r="Y28" s="324">
        <f t="shared" si="4"/>
        <v>9.0088535292716349E-2</v>
      </c>
      <c r="Z28" s="324">
        <f t="shared" si="4"/>
        <v>9.0171192909753478E-2</v>
      </c>
      <c r="AA28" s="324">
        <f t="shared" si="4"/>
        <v>9.3717920603505991E-2</v>
      </c>
      <c r="AB28" s="324">
        <f t="shared" si="4"/>
        <v>9.3521073329053017E-2</v>
      </c>
      <c r="AC28" s="324">
        <f t="shared" si="4"/>
        <v>9.447704307357864E-2</v>
      </c>
      <c r="AD28" s="324">
        <f t="shared" si="4"/>
        <v>9.6231111530458865E-2</v>
      </c>
      <c r="AE28" s="324">
        <f t="shared" si="4"/>
        <v>9.993590236226077E-2</v>
      </c>
      <c r="AF28" s="324">
        <f t="shared" si="4"/>
        <v>0.101304244297778</v>
      </c>
      <c r="AG28" s="324">
        <f t="shared" si="4"/>
        <v>9.6951098135884428E-2</v>
      </c>
      <c r="AH28" s="324">
        <f t="shared" si="4"/>
        <v>9.4381429419874777E-2</v>
      </c>
      <c r="AI28" s="324">
        <f t="shared" si="4"/>
        <v>0.1033969800878184</v>
      </c>
      <c r="AJ28" s="324">
        <f t="shared" si="4"/>
        <v>0.10551183016044627</v>
      </c>
      <c r="AK28" s="324">
        <f t="shared" si="4"/>
        <v>0.10384741658031534</v>
      </c>
      <c r="AL28" s="324">
        <f t="shared" si="4"/>
        <v>0.10200295715546902</v>
      </c>
      <c r="AN28" s="322">
        <f t="shared" si="5"/>
        <v>-0.21489639426439991</v>
      </c>
    </row>
    <row r="29" spans="1:42" x14ac:dyDescent="0.2">
      <c r="A29" s="296" t="s">
        <v>279</v>
      </c>
      <c r="B29" s="324">
        <f t="shared" si="6"/>
        <v>0.10272302804474041</v>
      </c>
      <c r="C29" s="324">
        <f t="shared" si="4"/>
        <v>0.11682200456048712</v>
      </c>
      <c r="D29" s="324">
        <f t="shared" si="4"/>
        <v>0.11771776571900436</v>
      </c>
      <c r="E29" s="324">
        <f t="shared" si="4"/>
        <v>0.13458118804272651</v>
      </c>
      <c r="F29" s="324">
        <f t="shared" si="4"/>
        <v>0.13748596749932335</v>
      </c>
      <c r="G29" s="324">
        <f t="shared" si="4"/>
        <v>0.13158574895186695</v>
      </c>
      <c r="H29" s="324">
        <f t="shared" si="4"/>
        <v>0.14807196907192877</v>
      </c>
      <c r="I29" s="324">
        <f t="shared" si="4"/>
        <v>0.1548049546766401</v>
      </c>
      <c r="J29" s="324">
        <f t="shared" si="4"/>
        <v>0.14313299989573627</v>
      </c>
      <c r="K29" s="324">
        <f t="shared" si="4"/>
        <v>0.13864625291443516</v>
      </c>
      <c r="L29" s="324">
        <f t="shared" si="4"/>
        <v>0.13913902523514152</v>
      </c>
      <c r="M29" s="324">
        <f t="shared" si="4"/>
        <v>0.12441335001707808</v>
      </c>
      <c r="N29" s="324">
        <f t="shared" si="4"/>
        <v>0.12350819778509149</v>
      </c>
      <c r="O29" s="324">
        <f t="shared" si="4"/>
        <v>0.1319556113466111</v>
      </c>
      <c r="P29" s="324">
        <f t="shared" si="4"/>
        <v>0.12149434165985613</v>
      </c>
      <c r="Q29" s="324">
        <f t="shared" si="4"/>
        <v>0.1344908021509009</v>
      </c>
      <c r="R29" s="324">
        <f t="shared" si="4"/>
        <v>8.7580119297578807E-2</v>
      </c>
      <c r="S29" s="324">
        <f t="shared" si="4"/>
        <v>7.6154436267151071E-2</v>
      </c>
      <c r="T29" s="324">
        <f t="shared" si="4"/>
        <v>7.6964272294464064E-2</v>
      </c>
      <c r="U29" s="324">
        <f t="shared" si="4"/>
        <v>0.13361732291433859</v>
      </c>
      <c r="V29" s="324">
        <f t="shared" si="4"/>
        <v>0.16238029772518317</v>
      </c>
      <c r="W29" s="324">
        <f t="shared" si="4"/>
        <v>0.1394797312763042</v>
      </c>
      <c r="X29" s="324">
        <f t="shared" si="4"/>
        <v>0.10968726769136286</v>
      </c>
      <c r="Y29" s="324">
        <f t="shared" si="4"/>
        <v>0.11154868106678209</v>
      </c>
      <c r="Z29" s="324">
        <f t="shared" si="4"/>
        <v>0.11400429528395599</v>
      </c>
      <c r="AA29" s="324">
        <f t="shared" si="4"/>
        <v>0.1097886256848246</v>
      </c>
      <c r="AB29" s="324">
        <f t="shared" si="4"/>
        <v>0.11810232226345001</v>
      </c>
      <c r="AC29" s="324">
        <f t="shared" si="4"/>
        <v>0.11880316654196632</v>
      </c>
      <c r="AD29" s="324">
        <f t="shared" si="4"/>
        <v>9.0586392447800493E-2</v>
      </c>
      <c r="AE29" s="324">
        <f t="shared" si="4"/>
        <v>0.12423095623989376</v>
      </c>
      <c r="AF29" s="324">
        <f t="shared" si="4"/>
        <v>0.10464712720604097</v>
      </c>
      <c r="AG29" s="324">
        <f t="shared" si="4"/>
        <v>9.9125166199953249E-2</v>
      </c>
      <c r="AH29" s="324">
        <f t="shared" si="4"/>
        <v>0.12284311248084602</v>
      </c>
      <c r="AI29" s="324">
        <f t="shared" si="4"/>
        <v>0.10533407069635335</v>
      </c>
      <c r="AJ29" s="324">
        <f t="shared" si="4"/>
        <v>0.10066412133268636</v>
      </c>
      <c r="AK29" s="324">
        <f t="shared" si="4"/>
        <v>0.12946783870731232</v>
      </c>
      <c r="AL29" s="324">
        <f t="shared" si="4"/>
        <v>0.19177974700346756</v>
      </c>
      <c r="AN29" s="322">
        <f t="shared" si="5"/>
        <v>0.86695963557401179</v>
      </c>
    </row>
    <row r="30" spans="1:42" x14ac:dyDescent="0.2">
      <c r="A30" s="296" t="s">
        <v>280</v>
      </c>
      <c r="B30" s="324">
        <f t="shared" si="6"/>
        <v>2.4405195135083203E-2</v>
      </c>
      <c r="C30" s="324">
        <f t="shared" si="4"/>
        <v>3.2444524100077282E-2</v>
      </c>
      <c r="D30" s="324">
        <f t="shared" si="4"/>
        <v>2.4731154889701547E-2</v>
      </c>
      <c r="E30" s="324">
        <f t="shared" si="4"/>
        <v>2.5468048435081402E-2</v>
      </c>
      <c r="F30" s="324">
        <f t="shared" si="4"/>
        <v>3.0953166258272387E-2</v>
      </c>
      <c r="G30" s="324">
        <f t="shared" si="4"/>
        <v>2.8300972183041867E-2</v>
      </c>
      <c r="H30" s="324">
        <f t="shared" si="4"/>
        <v>2.5793306129266971E-2</v>
      </c>
      <c r="I30" s="324">
        <f t="shared" si="4"/>
        <v>3.7080191930064496E-2</v>
      </c>
      <c r="J30" s="324">
        <f t="shared" si="4"/>
        <v>3.859687087341173E-2</v>
      </c>
      <c r="K30" s="324">
        <f t="shared" si="4"/>
        <v>4.0482083536519574E-2</v>
      </c>
      <c r="L30" s="324">
        <f t="shared" si="4"/>
        <v>4.4253956063421952E-2</v>
      </c>
      <c r="M30" s="324">
        <f t="shared" si="4"/>
        <v>4.4212127484680813E-2</v>
      </c>
      <c r="N30" s="324">
        <f t="shared" si="4"/>
        <v>4.9363509886539966E-2</v>
      </c>
      <c r="O30" s="324">
        <f t="shared" si="4"/>
        <v>5.18835338022696E-2</v>
      </c>
      <c r="P30" s="324">
        <f t="shared" si="4"/>
        <v>5.0814648584281953E-2</v>
      </c>
      <c r="Q30" s="324">
        <f t="shared" si="4"/>
        <v>4.656943107983938E-2</v>
      </c>
      <c r="R30" s="324">
        <f t="shared" si="4"/>
        <v>4.7587986596981456E-2</v>
      </c>
      <c r="S30" s="324">
        <f t="shared" si="4"/>
        <v>5.3055558678535793E-2</v>
      </c>
      <c r="T30" s="324">
        <f t="shared" si="4"/>
        <v>4.4119850138066019E-2</v>
      </c>
      <c r="U30" s="324">
        <f t="shared" si="4"/>
        <v>4.8283121008940173E-2</v>
      </c>
      <c r="V30" s="324">
        <f t="shared" si="4"/>
        <v>4.8514850521562944E-2</v>
      </c>
      <c r="W30" s="324">
        <f t="shared" si="4"/>
        <v>5.0178094332290403E-2</v>
      </c>
      <c r="X30" s="324">
        <f t="shared" si="4"/>
        <v>5.4445199366504445E-2</v>
      </c>
      <c r="Y30" s="324">
        <f t="shared" si="4"/>
        <v>4.9327258269009362E-2</v>
      </c>
      <c r="Z30" s="324">
        <f t="shared" si="4"/>
        <v>4.0736439183119498E-2</v>
      </c>
      <c r="AA30" s="324">
        <f t="shared" si="4"/>
        <v>4.8578207858606885E-2</v>
      </c>
      <c r="AB30" s="324">
        <f t="shared" si="4"/>
        <v>5.2514708489023489E-2</v>
      </c>
      <c r="AC30" s="324">
        <f t="shared" si="4"/>
        <v>5.9928383794815507E-2</v>
      </c>
      <c r="AD30" s="324">
        <f t="shared" si="4"/>
        <v>6.5255392715566699E-2</v>
      </c>
      <c r="AE30" s="324">
        <f t="shared" si="4"/>
        <v>7.5324074244009012E-2</v>
      </c>
      <c r="AF30" s="324">
        <f t="shared" si="4"/>
        <v>8.5650258262025256E-2</v>
      </c>
      <c r="AG30" s="324">
        <f t="shared" si="4"/>
        <v>8.9841201601184167E-2</v>
      </c>
      <c r="AH30" s="324">
        <f t="shared" si="4"/>
        <v>8.3120258438205655E-2</v>
      </c>
      <c r="AI30" s="324">
        <f t="shared" si="4"/>
        <v>8.5020583519861387E-2</v>
      </c>
      <c r="AJ30" s="324">
        <f t="shared" si="4"/>
        <v>8.6458257729726082E-2</v>
      </c>
      <c r="AK30" s="324">
        <f t="shared" si="4"/>
        <v>9.7801113537424558E-2</v>
      </c>
      <c r="AL30" s="324">
        <f t="shared" si="4"/>
        <v>0.11113480290884603</v>
      </c>
      <c r="AN30" s="322">
        <f t="shared" si="5"/>
        <v>3.5537354769635261</v>
      </c>
    </row>
    <row r="31" spans="1:42" x14ac:dyDescent="0.2">
      <c r="A31" s="296" t="s">
        <v>281</v>
      </c>
      <c r="B31" s="324">
        <f t="shared" si="6"/>
        <v>1.7222796886466388E-2</v>
      </c>
      <c r="C31" s="324">
        <f t="shared" si="4"/>
        <v>1.8751771001291589E-2</v>
      </c>
      <c r="D31" s="324">
        <f t="shared" si="4"/>
        <v>2.0613483543706498E-2</v>
      </c>
      <c r="E31" s="324">
        <f t="shared" si="4"/>
        <v>1.9119836207748295E-2</v>
      </c>
      <c r="F31" s="324">
        <f t="shared" si="4"/>
        <v>1.9127832938180087E-2</v>
      </c>
      <c r="G31" s="324">
        <f t="shared" si="4"/>
        <v>2.2935997160062133E-2</v>
      </c>
      <c r="H31" s="324">
        <f t="shared" si="4"/>
        <v>2.6759010851563063E-2</v>
      </c>
      <c r="I31" s="324">
        <f t="shared" si="4"/>
        <v>2.4005754682386832E-2</v>
      </c>
      <c r="J31" s="324">
        <f t="shared" si="4"/>
        <v>2.6733080632305027E-2</v>
      </c>
      <c r="K31" s="324">
        <f t="shared" si="4"/>
        <v>2.6371823285952598E-2</v>
      </c>
      <c r="L31" s="324">
        <f t="shared" si="4"/>
        <v>2.6124555631422616E-2</v>
      </c>
      <c r="M31" s="324">
        <f t="shared" si="4"/>
        <v>2.5531995936847365E-2</v>
      </c>
      <c r="N31" s="324">
        <f t="shared" si="4"/>
        <v>2.5781432825025447E-2</v>
      </c>
      <c r="O31" s="324">
        <f t="shared" si="4"/>
        <v>2.3541186015186743E-2</v>
      </c>
      <c r="P31" s="324">
        <f t="shared" si="4"/>
        <v>2.4053874629529747E-2</v>
      </c>
      <c r="Q31" s="324">
        <f t="shared" si="4"/>
        <v>2.300051402887934E-2</v>
      </c>
      <c r="R31" s="324">
        <f t="shared" si="4"/>
        <v>1.6977766279878057E-2</v>
      </c>
      <c r="S31" s="324">
        <f t="shared" si="4"/>
        <v>1.6549941952500761E-2</v>
      </c>
      <c r="T31" s="324">
        <f t="shared" si="4"/>
        <v>1.6435778488565034E-2</v>
      </c>
      <c r="U31" s="324">
        <f t="shared" ref="C31:AL33" si="7">U14/U$17</f>
        <v>2.1984367469586832E-2</v>
      </c>
      <c r="V31" s="324">
        <f t="shared" si="7"/>
        <v>2.3310475153407988E-2</v>
      </c>
      <c r="W31" s="324">
        <f t="shared" si="7"/>
        <v>2.0424952347478823E-2</v>
      </c>
      <c r="X31" s="324">
        <f t="shared" si="7"/>
        <v>2.0994872531414171E-2</v>
      </c>
      <c r="Y31" s="324">
        <f t="shared" si="7"/>
        <v>2.1247720133502127E-2</v>
      </c>
      <c r="Z31" s="324">
        <f t="shared" si="7"/>
        <v>2.1864947331457635E-2</v>
      </c>
      <c r="AA31" s="324">
        <f t="shared" si="7"/>
        <v>2.2848810524141082E-2</v>
      </c>
      <c r="AB31" s="324">
        <f t="shared" si="7"/>
        <v>2.294298648299542E-2</v>
      </c>
      <c r="AC31" s="324">
        <f t="shared" si="7"/>
        <v>2.3099796521505341E-2</v>
      </c>
      <c r="AD31" s="324">
        <f t="shared" si="7"/>
        <v>2.0868417921620967E-2</v>
      </c>
      <c r="AE31" s="324">
        <f t="shared" si="7"/>
        <v>2.0334607549900553E-2</v>
      </c>
      <c r="AF31" s="324">
        <f t="shared" si="7"/>
        <v>2.054520387316364E-2</v>
      </c>
      <c r="AG31" s="324">
        <f t="shared" si="7"/>
        <v>2.012046728387476E-2</v>
      </c>
      <c r="AH31" s="324">
        <f t="shared" si="7"/>
        <v>1.8998557266169634E-2</v>
      </c>
      <c r="AI31" s="324">
        <f t="shared" si="7"/>
        <v>1.9727220703691414E-2</v>
      </c>
      <c r="AJ31" s="324">
        <f t="shared" si="7"/>
        <v>1.931789746374863E-2</v>
      </c>
      <c r="AK31" s="324">
        <f t="shared" si="7"/>
        <v>2.0042284069095029E-2</v>
      </c>
      <c r="AL31" s="324">
        <f t="shared" si="7"/>
        <v>1.9536724709607822E-2</v>
      </c>
      <c r="AN31" s="322">
        <f t="shared" si="5"/>
        <v>0.13435261638367865</v>
      </c>
    </row>
    <row r="32" spans="1:42" x14ac:dyDescent="0.2">
      <c r="A32" s="296" t="s">
        <v>282</v>
      </c>
      <c r="B32" s="324">
        <f t="shared" si="6"/>
        <v>3.4688727386794717E-2</v>
      </c>
      <c r="C32" s="324">
        <f t="shared" si="7"/>
        <v>2.3264770033149442E-2</v>
      </c>
      <c r="D32" s="324">
        <f t="shared" si="7"/>
        <v>2.0605166922260235E-2</v>
      </c>
      <c r="E32" s="324">
        <f t="shared" si="7"/>
        <v>1.928236598566269E-2</v>
      </c>
      <c r="F32" s="324">
        <f t="shared" si="7"/>
        <v>1.9585493716883774E-2</v>
      </c>
      <c r="G32" s="324">
        <f t="shared" si="7"/>
        <v>1.8446787663931385E-2</v>
      </c>
      <c r="H32" s="324">
        <f t="shared" si="7"/>
        <v>1.8504797155124757E-2</v>
      </c>
      <c r="I32" s="324">
        <f t="shared" si="7"/>
        <v>1.6653241786236381E-2</v>
      </c>
      <c r="J32" s="324">
        <f t="shared" si="7"/>
        <v>1.4154344616547718E-2</v>
      </c>
      <c r="K32" s="324">
        <f t="shared" si="7"/>
        <v>1.2558264118894911E-2</v>
      </c>
      <c r="L32" s="324">
        <f t="shared" si="7"/>
        <v>1.1391068466309159E-2</v>
      </c>
      <c r="M32" s="324">
        <f t="shared" si="7"/>
        <v>9.7657459328506606E-3</v>
      </c>
      <c r="N32" s="324">
        <f t="shared" si="7"/>
        <v>9.1233007528957171E-3</v>
      </c>
      <c r="O32" s="324">
        <f t="shared" si="7"/>
        <v>9.570615021987491E-3</v>
      </c>
      <c r="P32" s="324">
        <f t="shared" si="7"/>
        <v>9.7631928746200677E-3</v>
      </c>
      <c r="Q32" s="324">
        <f t="shared" si="7"/>
        <v>8.9054779854734218E-3</v>
      </c>
      <c r="R32" s="324">
        <f t="shared" si="7"/>
        <v>8.9012783983357005E-2</v>
      </c>
      <c r="S32" s="324">
        <f t="shared" si="7"/>
        <v>7.6806330233842007E-2</v>
      </c>
      <c r="T32" s="324">
        <f t="shared" si="7"/>
        <v>0.13080859631120789</v>
      </c>
      <c r="U32" s="324">
        <f t="shared" si="7"/>
        <v>4.9842966730551809E-2</v>
      </c>
      <c r="V32" s="324">
        <f t="shared" si="7"/>
        <v>2.6683592722494601E-2</v>
      </c>
      <c r="W32" s="324">
        <f t="shared" si="7"/>
        <v>2.3844798094391308E-2</v>
      </c>
      <c r="X32" s="324">
        <f t="shared" si="7"/>
        <v>6.9051571990468241E-2</v>
      </c>
      <c r="Y32" s="324">
        <f t="shared" si="7"/>
        <v>8.3088453885127811E-2</v>
      </c>
      <c r="Z32" s="324">
        <f t="shared" si="7"/>
        <v>6.7403873649577645E-2</v>
      </c>
      <c r="AA32" s="324">
        <f t="shared" si="7"/>
        <v>4.6655892295568269E-2</v>
      </c>
      <c r="AB32" s="324">
        <f t="shared" si="7"/>
        <v>1.7027385982438019E-2</v>
      </c>
      <c r="AC32" s="324">
        <f t="shared" si="7"/>
        <v>1.8986368908422264E-2</v>
      </c>
      <c r="AD32" s="324">
        <f t="shared" si="7"/>
        <v>1.7537582529926696E-2</v>
      </c>
      <c r="AE32" s="324">
        <f t="shared" si="7"/>
        <v>1.7066655984369319E-2</v>
      </c>
      <c r="AF32" s="324">
        <f t="shared" si="7"/>
        <v>1.652709559579045E-2</v>
      </c>
      <c r="AG32" s="324">
        <f t="shared" si="7"/>
        <v>2.4362306086560547E-2</v>
      </c>
      <c r="AH32" s="324">
        <f t="shared" si="7"/>
        <v>2.188931585613714E-2</v>
      </c>
      <c r="AI32" s="324">
        <f t="shared" si="7"/>
        <v>2.0024283433272051E-2</v>
      </c>
      <c r="AJ32" s="324">
        <f t="shared" si="7"/>
        <v>2.0323092496764852E-2</v>
      </c>
      <c r="AK32" s="324">
        <f t="shared" si="7"/>
        <v>2.1780606756558046E-2</v>
      </c>
      <c r="AL32" s="324">
        <f t="shared" si="7"/>
        <v>2.0836811076998352E-2</v>
      </c>
      <c r="AN32" s="322">
        <f t="shared" si="5"/>
        <v>-0.39932039464409708</v>
      </c>
    </row>
    <row r="33" spans="1:40" x14ac:dyDescent="0.2">
      <c r="A33" s="296" t="s">
        <v>283</v>
      </c>
      <c r="B33" s="324">
        <f t="shared" si="6"/>
        <v>0</v>
      </c>
      <c r="C33" s="324">
        <f t="shared" si="7"/>
        <v>0</v>
      </c>
      <c r="D33" s="324">
        <f t="shared" si="7"/>
        <v>0</v>
      </c>
      <c r="E33" s="324">
        <f t="shared" si="7"/>
        <v>0</v>
      </c>
      <c r="F33" s="324">
        <f t="shared" si="7"/>
        <v>0</v>
      </c>
      <c r="G33" s="324">
        <f t="shared" si="7"/>
        <v>0</v>
      </c>
      <c r="H33" s="324">
        <f t="shared" si="7"/>
        <v>0</v>
      </c>
      <c r="I33" s="324">
        <f t="shared" si="7"/>
        <v>0</v>
      </c>
      <c r="J33" s="324">
        <f t="shared" si="7"/>
        <v>0</v>
      </c>
      <c r="K33" s="324">
        <f t="shared" si="7"/>
        <v>0</v>
      </c>
      <c r="L33" s="324">
        <f t="shared" si="7"/>
        <v>0</v>
      </c>
      <c r="M33" s="324">
        <f t="shared" si="7"/>
        <v>0</v>
      </c>
      <c r="N33" s="324">
        <f t="shared" si="7"/>
        <v>0</v>
      </c>
      <c r="O33" s="324">
        <f t="shared" si="7"/>
        <v>0</v>
      </c>
      <c r="P33" s="324">
        <f t="shared" si="7"/>
        <v>0</v>
      </c>
      <c r="Q33" s="324">
        <f t="shared" si="7"/>
        <v>0</v>
      </c>
      <c r="R33" s="324">
        <f t="shared" si="7"/>
        <v>0</v>
      </c>
      <c r="S33" s="324">
        <f t="shared" si="7"/>
        <v>0</v>
      </c>
      <c r="T33" s="324">
        <f t="shared" si="7"/>
        <v>0</v>
      </c>
      <c r="U33" s="324">
        <f t="shared" si="7"/>
        <v>0</v>
      </c>
      <c r="V33" s="324">
        <f t="shared" si="7"/>
        <v>0</v>
      </c>
      <c r="W33" s="324">
        <f t="shared" si="7"/>
        <v>0</v>
      </c>
      <c r="X33" s="324">
        <f t="shared" si="7"/>
        <v>0</v>
      </c>
      <c r="Y33" s="324">
        <f t="shared" si="7"/>
        <v>0</v>
      </c>
      <c r="Z33" s="324">
        <f t="shared" si="7"/>
        <v>0</v>
      </c>
      <c r="AA33" s="324">
        <f t="shared" si="7"/>
        <v>0</v>
      </c>
      <c r="AB33" s="324">
        <f t="shared" si="7"/>
        <v>-2.0857041052246856E-3</v>
      </c>
      <c r="AC33" s="324">
        <f t="shared" si="7"/>
        <v>-1.063057254701584E-2</v>
      </c>
      <c r="AD33" s="324">
        <f t="shared" si="7"/>
        <v>2.6332642359992359E-2</v>
      </c>
      <c r="AE33" s="324">
        <f t="shared" si="7"/>
        <v>5.4112175317000879E-3</v>
      </c>
      <c r="AF33" s="324">
        <f t="shared" si="7"/>
        <v>2.3993074445944902E-2</v>
      </c>
      <c r="AG33" s="324">
        <f t="shared" si="7"/>
        <v>3.6927354769744458E-2</v>
      </c>
      <c r="AH33" s="324">
        <f t="shared" si="7"/>
        <v>4.80261852736718E-2</v>
      </c>
      <c r="AI33" s="324">
        <f t="shared" si="7"/>
        <v>4.2038458735654899E-2</v>
      </c>
      <c r="AJ33" s="324">
        <f t="shared" si="7"/>
        <v>5.1984758286230573E-2</v>
      </c>
      <c r="AK33" s="324">
        <f t="shared" si="7"/>
        <v>7.498568613636381E-3</v>
      </c>
      <c r="AL33" s="324">
        <f t="shared" si="7"/>
        <v>-6.7035317569959341E-2</v>
      </c>
      <c r="AN33" s="322"/>
    </row>
  </sheetData>
  <mergeCells count="7">
    <mergeCell ref="A1:P1"/>
    <mergeCell ref="AC4:AG4"/>
    <mergeCell ref="AH4:AK4"/>
    <mergeCell ref="F4:J4"/>
    <mergeCell ref="K4:N4"/>
    <mergeCell ref="S4:W4"/>
    <mergeCell ref="X4:AA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4"/>
  <sheetViews>
    <sheetView topLeftCell="A15" workbookViewId="0">
      <selection activeCell="B26" sqref="B26"/>
    </sheetView>
  </sheetViews>
  <sheetFormatPr defaultRowHeight="15" x14ac:dyDescent="0.2"/>
  <cols>
    <col min="1" max="1" width="24.5546875" customWidth="1"/>
    <col min="2" max="2" width="13.6640625" bestFit="1" customWidth="1"/>
    <col min="3" max="20" width="9.6640625" bestFit="1" customWidth="1"/>
    <col min="21" max="36" width="10.44140625" bestFit="1" customWidth="1"/>
    <col min="37" max="37" width="11" bestFit="1" customWidth="1"/>
  </cols>
  <sheetData>
    <row r="1" spans="1:38" x14ac:dyDescent="0.2">
      <c r="A1" s="354" t="s">
        <v>323</v>
      </c>
      <c r="B1" s="354"/>
      <c r="C1" s="354"/>
      <c r="D1" s="354"/>
      <c r="E1" s="354"/>
      <c r="F1" s="354"/>
      <c r="G1" s="354"/>
      <c r="H1" s="354"/>
      <c r="I1" s="354"/>
      <c r="J1" s="354"/>
      <c r="K1" s="354"/>
      <c r="L1" s="354"/>
      <c r="M1" s="354"/>
      <c r="N1" s="354"/>
      <c r="O1" s="354"/>
      <c r="P1" s="354"/>
    </row>
    <row r="2" spans="1:38" x14ac:dyDescent="0.2">
      <c r="A2" s="291"/>
      <c r="B2" s="291"/>
      <c r="C2" s="291"/>
      <c r="D2" s="291"/>
      <c r="E2" s="291"/>
      <c r="F2" s="291"/>
      <c r="G2" s="229"/>
      <c r="H2" s="229"/>
      <c r="I2" s="229"/>
      <c r="J2" s="229"/>
      <c r="K2" s="229"/>
      <c r="L2" s="289"/>
      <c r="M2" s="289"/>
      <c r="N2" s="289"/>
      <c r="O2" s="289"/>
    </row>
    <row r="3" spans="1:38" x14ac:dyDescent="0.2">
      <c r="A3" s="291"/>
      <c r="B3" s="331" t="s">
        <v>376</v>
      </c>
      <c r="C3" s="331" t="s">
        <v>377</v>
      </c>
      <c r="D3" s="331" t="s">
        <v>378</v>
      </c>
      <c r="E3" s="331" t="s">
        <v>379</v>
      </c>
      <c r="F3" s="331" t="s">
        <v>380</v>
      </c>
      <c r="G3" s="331" t="s">
        <v>381</v>
      </c>
      <c r="H3" s="331" t="s">
        <v>382</v>
      </c>
      <c r="I3" s="331" t="s">
        <v>383</v>
      </c>
      <c r="J3" s="331" t="s">
        <v>384</v>
      </c>
      <c r="K3" s="331" t="s">
        <v>180</v>
      </c>
      <c r="L3" s="331" t="s">
        <v>181</v>
      </c>
      <c r="M3" s="331" t="s">
        <v>182</v>
      </c>
      <c r="N3" s="331" t="s">
        <v>183</v>
      </c>
      <c r="O3" s="331" t="s">
        <v>184</v>
      </c>
      <c r="P3" s="331" t="s">
        <v>185</v>
      </c>
      <c r="Q3" s="331" t="s">
        <v>385</v>
      </c>
      <c r="R3" s="331" t="s">
        <v>186</v>
      </c>
      <c r="S3" s="331" t="s">
        <v>187</v>
      </c>
      <c r="T3" s="331" t="s">
        <v>386</v>
      </c>
      <c r="U3" s="331" t="s">
        <v>387</v>
      </c>
      <c r="V3" s="331" t="s">
        <v>388</v>
      </c>
      <c r="W3" s="331" t="s">
        <v>389</v>
      </c>
      <c r="X3" s="331" t="s">
        <v>390</v>
      </c>
      <c r="Y3" s="331" t="s">
        <v>391</v>
      </c>
      <c r="Z3" s="331" t="s">
        <v>392</v>
      </c>
      <c r="AA3" s="331" t="s">
        <v>393</v>
      </c>
      <c r="AB3" s="331" t="s">
        <v>394</v>
      </c>
      <c r="AC3" s="331" t="s">
        <v>395</v>
      </c>
      <c r="AD3" s="331" t="s">
        <v>396</v>
      </c>
      <c r="AE3" s="331" t="s">
        <v>397</v>
      </c>
      <c r="AF3" s="331" t="s">
        <v>398</v>
      </c>
      <c r="AG3" s="331" t="s">
        <v>399</v>
      </c>
      <c r="AH3" s="331" t="s">
        <v>400</v>
      </c>
      <c r="AI3" s="331" t="s">
        <v>401</v>
      </c>
      <c r="AJ3" s="331" t="s">
        <v>402</v>
      </c>
      <c r="AK3" s="331" t="s">
        <v>403</v>
      </c>
    </row>
    <row r="4" spans="1:38" ht="15.75" x14ac:dyDescent="0.25">
      <c r="A4" s="291"/>
      <c r="B4" s="292"/>
      <c r="C4" s="292"/>
      <c r="D4" s="292"/>
      <c r="E4" s="292"/>
      <c r="F4" s="355" t="s">
        <v>286</v>
      </c>
      <c r="G4" s="355"/>
      <c r="H4" s="355"/>
      <c r="I4" s="355"/>
      <c r="J4" s="355"/>
      <c r="K4" s="356"/>
      <c r="L4" s="356"/>
      <c r="M4" s="356"/>
      <c r="N4" s="356"/>
      <c r="O4" s="292"/>
      <c r="P4" s="292"/>
      <c r="Q4" s="292"/>
      <c r="R4" s="292"/>
      <c r="S4" s="355" t="s">
        <v>286</v>
      </c>
      <c r="T4" s="355"/>
      <c r="U4" s="355"/>
      <c r="V4" s="355"/>
      <c r="W4" s="355"/>
      <c r="X4" s="356"/>
      <c r="Y4" s="356"/>
      <c r="Z4" s="356"/>
      <c r="AA4" s="356"/>
      <c r="AB4" s="293"/>
      <c r="AC4" s="355" t="s">
        <v>286</v>
      </c>
      <c r="AD4" s="355"/>
      <c r="AE4" s="355"/>
      <c r="AF4" s="355"/>
      <c r="AG4" s="355"/>
      <c r="AH4" s="356"/>
      <c r="AI4" s="356"/>
      <c r="AJ4" s="356"/>
      <c r="AK4" s="356"/>
      <c r="AL4" s="293"/>
    </row>
    <row r="5" spans="1:38" ht="15.75" x14ac:dyDescent="0.25">
      <c r="B5" s="303" t="s">
        <v>312</v>
      </c>
      <c r="C5" s="303" t="s">
        <v>291</v>
      </c>
      <c r="D5" s="303" t="s">
        <v>292</v>
      </c>
      <c r="E5" s="303" t="s">
        <v>293</v>
      </c>
      <c r="F5" s="303" t="s">
        <v>294</v>
      </c>
      <c r="G5" s="303" t="s">
        <v>295</v>
      </c>
      <c r="H5" s="303" t="s">
        <v>296</v>
      </c>
      <c r="I5" s="303" t="s">
        <v>297</v>
      </c>
      <c r="J5" s="303" t="s">
        <v>298</v>
      </c>
      <c r="K5" s="303" t="s">
        <v>299</v>
      </c>
      <c r="L5" s="303" t="s">
        <v>300</v>
      </c>
      <c r="M5" s="303" t="s">
        <v>301</v>
      </c>
      <c r="N5" s="303" t="s">
        <v>302</v>
      </c>
      <c r="O5" s="303" t="s">
        <v>303</v>
      </c>
      <c r="P5" s="303" t="s">
        <v>304</v>
      </c>
      <c r="Q5" s="303" t="s">
        <v>305</v>
      </c>
      <c r="R5" s="303" t="s">
        <v>306</v>
      </c>
      <c r="S5" s="303" t="s">
        <v>307</v>
      </c>
      <c r="T5" s="303" t="s">
        <v>308</v>
      </c>
      <c r="U5" s="303" t="s">
        <v>309</v>
      </c>
      <c r="V5" s="303" t="s">
        <v>310</v>
      </c>
      <c r="W5" s="303" t="s">
        <v>311</v>
      </c>
      <c r="X5" s="294" t="s">
        <v>287</v>
      </c>
      <c r="Y5" s="294" t="s">
        <v>288</v>
      </c>
      <c r="Z5" s="294" t="s">
        <v>289</v>
      </c>
      <c r="AA5" s="294" t="s">
        <v>290</v>
      </c>
      <c r="AB5" s="294" t="s">
        <v>161</v>
      </c>
      <c r="AC5" s="294" t="s">
        <v>162</v>
      </c>
      <c r="AD5" s="294" t="s">
        <v>163</v>
      </c>
      <c r="AE5" s="294" t="s">
        <v>164</v>
      </c>
      <c r="AF5" s="294" t="s">
        <v>165</v>
      </c>
      <c r="AG5" s="294" t="s">
        <v>166</v>
      </c>
      <c r="AH5" s="294" t="s">
        <v>167</v>
      </c>
      <c r="AI5" s="294" t="s">
        <v>168</v>
      </c>
      <c r="AJ5" s="294" t="s">
        <v>169</v>
      </c>
      <c r="AK5" s="294" t="s">
        <v>170</v>
      </c>
      <c r="AL5" s="294" t="s">
        <v>171</v>
      </c>
    </row>
    <row r="7" spans="1:38" ht="15.75" x14ac:dyDescent="0.25">
      <c r="A7" s="295" t="s">
        <v>314</v>
      </c>
      <c r="B7" s="302">
        <f>[1]FTE!C103</f>
        <v>296.83999999999997</v>
      </c>
      <c r="C7" s="302">
        <f>[1]FTE!D103</f>
        <v>292.16000000000003</v>
      </c>
      <c r="D7" s="302">
        <f>[1]FTE!E103</f>
        <v>286.37</v>
      </c>
      <c r="E7" s="302">
        <f>[1]FTE!F103</f>
        <v>291.45999999999998</v>
      </c>
      <c r="F7" s="302">
        <f>[1]FTE!G103</f>
        <v>261.05</v>
      </c>
      <c r="G7" s="302">
        <f>[1]FTE!H103</f>
        <v>251.1</v>
      </c>
      <c r="H7" s="302">
        <f>[1]FTE!I103</f>
        <v>250.48</v>
      </c>
      <c r="I7" s="302">
        <f>[1]FTE!J103</f>
        <v>258.45999999999998</v>
      </c>
      <c r="J7" s="302">
        <f>[1]FTE!K103</f>
        <v>270.13</v>
      </c>
      <c r="K7" s="302">
        <f>[1]FTE!L103</f>
        <v>287.29000000000002</v>
      </c>
      <c r="L7" s="302">
        <f>[1]FTE!M103</f>
        <v>296.26</v>
      </c>
      <c r="M7" s="302">
        <f>[1]FTE!N103</f>
        <v>324.39</v>
      </c>
      <c r="N7" s="302">
        <f>[1]FTE!O103</f>
        <v>352.98</v>
      </c>
      <c r="O7" s="302">
        <f>[1]FTE!P103</f>
        <v>384.11</v>
      </c>
      <c r="P7" s="302">
        <f>[1]FTE!Q103</f>
        <v>444.28</v>
      </c>
      <c r="Q7" s="302">
        <f>[1]FTE!R103</f>
        <v>412.97</v>
      </c>
      <c r="R7" s="302">
        <f>[1]FTE!S103</f>
        <v>445.4</v>
      </c>
      <c r="S7" s="302">
        <f>[1]FTE!T103</f>
        <v>458.4</v>
      </c>
      <c r="T7" s="302">
        <f>[1]FTE!U103</f>
        <v>477.75</v>
      </c>
      <c r="U7" s="302">
        <f>[1]FTE!V103</f>
        <v>501.34</v>
      </c>
      <c r="V7" s="302">
        <f>[1]FTE!W103</f>
        <v>537.47</v>
      </c>
      <c r="W7" s="302">
        <f>[1]FTE!X103</f>
        <v>586.4</v>
      </c>
      <c r="X7" s="302">
        <v>697.8</v>
      </c>
      <c r="Y7" s="302">
        <v>758.6</v>
      </c>
      <c r="Z7" s="302">
        <v>860.8</v>
      </c>
      <c r="AA7" s="302">
        <v>902.7</v>
      </c>
      <c r="AB7" s="302">
        <v>863.5</v>
      </c>
      <c r="AC7" s="302">
        <v>943.78</v>
      </c>
      <c r="AD7" s="302">
        <v>996.31</v>
      </c>
      <c r="AE7" s="302">
        <v>1067.31</v>
      </c>
      <c r="AF7" s="302">
        <v>1076.55</v>
      </c>
      <c r="AG7" s="302">
        <v>1117.58</v>
      </c>
      <c r="AH7" s="302">
        <v>1155.31</v>
      </c>
      <c r="AI7" s="302">
        <v>1189.81</v>
      </c>
      <c r="AJ7" s="302">
        <v>1212.29</v>
      </c>
      <c r="AK7" s="302">
        <v>1226.24</v>
      </c>
    </row>
    <row r="8" spans="1:38" ht="15.75" x14ac:dyDescent="0.25">
      <c r="A8" s="295" t="s">
        <v>315</v>
      </c>
      <c r="B8" s="302">
        <f>[1]Compensation!C105</f>
        <v>5890825</v>
      </c>
      <c r="C8" s="302">
        <f>[1]Compensation!D105</f>
        <v>6147986</v>
      </c>
      <c r="D8" s="302">
        <f>[1]Compensation!E105</f>
        <v>6493931</v>
      </c>
      <c r="E8" s="302">
        <f>[1]Compensation!F105</f>
        <v>7011290</v>
      </c>
      <c r="F8" s="302">
        <f>[1]Compensation!G105</f>
        <v>7308204</v>
      </c>
      <c r="G8" s="302">
        <f>[1]Compensation!H105</f>
        <v>7586835</v>
      </c>
      <c r="H8" s="302">
        <f>[1]Compensation!I105</f>
        <v>7810618</v>
      </c>
      <c r="I8" s="302">
        <f>[1]Compensation!J105</f>
        <v>8458974</v>
      </c>
      <c r="J8" s="302">
        <f>[1]Compensation!K105</f>
        <v>9265956</v>
      </c>
      <c r="K8" s="302">
        <f>[1]Compensation!L105</f>
        <v>10328344</v>
      </c>
      <c r="L8" s="302">
        <f>[1]Compensation!M105</f>
        <v>11083023</v>
      </c>
      <c r="M8" s="302">
        <f>[1]Compensation!N105</f>
        <v>12644697</v>
      </c>
      <c r="N8" s="302">
        <f>[1]Compensation!O105</f>
        <v>14726942</v>
      </c>
      <c r="O8" s="302">
        <f>[1]Compensation!P105</f>
        <v>16882905</v>
      </c>
      <c r="P8" s="302">
        <f>[1]Compensation!Q105</f>
        <v>18912831</v>
      </c>
      <c r="Q8" s="302">
        <f>[1]Compensation!R105</f>
        <v>20770987</v>
      </c>
      <c r="R8" s="302">
        <f>[1]Compensation!S105</f>
        <v>23143544</v>
      </c>
      <c r="S8" s="302">
        <f>[1]Compensation!T105</f>
        <v>24342918</v>
      </c>
      <c r="T8" s="302">
        <f>[1]Compensation!U105</f>
        <v>25629105</v>
      </c>
      <c r="U8" s="302">
        <f>[1]Compensation!V105</f>
        <v>28769018</v>
      </c>
      <c r="V8" s="302">
        <f>[1]Compensation!W105</f>
        <v>32159899</v>
      </c>
      <c r="W8" s="302">
        <f>[1]Compensation!X105</f>
        <v>35377389</v>
      </c>
      <c r="X8" s="302">
        <v>38748960</v>
      </c>
      <c r="Y8" s="302">
        <v>43713919</v>
      </c>
      <c r="Z8" s="302">
        <v>49724615</v>
      </c>
      <c r="AA8" s="302">
        <v>53829504</v>
      </c>
      <c r="AB8" s="302">
        <v>59142344</v>
      </c>
      <c r="AC8" s="302">
        <v>65352441</v>
      </c>
      <c r="AD8" s="302">
        <v>70301022</v>
      </c>
      <c r="AE8" s="302">
        <v>73698635</v>
      </c>
      <c r="AF8" s="302">
        <v>78940351</v>
      </c>
      <c r="AG8" s="302">
        <v>82706118</v>
      </c>
      <c r="AH8" s="302">
        <v>89421676</v>
      </c>
      <c r="AI8" s="302">
        <v>96640633</v>
      </c>
      <c r="AJ8" s="302">
        <v>99932406</v>
      </c>
      <c r="AK8" s="302">
        <v>104183818</v>
      </c>
    </row>
    <row r="9" spans="1:38" s="299" customFormat="1" ht="15.75" x14ac:dyDescent="0.25">
      <c r="A9" s="300" t="s">
        <v>316</v>
      </c>
      <c r="B9" s="306">
        <f>B8/B7</f>
        <v>19845.118582401294</v>
      </c>
      <c r="C9" s="306">
        <f t="shared" ref="C9:W9" si="0">C8/C7</f>
        <v>21043.216046002188</v>
      </c>
      <c r="D9" s="306">
        <f t="shared" si="0"/>
        <v>22676.71543806963</v>
      </c>
      <c r="E9" s="306">
        <f t="shared" si="0"/>
        <v>24055.753791257808</v>
      </c>
      <c r="F9" s="306">
        <f t="shared" si="0"/>
        <v>27995.418502202643</v>
      </c>
      <c r="G9" s="306">
        <f t="shared" si="0"/>
        <v>30214.396654719236</v>
      </c>
      <c r="H9" s="306">
        <f t="shared" si="0"/>
        <v>31182.601405301823</v>
      </c>
      <c r="I9" s="306">
        <f t="shared" si="0"/>
        <v>32728.368026000157</v>
      </c>
      <c r="J9" s="306">
        <f t="shared" si="0"/>
        <v>34301.839854884689</v>
      </c>
      <c r="K9" s="306">
        <f t="shared" si="0"/>
        <v>35950.934595704683</v>
      </c>
      <c r="L9" s="306">
        <f t="shared" si="0"/>
        <v>37409.785323702155</v>
      </c>
      <c r="M9" s="306">
        <f t="shared" si="0"/>
        <v>38979.922315731063</v>
      </c>
      <c r="N9" s="306">
        <f t="shared" si="0"/>
        <v>41721.746274576464</v>
      </c>
      <c r="O9" s="306">
        <f t="shared" si="0"/>
        <v>43953.307646247165</v>
      </c>
      <c r="P9" s="306">
        <f t="shared" si="0"/>
        <v>42569.620509588553</v>
      </c>
      <c r="Q9" s="306">
        <f t="shared" si="0"/>
        <v>50296.600237305371</v>
      </c>
      <c r="R9" s="306">
        <f t="shared" si="0"/>
        <v>51961.257296811855</v>
      </c>
      <c r="S9" s="306">
        <f t="shared" si="0"/>
        <v>53104.096858638746</v>
      </c>
      <c r="T9" s="306">
        <f t="shared" si="0"/>
        <v>53645.431711145997</v>
      </c>
      <c r="U9" s="306">
        <f t="shared" si="0"/>
        <v>57384.246220130051</v>
      </c>
      <c r="V9" s="306">
        <f t="shared" si="0"/>
        <v>59835.709900087444</v>
      </c>
      <c r="W9" s="306">
        <f t="shared" si="0"/>
        <v>60329.790245566168</v>
      </c>
      <c r="X9" s="301">
        <v>55530.180567497853</v>
      </c>
      <c r="Y9" s="301">
        <v>57624.46480358555</v>
      </c>
      <c r="Z9" s="301">
        <v>57765.5843401487</v>
      </c>
      <c r="AA9" s="301">
        <v>59631.665004985043</v>
      </c>
      <c r="AB9" s="301">
        <v>68491.423277359587</v>
      </c>
      <c r="AC9" s="301">
        <v>69245.418423785202</v>
      </c>
      <c r="AD9" s="301">
        <v>70561.393542170612</v>
      </c>
      <c r="AE9" s="301">
        <v>69050.824034254343</v>
      </c>
      <c r="AF9" s="301">
        <v>73327.157122288801</v>
      </c>
      <c r="AG9" s="301">
        <v>74004.651121172545</v>
      </c>
      <c r="AH9" s="301">
        <v>77400.590317750219</v>
      </c>
      <c r="AI9" s="301">
        <v>81223.58443785143</v>
      </c>
      <c r="AJ9" s="301">
        <v>82432.756188700732</v>
      </c>
      <c r="AK9" s="301">
        <v>84962.012330375786</v>
      </c>
    </row>
    <row r="10" spans="1:38" ht="15.75" x14ac:dyDescent="0.25">
      <c r="A10" s="295" t="s">
        <v>317</v>
      </c>
      <c r="B10" s="302">
        <f>[1]FTE!C13</f>
        <v>111.25</v>
      </c>
      <c r="C10" s="302">
        <f>[1]FTE!D13</f>
        <v>130.18</v>
      </c>
      <c r="D10" s="302">
        <f>[1]FTE!E13</f>
        <v>131.41999999999999</v>
      </c>
      <c r="E10" s="302">
        <f>[1]FTE!F13</f>
        <v>118.76</v>
      </c>
      <c r="F10" s="302">
        <f>[1]FTE!G13</f>
        <v>110.58</v>
      </c>
      <c r="G10" s="302">
        <f>[1]FTE!H13</f>
        <v>90.64</v>
      </c>
      <c r="H10" s="302">
        <f>[1]FTE!I13</f>
        <v>90.77</v>
      </c>
      <c r="I10" s="302">
        <f>[1]FTE!J13</f>
        <v>92.73</v>
      </c>
      <c r="J10" s="302">
        <f>[1]FTE!K13</f>
        <v>101.6</v>
      </c>
      <c r="K10" s="302">
        <f>[1]FTE!L13</f>
        <v>116.48</v>
      </c>
      <c r="L10" s="302">
        <f>[1]FTE!M13</f>
        <v>118.1</v>
      </c>
      <c r="M10" s="302">
        <f>[1]FTE!N13</f>
        <v>124.38</v>
      </c>
      <c r="N10" s="302">
        <f>[1]FTE!O13</f>
        <v>124.32</v>
      </c>
      <c r="O10" s="302">
        <f>[1]FTE!P13</f>
        <v>131.87</v>
      </c>
      <c r="P10" s="302">
        <f>[1]FTE!Q13</f>
        <v>139.25</v>
      </c>
      <c r="Q10" s="302">
        <f>[1]FTE!R13</f>
        <v>149.38</v>
      </c>
      <c r="R10" s="302">
        <f>[1]FTE!S13</f>
        <v>149.66</v>
      </c>
      <c r="S10" s="302">
        <f>[1]FTE!T13</f>
        <v>162.4</v>
      </c>
      <c r="T10" s="302">
        <f>[1]FTE!U13</f>
        <v>168.44</v>
      </c>
      <c r="U10" s="302">
        <f>[1]FTE!V13</f>
        <v>174.35</v>
      </c>
      <c r="V10" s="302">
        <f>[1]FTE!W13</f>
        <v>194.72</v>
      </c>
      <c r="W10" s="302">
        <f>[1]FTE!X13</f>
        <v>214.29</v>
      </c>
      <c r="X10" s="302">
        <v>243.1</v>
      </c>
      <c r="Y10" s="302">
        <v>293.89999999999998</v>
      </c>
      <c r="Z10" s="302">
        <v>317.3</v>
      </c>
      <c r="AA10" s="302">
        <v>354.3</v>
      </c>
      <c r="AB10" s="302">
        <v>362.9</v>
      </c>
      <c r="AC10" s="302">
        <v>395</v>
      </c>
      <c r="AD10" s="302">
        <v>432</v>
      </c>
      <c r="AE10" s="302">
        <v>451</v>
      </c>
      <c r="AF10" s="302">
        <v>448</v>
      </c>
      <c r="AG10" s="302">
        <v>490</v>
      </c>
      <c r="AH10" s="302">
        <v>503.11</v>
      </c>
      <c r="AI10" s="302">
        <v>533.55999999999995</v>
      </c>
      <c r="AJ10" s="302">
        <v>557.6</v>
      </c>
      <c r="AK10" s="302">
        <v>582.21</v>
      </c>
    </row>
    <row r="11" spans="1:38" ht="15.75" x14ac:dyDescent="0.25">
      <c r="A11" s="295" t="s">
        <v>318</v>
      </c>
      <c r="B11" s="302">
        <f>[1]Compensation!C13</f>
        <v>2532482</v>
      </c>
      <c r="C11" s="302">
        <f>[1]Compensation!D13</f>
        <v>2869250</v>
      </c>
      <c r="D11" s="302">
        <f>[1]Compensation!E13</f>
        <v>3254027</v>
      </c>
      <c r="E11" s="302">
        <f>[1]Compensation!F13</f>
        <v>3100048</v>
      </c>
      <c r="F11" s="302">
        <f>[1]Compensation!G13</f>
        <v>3207840</v>
      </c>
      <c r="G11" s="302">
        <f>[1]Compensation!H13</f>
        <v>2966281</v>
      </c>
      <c r="H11" s="302">
        <f>[1]Compensation!I13</f>
        <v>2937131</v>
      </c>
      <c r="I11" s="302">
        <f>[1]Compensation!J13</f>
        <v>3099388</v>
      </c>
      <c r="J11" s="302">
        <f>[1]Compensation!K13</f>
        <v>3635356</v>
      </c>
      <c r="K11" s="302">
        <f>[1]Compensation!L13</f>
        <v>4402873</v>
      </c>
      <c r="L11" s="302">
        <f>[1]Compensation!M13</f>
        <v>4706580</v>
      </c>
      <c r="M11" s="302">
        <f>[1]Compensation!N13</f>
        <v>5424421</v>
      </c>
      <c r="N11" s="302">
        <f>[1]Compensation!O13</f>
        <v>6005204</v>
      </c>
      <c r="O11" s="302">
        <f>[1]Compensation!P13</f>
        <v>6700665</v>
      </c>
      <c r="P11" s="302">
        <f>[1]Compensation!Q13</f>
        <v>6934582</v>
      </c>
      <c r="Q11" s="302">
        <f>[1]Compensation!R13</f>
        <v>7766551</v>
      </c>
      <c r="R11" s="302">
        <f>[1]Compensation!S13</f>
        <v>8601193</v>
      </c>
      <c r="S11" s="302">
        <f>[1]Compensation!T13</f>
        <v>9150497</v>
      </c>
      <c r="T11" s="302">
        <f>[1]Compensation!U13</f>
        <v>9842171</v>
      </c>
      <c r="U11" s="302">
        <f>[1]Compensation!V13</f>
        <v>10671685</v>
      </c>
      <c r="V11" s="302">
        <f>[1]Compensation!W13</f>
        <v>11884604</v>
      </c>
      <c r="W11" s="302">
        <f>[1]Compensation!X13</f>
        <v>13652600</v>
      </c>
      <c r="X11" s="302">
        <v>15246335</v>
      </c>
      <c r="Y11" s="302">
        <v>17664547</v>
      </c>
      <c r="Z11" s="302">
        <v>20926569</v>
      </c>
      <c r="AA11" s="302">
        <v>23855746</v>
      </c>
      <c r="AB11" s="302">
        <v>26161196</v>
      </c>
      <c r="AC11" s="302">
        <v>28478157</v>
      </c>
      <c r="AD11" s="302">
        <v>30499248</v>
      </c>
      <c r="AE11" s="302">
        <v>32445041</v>
      </c>
      <c r="AF11" s="302">
        <v>34626999</v>
      </c>
      <c r="AG11" s="302">
        <v>38860875</v>
      </c>
      <c r="AH11" s="302">
        <v>43319257</v>
      </c>
      <c r="AI11" s="302">
        <v>48145695</v>
      </c>
      <c r="AJ11" s="302">
        <v>50161488</v>
      </c>
      <c r="AK11" s="302">
        <v>52767739</v>
      </c>
    </row>
    <row r="12" spans="1:38" s="299" customFormat="1" ht="15.75" x14ac:dyDescent="0.25">
      <c r="A12" s="300" t="s">
        <v>319</v>
      </c>
      <c r="B12" s="306">
        <f>B11/B10</f>
        <v>22763.883146067416</v>
      </c>
      <c r="C12" s="306">
        <f t="shared" ref="C12:W12" si="1">C11/C10</f>
        <v>22040.636042402824</v>
      </c>
      <c r="D12" s="306">
        <f t="shared" si="1"/>
        <v>24760.515903211082</v>
      </c>
      <c r="E12" s="306">
        <f t="shared" si="1"/>
        <v>26103.469181542605</v>
      </c>
      <c r="F12" s="306">
        <f t="shared" si="1"/>
        <v>29009.224091155724</v>
      </c>
      <c r="G12" s="306">
        <f t="shared" si="1"/>
        <v>32725.959841129745</v>
      </c>
      <c r="H12" s="306">
        <f t="shared" si="1"/>
        <v>32357.948661452025</v>
      </c>
      <c r="I12" s="306">
        <f t="shared" si="1"/>
        <v>33423.789496387362</v>
      </c>
      <c r="J12" s="306">
        <f t="shared" si="1"/>
        <v>35781.06299212599</v>
      </c>
      <c r="K12" s="306">
        <f t="shared" si="1"/>
        <v>37799.390453296699</v>
      </c>
      <c r="L12" s="306">
        <f t="shared" si="1"/>
        <v>39852.497883149874</v>
      </c>
      <c r="M12" s="306">
        <f t="shared" si="1"/>
        <v>43611.681942434479</v>
      </c>
      <c r="N12" s="306">
        <f t="shared" si="1"/>
        <v>48304.407979407981</v>
      </c>
      <c r="O12" s="306">
        <f t="shared" si="1"/>
        <v>50812.656404034271</v>
      </c>
      <c r="P12" s="306">
        <f t="shared" si="1"/>
        <v>49799.511669658888</v>
      </c>
      <c r="Q12" s="306">
        <f t="shared" si="1"/>
        <v>51991.906547061189</v>
      </c>
      <c r="R12" s="306">
        <f t="shared" si="1"/>
        <v>57471.555525858617</v>
      </c>
      <c r="S12" s="306">
        <f t="shared" si="1"/>
        <v>56345.42487684729</v>
      </c>
      <c r="T12" s="306">
        <f t="shared" si="1"/>
        <v>58431.316789361197</v>
      </c>
      <c r="U12" s="306">
        <f t="shared" si="1"/>
        <v>61208.402638371095</v>
      </c>
      <c r="V12" s="306">
        <f t="shared" si="1"/>
        <v>61034.326211996711</v>
      </c>
      <c r="W12" s="306">
        <f t="shared" si="1"/>
        <v>63710.859116151012</v>
      </c>
      <c r="X12" s="301">
        <v>62716.310160427805</v>
      </c>
      <c r="Y12" s="301">
        <v>60103.93671316775</v>
      </c>
      <c r="Z12" s="301">
        <v>65951.99810904506</v>
      </c>
      <c r="AA12" s="301">
        <v>67332.051933389783</v>
      </c>
      <c r="AB12" s="301">
        <v>72089.269771286854</v>
      </c>
      <c r="AC12" s="301">
        <v>72096.600000000006</v>
      </c>
      <c r="AD12" s="301">
        <v>70600.111111111109</v>
      </c>
      <c r="AE12" s="301">
        <v>71940.223946784929</v>
      </c>
      <c r="AF12" s="301">
        <v>77292.408482142855</v>
      </c>
      <c r="AG12" s="301">
        <v>79307.908163265311</v>
      </c>
      <c r="AH12" s="301">
        <v>86102.953628431162</v>
      </c>
      <c r="AI12" s="301">
        <v>90234.828322962756</v>
      </c>
      <c r="AJ12" s="301">
        <v>89959.626972740312</v>
      </c>
      <c r="AK12" s="301">
        <v>90633.515398224001</v>
      </c>
    </row>
    <row r="13" spans="1:38" ht="15.75" x14ac:dyDescent="0.25">
      <c r="A13" s="295" t="s">
        <v>320</v>
      </c>
      <c r="B13" s="302">
        <f>[1]FTE!C35</f>
        <v>244.02</v>
      </c>
      <c r="C13" s="302">
        <f>[1]FTE!D35</f>
        <v>237.39</v>
      </c>
      <c r="D13" s="302">
        <f>[1]FTE!E35</f>
        <v>220.34</v>
      </c>
      <c r="E13" s="302">
        <f>[1]FTE!F35</f>
        <v>219.9</v>
      </c>
      <c r="F13" s="302">
        <f>[1]FTE!G35</f>
        <v>200.03</v>
      </c>
      <c r="G13" s="302">
        <f>[1]FTE!H35</f>
        <v>202.22</v>
      </c>
      <c r="H13" s="302">
        <f>[1]FTE!I35</f>
        <v>202.29</v>
      </c>
      <c r="I13" s="302">
        <f>[1]FTE!J35</f>
        <v>204.34</v>
      </c>
      <c r="J13" s="302">
        <f>[1]FTE!K35</f>
        <v>217.15</v>
      </c>
      <c r="K13" s="302">
        <f>[1]FTE!L35</f>
        <v>229.36</v>
      </c>
      <c r="L13" s="302">
        <f>[1]FTE!M35</f>
        <v>224.44</v>
      </c>
      <c r="M13" s="302">
        <f>[1]FTE!N35</f>
        <v>234.78</v>
      </c>
      <c r="N13" s="302">
        <f>[1]FTE!O35</f>
        <v>260.87</v>
      </c>
      <c r="O13" s="302">
        <f>[1]FTE!P35</f>
        <v>279.60000000000002</v>
      </c>
      <c r="P13" s="302">
        <f>[1]FTE!Q35</f>
        <v>308.61</v>
      </c>
      <c r="Q13" s="302">
        <f>[1]FTE!R35</f>
        <v>345.88</v>
      </c>
      <c r="R13" s="302">
        <f>[1]FTE!S35</f>
        <v>359.98</v>
      </c>
      <c r="S13" s="302">
        <f>[1]FTE!T35</f>
        <v>378.12</v>
      </c>
      <c r="T13" s="302">
        <f>[1]FTE!U35</f>
        <v>407.78</v>
      </c>
      <c r="U13" s="302">
        <f>[1]FTE!V35</f>
        <v>439.86</v>
      </c>
      <c r="V13" s="302">
        <f>[1]FTE!W35</f>
        <v>477.81</v>
      </c>
      <c r="W13" s="302">
        <f>[1]FTE!X35</f>
        <v>549.48</v>
      </c>
      <c r="X13" s="302">
        <v>606.9</v>
      </c>
      <c r="Y13" s="302">
        <v>632.70000000000005</v>
      </c>
      <c r="Z13" s="302">
        <v>703.7</v>
      </c>
      <c r="AA13" s="302">
        <v>768.9</v>
      </c>
      <c r="AB13" s="302">
        <v>854.2</v>
      </c>
      <c r="AC13" s="302">
        <v>941.01</v>
      </c>
      <c r="AD13" s="302">
        <v>957.1</v>
      </c>
      <c r="AE13" s="302">
        <v>906.93</v>
      </c>
      <c r="AF13" s="302">
        <v>951</v>
      </c>
      <c r="AG13" s="302">
        <v>898.34</v>
      </c>
      <c r="AH13" s="302">
        <v>949.52</v>
      </c>
      <c r="AI13" s="302">
        <v>977.68</v>
      </c>
      <c r="AJ13" s="302">
        <v>959.71</v>
      </c>
      <c r="AK13" s="302">
        <v>945.17</v>
      </c>
    </row>
    <row r="14" spans="1:38" s="304" customFormat="1" ht="15.75" x14ac:dyDescent="0.25">
      <c r="A14" s="329" t="s">
        <v>321</v>
      </c>
      <c r="B14" s="305">
        <f>[1]Compensation!C35</f>
        <v>2250910</v>
      </c>
      <c r="C14" s="305">
        <f>[1]Compensation!D35</f>
        <v>2341263</v>
      </c>
      <c r="D14" s="305">
        <f>[1]Compensation!E35</f>
        <v>2384733</v>
      </c>
      <c r="E14" s="305">
        <f>[1]Compensation!F35</f>
        <v>2624151</v>
      </c>
      <c r="F14" s="305">
        <f>[1]Compensation!G35</f>
        <v>2707712</v>
      </c>
      <c r="G14" s="305">
        <f>[1]Compensation!H35</f>
        <v>3056841</v>
      </c>
      <c r="H14" s="305">
        <f>[1]Compensation!I35</f>
        <v>3283536</v>
      </c>
      <c r="I14" s="305">
        <f>[1]Compensation!J35</f>
        <v>3536880</v>
      </c>
      <c r="J14" s="305">
        <f>[1]Compensation!K35</f>
        <v>3872959</v>
      </c>
      <c r="K14" s="305">
        <f>[1]Compensation!L35</f>
        <v>4403738</v>
      </c>
      <c r="L14" s="305">
        <f>[1]Compensation!M35</f>
        <v>4387541</v>
      </c>
      <c r="M14" s="305">
        <f>[1]Compensation!N35</f>
        <v>4858647</v>
      </c>
      <c r="N14" s="305">
        <f>[1]Compensation!O35</f>
        <v>5640143</v>
      </c>
      <c r="O14" s="305">
        <f>[1]Compensation!P35</f>
        <v>6273957</v>
      </c>
      <c r="P14" s="305">
        <f>[1]Compensation!Q35</f>
        <v>6849766</v>
      </c>
      <c r="Q14" s="305">
        <f>[1]Compensation!R35</f>
        <v>7694595</v>
      </c>
      <c r="R14" s="305">
        <f>[1]Compensation!S35</f>
        <v>8456907</v>
      </c>
      <c r="S14" s="305">
        <f>[1]Compensation!T35</f>
        <v>9177591</v>
      </c>
      <c r="T14" s="305">
        <f>[1]Compensation!U35</f>
        <v>9506032</v>
      </c>
      <c r="U14" s="305">
        <f>[1]Compensation!V35</f>
        <v>10495717</v>
      </c>
      <c r="V14" s="305">
        <f>[1]Compensation!W35</f>
        <v>11064901</v>
      </c>
      <c r="W14" s="305">
        <f>[1]Compensation!X35</f>
        <v>12451675</v>
      </c>
      <c r="X14" s="305">
        <v>13822575</v>
      </c>
      <c r="Y14" s="305">
        <v>14837355</v>
      </c>
      <c r="Z14" s="305">
        <v>16628146</v>
      </c>
      <c r="AA14" s="305">
        <v>18504008</v>
      </c>
      <c r="AB14" s="305">
        <v>21106430</v>
      </c>
      <c r="AC14" s="305">
        <v>23368427</v>
      </c>
      <c r="AD14" s="305">
        <v>24134656</v>
      </c>
      <c r="AE14" s="305">
        <v>25790756</v>
      </c>
      <c r="AF14" s="305">
        <v>28137329</v>
      </c>
      <c r="AG14" s="305">
        <v>29914958</v>
      </c>
      <c r="AH14" s="305">
        <v>31859668</v>
      </c>
      <c r="AI14" s="305">
        <v>34342282</v>
      </c>
      <c r="AJ14" s="305">
        <v>34908286</v>
      </c>
      <c r="AK14" s="305">
        <v>36398428</v>
      </c>
    </row>
    <row r="15" spans="1:38" s="299" customFormat="1" ht="15.75" x14ac:dyDescent="0.25">
      <c r="A15" s="300" t="s">
        <v>322</v>
      </c>
      <c r="B15" s="306">
        <f>B14/B13</f>
        <v>9224.2848946807626</v>
      </c>
      <c r="C15" s="306">
        <f t="shared" ref="C15:W15" si="2">C14/C13</f>
        <v>9862.5173764691026</v>
      </c>
      <c r="D15" s="306">
        <f t="shared" si="2"/>
        <v>10822.969047835164</v>
      </c>
      <c r="E15" s="306">
        <f t="shared" si="2"/>
        <v>11933.383356070941</v>
      </c>
      <c r="F15" s="306">
        <f t="shared" si="2"/>
        <v>13536.529520571914</v>
      </c>
      <c r="G15" s="306">
        <f t="shared" si="2"/>
        <v>15116.412817723272</v>
      </c>
      <c r="H15" s="306">
        <f t="shared" si="2"/>
        <v>16231.82559691532</v>
      </c>
      <c r="I15" s="306">
        <f t="shared" si="2"/>
        <v>17308.799060389545</v>
      </c>
      <c r="J15" s="306">
        <f t="shared" si="2"/>
        <v>17835.408703661062</v>
      </c>
      <c r="K15" s="306">
        <f t="shared" si="2"/>
        <v>19200.113358911753</v>
      </c>
      <c r="L15" s="306">
        <f t="shared" si="2"/>
        <v>19548.837105685263</v>
      </c>
      <c r="M15" s="306">
        <f t="shared" si="2"/>
        <v>20694.46716074623</v>
      </c>
      <c r="N15" s="306">
        <f t="shared" si="2"/>
        <v>21620.51213247978</v>
      </c>
      <c r="O15" s="306">
        <f t="shared" si="2"/>
        <v>22439.045064377682</v>
      </c>
      <c r="P15" s="306">
        <f t="shared" si="2"/>
        <v>22195.541298078479</v>
      </c>
      <c r="Q15" s="306">
        <f t="shared" si="2"/>
        <v>22246.429397478896</v>
      </c>
      <c r="R15" s="306">
        <f t="shared" si="2"/>
        <v>23492.713484082447</v>
      </c>
      <c r="S15" s="306">
        <f t="shared" si="2"/>
        <v>24271.635988575053</v>
      </c>
      <c r="T15" s="306">
        <f t="shared" si="2"/>
        <v>23311.668056304872</v>
      </c>
      <c r="U15" s="306">
        <f t="shared" si="2"/>
        <v>23861.494566452962</v>
      </c>
      <c r="V15" s="306">
        <f t="shared" si="2"/>
        <v>23157.533329147569</v>
      </c>
      <c r="W15" s="306">
        <f t="shared" si="2"/>
        <v>22660.833879304068</v>
      </c>
      <c r="X15" s="301">
        <v>22775.704399406823</v>
      </c>
      <c r="Y15" s="301">
        <v>23450.85348506401</v>
      </c>
      <c r="Z15" s="301">
        <v>23629.594997868408</v>
      </c>
      <c r="AA15" s="301">
        <v>24065.558590193785</v>
      </c>
      <c r="AB15" s="301">
        <v>24709.002575509247</v>
      </c>
      <c r="AC15" s="301">
        <v>24833.346085588888</v>
      </c>
      <c r="AD15" s="301">
        <v>25216.441333194023</v>
      </c>
      <c r="AE15" s="301">
        <v>28437.42736484624</v>
      </c>
      <c r="AF15" s="301">
        <v>29587.096740273395</v>
      </c>
      <c r="AG15" s="301">
        <v>33300.262706770263</v>
      </c>
      <c r="AH15" s="301">
        <v>33553.445951638721</v>
      </c>
      <c r="AI15" s="301">
        <v>35126.301039194834</v>
      </c>
      <c r="AJ15" s="301">
        <v>36373.785831136491</v>
      </c>
      <c r="AK15" s="301">
        <v>38509.927314662971</v>
      </c>
    </row>
    <row r="16" spans="1:38" ht="15.75" x14ac:dyDescent="0.25">
      <c r="A16" s="300"/>
    </row>
    <row r="17" spans="1:40" x14ac:dyDescent="0.2">
      <c r="A17" s="307" t="s">
        <v>326</v>
      </c>
      <c r="B17" s="302">
        <f>B7</f>
        <v>296.83999999999997</v>
      </c>
      <c r="C17" s="302">
        <f t="shared" ref="C17:AK17" si="3">C7</f>
        <v>292.16000000000003</v>
      </c>
      <c r="D17" s="302">
        <f t="shared" si="3"/>
        <v>286.37</v>
      </c>
      <c r="E17" s="302">
        <f t="shared" si="3"/>
        <v>291.45999999999998</v>
      </c>
      <c r="F17" s="302">
        <f t="shared" si="3"/>
        <v>261.05</v>
      </c>
      <c r="G17" s="302">
        <f t="shared" si="3"/>
        <v>251.1</v>
      </c>
      <c r="H17" s="302">
        <f t="shared" si="3"/>
        <v>250.48</v>
      </c>
      <c r="I17" s="302">
        <f t="shared" si="3"/>
        <v>258.45999999999998</v>
      </c>
      <c r="J17" s="302">
        <f t="shared" si="3"/>
        <v>270.13</v>
      </c>
      <c r="K17" s="302">
        <f t="shared" si="3"/>
        <v>287.29000000000002</v>
      </c>
      <c r="L17" s="302">
        <f t="shared" si="3"/>
        <v>296.26</v>
      </c>
      <c r="M17" s="302">
        <f t="shared" si="3"/>
        <v>324.39</v>
      </c>
      <c r="N17" s="302">
        <f t="shared" si="3"/>
        <v>352.98</v>
      </c>
      <c r="O17" s="302">
        <f t="shared" si="3"/>
        <v>384.11</v>
      </c>
      <c r="P17" s="302">
        <f t="shared" si="3"/>
        <v>444.28</v>
      </c>
      <c r="Q17" s="302">
        <f t="shared" si="3"/>
        <v>412.97</v>
      </c>
      <c r="R17" s="302">
        <f t="shared" si="3"/>
        <v>445.4</v>
      </c>
      <c r="S17" s="302">
        <f t="shared" si="3"/>
        <v>458.4</v>
      </c>
      <c r="T17" s="302">
        <f t="shared" si="3"/>
        <v>477.75</v>
      </c>
      <c r="U17" s="302">
        <f t="shared" si="3"/>
        <v>501.34</v>
      </c>
      <c r="V17" s="302">
        <f t="shared" si="3"/>
        <v>537.47</v>
      </c>
      <c r="W17" s="302">
        <f t="shared" si="3"/>
        <v>586.4</v>
      </c>
      <c r="X17" s="302">
        <f t="shared" si="3"/>
        <v>697.8</v>
      </c>
      <c r="Y17" s="302">
        <f t="shared" si="3"/>
        <v>758.6</v>
      </c>
      <c r="Z17" s="302">
        <f t="shared" si="3"/>
        <v>860.8</v>
      </c>
      <c r="AA17" s="302">
        <f t="shared" si="3"/>
        <v>902.7</v>
      </c>
      <c r="AB17" s="302">
        <f t="shared" si="3"/>
        <v>863.5</v>
      </c>
      <c r="AC17" s="302">
        <f t="shared" si="3"/>
        <v>943.78</v>
      </c>
      <c r="AD17" s="302">
        <f t="shared" si="3"/>
        <v>996.31</v>
      </c>
      <c r="AE17" s="302">
        <f t="shared" si="3"/>
        <v>1067.31</v>
      </c>
      <c r="AF17" s="302">
        <f t="shared" si="3"/>
        <v>1076.55</v>
      </c>
      <c r="AG17" s="302">
        <f t="shared" si="3"/>
        <v>1117.58</v>
      </c>
      <c r="AH17" s="302">
        <f t="shared" si="3"/>
        <v>1155.31</v>
      </c>
      <c r="AI17" s="302">
        <f t="shared" si="3"/>
        <v>1189.81</v>
      </c>
      <c r="AJ17" s="302">
        <f t="shared" si="3"/>
        <v>1212.29</v>
      </c>
      <c r="AK17" s="302">
        <f t="shared" si="3"/>
        <v>1226.24</v>
      </c>
    </row>
    <row r="18" spans="1:40" x14ac:dyDescent="0.2">
      <c r="A18" s="307" t="s">
        <v>325</v>
      </c>
      <c r="B18" s="302">
        <f>B10+B13</f>
        <v>355.27</v>
      </c>
      <c r="C18" s="302">
        <f t="shared" ref="C18:AK18" si="4">C10+C13</f>
        <v>367.57</v>
      </c>
      <c r="D18" s="302">
        <f t="shared" si="4"/>
        <v>351.76</v>
      </c>
      <c r="E18" s="302">
        <f t="shared" si="4"/>
        <v>338.66</v>
      </c>
      <c r="F18" s="302">
        <f t="shared" si="4"/>
        <v>310.61</v>
      </c>
      <c r="G18" s="302">
        <f t="shared" si="4"/>
        <v>292.86</v>
      </c>
      <c r="H18" s="302">
        <f t="shared" si="4"/>
        <v>293.06</v>
      </c>
      <c r="I18" s="302">
        <f t="shared" si="4"/>
        <v>297.07</v>
      </c>
      <c r="J18" s="302">
        <f t="shared" si="4"/>
        <v>318.75</v>
      </c>
      <c r="K18" s="302">
        <f t="shared" si="4"/>
        <v>345.84000000000003</v>
      </c>
      <c r="L18" s="302">
        <f t="shared" si="4"/>
        <v>342.53999999999996</v>
      </c>
      <c r="M18" s="302">
        <f t="shared" si="4"/>
        <v>359.15999999999997</v>
      </c>
      <c r="N18" s="302">
        <f t="shared" si="4"/>
        <v>385.19</v>
      </c>
      <c r="O18" s="302">
        <f t="shared" si="4"/>
        <v>411.47</v>
      </c>
      <c r="P18" s="302">
        <f t="shared" si="4"/>
        <v>447.86</v>
      </c>
      <c r="Q18" s="302">
        <f t="shared" si="4"/>
        <v>495.26</v>
      </c>
      <c r="R18" s="302">
        <f t="shared" si="4"/>
        <v>509.64</v>
      </c>
      <c r="S18" s="302">
        <f t="shared" si="4"/>
        <v>540.52</v>
      </c>
      <c r="T18" s="302">
        <f t="shared" si="4"/>
        <v>576.22</v>
      </c>
      <c r="U18" s="302">
        <f t="shared" si="4"/>
        <v>614.21</v>
      </c>
      <c r="V18" s="302">
        <f t="shared" si="4"/>
        <v>672.53</v>
      </c>
      <c r="W18" s="302">
        <f t="shared" si="4"/>
        <v>763.77</v>
      </c>
      <c r="X18" s="302">
        <f t="shared" si="4"/>
        <v>850</v>
      </c>
      <c r="Y18" s="302">
        <f t="shared" si="4"/>
        <v>926.6</v>
      </c>
      <c r="Z18" s="302">
        <f t="shared" si="4"/>
        <v>1021</v>
      </c>
      <c r="AA18" s="302">
        <f t="shared" si="4"/>
        <v>1123.2</v>
      </c>
      <c r="AB18" s="302">
        <f t="shared" si="4"/>
        <v>1217.0999999999999</v>
      </c>
      <c r="AC18" s="302">
        <f t="shared" si="4"/>
        <v>1336.01</v>
      </c>
      <c r="AD18" s="302">
        <f t="shared" si="4"/>
        <v>1389.1</v>
      </c>
      <c r="AE18" s="302">
        <f t="shared" si="4"/>
        <v>1357.9299999999998</v>
      </c>
      <c r="AF18" s="302">
        <f t="shared" si="4"/>
        <v>1399</v>
      </c>
      <c r="AG18" s="302">
        <f t="shared" si="4"/>
        <v>1388.3400000000001</v>
      </c>
      <c r="AH18" s="302">
        <f t="shared" si="4"/>
        <v>1452.63</v>
      </c>
      <c r="AI18" s="302">
        <f t="shared" si="4"/>
        <v>1511.2399999999998</v>
      </c>
      <c r="AJ18" s="302">
        <f t="shared" si="4"/>
        <v>1517.31</v>
      </c>
      <c r="AK18" s="302">
        <f t="shared" si="4"/>
        <v>1527.38</v>
      </c>
    </row>
    <row r="19" spans="1:40" x14ac:dyDescent="0.2">
      <c r="A19" s="307" t="s">
        <v>324</v>
      </c>
      <c r="B19" s="302">
        <f>B17+B18</f>
        <v>652.1099999999999</v>
      </c>
      <c r="C19" s="302">
        <f t="shared" ref="C19:AK19" si="5">C17+C18</f>
        <v>659.73</v>
      </c>
      <c r="D19" s="302">
        <f t="shared" si="5"/>
        <v>638.13</v>
      </c>
      <c r="E19" s="302">
        <f t="shared" si="5"/>
        <v>630.12</v>
      </c>
      <c r="F19" s="302">
        <f t="shared" si="5"/>
        <v>571.66000000000008</v>
      </c>
      <c r="G19" s="302">
        <f t="shared" si="5"/>
        <v>543.96</v>
      </c>
      <c r="H19" s="302">
        <f t="shared" si="5"/>
        <v>543.54</v>
      </c>
      <c r="I19" s="302">
        <f t="shared" si="5"/>
        <v>555.53</v>
      </c>
      <c r="J19" s="302">
        <f t="shared" si="5"/>
        <v>588.88</v>
      </c>
      <c r="K19" s="302">
        <f t="shared" si="5"/>
        <v>633.13000000000011</v>
      </c>
      <c r="L19" s="302">
        <f t="shared" si="5"/>
        <v>638.79999999999995</v>
      </c>
      <c r="M19" s="302">
        <f t="shared" si="5"/>
        <v>683.55</v>
      </c>
      <c r="N19" s="302">
        <f t="shared" si="5"/>
        <v>738.17000000000007</v>
      </c>
      <c r="O19" s="302">
        <f t="shared" si="5"/>
        <v>795.58</v>
      </c>
      <c r="P19" s="302">
        <f t="shared" si="5"/>
        <v>892.14</v>
      </c>
      <c r="Q19" s="302">
        <f t="shared" si="5"/>
        <v>908.23</v>
      </c>
      <c r="R19" s="302">
        <f t="shared" si="5"/>
        <v>955.04</v>
      </c>
      <c r="S19" s="302">
        <f t="shared" si="5"/>
        <v>998.92</v>
      </c>
      <c r="T19" s="302">
        <f t="shared" si="5"/>
        <v>1053.97</v>
      </c>
      <c r="U19" s="302">
        <f t="shared" si="5"/>
        <v>1115.55</v>
      </c>
      <c r="V19" s="302">
        <f t="shared" si="5"/>
        <v>1210</v>
      </c>
      <c r="W19" s="302">
        <f t="shared" si="5"/>
        <v>1350.17</v>
      </c>
      <c r="X19" s="302">
        <f t="shared" si="5"/>
        <v>1547.8</v>
      </c>
      <c r="Y19" s="302">
        <f t="shared" si="5"/>
        <v>1685.2</v>
      </c>
      <c r="Z19" s="302">
        <f t="shared" si="5"/>
        <v>1881.8</v>
      </c>
      <c r="AA19" s="302">
        <f t="shared" si="5"/>
        <v>2025.9</v>
      </c>
      <c r="AB19" s="302">
        <f t="shared" si="5"/>
        <v>2080.6</v>
      </c>
      <c r="AC19" s="302">
        <f t="shared" si="5"/>
        <v>2279.79</v>
      </c>
      <c r="AD19" s="302">
        <f t="shared" si="5"/>
        <v>2385.41</v>
      </c>
      <c r="AE19" s="302">
        <f t="shared" si="5"/>
        <v>2425.2399999999998</v>
      </c>
      <c r="AF19" s="302">
        <f t="shared" si="5"/>
        <v>2475.5500000000002</v>
      </c>
      <c r="AG19" s="302">
        <f t="shared" si="5"/>
        <v>2505.92</v>
      </c>
      <c r="AH19" s="302">
        <f t="shared" si="5"/>
        <v>2607.94</v>
      </c>
      <c r="AI19" s="302">
        <f t="shared" si="5"/>
        <v>2701.0499999999997</v>
      </c>
      <c r="AJ19" s="302">
        <f t="shared" si="5"/>
        <v>2729.6</v>
      </c>
      <c r="AK19" s="302">
        <f t="shared" si="5"/>
        <v>2753.62</v>
      </c>
    </row>
    <row r="21" spans="1:40" x14ac:dyDescent="0.2">
      <c r="A21" s="307" t="s">
        <v>328</v>
      </c>
      <c r="B21" s="302">
        <f>'Colleges FYES'!B3</f>
        <v>6344.3</v>
      </c>
      <c r="C21" s="302">
        <f>'Colleges FYES'!C3</f>
        <v>6035</v>
      </c>
      <c r="D21" s="302">
        <f>'Colleges FYES'!D3</f>
        <v>5612.3666666666668</v>
      </c>
      <c r="E21" s="302">
        <f>'Colleges FYES'!E3</f>
        <v>5551.0333333333338</v>
      </c>
      <c r="F21" s="302">
        <f>'Colleges FYES'!F3</f>
        <v>4988.3666666666668</v>
      </c>
      <c r="G21" s="302">
        <f>'Colleges FYES'!G3</f>
        <v>4988.1000000000004</v>
      </c>
      <c r="H21" s="302">
        <f>'Colleges FYES'!H3</f>
        <v>4674</v>
      </c>
      <c r="I21" s="302">
        <f>'Colleges FYES'!I3</f>
        <v>5219.166666666667</v>
      </c>
      <c r="J21" s="302">
        <f>'Colleges FYES'!J3</f>
        <v>5620.9666666666662</v>
      </c>
      <c r="K21" s="302">
        <f>'Colleges FYES'!K3</f>
        <v>5963.666666666667</v>
      </c>
      <c r="L21" s="302">
        <f>'Colleges FYES'!L3</f>
        <v>6488.5666666666666</v>
      </c>
      <c r="M21" s="302">
        <f>'Colleges FYES'!M3</f>
        <v>7019.9666666666662</v>
      </c>
      <c r="N21" s="302">
        <f>'Colleges FYES'!N3</f>
        <v>7565.9</v>
      </c>
      <c r="O21" s="302">
        <f>'Colleges FYES'!O3</f>
        <v>8408.1666666666679</v>
      </c>
      <c r="P21" s="302">
        <f>'Colleges FYES'!P3</f>
        <v>9245.6333333333332</v>
      </c>
      <c r="Q21" s="302">
        <f>'Colleges FYES'!Q3</f>
        <v>9889.9333333333325</v>
      </c>
      <c r="R21" s="302">
        <f>'Colleges FYES'!R3</f>
        <v>10322.766666666666</v>
      </c>
      <c r="S21" s="302">
        <f>'Colleges FYES'!S3</f>
        <v>10488.7</v>
      </c>
      <c r="T21" s="302">
        <f>'Colleges FYES'!T3</f>
        <v>10578.7</v>
      </c>
      <c r="U21" s="302">
        <f>'Colleges FYES'!U3</f>
        <v>11111.4</v>
      </c>
      <c r="V21" s="302">
        <f>'Colleges FYES'!V3</f>
        <v>11839.333333333334</v>
      </c>
      <c r="W21" s="302">
        <f>'Colleges FYES'!W3</f>
        <v>12789.6</v>
      </c>
      <c r="X21" s="302">
        <f>'Colleges FYES'!X3</f>
        <v>13651</v>
      </c>
      <c r="Y21" s="302">
        <f>'Colleges FYES'!Y3</f>
        <v>14477</v>
      </c>
      <c r="Z21" s="302">
        <f>'Colleges FYES'!Z3</f>
        <v>15512</v>
      </c>
      <c r="AA21" s="302">
        <f>'Colleges FYES'!AA3</f>
        <v>16779</v>
      </c>
      <c r="AB21" s="302">
        <f>'Colleges FYES'!AB3</f>
        <v>17566</v>
      </c>
      <c r="AC21" s="302">
        <f>'Colleges FYES'!AC3</f>
        <v>18515</v>
      </c>
      <c r="AD21" s="302">
        <f>'Colleges FYES'!AD3</f>
        <v>19400</v>
      </c>
      <c r="AE21" s="302">
        <f>'Colleges FYES'!AE3</f>
        <v>19985.900000000001</v>
      </c>
      <c r="AF21" s="302">
        <f>'Colleges FYES'!AF3</f>
        <v>20732</v>
      </c>
      <c r="AG21" s="302">
        <f>'Colleges FYES'!AG3</f>
        <v>20951</v>
      </c>
      <c r="AH21" s="302">
        <f>'Colleges FYES'!AH3</f>
        <v>20951</v>
      </c>
      <c r="AI21" s="302">
        <f>'Colleges FYES'!AI3</f>
        <v>21617</v>
      </c>
      <c r="AJ21" s="302">
        <f>'Colleges FYES'!AJ3</f>
        <v>22273</v>
      </c>
      <c r="AK21" s="302">
        <f>'Colleges FYES'!AK3</f>
        <v>22407</v>
      </c>
    </row>
    <row r="23" spans="1:40" x14ac:dyDescent="0.2">
      <c r="A23" s="328" t="s">
        <v>188</v>
      </c>
      <c r="B23" s="296">
        <v>3.7090150250417362</v>
      </c>
      <c r="C23" s="296">
        <v>3.4338485316846983</v>
      </c>
      <c r="D23" s="296">
        <v>3.0601928374655647</v>
      </c>
      <c r="E23" s="296">
        <v>2.6962378640776694</v>
      </c>
      <c r="F23" s="296">
        <v>2.4658157602663708</v>
      </c>
      <c r="G23" s="296">
        <v>2.3022797927461141</v>
      </c>
      <c r="H23" s="296">
        <v>2.2239239239239237</v>
      </c>
      <c r="I23" s="296">
        <v>2.1444980694980695</v>
      </c>
      <c r="J23" s="296">
        <v>2.0802434456928838</v>
      </c>
      <c r="K23" s="296">
        <v>2.0571296296296295</v>
      </c>
      <c r="L23" s="296">
        <v>1.9854334226988379</v>
      </c>
      <c r="M23" s="296">
        <v>1.9136089577950044</v>
      </c>
      <c r="N23" s="296">
        <v>1.828559670781893</v>
      </c>
      <c r="O23" s="296">
        <v>1.7438775510204081</v>
      </c>
      <c r="P23" s="296">
        <v>1.6780211480362537</v>
      </c>
      <c r="Q23" s="296">
        <v>1.6324026451138869</v>
      </c>
      <c r="R23" s="296">
        <v>1.5869285714285712</v>
      </c>
      <c r="S23" s="296">
        <v>1.542847222222222</v>
      </c>
      <c r="T23" s="296">
        <v>1.4971024258760106</v>
      </c>
      <c r="U23" s="296">
        <v>1.4520915032679738</v>
      </c>
      <c r="V23" s="296">
        <v>1.4178047223994894</v>
      </c>
      <c r="W23" s="296">
        <v>1.3946641556811046</v>
      </c>
      <c r="X23" s="296">
        <v>1.365519360786724</v>
      </c>
      <c r="Y23" s="296">
        <v>1.3200831847890671</v>
      </c>
      <c r="Z23" s="296">
        <v>1.2857060185185183</v>
      </c>
      <c r="AA23" s="296">
        <v>1.2702687249857061</v>
      </c>
      <c r="AB23" s="296">
        <v>1.246045989904655</v>
      </c>
      <c r="AC23" s="296">
        <v>1.2167031763417304</v>
      </c>
      <c r="AD23" s="296">
        <v>1.1792462845010614</v>
      </c>
      <c r="AE23" s="296">
        <v>1.151139896373057</v>
      </c>
      <c r="AF23" s="296">
        <v>1.121374095889927</v>
      </c>
      <c r="AG23" s="296">
        <v>1.0817403667312617</v>
      </c>
      <c r="AH23" s="296">
        <v>1.088727066018504</v>
      </c>
      <c r="AI23" s="296">
        <v>1.0678888322774771</v>
      </c>
      <c r="AJ23" s="296">
        <v>1.0345855278169718</v>
      </c>
      <c r="AK23" s="296">
        <v>1.0140118667275217</v>
      </c>
      <c r="AL23" s="296">
        <v>1</v>
      </c>
    </row>
    <row r="24" spans="1:40" ht="15.75" x14ac:dyDescent="0.25">
      <c r="A24" s="313" t="s">
        <v>406</v>
      </c>
    </row>
    <row r="25" spans="1:40" ht="15.75" x14ac:dyDescent="0.25">
      <c r="A25" s="295" t="s">
        <v>315</v>
      </c>
      <c r="B25" s="305">
        <f>B8*B23</f>
        <v>21849158.434891485</v>
      </c>
      <c r="C25" s="305">
        <f t="shared" ref="C25:AK25" si="6">C8*C23</f>
        <v>21111252.698918082</v>
      </c>
      <c r="D25" s="305">
        <f t="shared" si="6"/>
        <v>19872681.13319559</v>
      </c>
      <c r="E25" s="305">
        <f t="shared" si="6"/>
        <v>18904105.574029122</v>
      </c>
      <c r="F25" s="305">
        <f t="shared" si="6"/>
        <v>18020684.602441732</v>
      </c>
      <c r="G25" s="305">
        <f t="shared" si="6"/>
        <v>17467016.911398966</v>
      </c>
      <c r="H25" s="305">
        <f t="shared" si="6"/>
        <v>17370220.23083083</v>
      </c>
      <c r="I25" s="305">
        <f t="shared" si="6"/>
        <v>18140253.412934363</v>
      </c>
      <c r="J25" s="305">
        <f t="shared" si="6"/>
        <v>19275444.237078652</v>
      </c>
      <c r="K25" s="305">
        <f t="shared" si="6"/>
        <v>21246742.467407405</v>
      </c>
      <c r="L25" s="305">
        <f t="shared" si="6"/>
        <v>22004604.288739942</v>
      </c>
      <c r="M25" s="305">
        <f t="shared" si="6"/>
        <v>24197005.44780362</v>
      </c>
      <c r="N25" s="305">
        <f t="shared" si="6"/>
        <v>26929092.215144031</v>
      </c>
      <c r="O25" s="305">
        <f t="shared" si="6"/>
        <v>29441719.025510203</v>
      </c>
      <c r="P25" s="305">
        <f t="shared" si="6"/>
        <v>31736130.387235649</v>
      </c>
      <c r="Q25" s="305">
        <f t="shared" si="6"/>
        <v>33906614.120426156</v>
      </c>
      <c r="R25" s="305">
        <f t="shared" si="6"/>
        <v>36727151.21771428</v>
      </c>
      <c r="S25" s="305">
        <f t="shared" si="6"/>
        <v>37557403.41708333</v>
      </c>
      <c r="T25" s="305">
        <f t="shared" si="6"/>
        <v>38369395.268530995</v>
      </c>
      <c r="U25" s="305">
        <f t="shared" si="6"/>
        <v>41775246.595163397</v>
      </c>
      <c r="V25" s="305">
        <f t="shared" si="6"/>
        <v>45596456.674090616</v>
      </c>
      <c r="W25" s="305">
        <f t="shared" si="6"/>
        <v>49339576.359886996</v>
      </c>
      <c r="X25" s="305">
        <f t="shared" si="6"/>
        <v>52912455.090350337</v>
      </c>
      <c r="Y25" s="305">
        <f t="shared" si="6"/>
        <v>57706009.413131312</v>
      </c>
      <c r="Z25" s="305">
        <f t="shared" si="6"/>
        <v>63931236.774016194</v>
      </c>
      <c r="AA25" s="305">
        <f t="shared" si="6"/>
        <v>68377935.412692964</v>
      </c>
      <c r="AB25" s="305">
        <f t="shared" si="6"/>
        <v>73694080.574761629</v>
      </c>
      <c r="AC25" s="305">
        <f t="shared" si="6"/>
        <v>79514522.546385527</v>
      </c>
      <c r="AD25" s="305">
        <f t="shared" si="6"/>
        <v>82902218.99012737</v>
      </c>
      <c r="AE25" s="305">
        <f t="shared" si="6"/>
        <v>84837439.056735754</v>
      </c>
      <c r="AF25" s="305">
        <f t="shared" si="6"/>
        <v>88521664.731858492</v>
      </c>
      <c r="AG25" s="305">
        <f t="shared" si="6"/>
        <v>89466546.416239008</v>
      </c>
      <c r="AH25" s="305">
        <f t="shared" si="6"/>
        <v>97355798.949937269</v>
      </c>
      <c r="AI25" s="305">
        <f t="shared" si="6"/>
        <v>103201452.72492622</v>
      </c>
      <c r="AJ25" s="305">
        <f t="shared" si="6"/>
        <v>103388621.00752991</v>
      </c>
      <c r="AK25" s="305">
        <f t="shared" si="6"/>
        <v>105643627.77298038</v>
      </c>
    </row>
    <row r="26" spans="1:40" ht="15.75" x14ac:dyDescent="0.25">
      <c r="A26" s="300" t="s">
        <v>316</v>
      </c>
      <c r="B26" s="305">
        <f>B25/B7</f>
        <v>73605.842995861356</v>
      </c>
      <c r="C26" s="305">
        <f t="shared" ref="C26:AK26" si="7">C25/C7</f>
        <v>72259.216521488503</v>
      </c>
      <c r="D26" s="305">
        <f t="shared" si="7"/>
        <v>69395.122160825471</v>
      </c>
      <c r="E26" s="305">
        <f t="shared" si="7"/>
        <v>64860.034220919246</v>
      </c>
      <c r="F26" s="305">
        <f t="shared" si="7"/>
        <v>69031.544157984026</v>
      </c>
      <c r="G26" s="305">
        <f t="shared" si="7"/>
        <v>69561.994868175898</v>
      </c>
      <c r="H26" s="305">
        <f t="shared" si="7"/>
        <v>69347.733275434482</v>
      </c>
      <c r="I26" s="305">
        <f t="shared" si="7"/>
        <v>70185.922049579676</v>
      </c>
      <c r="J26" s="305">
        <f t="shared" si="7"/>
        <v>71356.177533330818</v>
      </c>
      <c r="K26" s="305">
        <f t="shared" si="7"/>
        <v>73955.732769701019</v>
      </c>
      <c r="L26" s="305">
        <f t="shared" si="7"/>
        <v>74274.63811766672</v>
      </c>
      <c r="M26" s="305">
        <f t="shared" si="7"/>
        <v>74592.328517536371</v>
      </c>
      <c r="N26" s="305">
        <f t="shared" si="7"/>
        <v>76290.702632285203</v>
      </c>
      <c r="O26" s="305">
        <f t="shared" si="7"/>
        <v>76649.186497384086</v>
      </c>
      <c r="P26" s="305">
        <f t="shared" si="7"/>
        <v>71432.723478967426</v>
      </c>
      <c r="Q26" s="305">
        <f t="shared" si="7"/>
        <v>82104.303267613024</v>
      </c>
      <c r="R26" s="305">
        <f t="shared" si="7"/>
        <v>82458.803811662059</v>
      </c>
      <c r="S26" s="305">
        <f t="shared" si="7"/>
        <v>81931.508326970623</v>
      </c>
      <c r="T26" s="305">
        <f t="shared" si="7"/>
        <v>80312.705951922544</v>
      </c>
      <c r="U26" s="305">
        <f t="shared" si="7"/>
        <v>83327.176357688193</v>
      </c>
      <c r="V26" s="305">
        <f t="shared" si="7"/>
        <v>84835.352064469858</v>
      </c>
      <c r="W26" s="305">
        <f t="shared" si="7"/>
        <v>84139.795975250672</v>
      </c>
      <c r="X26" s="305">
        <f t="shared" si="7"/>
        <v>75827.536672901027</v>
      </c>
      <c r="Y26" s="305">
        <f t="shared" si="7"/>
        <v>76069.087019682716</v>
      </c>
      <c r="Z26" s="305">
        <f t="shared" si="7"/>
        <v>74269.559449368258</v>
      </c>
      <c r="AA26" s="305">
        <f t="shared" si="7"/>
        <v>75748.239074657089</v>
      </c>
      <c r="AB26" s="305">
        <f t="shared" si="7"/>
        <v>85343.463317616246</v>
      </c>
      <c r="AC26" s="305">
        <f t="shared" si="7"/>
        <v>84251.120543331635</v>
      </c>
      <c r="AD26" s="305">
        <f t="shared" si="7"/>
        <v>83209.26116382188</v>
      </c>
      <c r="AE26" s="305">
        <f t="shared" si="7"/>
        <v>79487.158423265748</v>
      </c>
      <c r="AF26" s="305">
        <f t="shared" si="7"/>
        <v>82227.174522185218</v>
      </c>
      <c r="AG26" s="305">
        <f t="shared" si="7"/>
        <v>80053.818443636264</v>
      </c>
      <c r="AH26" s="305">
        <f t="shared" si="7"/>
        <v>84268.117604744417</v>
      </c>
      <c r="AI26" s="305">
        <f t="shared" si="7"/>
        <v>86737.758738728226</v>
      </c>
      <c r="AJ26" s="305">
        <f t="shared" si="7"/>
        <v>85283.736570894689</v>
      </c>
      <c r="AK26" s="305">
        <f t="shared" si="7"/>
        <v>86152.488724051058</v>
      </c>
    </row>
    <row r="27" spans="1:40" ht="15.75" x14ac:dyDescent="0.25">
      <c r="A27" s="295" t="s">
        <v>318</v>
      </c>
      <c r="B27" s="305">
        <f>B11*B23</f>
        <v>9393013.7886477467</v>
      </c>
      <c r="C27" s="305">
        <f t="shared" ref="C27:AK27" si="8">C11*C23</f>
        <v>9852569.8995363209</v>
      </c>
      <c r="D27" s="305">
        <f t="shared" si="8"/>
        <v>9957950.1183195598</v>
      </c>
      <c r="E27" s="305">
        <f t="shared" si="8"/>
        <v>8358466.7980582509</v>
      </c>
      <c r="F27" s="305">
        <f t="shared" si="8"/>
        <v>7909942.4284128752</v>
      </c>
      <c r="G27" s="305">
        <f t="shared" si="8"/>
        <v>6829208.8059067363</v>
      </c>
      <c r="H27" s="305">
        <f t="shared" si="8"/>
        <v>6531955.8985985983</v>
      </c>
      <c r="I27" s="305">
        <f t="shared" si="8"/>
        <v>6646631.5826254832</v>
      </c>
      <c r="J27" s="305">
        <f t="shared" si="8"/>
        <v>7562425.4917602995</v>
      </c>
      <c r="K27" s="305">
        <f t="shared" si="8"/>
        <v>9057280.5037962962</v>
      </c>
      <c r="L27" s="305">
        <f t="shared" si="8"/>
        <v>9344601.238605896</v>
      </c>
      <c r="M27" s="305">
        <f t="shared" si="8"/>
        <v>10380220.616451336</v>
      </c>
      <c r="N27" s="305">
        <f t="shared" si="8"/>
        <v>10980873.849218106</v>
      </c>
      <c r="O27" s="305">
        <f t="shared" si="8"/>
        <v>11685139.270408163</v>
      </c>
      <c r="P27" s="305">
        <f t="shared" si="8"/>
        <v>11636375.24879154</v>
      </c>
      <c r="Q27" s="305">
        <f t="shared" si="8"/>
        <v>12678138.395811904</v>
      </c>
      <c r="R27" s="305">
        <f t="shared" si="8"/>
        <v>13649478.920071427</v>
      </c>
      <c r="S27" s="305">
        <f t="shared" si="8"/>
        <v>14117818.878402775</v>
      </c>
      <c r="T27" s="305">
        <f t="shared" si="8"/>
        <v>14734738.079986522</v>
      </c>
      <c r="U27" s="305">
        <f t="shared" si="8"/>
        <v>15496263.114052286</v>
      </c>
      <c r="V27" s="305">
        <f t="shared" si="8"/>
        <v>16850047.67504786</v>
      </c>
      <c r="W27" s="305">
        <f t="shared" si="8"/>
        <v>19040791.851851847</v>
      </c>
      <c r="X27" s="305">
        <f t="shared" si="8"/>
        <v>20819165.623540256</v>
      </c>
      <c r="Y27" s="305">
        <f t="shared" si="8"/>
        <v>23318671.461616158</v>
      </c>
      <c r="Z27" s="305">
        <f t="shared" si="8"/>
        <v>26905415.71024305</v>
      </c>
      <c r="AA27" s="305">
        <f t="shared" si="8"/>
        <v>30303208.055002857</v>
      </c>
      <c r="AB27" s="305">
        <f t="shared" si="8"/>
        <v>32598053.366909701</v>
      </c>
      <c r="AC27" s="305">
        <f t="shared" si="8"/>
        <v>34649464.078258485</v>
      </c>
      <c r="AD27" s="305">
        <f t="shared" si="8"/>
        <v>35966124.884076431</v>
      </c>
      <c r="AE27" s="305">
        <f t="shared" si="8"/>
        <v>37348781.134559587</v>
      </c>
      <c r="AF27" s="305">
        <f t="shared" si="8"/>
        <v>38829819.697006404</v>
      </c>
      <c r="AG27" s="305">
        <f t="shared" si="8"/>
        <v>42037377.173997723</v>
      </c>
      <c r="AH27" s="305">
        <f t="shared" si="8"/>
        <v>47162847.575711541</v>
      </c>
      <c r="AI27" s="305">
        <f t="shared" si="8"/>
        <v>51414250.012737565</v>
      </c>
      <c r="AJ27" s="305">
        <f t="shared" si="8"/>
        <v>51896349.538564697</v>
      </c>
      <c r="AK27" s="305">
        <f t="shared" si="8"/>
        <v>53507113.526380651</v>
      </c>
    </row>
    <row r="28" spans="1:40" ht="15.75" x14ac:dyDescent="0.25">
      <c r="A28" s="300" t="s">
        <v>319</v>
      </c>
      <c r="B28" s="305">
        <f>B27/B10</f>
        <v>84431.584617058397</v>
      </c>
      <c r="C28" s="305">
        <f t="shared" ref="C28:AK28" si="9">C27/C10</f>
        <v>75684.205711601782</v>
      </c>
      <c r="D28" s="305">
        <f t="shared" si="9"/>
        <v>75771.953418958758</v>
      </c>
      <c r="E28" s="305">
        <f t="shared" si="9"/>
        <v>70381.161991059707</v>
      </c>
      <c r="F28" s="305">
        <f t="shared" si="9"/>
        <v>71531.401957070673</v>
      </c>
      <c r="G28" s="305">
        <f t="shared" si="9"/>
        <v>75344.316040453836</v>
      </c>
      <c r="H28" s="305">
        <f t="shared" si="9"/>
        <v>71961.616157305267</v>
      </c>
      <c r="I28" s="305">
        <f t="shared" si="9"/>
        <v>71677.252050312556</v>
      </c>
      <c r="J28" s="305">
        <f t="shared" si="9"/>
        <v>74433.321769294285</v>
      </c>
      <c r="K28" s="305">
        <f t="shared" si="9"/>
        <v>77758.246083416001</v>
      </c>
      <c r="L28" s="305">
        <f t="shared" si="9"/>
        <v>79124.48127524044</v>
      </c>
      <c r="M28" s="305">
        <f t="shared" si="9"/>
        <v>83455.705229549261</v>
      </c>
      <c r="N28" s="305">
        <f t="shared" si="9"/>
        <v>88327.4923521405</v>
      </c>
      <c r="O28" s="305">
        <f t="shared" si="9"/>
        <v>88611.050810708752</v>
      </c>
      <c r="P28" s="305">
        <f t="shared" si="9"/>
        <v>83564.633743565821</v>
      </c>
      <c r="Q28" s="305">
        <f t="shared" si="9"/>
        <v>84871.725771936704</v>
      </c>
      <c r="R28" s="305">
        <f t="shared" si="9"/>
        <v>91203.253508428621</v>
      </c>
      <c r="S28" s="305">
        <f t="shared" si="9"/>
        <v>86932.382256174722</v>
      </c>
      <c r="T28" s="305">
        <f t="shared" si="9"/>
        <v>87477.666112482315</v>
      </c>
      <c r="U28" s="305">
        <f t="shared" si="9"/>
        <v>88880.201399783691</v>
      </c>
      <c r="V28" s="305">
        <f t="shared" si="9"/>
        <v>86534.755931839871</v>
      </c>
      <c r="W28" s="305">
        <f t="shared" si="9"/>
        <v>88855.251536944546</v>
      </c>
      <c r="X28" s="305">
        <f t="shared" si="9"/>
        <v>85640.335761169306</v>
      </c>
      <c r="Y28" s="305">
        <f t="shared" si="9"/>
        <v>79342.196194679011</v>
      </c>
      <c r="Z28" s="305">
        <f t="shared" si="9"/>
        <v>84794.880902121178</v>
      </c>
      <c r="AA28" s="305">
        <f t="shared" si="9"/>
        <v>85529.79976009838</v>
      </c>
      <c r="AB28" s="305">
        <f t="shared" si="9"/>
        <v>89826.545513666861</v>
      </c>
      <c r="AC28" s="305">
        <f t="shared" si="9"/>
        <v>87720.162223439198</v>
      </c>
      <c r="AD28" s="305">
        <f t="shared" si="9"/>
        <v>83254.918713139894</v>
      </c>
      <c r="AE28" s="305">
        <f t="shared" si="9"/>
        <v>82813.261939156509</v>
      </c>
      <c r="AF28" s="305">
        <f t="shared" si="9"/>
        <v>86673.704680817871</v>
      </c>
      <c r="AG28" s="305">
        <f t="shared" si="9"/>
        <v>85790.565661219836</v>
      </c>
      <c r="AH28" s="305">
        <f t="shared" si="9"/>
        <v>93742.616079409156</v>
      </c>
      <c r="AI28" s="305">
        <f t="shared" si="9"/>
        <v>96360.765448567297</v>
      </c>
      <c r="AJ28" s="305">
        <f t="shared" si="9"/>
        <v>93070.928153810426</v>
      </c>
      <c r="AK28" s="305">
        <f t="shared" si="9"/>
        <v>91903.460137030706</v>
      </c>
    </row>
    <row r="29" spans="1:40" ht="15.75" x14ac:dyDescent="0.25">
      <c r="A29" s="295" t="s">
        <v>321</v>
      </c>
      <c r="B29" s="305">
        <f>B14*B23</f>
        <v>8348659.0100166947</v>
      </c>
      <c r="C29" s="305">
        <f t="shared" ref="C29:AK29" si="10">C14*C23</f>
        <v>8039542.514837712</v>
      </c>
      <c r="D29" s="305">
        <f t="shared" si="10"/>
        <v>7297742.8458677689</v>
      </c>
      <c r="E29" s="305">
        <f t="shared" si="10"/>
        <v>7075335.2872572802</v>
      </c>
      <c r="F29" s="305">
        <f t="shared" si="10"/>
        <v>6676718.9238623753</v>
      </c>
      <c r="G29" s="305">
        <f t="shared" si="10"/>
        <v>7037703.2639378244</v>
      </c>
      <c r="H29" s="305">
        <f t="shared" si="10"/>
        <v>7302334.2654654644</v>
      </c>
      <c r="I29" s="305">
        <f t="shared" si="10"/>
        <v>7584832.3320463318</v>
      </c>
      <c r="J29" s="305">
        <f t="shared" si="10"/>
        <v>8056697.5751872659</v>
      </c>
      <c r="K29" s="305">
        <f t="shared" si="10"/>
        <v>9059059.9209259264</v>
      </c>
      <c r="L29" s="305">
        <f t="shared" si="10"/>
        <v>8711170.5448614825</v>
      </c>
      <c r="M29" s="305">
        <f t="shared" si="10"/>
        <v>9297550.421963824</v>
      </c>
      <c r="N29" s="305">
        <f t="shared" si="10"/>
        <v>10313338.027242798</v>
      </c>
      <c r="O29" s="305">
        <f t="shared" si="10"/>
        <v>10941012.768367346</v>
      </c>
      <c r="P29" s="305">
        <f t="shared" si="10"/>
        <v>11494052.207099697</v>
      </c>
      <c r="Q29" s="305">
        <f t="shared" si="10"/>
        <v>12560677.231080089</v>
      </c>
      <c r="R29" s="305">
        <f t="shared" si="10"/>
        <v>13420507.344214285</v>
      </c>
      <c r="S29" s="305">
        <f t="shared" si="10"/>
        <v>14159620.781041665</v>
      </c>
      <c r="T29" s="305">
        <f t="shared" si="10"/>
        <v>14231503.567654984</v>
      </c>
      <c r="U29" s="305">
        <f t="shared" si="10"/>
        <v>15240741.476405228</v>
      </c>
      <c r="V29" s="305">
        <f t="shared" si="10"/>
        <v>15687868.890682833</v>
      </c>
      <c r="W29" s="305">
        <f t="shared" si="10"/>
        <v>17365904.800690517</v>
      </c>
      <c r="X29" s="305">
        <f t="shared" si="10"/>
        <v>18874993.77842655</v>
      </c>
      <c r="Y29" s="305">
        <f t="shared" si="10"/>
        <v>19586542.842245989</v>
      </c>
      <c r="Z29" s="305">
        <f t="shared" si="10"/>
        <v>21378907.389004625</v>
      </c>
      <c r="AA29" s="305">
        <f t="shared" si="10"/>
        <v>23505062.649285305</v>
      </c>
      <c r="AB29" s="305">
        <f t="shared" si="10"/>
        <v>26299582.462703306</v>
      </c>
      <c r="AC29" s="305">
        <f t="shared" si="10"/>
        <v>28432439.357009854</v>
      </c>
      <c r="AD29" s="305">
        <f t="shared" si="10"/>
        <v>28460703.41571125</v>
      </c>
      <c r="AE29" s="305">
        <f t="shared" si="10"/>
        <v>29688768.189222798</v>
      </c>
      <c r="AF29" s="305">
        <f t="shared" si="10"/>
        <v>31552471.868132424</v>
      </c>
      <c r="AG29" s="305">
        <f t="shared" si="10"/>
        <v>32360217.637670293</v>
      </c>
      <c r="AH29" s="305">
        <f t="shared" si="10"/>
        <v>34686482.865963623</v>
      </c>
      <c r="AI29" s="305">
        <f t="shared" si="10"/>
        <v>36673739.422723822</v>
      </c>
      <c r="AJ29" s="305">
        <f t="shared" si="10"/>
        <v>36115607.496495806</v>
      </c>
      <c r="AK29" s="305">
        <f t="shared" si="10"/>
        <v>36908437.922227293</v>
      </c>
    </row>
    <row r="30" spans="1:40" ht="15.75" x14ac:dyDescent="0.25">
      <c r="A30" s="300" t="s">
        <v>322</v>
      </c>
      <c r="B30" s="305">
        <f>B29/B13</f>
        <v>34213.011269636481</v>
      </c>
      <c r="C30" s="305">
        <f t="shared" ref="C30:AK30" si="11">C29/C13</f>
        <v>33866.390811903249</v>
      </c>
      <c r="D30" s="305">
        <f t="shared" si="11"/>
        <v>33120.372360296671</v>
      </c>
      <c r="E30" s="305">
        <f t="shared" si="11"/>
        <v>32175.240051192723</v>
      </c>
      <c r="F30" s="305">
        <f t="shared" si="11"/>
        <v>33378.587831137207</v>
      </c>
      <c r="G30" s="305">
        <f t="shared" si="11"/>
        <v>34802.211769052636</v>
      </c>
      <c r="H30" s="305">
        <f t="shared" si="11"/>
        <v>36098.3452739407</v>
      </c>
      <c r="I30" s="305">
        <f t="shared" si="11"/>
        <v>37118.686170335379</v>
      </c>
      <c r="J30" s="305">
        <f t="shared" si="11"/>
        <v>37101.992057044743</v>
      </c>
      <c r="K30" s="305">
        <f t="shared" si="11"/>
        <v>39497.12208286504</v>
      </c>
      <c r="L30" s="305">
        <f t="shared" si="11"/>
        <v>38812.914564522733</v>
      </c>
      <c r="M30" s="305">
        <f t="shared" si="11"/>
        <v>39601.117735598535</v>
      </c>
      <c r="N30" s="305">
        <f t="shared" si="11"/>
        <v>39534.396547103148</v>
      </c>
      <c r="O30" s="305">
        <f t="shared" si="11"/>
        <v>39130.946954103521</v>
      </c>
      <c r="P30" s="305">
        <f t="shared" si="11"/>
        <v>37244.587690287728</v>
      </c>
      <c r="Q30" s="305">
        <f t="shared" si="11"/>
        <v>36315.130192783879</v>
      </c>
      <c r="R30" s="305">
        <f t="shared" si="11"/>
        <v>37281.258248275692</v>
      </c>
      <c r="S30" s="305">
        <f t="shared" si="11"/>
        <v>37447.426163761942</v>
      </c>
      <c r="T30" s="305">
        <f t="shared" si="11"/>
        <v>34899.954798310326</v>
      </c>
      <c r="U30" s="305">
        <f t="shared" si="11"/>
        <v>34649.073515221266</v>
      </c>
      <c r="V30" s="305">
        <f t="shared" si="11"/>
        <v>32832.860113188995</v>
      </c>
      <c r="W30" s="305">
        <f t="shared" si="11"/>
        <v>31604.252749309377</v>
      </c>
      <c r="X30" s="305">
        <f t="shared" si="11"/>
        <v>31100.665312945381</v>
      </c>
      <c r="Y30" s="305">
        <f t="shared" si="11"/>
        <v>30957.07735458509</v>
      </c>
      <c r="Z30" s="305">
        <f t="shared" si="11"/>
        <v>30380.712503914485</v>
      </c>
      <c r="AA30" s="305">
        <f t="shared" si="11"/>
        <v>30569.726426434263</v>
      </c>
      <c r="AB30" s="305">
        <f t="shared" si="11"/>
        <v>30788.55357375709</v>
      </c>
      <c r="AC30" s="305">
        <f t="shared" si="11"/>
        <v>30214.811061529479</v>
      </c>
      <c r="AD30" s="305">
        <f t="shared" si="11"/>
        <v>29736.394750508043</v>
      </c>
      <c r="AE30" s="305">
        <f t="shared" si="11"/>
        <v>32735.457189885437</v>
      </c>
      <c r="AF30" s="305">
        <f t="shared" si="11"/>
        <v>33178.203857131884</v>
      </c>
      <c r="AG30" s="305">
        <f t="shared" si="11"/>
        <v>36022.238392669024</v>
      </c>
      <c r="AH30" s="305">
        <f t="shared" si="11"/>
        <v>36530.544765738079</v>
      </c>
      <c r="AI30" s="305">
        <f t="shared" si="11"/>
        <v>37510.9845989729</v>
      </c>
      <c r="AJ30" s="305">
        <f t="shared" si="11"/>
        <v>37631.79241280783</v>
      </c>
      <c r="AK30" s="305">
        <f t="shared" si="11"/>
        <v>39049.523283882576</v>
      </c>
    </row>
    <row r="31" spans="1:40" x14ac:dyDescent="0.2">
      <c r="AM31" s="332" t="s">
        <v>405</v>
      </c>
      <c r="AN31" s="332" t="s">
        <v>404</v>
      </c>
    </row>
    <row r="32" spans="1:40" x14ac:dyDescent="0.2">
      <c r="A32" s="330" t="s">
        <v>373</v>
      </c>
      <c r="B32" s="305">
        <f>B26/9</f>
        <v>8178.426999540151</v>
      </c>
      <c r="C32" s="305">
        <f t="shared" ref="C32:AK32" si="12">C26/9</f>
        <v>8028.8018357209448</v>
      </c>
      <c r="D32" s="305">
        <f t="shared" si="12"/>
        <v>7710.5691289806082</v>
      </c>
      <c r="E32" s="305">
        <f t="shared" si="12"/>
        <v>7206.6704689910275</v>
      </c>
      <c r="F32" s="305">
        <f t="shared" si="12"/>
        <v>7670.1715731093364</v>
      </c>
      <c r="G32" s="305">
        <f t="shared" si="12"/>
        <v>7729.110540908433</v>
      </c>
      <c r="H32" s="305">
        <f t="shared" si="12"/>
        <v>7705.3036972704977</v>
      </c>
      <c r="I32" s="305">
        <f t="shared" si="12"/>
        <v>7798.4357832866308</v>
      </c>
      <c r="J32" s="305">
        <f t="shared" si="12"/>
        <v>7928.4641703700909</v>
      </c>
      <c r="K32" s="305">
        <f t="shared" si="12"/>
        <v>8217.3036410778914</v>
      </c>
      <c r="L32" s="305">
        <f t="shared" si="12"/>
        <v>8252.7375686296364</v>
      </c>
      <c r="M32" s="305">
        <f t="shared" si="12"/>
        <v>8288.0365019484852</v>
      </c>
      <c r="N32" s="305">
        <f t="shared" si="12"/>
        <v>8476.7447369205784</v>
      </c>
      <c r="O32" s="305">
        <f t="shared" si="12"/>
        <v>8516.57627748712</v>
      </c>
      <c r="P32" s="305">
        <f t="shared" si="12"/>
        <v>7936.9692754408252</v>
      </c>
      <c r="Q32" s="305">
        <f t="shared" si="12"/>
        <v>9122.7003630681138</v>
      </c>
      <c r="R32" s="305">
        <f t="shared" si="12"/>
        <v>9162.0893124068953</v>
      </c>
      <c r="S32" s="305">
        <f t="shared" si="12"/>
        <v>9103.5009252189575</v>
      </c>
      <c r="T32" s="305">
        <f t="shared" si="12"/>
        <v>8923.6339946580611</v>
      </c>
      <c r="U32" s="305">
        <f t="shared" si="12"/>
        <v>9258.5751508542435</v>
      </c>
      <c r="V32" s="305">
        <f t="shared" si="12"/>
        <v>9426.1502293855392</v>
      </c>
      <c r="W32" s="305">
        <f t="shared" si="12"/>
        <v>9348.8662194722965</v>
      </c>
      <c r="X32" s="305">
        <f t="shared" si="12"/>
        <v>8425.2818525445582</v>
      </c>
      <c r="Y32" s="305">
        <f t="shared" si="12"/>
        <v>8452.1207799647455</v>
      </c>
      <c r="Z32" s="305">
        <f t="shared" si="12"/>
        <v>8252.1732721520293</v>
      </c>
      <c r="AA32" s="305">
        <f t="shared" si="12"/>
        <v>8416.4710082952315</v>
      </c>
      <c r="AB32" s="305">
        <f t="shared" si="12"/>
        <v>9482.6070352906936</v>
      </c>
      <c r="AC32" s="305">
        <f t="shared" si="12"/>
        <v>9361.2356159257379</v>
      </c>
      <c r="AD32" s="305">
        <f t="shared" si="12"/>
        <v>9245.4734626468762</v>
      </c>
      <c r="AE32" s="305">
        <f t="shared" si="12"/>
        <v>8831.906491473972</v>
      </c>
      <c r="AF32" s="305">
        <f t="shared" si="12"/>
        <v>9136.3527246872472</v>
      </c>
      <c r="AG32" s="305">
        <f t="shared" si="12"/>
        <v>8894.8687159595847</v>
      </c>
      <c r="AH32" s="305">
        <f t="shared" si="12"/>
        <v>9363.1241783049354</v>
      </c>
      <c r="AI32" s="305">
        <f t="shared" si="12"/>
        <v>9637.5287487475798</v>
      </c>
      <c r="AJ32" s="305">
        <f t="shared" si="12"/>
        <v>9475.9707300994105</v>
      </c>
      <c r="AK32" s="305">
        <f t="shared" si="12"/>
        <v>9572.4987471167842</v>
      </c>
      <c r="AM32" s="333">
        <f>(AK32-B32)/B32</f>
        <v>0.17045719765610401</v>
      </c>
      <c r="AN32" s="334">
        <f>((AK32/B32)^((1/36))-1)</f>
        <v>4.3816392018429795E-3</v>
      </c>
    </row>
    <row r="33" spans="1:40" x14ac:dyDescent="0.2">
      <c r="A33" s="330" t="s">
        <v>374</v>
      </c>
      <c r="B33" s="305">
        <f>B28/12</f>
        <v>7035.9653847548661</v>
      </c>
      <c r="C33" s="305">
        <f t="shared" ref="C33:AK33" si="13">C28/12</f>
        <v>6307.0171426334819</v>
      </c>
      <c r="D33" s="305">
        <f t="shared" si="13"/>
        <v>6314.3294515798962</v>
      </c>
      <c r="E33" s="305">
        <f t="shared" si="13"/>
        <v>5865.0968325883086</v>
      </c>
      <c r="F33" s="305">
        <f t="shared" si="13"/>
        <v>5960.9501630892228</v>
      </c>
      <c r="G33" s="305">
        <f t="shared" si="13"/>
        <v>6278.6930033711533</v>
      </c>
      <c r="H33" s="305">
        <f t="shared" si="13"/>
        <v>5996.8013464421056</v>
      </c>
      <c r="I33" s="305">
        <f t="shared" si="13"/>
        <v>5973.104337526046</v>
      </c>
      <c r="J33" s="305">
        <f t="shared" si="13"/>
        <v>6202.7768141078568</v>
      </c>
      <c r="K33" s="305">
        <f t="shared" si="13"/>
        <v>6479.8538402846671</v>
      </c>
      <c r="L33" s="305">
        <f t="shared" si="13"/>
        <v>6593.7067729367036</v>
      </c>
      <c r="M33" s="305">
        <f t="shared" si="13"/>
        <v>6954.6421024624387</v>
      </c>
      <c r="N33" s="305">
        <f t="shared" si="13"/>
        <v>7360.6243626783753</v>
      </c>
      <c r="O33" s="305">
        <f t="shared" si="13"/>
        <v>7384.2542342257293</v>
      </c>
      <c r="P33" s="305">
        <f t="shared" si="13"/>
        <v>6963.7194786304854</v>
      </c>
      <c r="Q33" s="305">
        <f t="shared" si="13"/>
        <v>7072.6438143280584</v>
      </c>
      <c r="R33" s="305">
        <f t="shared" si="13"/>
        <v>7600.2711257023848</v>
      </c>
      <c r="S33" s="305">
        <f t="shared" si="13"/>
        <v>7244.3651880145599</v>
      </c>
      <c r="T33" s="305">
        <f t="shared" si="13"/>
        <v>7289.8055093735265</v>
      </c>
      <c r="U33" s="305">
        <f t="shared" si="13"/>
        <v>7406.6834499819743</v>
      </c>
      <c r="V33" s="305">
        <f t="shared" si="13"/>
        <v>7211.2296609866562</v>
      </c>
      <c r="W33" s="305">
        <f t="shared" si="13"/>
        <v>7404.6042947453789</v>
      </c>
      <c r="X33" s="305">
        <f t="shared" si="13"/>
        <v>7136.6946467641092</v>
      </c>
      <c r="Y33" s="305">
        <f t="shared" si="13"/>
        <v>6611.8496828899179</v>
      </c>
      <c r="Z33" s="305">
        <f t="shared" si="13"/>
        <v>7066.2400751767645</v>
      </c>
      <c r="AA33" s="305">
        <f t="shared" si="13"/>
        <v>7127.4833133415314</v>
      </c>
      <c r="AB33" s="305">
        <f t="shared" si="13"/>
        <v>7485.5454594722387</v>
      </c>
      <c r="AC33" s="305">
        <f t="shared" si="13"/>
        <v>7310.0135186199332</v>
      </c>
      <c r="AD33" s="305">
        <f t="shared" si="13"/>
        <v>6937.9098927616578</v>
      </c>
      <c r="AE33" s="305">
        <f t="shared" si="13"/>
        <v>6901.1051615963761</v>
      </c>
      <c r="AF33" s="305">
        <f t="shared" si="13"/>
        <v>7222.8087234014893</v>
      </c>
      <c r="AG33" s="305">
        <f t="shared" si="13"/>
        <v>7149.2138051016527</v>
      </c>
      <c r="AH33" s="305">
        <f t="shared" si="13"/>
        <v>7811.8846732840966</v>
      </c>
      <c r="AI33" s="305">
        <f t="shared" si="13"/>
        <v>8030.0637873806081</v>
      </c>
      <c r="AJ33" s="305">
        <f t="shared" si="13"/>
        <v>7755.9106794842019</v>
      </c>
      <c r="AK33" s="305">
        <f t="shared" si="13"/>
        <v>7658.6216780858922</v>
      </c>
      <c r="AM33" s="333">
        <f t="shared" ref="AM33:AM34" si="14">(AK33-B33)/B33</f>
        <v>8.8496213281572228E-2</v>
      </c>
      <c r="AN33" s="334">
        <f t="shared" ref="AN33:AN34" si="15">((AK33/B33)^((1/36))-1)</f>
        <v>2.3582519467446605E-3</v>
      </c>
    </row>
    <row r="34" spans="1:40" x14ac:dyDescent="0.2">
      <c r="A34" s="330" t="s">
        <v>375</v>
      </c>
      <c r="B34" s="305">
        <f>B30/12</f>
        <v>2851.0842724697068</v>
      </c>
      <c r="C34" s="305">
        <f t="shared" ref="C34:AK34" si="16">C30/12</f>
        <v>2822.1992343252709</v>
      </c>
      <c r="D34" s="305">
        <f t="shared" si="16"/>
        <v>2760.0310300247224</v>
      </c>
      <c r="E34" s="305">
        <f t="shared" si="16"/>
        <v>2681.2700042660604</v>
      </c>
      <c r="F34" s="305">
        <f t="shared" si="16"/>
        <v>2781.5489859281006</v>
      </c>
      <c r="G34" s="305">
        <f t="shared" si="16"/>
        <v>2900.1843140877195</v>
      </c>
      <c r="H34" s="305">
        <f t="shared" si="16"/>
        <v>3008.1954394950585</v>
      </c>
      <c r="I34" s="305">
        <f t="shared" si="16"/>
        <v>3093.2238475279482</v>
      </c>
      <c r="J34" s="305">
        <f t="shared" si="16"/>
        <v>3091.8326714203954</v>
      </c>
      <c r="K34" s="305">
        <f t="shared" si="16"/>
        <v>3291.4268402387534</v>
      </c>
      <c r="L34" s="305">
        <f t="shared" si="16"/>
        <v>3234.4095470435609</v>
      </c>
      <c r="M34" s="305">
        <f t="shared" si="16"/>
        <v>3300.0931446332111</v>
      </c>
      <c r="N34" s="305">
        <f t="shared" si="16"/>
        <v>3294.5330455919288</v>
      </c>
      <c r="O34" s="305">
        <f t="shared" si="16"/>
        <v>3260.9122461752936</v>
      </c>
      <c r="P34" s="305">
        <f t="shared" si="16"/>
        <v>3103.7156408573105</v>
      </c>
      <c r="Q34" s="305">
        <f t="shared" si="16"/>
        <v>3026.2608493986568</v>
      </c>
      <c r="R34" s="305">
        <f t="shared" si="16"/>
        <v>3106.771520689641</v>
      </c>
      <c r="S34" s="305">
        <f t="shared" si="16"/>
        <v>3120.6188469801618</v>
      </c>
      <c r="T34" s="305">
        <f t="shared" si="16"/>
        <v>2908.3295665258606</v>
      </c>
      <c r="U34" s="305">
        <f t="shared" si="16"/>
        <v>2887.4227929351055</v>
      </c>
      <c r="V34" s="305">
        <f t="shared" si="16"/>
        <v>2736.0716760990831</v>
      </c>
      <c r="W34" s="305">
        <f t="shared" si="16"/>
        <v>2633.6877291091146</v>
      </c>
      <c r="X34" s="305">
        <f t="shared" si="16"/>
        <v>2591.7221094121151</v>
      </c>
      <c r="Y34" s="305">
        <f t="shared" si="16"/>
        <v>2579.7564462154241</v>
      </c>
      <c r="Z34" s="305">
        <f t="shared" si="16"/>
        <v>2531.7260419928739</v>
      </c>
      <c r="AA34" s="305">
        <f t="shared" si="16"/>
        <v>2547.4772022028551</v>
      </c>
      <c r="AB34" s="305">
        <f t="shared" si="16"/>
        <v>2565.7127978130907</v>
      </c>
      <c r="AC34" s="305">
        <f t="shared" si="16"/>
        <v>2517.9009217941234</v>
      </c>
      <c r="AD34" s="305">
        <f t="shared" si="16"/>
        <v>2478.0328958756704</v>
      </c>
      <c r="AE34" s="305">
        <f t="shared" si="16"/>
        <v>2727.9547658237866</v>
      </c>
      <c r="AF34" s="305">
        <f t="shared" si="16"/>
        <v>2764.850321427657</v>
      </c>
      <c r="AG34" s="305">
        <f t="shared" si="16"/>
        <v>3001.8531993890851</v>
      </c>
      <c r="AH34" s="305">
        <f t="shared" si="16"/>
        <v>3044.2120638115066</v>
      </c>
      <c r="AI34" s="305">
        <f t="shared" si="16"/>
        <v>3125.9153832477418</v>
      </c>
      <c r="AJ34" s="305">
        <f t="shared" si="16"/>
        <v>3135.9827010673193</v>
      </c>
      <c r="AK34" s="305">
        <f t="shared" si="16"/>
        <v>3254.1269403235478</v>
      </c>
      <c r="AM34" s="333">
        <f t="shared" si="14"/>
        <v>0.14136469824678724</v>
      </c>
      <c r="AN34" s="334">
        <f t="shared" si="15"/>
        <v>3.6796603376734183E-3</v>
      </c>
    </row>
  </sheetData>
  <mergeCells count="7">
    <mergeCell ref="AH4:AK4"/>
    <mergeCell ref="A1:P1"/>
    <mergeCell ref="F4:J4"/>
    <mergeCell ref="K4:N4"/>
    <mergeCell ref="S4:W4"/>
    <mergeCell ref="X4:AA4"/>
    <mergeCell ref="AC4:AG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108"/>
  <sheetViews>
    <sheetView topLeftCell="A15" workbookViewId="0">
      <selection activeCell="E19" sqref="E19"/>
    </sheetView>
  </sheetViews>
  <sheetFormatPr defaultRowHeight="15" x14ac:dyDescent="0.2"/>
  <cols>
    <col min="2" max="2" width="25.21875" customWidth="1"/>
    <col min="3" max="3" width="12.44140625" customWidth="1"/>
    <col min="5" max="5" width="10.44140625" bestFit="1" customWidth="1"/>
  </cols>
  <sheetData>
    <row r="1" spans="1:4" ht="23.25" x14ac:dyDescent="0.35">
      <c r="A1" s="224" t="s">
        <v>158</v>
      </c>
    </row>
    <row r="3" spans="1:4" x14ac:dyDescent="0.2">
      <c r="C3" s="357">
        <v>37428</v>
      </c>
      <c r="D3" s="357"/>
    </row>
    <row r="4" spans="1:4" x14ac:dyDescent="0.2">
      <c r="C4" s="13" t="s">
        <v>0</v>
      </c>
      <c r="D4" s="13" t="s">
        <v>1</v>
      </c>
    </row>
    <row r="5" spans="1:4" ht="18.75" x14ac:dyDescent="0.3">
      <c r="A5" s="4" t="s">
        <v>2</v>
      </c>
      <c r="B5" s="2"/>
      <c r="C5" s="2"/>
      <c r="D5" s="3"/>
    </row>
    <row r="6" spans="1:4" x14ac:dyDescent="0.2">
      <c r="A6" s="1" t="s">
        <v>55</v>
      </c>
      <c r="B6" s="2"/>
      <c r="C6" s="2">
        <v>101626081</v>
      </c>
      <c r="D6" s="3">
        <f>C6/$C$12*100</f>
        <v>61.38374084525983</v>
      </c>
    </row>
    <row r="7" spans="1:4" x14ac:dyDescent="0.2">
      <c r="A7" s="1" t="s">
        <v>56</v>
      </c>
      <c r="B7" s="2"/>
      <c r="C7" s="2">
        <v>60095400</v>
      </c>
      <c r="D7" s="3">
        <f>C7/$C$12*100</f>
        <v>36.298560598752481</v>
      </c>
    </row>
    <row r="8" spans="1:4" x14ac:dyDescent="0.2">
      <c r="A8" s="1" t="s">
        <v>3</v>
      </c>
      <c r="B8" s="2"/>
      <c r="C8" s="2">
        <v>794650</v>
      </c>
      <c r="D8" s="3">
        <f>C8/$C$12*100</f>
        <v>0.47998101651372077</v>
      </c>
    </row>
    <row r="9" spans="1:4" x14ac:dyDescent="0.2">
      <c r="A9" s="1" t="s">
        <v>4</v>
      </c>
      <c r="B9" s="2"/>
      <c r="C9" s="2">
        <v>485912</v>
      </c>
      <c r="D9" s="3">
        <f>C9/$C$12*100</f>
        <v>0.2934984404407161</v>
      </c>
    </row>
    <row r="10" spans="1:4" x14ac:dyDescent="0.2">
      <c r="A10" s="1" t="s">
        <v>5</v>
      </c>
      <c r="B10" s="2"/>
      <c r="C10" s="2">
        <v>2556588</v>
      </c>
      <c r="D10" s="3">
        <f>C10/$C$12*100</f>
        <v>1.5442190990332605</v>
      </c>
    </row>
    <row r="11" spans="1:4" x14ac:dyDescent="0.2">
      <c r="A11" s="1"/>
      <c r="B11" s="1"/>
      <c r="C11" s="5"/>
      <c r="D11" s="5"/>
    </row>
    <row r="12" spans="1:4" x14ac:dyDescent="0.2">
      <c r="A12" s="1" t="s">
        <v>6</v>
      </c>
      <c r="B12" s="2"/>
      <c r="C12" s="2">
        <f>SUM(C6:C10)</f>
        <v>165558631</v>
      </c>
      <c r="D12" s="3">
        <f>C12/$C$12*100</f>
        <v>100</v>
      </c>
    </row>
    <row r="15" spans="1:4" ht="18.75" x14ac:dyDescent="0.3">
      <c r="A15" s="4" t="s">
        <v>7</v>
      </c>
      <c r="B15" s="2"/>
      <c r="C15" s="6"/>
    </row>
    <row r="16" spans="1:4" ht="18" x14ac:dyDescent="0.25">
      <c r="A16" s="7" t="s">
        <v>8</v>
      </c>
      <c r="B16" s="2"/>
      <c r="C16" s="2"/>
      <c r="D16" s="3"/>
    </row>
    <row r="17" spans="1:5" x14ac:dyDescent="0.2">
      <c r="A17" s="8" t="s">
        <v>9</v>
      </c>
      <c r="B17" s="2"/>
      <c r="C17" s="2"/>
      <c r="D17" s="3"/>
    </row>
    <row r="18" spans="1:5" x14ac:dyDescent="0.2">
      <c r="A18" s="1" t="s">
        <v>141</v>
      </c>
      <c r="B18" s="2"/>
      <c r="C18" s="2">
        <v>18257049</v>
      </c>
      <c r="D18" s="3">
        <f t="shared" ref="D18:D37" si="0">C18/$C$108*100</f>
        <v>11.027542864859759</v>
      </c>
      <c r="E18" s="229">
        <f>C18+C19+C20+C24+C27</f>
        <v>56932752</v>
      </c>
    </row>
    <row r="19" spans="1:5" x14ac:dyDescent="0.2">
      <c r="A19" s="1" t="s">
        <v>142</v>
      </c>
      <c r="B19" s="2"/>
      <c r="C19" s="2">
        <v>24316951</v>
      </c>
      <c r="D19" s="3">
        <f t="shared" si="0"/>
        <v>14.68781835964807</v>
      </c>
    </row>
    <row r="20" spans="1:5" x14ac:dyDescent="0.2">
      <c r="A20" s="1" t="s">
        <v>143</v>
      </c>
      <c r="B20" s="2"/>
      <c r="C20" s="2">
        <v>11154633</v>
      </c>
      <c r="D20" s="3">
        <f t="shared" si="0"/>
        <v>6.7375726246492098</v>
      </c>
    </row>
    <row r="21" spans="1:5" x14ac:dyDescent="0.2">
      <c r="A21" s="1" t="s">
        <v>144</v>
      </c>
      <c r="B21" s="2"/>
      <c r="C21" s="2">
        <v>10846123</v>
      </c>
      <c r="D21" s="3">
        <f t="shared" si="0"/>
        <v>6.5512277641387353</v>
      </c>
    </row>
    <row r="22" spans="1:5" x14ac:dyDescent="0.2">
      <c r="A22" s="1" t="s">
        <v>145</v>
      </c>
      <c r="B22" s="2"/>
      <c r="C22" s="2">
        <v>9420774</v>
      </c>
      <c r="D22" s="3">
        <f t="shared" si="0"/>
        <v>5.6902946968678423</v>
      </c>
    </row>
    <row r="23" spans="1:5" x14ac:dyDescent="0.2">
      <c r="A23" s="1" t="s">
        <v>146</v>
      </c>
      <c r="B23" s="2"/>
      <c r="C23" s="2">
        <v>4502278</v>
      </c>
      <c r="D23" s="3">
        <f t="shared" si="0"/>
        <v>2.7194462607026511</v>
      </c>
    </row>
    <row r="24" spans="1:5" x14ac:dyDescent="0.2">
      <c r="A24" s="1" t="s">
        <v>147</v>
      </c>
      <c r="B24" s="2"/>
      <c r="C24" s="2">
        <v>2801536</v>
      </c>
      <c r="D24" s="3">
        <f t="shared" si="0"/>
        <v>1.6921715183788877</v>
      </c>
    </row>
    <row r="25" spans="1:5" x14ac:dyDescent="0.2">
      <c r="A25" s="1" t="s">
        <v>148</v>
      </c>
      <c r="B25" s="2"/>
      <c r="C25" s="2">
        <v>1583338</v>
      </c>
      <c r="D25" s="3">
        <f t="shared" si="0"/>
        <v>0.9563608918703852</v>
      </c>
    </row>
    <row r="26" spans="1:5" x14ac:dyDescent="0.2">
      <c r="A26" s="1" t="s">
        <v>149</v>
      </c>
      <c r="B26" s="2"/>
      <c r="C26" s="2">
        <v>1350431</v>
      </c>
      <c r="D26" s="3">
        <f t="shared" si="0"/>
        <v>0.8156814246670111</v>
      </c>
    </row>
    <row r="27" spans="1:5" x14ac:dyDescent="0.2">
      <c r="A27" s="1" t="s">
        <v>150</v>
      </c>
      <c r="B27" s="2"/>
      <c r="C27" s="2">
        <v>402583</v>
      </c>
      <c r="D27" s="3">
        <f t="shared" si="0"/>
        <v>0.2431664224138215</v>
      </c>
    </row>
    <row r="28" spans="1:5" x14ac:dyDescent="0.2">
      <c r="A28" s="1" t="s">
        <v>151</v>
      </c>
      <c r="B28" s="2"/>
      <c r="C28" s="2">
        <v>859771</v>
      </c>
      <c r="D28" s="3">
        <f t="shared" si="0"/>
        <v>0.51931511803815289</v>
      </c>
    </row>
    <row r="29" spans="1:5" x14ac:dyDescent="0.2">
      <c r="A29" s="1" t="s">
        <v>152</v>
      </c>
      <c r="B29" s="2"/>
      <c r="C29" s="2">
        <v>345738</v>
      </c>
      <c r="D29" s="3">
        <f t="shared" si="0"/>
        <v>0.2088311542030086</v>
      </c>
    </row>
    <row r="30" spans="1:5" x14ac:dyDescent="0.2">
      <c r="A30" t="s">
        <v>153</v>
      </c>
      <c r="C30" s="2">
        <v>8301225</v>
      </c>
      <c r="D30" s="3">
        <f t="shared" si="0"/>
        <v>5.0140696077633065</v>
      </c>
    </row>
    <row r="31" spans="1:5" x14ac:dyDescent="0.2">
      <c r="A31" s="1" t="s">
        <v>11</v>
      </c>
      <c r="B31" s="2"/>
      <c r="C31" s="2">
        <v>0</v>
      </c>
      <c r="D31" s="3">
        <f t="shared" si="0"/>
        <v>0</v>
      </c>
    </row>
    <row r="32" spans="1:5" x14ac:dyDescent="0.2">
      <c r="A32" s="1" t="s">
        <v>154</v>
      </c>
      <c r="B32" s="2"/>
      <c r="C32" s="2">
        <v>296918</v>
      </c>
      <c r="D32" s="3">
        <f t="shared" si="0"/>
        <v>0.17934311138390605</v>
      </c>
    </row>
    <row r="33" spans="1:4" x14ac:dyDescent="0.2">
      <c r="A33" s="1" t="s">
        <v>155</v>
      </c>
      <c r="B33" s="2"/>
      <c r="C33" s="2">
        <v>5831996</v>
      </c>
      <c r="D33" s="3">
        <f t="shared" si="0"/>
        <v>3.5226167097262362</v>
      </c>
    </row>
    <row r="34" spans="1:4" x14ac:dyDescent="0.2">
      <c r="A34" s="1" t="s">
        <v>12</v>
      </c>
      <c r="B34" s="2"/>
      <c r="C34" s="2">
        <v>1000</v>
      </c>
      <c r="D34" s="3">
        <f t="shared" si="0"/>
        <v>6.0401562513524279E-4</v>
      </c>
    </row>
    <row r="35" spans="1:4" x14ac:dyDescent="0.2">
      <c r="A35" s="1" t="s">
        <v>13</v>
      </c>
      <c r="B35" s="2"/>
      <c r="C35" s="2">
        <v>1573213</v>
      </c>
      <c r="D35" s="3">
        <f t="shared" si="0"/>
        <v>0.95024523366589086</v>
      </c>
    </row>
    <row r="36" spans="1:4" x14ac:dyDescent="0.2">
      <c r="A36" s="1" t="s">
        <v>14</v>
      </c>
      <c r="B36" s="2"/>
      <c r="C36" s="2">
        <v>85330</v>
      </c>
      <c r="D36" s="3">
        <f t="shared" si="0"/>
        <v>5.154065329279027E-2</v>
      </c>
    </row>
    <row r="37" spans="1:4" x14ac:dyDescent="0.2">
      <c r="A37" s="1" t="s">
        <v>15</v>
      </c>
      <c r="B37" s="2"/>
      <c r="C37" s="9">
        <f>SUM(C18:C36)</f>
        <v>101930887</v>
      </c>
      <c r="D37" s="10">
        <f t="shared" si="0"/>
        <v>61.567848431894802</v>
      </c>
    </row>
    <row r="38" spans="1:4" x14ac:dyDescent="0.2">
      <c r="A38" s="1"/>
      <c r="B38" s="2"/>
      <c r="C38" s="2"/>
      <c r="D38" s="3"/>
    </row>
    <row r="39" spans="1:4" x14ac:dyDescent="0.2">
      <c r="A39" s="8" t="s">
        <v>16</v>
      </c>
      <c r="B39" s="2"/>
      <c r="C39" s="2"/>
      <c r="D39" s="3"/>
    </row>
    <row r="40" spans="1:4" x14ac:dyDescent="0.2">
      <c r="A40" s="1" t="s">
        <v>156</v>
      </c>
      <c r="B40" s="2"/>
      <c r="C40" s="2">
        <v>2500398</v>
      </c>
      <c r="D40" s="3">
        <f>C40/$C$108*100</f>
        <v>1.510279461056911</v>
      </c>
    </row>
    <row r="41" spans="1:4" x14ac:dyDescent="0.2">
      <c r="A41" s="1" t="s">
        <v>17</v>
      </c>
      <c r="B41" s="2"/>
      <c r="C41" s="2">
        <v>5376873</v>
      </c>
      <c r="D41" s="3">
        <f>C41/$C$108*100</f>
        <v>3.2477153063678084</v>
      </c>
    </row>
    <row r="42" spans="1:4" x14ac:dyDescent="0.2">
      <c r="A42" s="1" t="s">
        <v>18</v>
      </c>
      <c r="B42" s="2"/>
      <c r="C42" s="9">
        <f>SUM(C40:C41)</f>
        <v>7877271</v>
      </c>
      <c r="D42" s="10">
        <f>C42/$C$108*100</f>
        <v>4.7579947674247194</v>
      </c>
    </row>
    <row r="43" spans="1:4" x14ac:dyDescent="0.2">
      <c r="A43" s="1"/>
      <c r="B43" s="2"/>
      <c r="C43" s="2"/>
      <c r="D43" s="3" t="s">
        <v>10</v>
      </c>
    </row>
    <row r="44" spans="1:4" x14ac:dyDescent="0.2">
      <c r="A44" s="8" t="s">
        <v>157</v>
      </c>
      <c r="B44" s="2"/>
      <c r="C44" s="2" t="s">
        <v>19</v>
      </c>
      <c r="D44" s="3" t="s">
        <v>10</v>
      </c>
    </row>
    <row r="45" spans="1:4" x14ac:dyDescent="0.2">
      <c r="A45" s="1" t="s">
        <v>20</v>
      </c>
      <c r="B45" s="2"/>
      <c r="C45" s="2">
        <v>612798</v>
      </c>
      <c r="D45" s="3">
        <f>C45/$C$108*100</f>
        <v>0.37013956705162654</v>
      </c>
    </row>
    <row r="46" spans="1:4" x14ac:dyDescent="0.2">
      <c r="A46" s="1" t="s">
        <v>21</v>
      </c>
      <c r="B46" s="1"/>
      <c r="C46" s="2">
        <v>557272</v>
      </c>
      <c r="D46" s="3">
        <f>C46/$C$108*100</f>
        <v>0.33660099545036709</v>
      </c>
    </row>
    <row r="47" spans="1:4" x14ac:dyDescent="0.2">
      <c r="A47" s="1" t="s">
        <v>22</v>
      </c>
      <c r="B47" s="2"/>
      <c r="C47" s="2">
        <v>1505137</v>
      </c>
      <c r="D47" s="3">
        <f>C47/$C$108*100</f>
        <v>0.909126265969184</v>
      </c>
    </row>
    <row r="48" spans="1:4" x14ac:dyDescent="0.2">
      <c r="A48" s="1" t="s">
        <v>23</v>
      </c>
      <c r="B48" s="2"/>
      <c r="C48" s="2">
        <v>1559449</v>
      </c>
      <c r="D48" s="3">
        <f>C48/$C$108*100</f>
        <v>0.94193156260152944</v>
      </c>
    </row>
    <row r="49" spans="1:4" x14ac:dyDescent="0.2">
      <c r="A49" s="1" t="s">
        <v>24</v>
      </c>
      <c r="B49" s="2"/>
      <c r="C49" s="9">
        <f>SUM(C45:C48)</f>
        <v>4234656</v>
      </c>
      <c r="D49" s="10">
        <f>C49/$C$108*100</f>
        <v>2.5577983910727067</v>
      </c>
    </row>
    <row r="50" spans="1:4" x14ac:dyDescent="0.2">
      <c r="A50" s="1"/>
      <c r="B50" s="2"/>
      <c r="C50" s="2"/>
      <c r="D50" s="3" t="s">
        <v>10</v>
      </c>
    </row>
    <row r="51" spans="1:4" x14ac:dyDescent="0.2">
      <c r="A51" s="1" t="s">
        <v>25</v>
      </c>
      <c r="B51" s="2"/>
      <c r="C51" s="2">
        <f>SUM(C37,C42,C49)</f>
        <v>114042814</v>
      </c>
      <c r="D51" s="3">
        <f>C51/$C$108*100</f>
        <v>68.88364159039223</v>
      </c>
    </row>
    <row r="52" spans="1:4" x14ac:dyDescent="0.2">
      <c r="A52" s="1"/>
      <c r="B52" s="2"/>
      <c r="C52" s="2"/>
      <c r="D52" s="3"/>
    </row>
    <row r="54" spans="1:4" x14ac:dyDescent="0.2">
      <c r="C54" s="357">
        <f>+C3</f>
        <v>37428</v>
      </c>
      <c r="D54" s="357"/>
    </row>
    <row r="55" spans="1:4" x14ac:dyDescent="0.2">
      <c r="C55" s="13" t="s">
        <v>0</v>
      </c>
      <c r="D55" s="13" t="s">
        <v>1</v>
      </c>
    </row>
    <row r="56" spans="1:4" ht="18" x14ac:dyDescent="0.25">
      <c r="A56" s="7" t="s">
        <v>26</v>
      </c>
      <c r="B56" s="2"/>
      <c r="C56" s="2"/>
      <c r="D56" s="3" t="s">
        <v>10</v>
      </c>
    </row>
    <row r="57" spans="1:4" x14ac:dyDescent="0.2">
      <c r="A57" s="1" t="s">
        <v>27</v>
      </c>
      <c r="B57" s="2"/>
      <c r="C57" s="2">
        <v>2071665</v>
      </c>
      <c r="D57" s="3">
        <f t="shared" ref="D57:D62" si="1">C57/$C$108*100</f>
        <v>1.2513180300458029</v>
      </c>
    </row>
    <row r="58" spans="1:4" x14ac:dyDescent="0.2">
      <c r="A58" s="1" t="s">
        <v>28</v>
      </c>
      <c r="B58" s="2"/>
      <c r="C58" s="2">
        <v>859236</v>
      </c>
      <c r="D58" s="3">
        <f t="shared" si="1"/>
        <v>0.51899196967870553</v>
      </c>
    </row>
    <row r="59" spans="1:4" x14ac:dyDescent="0.2">
      <c r="A59" s="1" t="s">
        <v>29</v>
      </c>
      <c r="B59" s="2"/>
      <c r="C59" s="2">
        <v>8332713</v>
      </c>
      <c r="D59" s="3">
        <f t="shared" si="1"/>
        <v>5.0330888517675652</v>
      </c>
    </row>
    <row r="60" spans="1:4" x14ac:dyDescent="0.2">
      <c r="A60" s="1" t="s">
        <v>49</v>
      </c>
      <c r="B60" s="2"/>
      <c r="C60" s="2">
        <v>3463846</v>
      </c>
      <c r="D60" s="3">
        <f t="shared" si="1"/>
        <v>2.0922171070622104</v>
      </c>
    </row>
    <row r="61" spans="1:4" x14ac:dyDescent="0.2">
      <c r="A61" s="1" t="s">
        <v>30</v>
      </c>
      <c r="B61" s="2"/>
      <c r="C61" s="2">
        <v>3020593</v>
      </c>
      <c r="D61" s="3">
        <f t="shared" si="1"/>
        <v>1.8244853691741387</v>
      </c>
    </row>
    <row r="62" spans="1:4" x14ac:dyDescent="0.2">
      <c r="A62" s="1" t="s">
        <v>14</v>
      </c>
      <c r="B62" s="2"/>
      <c r="C62" s="2">
        <v>152398</v>
      </c>
      <c r="D62" s="3">
        <f t="shared" si="1"/>
        <v>9.2050773239360742E-2</v>
      </c>
    </row>
    <row r="63" spans="1:4" x14ac:dyDescent="0.2">
      <c r="A63" s="1"/>
      <c r="B63" s="1"/>
      <c r="C63" s="5"/>
      <c r="D63" s="5"/>
    </row>
    <row r="64" spans="1:4" x14ac:dyDescent="0.2">
      <c r="A64" s="1" t="s">
        <v>25</v>
      </c>
      <c r="B64" s="2"/>
      <c r="C64" s="2">
        <f>SUM(C57:C62)</f>
        <v>17900451</v>
      </c>
      <c r="D64" s="3">
        <f>C64/$C$108*100</f>
        <v>10.812152100967785</v>
      </c>
    </row>
    <row r="65" spans="1:4" x14ac:dyDescent="0.2">
      <c r="A65" s="1"/>
      <c r="B65" s="2"/>
      <c r="C65" s="2"/>
    </row>
    <row r="66" spans="1:4" ht="18" x14ac:dyDescent="0.25">
      <c r="A66" s="7" t="s">
        <v>31</v>
      </c>
      <c r="B66" s="2"/>
      <c r="C66" s="2"/>
      <c r="D66" s="3" t="s">
        <v>10</v>
      </c>
    </row>
    <row r="67" spans="1:4" x14ac:dyDescent="0.2">
      <c r="A67" s="1" t="s">
        <v>50</v>
      </c>
      <c r="B67" s="2"/>
      <c r="C67" s="2">
        <v>813953</v>
      </c>
      <c r="D67" s="3">
        <f>C67/$C$108*100</f>
        <v>0.49164033012570635</v>
      </c>
    </row>
    <row r="68" spans="1:4" x14ac:dyDescent="0.2">
      <c r="A68" s="1" t="s">
        <v>33</v>
      </c>
      <c r="B68" s="2"/>
      <c r="C68" s="2">
        <v>555280</v>
      </c>
      <c r="D68" s="3">
        <f>C68/$C$108*100</f>
        <v>0.33539779632509764</v>
      </c>
    </row>
    <row r="69" spans="1:4" x14ac:dyDescent="0.2">
      <c r="A69" s="1" t="s">
        <v>34</v>
      </c>
      <c r="B69" s="2"/>
      <c r="C69" s="2">
        <v>44501</v>
      </c>
      <c r="D69" s="3">
        <f>C69/$C$108*100</f>
        <v>2.6879299334143444E-2</v>
      </c>
    </row>
    <row r="70" spans="1:4" x14ac:dyDescent="0.2">
      <c r="A70" s="1" t="s">
        <v>14</v>
      </c>
      <c r="B70" s="2"/>
      <c r="C70" s="2">
        <v>25000</v>
      </c>
      <c r="D70" s="3">
        <f>C70/$C$108*100</f>
        <v>1.5100390628381073E-2</v>
      </c>
    </row>
    <row r="71" spans="1:4" x14ac:dyDescent="0.2">
      <c r="A71" s="1"/>
      <c r="B71" s="1"/>
      <c r="C71" s="5"/>
      <c r="D71" s="5"/>
    </row>
    <row r="72" spans="1:4" x14ac:dyDescent="0.2">
      <c r="A72" s="1" t="s">
        <v>25</v>
      </c>
      <c r="B72" s="2"/>
      <c r="C72" s="2">
        <f>SUM(C67:C71)</f>
        <v>1438734</v>
      </c>
      <c r="D72" s="3">
        <f>C72/$C$108*100</f>
        <v>0.86901781641332854</v>
      </c>
    </row>
    <row r="73" spans="1:4" x14ac:dyDescent="0.2">
      <c r="A73" s="1"/>
      <c r="B73" s="2"/>
      <c r="C73" s="2"/>
      <c r="D73" s="3"/>
    </row>
    <row r="74" spans="1:4" ht="18" x14ac:dyDescent="0.25">
      <c r="A74" s="7" t="s">
        <v>51</v>
      </c>
      <c r="B74" s="2"/>
      <c r="C74" s="2"/>
      <c r="D74" s="3" t="s">
        <v>10</v>
      </c>
    </row>
    <row r="75" spans="1:4" x14ac:dyDescent="0.2">
      <c r="A75" s="1" t="s">
        <v>52</v>
      </c>
      <c r="B75" s="2"/>
      <c r="C75" s="2">
        <v>2570516</v>
      </c>
      <c r="D75" s="3">
        <f>C75/$C$108*100</f>
        <v>1.5526318286601439</v>
      </c>
    </row>
    <row r="76" spans="1:4" x14ac:dyDescent="0.2">
      <c r="A76" s="1" t="s">
        <v>53</v>
      </c>
      <c r="B76" s="2"/>
      <c r="C76" s="2">
        <v>494741</v>
      </c>
      <c r="D76" s="3">
        <f>C76/$C$108*100</f>
        <v>0.2988312943950352</v>
      </c>
    </row>
    <row r="77" spans="1:4" x14ac:dyDescent="0.2">
      <c r="A77" s="1" t="s">
        <v>54</v>
      </c>
      <c r="B77" s="2"/>
      <c r="C77" s="2">
        <v>118515</v>
      </c>
      <c r="D77" s="3">
        <f>C77/$C$108*100</f>
        <v>7.1584911812903315E-2</v>
      </c>
    </row>
    <row r="78" spans="1:4" x14ac:dyDescent="0.2">
      <c r="A78" s="1" t="s">
        <v>14</v>
      </c>
      <c r="B78" s="2"/>
      <c r="C78" s="2">
        <v>25000</v>
      </c>
      <c r="D78" s="3">
        <f>C78/$C$108*100</f>
        <v>1.5100390628381073E-2</v>
      </c>
    </row>
    <row r="79" spans="1:4" x14ac:dyDescent="0.2">
      <c r="A79" s="1"/>
      <c r="B79" s="1"/>
      <c r="C79" s="5"/>
      <c r="D79" s="5"/>
    </row>
    <row r="80" spans="1:4" x14ac:dyDescent="0.2">
      <c r="A80" s="1" t="s">
        <v>25</v>
      </c>
      <c r="B80" s="2"/>
      <c r="C80" s="2">
        <f>SUM(C75:C79)</f>
        <v>3208772</v>
      </c>
      <c r="D80" s="3">
        <f>C80/$C$108*100</f>
        <v>1.9381484254964638</v>
      </c>
    </row>
    <row r="81" spans="1:4" x14ac:dyDescent="0.2">
      <c r="A81" s="1"/>
      <c r="B81" s="2"/>
      <c r="C81" s="2"/>
      <c r="D81" s="3"/>
    </row>
    <row r="82" spans="1:4" ht="18" x14ac:dyDescent="0.25">
      <c r="A82" s="7" t="s">
        <v>47</v>
      </c>
      <c r="B82" s="2"/>
      <c r="C82" s="2"/>
      <c r="D82" s="3"/>
    </row>
    <row r="83" spans="1:4" x14ac:dyDescent="0.2">
      <c r="A83" s="1" t="s">
        <v>32</v>
      </c>
      <c r="B83" s="2"/>
      <c r="C83" s="2">
        <v>2252961</v>
      </c>
      <c r="D83" s="3">
        <f>C83/$C$108*100</f>
        <v>1.3608236468203219</v>
      </c>
    </row>
    <row r="84" spans="1:4" x14ac:dyDescent="0.2">
      <c r="A84" s="1" t="s">
        <v>14</v>
      </c>
      <c r="B84" s="2"/>
      <c r="C84" s="2">
        <v>6000</v>
      </c>
      <c r="D84" s="3">
        <f>C84/$C$108*100</f>
        <v>3.6240937508114574E-3</v>
      </c>
    </row>
    <row r="85" spans="1:4" x14ac:dyDescent="0.2">
      <c r="A85" s="1"/>
      <c r="B85" s="2"/>
      <c r="C85" s="5"/>
      <c r="D85" s="5"/>
    </row>
    <row r="86" spans="1:4" x14ac:dyDescent="0.2">
      <c r="A86" s="1" t="s">
        <v>25</v>
      </c>
      <c r="B86" s="2"/>
      <c r="C86" s="2">
        <f>SUM(C83:C85)</f>
        <v>2258961</v>
      </c>
      <c r="D86" s="3">
        <f>C86/$C$108*100</f>
        <v>1.3644477405711333</v>
      </c>
    </row>
    <row r="87" spans="1:4" x14ac:dyDescent="0.2">
      <c r="A87" s="1"/>
      <c r="B87" s="2"/>
      <c r="C87" s="2"/>
      <c r="D87" s="3"/>
    </row>
    <row r="88" spans="1:4" ht="18" x14ac:dyDescent="0.25">
      <c r="A88" s="7" t="s">
        <v>35</v>
      </c>
      <c r="B88" s="2"/>
      <c r="C88" s="2"/>
      <c r="D88" s="3"/>
    </row>
    <row r="89" spans="1:4" x14ac:dyDescent="0.2">
      <c r="A89" s="1" t="s">
        <v>35</v>
      </c>
      <c r="B89" s="2"/>
      <c r="C89" s="2">
        <v>2594286</v>
      </c>
      <c r="D89" s="3">
        <f>C89/$C$108*100</f>
        <v>1.5669892800696088</v>
      </c>
    </row>
    <row r="90" spans="1:4" x14ac:dyDescent="0.2">
      <c r="A90" s="1"/>
      <c r="B90" s="1"/>
      <c r="C90" s="5"/>
      <c r="D90" s="5"/>
    </row>
    <row r="91" spans="1:4" x14ac:dyDescent="0.2">
      <c r="A91" s="1" t="s">
        <v>25</v>
      </c>
      <c r="B91" s="2"/>
      <c r="C91" s="2">
        <f>C89</f>
        <v>2594286</v>
      </c>
      <c r="D91" s="3">
        <f>C91/$C$108*100</f>
        <v>1.5669892800696088</v>
      </c>
    </row>
    <row r="92" spans="1:4" x14ac:dyDescent="0.2">
      <c r="A92" s="1"/>
      <c r="B92" s="2"/>
      <c r="C92" s="2"/>
      <c r="D92" s="3"/>
    </row>
    <row r="93" spans="1:4" ht="18" x14ac:dyDescent="0.25">
      <c r="A93" s="7" t="s">
        <v>36</v>
      </c>
      <c r="B93" s="2"/>
      <c r="C93" s="2"/>
      <c r="D93" s="3" t="s">
        <v>10</v>
      </c>
    </row>
    <row r="94" spans="1:4" x14ac:dyDescent="0.2">
      <c r="A94" s="1" t="s">
        <v>48</v>
      </c>
      <c r="B94" s="2"/>
      <c r="C94" s="2">
        <v>700200</v>
      </c>
      <c r="D94" s="3">
        <f t="shared" ref="D94:D102" si="2">C94/$C$108*100</f>
        <v>0.42293174071969702</v>
      </c>
    </row>
    <row r="95" spans="1:4" x14ac:dyDescent="0.2">
      <c r="A95" s="1" t="s">
        <v>131</v>
      </c>
      <c r="B95" s="1"/>
      <c r="C95" s="2">
        <v>8702487</v>
      </c>
      <c r="D95" s="3">
        <f t="shared" si="2"/>
        <v>5.2564381255363246</v>
      </c>
    </row>
    <row r="96" spans="1:4" x14ac:dyDescent="0.2">
      <c r="A96" s="1" t="s">
        <v>37</v>
      </c>
      <c r="B96" s="2"/>
      <c r="C96" s="2">
        <v>2567017</v>
      </c>
      <c r="D96" s="3">
        <f t="shared" si="2"/>
        <v>1.5505183779877958</v>
      </c>
    </row>
    <row r="97" spans="1:4" x14ac:dyDescent="0.2">
      <c r="A97" s="1" t="s">
        <v>38</v>
      </c>
      <c r="B97" s="2"/>
      <c r="C97" s="2">
        <v>3291621</v>
      </c>
      <c r="D97" s="3">
        <f t="shared" si="2"/>
        <v>1.9881905160232933</v>
      </c>
    </row>
    <row r="98" spans="1:4" x14ac:dyDescent="0.2">
      <c r="A98" s="1" t="s">
        <v>39</v>
      </c>
      <c r="B98" s="2"/>
      <c r="C98" s="2">
        <v>555500</v>
      </c>
      <c r="D98" s="3">
        <f t="shared" si="2"/>
        <v>0.3355306797626274</v>
      </c>
    </row>
    <row r="99" spans="1:4" x14ac:dyDescent="0.2">
      <c r="A99" s="1" t="s">
        <v>40</v>
      </c>
      <c r="B99" s="2"/>
      <c r="C99" s="2">
        <v>320300</v>
      </c>
      <c r="D99" s="3">
        <f t="shared" si="2"/>
        <v>0.1934662047308183</v>
      </c>
    </row>
    <row r="100" spans="1:4" x14ac:dyDescent="0.2">
      <c r="A100" s="1" t="s">
        <v>41</v>
      </c>
      <c r="B100" s="2"/>
      <c r="C100" s="2">
        <v>6330000</v>
      </c>
      <c r="D100" s="3">
        <f t="shared" si="2"/>
        <v>3.8234189071060873</v>
      </c>
    </row>
    <row r="101" spans="1:4" x14ac:dyDescent="0.2">
      <c r="A101" s="1" t="s">
        <v>42</v>
      </c>
      <c r="B101" s="2"/>
      <c r="C101" s="2">
        <v>90708</v>
      </c>
      <c r="D101" s="3">
        <f t="shared" si="2"/>
        <v>5.4789049324767608E-2</v>
      </c>
    </row>
    <row r="102" spans="1:4" x14ac:dyDescent="0.2">
      <c r="A102" s="1" t="s">
        <v>43</v>
      </c>
      <c r="B102" s="2"/>
      <c r="C102" s="9">
        <f>SUM(C94:C101)</f>
        <v>22557833</v>
      </c>
      <c r="D102" s="10">
        <f t="shared" si="2"/>
        <v>13.625283601191413</v>
      </c>
    </row>
    <row r="103" spans="1:4" x14ac:dyDescent="0.2">
      <c r="A103" s="1"/>
      <c r="B103" s="2"/>
      <c r="C103" s="2"/>
    </row>
    <row r="104" spans="1:4" x14ac:dyDescent="0.2">
      <c r="A104" s="1" t="s">
        <v>44</v>
      </c>
      <c r="B104" s="2"/>
      <c r="C104" s="11">
        <v>1556780</v>
      </c>
      <c r="D104" s="12">
        <f>C104/$C$108*100</f>
        <v>0.94031944489804342</v>
      </c>
    </row>
    <row r="106" spans="1:4" x14ac:dyDescent="0.2">
      <c r="A106" s="1" t="s">
        <v>45</v>
      </c>
      <c r="B106" s="2"/>
      <c r="C106" s="2">
        <f>C102+C104</f>
        <v>24114613</v>
      </c>
      <c r="D106" s="3">
        <f>C106/$C$108*100</f>
        <v>14.565603046089453</v>
      </c>
    </row>
    <row r="107" spans="1:4" x14ac:dyDescent="0.2">
      <c r="A107" s="1"/>
      <c r="B107" s="2"/>
      <c r="C107" s="2"/>
      <c r="D107" s="3"/>
    </row>
    <row r="108" spans="1:4" x14ac:dyDescent="0.2">
      <c r="A108" s="1" t="s">
        <v>46</v>
      </c>
      <c r="B108" s="2"/>
      <c r="C108" s="2">
        <f>C51+C64+C72+C80+C86+C91+C106</f>
        <v>165558631</v>
      </c>
      <c r="D108" s="3">
        <f>C108/$C$108*100</f>
        <v>100</v>
      </c>
    </row>
  </sheetData>
  <mergeCells count="2">
    <mergeCell ref="C3:D3"/>
    <mergeCell ref="C54:D54"/>
  </mergeCells>
  <pageMargins left="0.7" right="0.7" top="0.75" bottom="0.75" header="0.3" footer="0.3"/>
  <pageSetup scale="41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109"/>
  <sheetViews>
    <sheetView workbookViewId="0">
      <selection activeCell="E19" sqref="E19"/>
    </sheetView>
  </sheetViews>
  <sheetFormatPr defaultRowHeight="15" x14ac:dyDescent="0.2"/>
  <cols>
    <col min="2" max="2" width="16.6640625" customWidth="1"/>
    <col min="3" max="3" width="11.6640625" customWidth="1"/>
    <col min="5" max="5" width="10.44140625" bestFit="1" customWidth="1"/>
  </cols>
  <sheetData>
    <row r="1" spans="1:4" ht="23.25" x14ac:dyDescent="0.35">
      <c r="A1" s="224" t="s">
        <v>140</v>
      </c>
    </row>
    <row r="3" spans="1:4" x14ac:dyDescent="0.2">
      <c r="C3" s="357">
        <v>37827</v>
      </c>
      <c r="D3" s="357"/>
    </row>
    <row r="4" spans="1:4" x14ac:dyDescent="0.2">
      <c r="C4" s="13" t="s">
        <v>0</v>
      </c>
      <c r="D4" s="13" t="s">
        <v>1</v>
      </c>
    </row>
    <row r="5" spans="1:4" ht="18.75" x14ac:dyDescent="0.3">
      <c r="A5" s="4" t="s">
        <v>2</v>
      </c>
      <c r="B5" s="2"/>
      <c r="C5" s="2"/>
      <c r="D5" s="3"/>
    </row>
    <row r="6" spans="1:4" x14ac:dyDescent="0.2">
      <c r="A6" s="1" t="s">
        <v>55</v>
      </c>
      <c r="B6" s="2"/>
      <c r="C6" s="2">
        <v>115830598</v>
      </c>
      <c r="D6" s="3">
        <f>C6/$C$12*100</f>
        <v>64.769789293997732</v>
      </c>
    </row>
    <row r="7" spans="1:4" x14ac:dyDescent="0.2">
      <c r="A7" s="1" t="s">
        <v>56</v>
      </c>
      <c r="B7" s="2"/>
      <c r="C7" s="2">
        <v>59085800</v>
      </c>
      <c r="D7" s="3">
        <f>C7/$C$12*100</f>
        <v>33.039411712847162</v>
      </c>
    </row>
    <row r="8" spans="1:4" x14ac:dyDescent="0.2">
      <c r="A8" s="1" t="s">
        <v>3</v>
      </c>
      <c r="B8" s="2"/>
      <c r="C8" s="2">
        <v>754900</v>
      </c>
      <c r="D8" s="3">
        <f>C8/$C$12*100</f>
        <v>0.42212260648122429</v>
      </c>
    </row>
    <row r="9" spans="1:4" x14ac:dyDescent="0.2">
      <c r="A9" s="1" t="s">
        <v>4</v>
      </c>
      <c r="B9" s="2"/>
      <c r="C9" s="2">
        <v>526188</v>
      </c>
      <c r="D9" s="3">
        <f>C9/$C$12*100</f>
        <v>0.294232150031981</v>
      </c>
    </row>
    <row r="10" spans="1:4" x14ac:dyDescent="0.2">
      <c r="A10" s="1" t="s">
        <v>5</v>
      </c>
      <c r="B10" s="2"/>
      <c r="C10" s="2">
        <v>2636812</v>
      </c>
      <c r="D10" s="3">
        <f>C10/$C$12*100</f>
        <v>1.4744442366418995</v>
      </c>
    </row>
    <row r="11" spans="1:4" x14ac:dyDescent="0.2">
      <c r="A11" s="1"/>
      <c r="B11" s="1"/>
      <c r="C11" s="5"/>
      <c r="D11" s="5"/>
    </row>
    <row r="12" spans="1:4" x14ac:dyDescent="0.2">
      <c r="A12" s="1" t="s">
        <v>6</v>
      </c>
      <c r="B12" s="2"/>
      <c r="C12" s="2">
        <f>SUM(C6:C10)</f>
        <v>178834298</v>
      </c>
      <c r="D12" s="3">
        <f>C12/$C$12*100</f>
        <v>100</v>
      </c>
    </row>
    <row r="15" spans="1:4" ht="18.75" x14ac:dyDescent="0.3">
      <c r="A15" s="4" t="s">
        <v>7</v>
      </c>
      <c r="B15" s="2"/>
      <c r="C15" s="6"/>
    </row>
    <row r="16" spans="1:4" ht="18" x14ac:dyDescent="0.25">
      <c r="A16" s="7" t="s">
        <v>8</v>
      </c>
      <c r="B16" s="2"/>
      <c r="C16" s="2"/>
      <c r="D16" s="3"/>
    </row>
    <row r="17" spans="1:5" x14ac:dyDescent="0.2">
      <c r="A17" s="8" t="s">
        <v>9</v>
      </c>
      <c r="B17" s="2"/>
      <c r="C17" s="2"/>
      <c r="D17" s="3"/>
    </row>
    <row r="18" spans="1:5" x14ac:dyDescent="0.2">
      <c r="A18" s="1" t="s">
        <v>141</v>
      </c>
      <c r="B18" s="2"/>
      <c r="C18" s="2">
        <v>19599386</v>
      </c>
      <c r="D18" s="3">
        <f t="shared" ref="D18:D37" si="0">C18/$C$109*100</f>
        <v>10.959522988146267</v>
      </c>
      <c r="E18" s="229">
        <f>C18+C19+C20+C24+C27</f>
        <v>61007745</v>
      </c>
    </row>
    <row r="19" spans="1:5" x14ac:dyDescent="0.2">
      <c r="A19" s="1" t="s">
        <v>142</v>
      </c>
      <c r="B19" s="2"/>
      <c r="C19" s="2">
        <v>26696295</v>
      </c>
      <c r="D19" s="3">
        <f t="shared" si="0"/>
        <v>14.927950230218142</v>
      </c>
    </row>
    <row r="20" spans="1:5" x14ac:dyDescent="0.2">
      <c r="A20" s="1" t="s">
        <v>143</v>
      </c>
      <c r="B20" s="2"/>
      <c r="C20" s="2">
        <v>11502613</v>
      </c>
      <c r="D20" s="3">
        <f t="shared" si="0"/>
        <v>6.4319949409257058</v>
      </c>
    </row>
    <row r="21" spans="1:5" x14ac:dyDescent="0.2">
      <c r="A21" s="1" t="s">
        <v>144</v>
      </c>
      <c r="B21" s="2"/>
      <c r="C21" s="2">
        <v>11166666</v>
      </c>
      <c r="D21" s="3">
        <f t="shared" si="0"/>
        <v>6.2441411546234828</v>
      </c>
    </row>
    <row r="22" spans="1:5" x14ac:dyDescent="0.2">
      <c r="A22" s="1" t="s">
        <v>145</v>
      </c>
      <c r="B22" s="2"/>
      <c r="C22" s="2">
        <v>9796564</v>
      </c>
      <c r="D22" s="3">
        <f t="shared" si="0"/>
        <v>5.4780118296994686</v>
      </c>
    </row>
    <row r="23" spans="1:5" x14ac:dyDescent="0.2">
      <c r="A23" s="1" t="s">
        <v>146</v>
      </c>
      <c r="B23" s="2"/>
      <c r="C23" s="2">
        <v>4755826</v>
      </c>
      <c r="D23" s="3">
        <f t="shared" si="0"/>
        <v>2.6593478170501723</v>
      </c>
    </row>
    <row r="24" spans="1:5" x14ac:dyDescent="0.2">
      <c r="A24" s="1" t="s">
        <v>147</v>
      </c>
      <c r="B24" s="2"/>
      <c r="C24" s="2">
        <v>2793904</v>
      </c>
      <c r="D24" s="3">
        <f t="shared" si="0"/>
        <v>1.5622864468649074</v>
      </c>
    </row>
    <row r="25" spans="1:5" x14ac:dyDescent="0.2">
      <c r="A25" s="1" t="s">
        <v>148</v>
      </c>
      <c r="B25" s="2"/>
      <c r="C25" s="2">
        <v>1950338</v>
      </c>
      <c r="D25" s="3">
        <f t="shared" si="0"/>
        <v>1.0905838655177877</v>
      </c>
    </row>
    <row r="26" spans="1:5" x14ac:dyDescent="0.2">
      <c r="A26" s="1" t="s">
        <v>149</v>
      </c>
      <c r="B26" s="2"/>
      <c r="C26" s="2">
        <v>1476016</v>
      </c>
      <c r="D26" s="3">
        <f t="shared" si="0"/>
        <v>0.82535398215391553</v>
      </c>
    </row>
    <row r="27" spans="1:5" x14ac:dyDescent="0.2">
      <c r="A27" s="1" t="s">
        <v>150</v>
      </c>
      <c r="B27" s="2"/>
      <c r="C27" s="2">
        <v>415547</v>
      </c>
      <c r="D27" s="3">
        <f t="shared" si="0"/>
        <v>0.23236426381700004</v>
      </c>
    </row>
    <row r="28" spans="1:5" x14ac:dyDescent="0.2">
      <c r="A28" s="1" t="s">
        <v>151</v>
      </c>
      <c r="B28" s="2"/>
      <c r="C28" s="2">
        <v>911064</v>
      </c>
      <c r="D28" s="3">
        <f t="shared" si="0"/>
        <v>0.50944590058446171</v>
      </c>
    </row>
    <row r="29" spans="1:5" x14ac:dyDescent="0.2">
      <c r="A29" s="1" t="s">
        <v>152</v>
      </c>
      <c r="B29" s="2"/>
      <c r="C29" s="2">
        <v>355370</v>
      </c>
      <c r="D29" s="3">
        <f t="shared" si="0"/>
        <v>0.19871467832194026</v>
      </c>
    </row>
    <row r="30" spans="1:5" x14ac:dyDescent="0.2">
      <c r="A30" t="s">
        <v>153</v>
      </c>
      <c r="C30" s="2">
        <v>9038865</v>
      </c>
      <c r="D30" s="3">
        <f t="shared" si="0"/>
        <v>5.0543240872061359</v>
      </c>
    </row>
    <row r="31" spans="1:5" x14ac:dyDescent="0.2">
      <c r="A31" s="1" t="s">
        <v>11</v>
      </c>
      <c r="B31" s="2"/>
      <c r="C31" s="2">
        <v>0</v>
      </c>
      <c r="D31" s="3">
        <f t="shared" si="0"/>
        <v>0</v>
      </c>
    </row>
    <row r="32" spans="1:5" x14ac:dyDescent="0.2">
      <c r="A32" s="1" t="s">
        <v>154</v>
      </c>
      <c r="B32" s="2"/>
      <c r="C32" s="2">
        <v>1069714</v>
      </c>
      <c r="D32" s="3">
        <f t="shared" si="0"/>
        <v>0.59815930834475606</v>
      </c>
    </row>
    <row r="33" spans="1:4" x14ac:dyDescent="0.2">
      <c r="A33" s="1" t="s">
        <v>155</v>
      </c>
      <c r="B33" s="2"/>
      <c r="C33" s="2">
        <v>6504255</v>
      </c>
      <c r="D33" s="3">
        <f t="shared" si="0"/>
        <v>3.6370288433150559</v>
      </c>
    </row>
    <row r="34" spans="1:4" x14ac:dyDescent="0.2">
      <c r="A34" s="1" t="s">
        <v>12</v>
      </c>
      <c r="B34" s="2"/>
      <c r="C34" s="2">
        <v>1000</v>
      </c>
      <c r="D34" s="3">
        <f t="shared" si="0"/>
        <v>5.59176853200721E-4</v>
      </c>
    </row>
    <row r="35" spans="1:4" x14ac:dyDescent="0.2">
      <c r="A35" s="1" t="s">
        <v>13</v>
      </c>
      <c r="B35" s="2"/>
      <c r="C35" s="2">
        <v>2383612</v>
      </c>
      <c r="D35" s="3">
        <f t="shared" si="0"/>
        <v>1.3328606574114772</v>
      </c>
    </row>
    <row r="36" spans="1:4" x14ac:dyDescent="0.2">
      <c r="A36" s="1" t="s">
        <v>14</v>
      </c>
      <c r="B36" s="2"/>
      <c r="C36" s="2">
        <v>173656</v>
      </c>
      <c r="D36" s="3">
        <f t="shared" si="0"/>
        <v>9.7104415619424414E-2</v>
      </c>
    </row>
    <row r="37" spans="1:4" x14ac:dyDescent="0.2">
      <c r="A37" s="1" t="s">
        <v>15</v>
      </c>
      <c r="B37" s="2"/>
      <c r="C37" s="9">
        <f>SUM(C18:C36)</f>
        <v>110590691</v>
      </c>
      <c r="D37" s="10">
        <f t="shared" si="0"/>
        <v>61.839754586673301</v>
      </c>
    </row>
    <row r="38" spans="1:4" x14ac:dyDescent="0.2">
      <c r="A38" s="1"/>
      <c r="B38" s="2"/>
      <c r="C38" s="2"/>
      <c r="D38" s="3"/>
    </row>
    <row r="39" spans="1:4" x14ac:dyDescent="0.2">
      <c r="A39" s="8" t="s">
        <v>16</v>
      </c>
      <c r="B39" s="2"/>
      <c r="C39" s="2"/>
      <c r="D39" s="3"/>
    </row>
    <row r="40" spans="1:4" x14ac:dyDescent="0.2">
      <c r="A40" s="1" t="s">
        <v>156</v>
      </c>
      <c r="B40" s="2"/>
      <c r="C40" s="2">
        <v>2487812</v>
      </c>
      <c r="D40" s="3">
        <f>C40/$C$109*100</f>
        <v>1.3911268855149923</v>
      </c>
    </row>
    <row r="41" spans="1:4" x14ac:dyDescent="0.2">
      <c r="A41" s="1" t="s">
        <v>17</v>
      </c>
      <c r="B41" s="2"/>
      <c r="C41" s="2">
        <v>5692684</v>
      </c>
      <c r="D41" s="3">
        <f>C41/$C$109*100</f>
        <v>3.183217125386093</v>
      </c>
    </row>
    <row r="42" spans="1:4" x14ac:dyDescent="0.2">
      <c r="A42" s="1" t="s">
        <v>18</v>
      </c>
      <c r="B42" s="2"/>
      <c r="C42" s="9">
        <f>SUM(C40:C41)</f>
        <v>8180496</v>
      </c>
      <c r="D42" s="10">
        <f>C42/$C$109*100</f>
        <v>4.5743440109010862</v>
      </c>
    </row>
    <row r="43" spans="1:4" x14ac:dyDescent="0.2">
      <c r="A43" s="1"/>
      <c r="B43" s="2"/>
      <c r="C43" s="2"/>
      <c r="D43" s="3" t="s">
        <v>10</v>
      </c>
    </row>
    <row r="44" spans="1:4" x14ac:dyDescent="0.2">
      <c r="A44" s="8" t="s">
        <v>157</v>
      </c>
      <c r="B44" s="2"/>
      <c r="C44" s="2" t="s">
        <v>19</v>
      </c>
      <c r="D44" s="3" t="s">
        <v>10</v>
      </c>
    </row>
    <row r="45" spans="1:4" x14ac:dyDescent="0.2">
      <c r="A45" s="1" t="s">
        <v>20</v>
      </c>
      <c r="B45" s="2"/>
      <c r="C45" s="2">
        <v>631978</v>
      </c>
      <c r="D45" s="3">
        <f>C45/$C$109*100</f>
        <v>0.35338746933208526</v>
      </c>
    </row>
    <row r="46" spans="1:4" x14ac:dyDescent="0.2">
      <c r="A46" s="1" t="s">
        <v>21</v>
      </c>
      <c r="B46" s="1"/>
      <c r="C46" s="2">
        <v>607345</v>
      </c>
      <c r="D46" s="3">
        <f>C46/$C$109*100</f>
        <v>0.33961326590719193</v>
      </c>
    </row>
    <row r="47" spans="1:4" x14ac:dyDescent="0.2">
      <c r="A47" s="1" t="s">
        <v>22</v>
      </c>
      <c r="B47" s="2"/>
      <c r="C47" s="2">
        <v>1552358</v>
      </c>
      <c r="D47" s="3">
        <f>C47/$C$109*100</f>
        <v>0.86804266148096487</v>
      </c>
    </row>
    <row r="48" spans="1:4" x14ac:dyDescent="0.2">
      <c r="A48" s="1" t="s">
        <v>23</v>
      </c>
      <c r="B48" s="2"/>
      <c r="C48" s="2">
        <v>1723843</v>
      </c>
      <c r="D48" s="3">
        <f>C48/$C$109*100</f>
        <v>0.96393310415209055</v>
      </c>
    </row>
    <row r="49" spans="1:4" x14ac:dyDescent="0.2">
      <c r="A49" s="1" t="s">
        <v>24</v>
      </c>
      <c r="B49" s="2"/>
      <c r="C49" s="9">
        <f>SUM(C45:C48)</f>
        <v>4515524</v>
      </c>
      <c r="D49" s="10">
        <f>C49/$C$109*100</f>
        <v>2.5249765008723326</v>
      </c>
    </row>
    <row r="50" spans="1:4" x14ac:dyDescent="0.2">
      <c r="A50" s="1"/>
      <c r="B50" s="2"/>
      <c r="C50" s="2"/>
      <c r="D50" s="3" t="s">
        <v>10</v>
      </c>
    </row>
    <row r="51" spans="1:4" x14ac:dyDescent="0.2">
      <c r="A51" s="1" t="s">
        <v>25</v>
      </c>
      <c r="B51" s="2"/>
      <c r="C51" s="2">
        <f>SUM(C37,C42,C49)</f>
        <v>123286711</v>
      </c>
      <c r="D51" s="3">
        <f>C51/$C$109*100</f>
        <v>68.939075098446722</v>
      </c>
    </row>
    <row r="52" spans="1:4" x14ac:dyDescent="0.2">
      <c r="A52" s="1"/>
      <c r="B52" s="2"/>
      <c r="C52" s="2"/>
      <c r="D52" s="3"/>
    </row>
    <row r="54" spans="1:4" x14ac:dyDescent="0.2">
      <c r="C54" s="357">
        <f>+C3</f>
        <v>37827</v>
      </c>
      <c r="D54" s="357"/>
    </row>
    <row r="55" spans="1:4" x14ac:dyDescent="0.2">
      <c r="C55" s="13" t="s">
        <v>0</v>
      </c>
      <c r="D55" s="13" t="s">
        <v>1</v>
      </c>
    </row>
    <row r="56" spans="1:4" ht="18" x14ac:dyDescent="0.25">
      <c r="A56" s="7" t="s">
        <v>26</v>
      </c>
      <c r="B56" s="2"/>
      <c r="C56" s="2"/>
      <c r="D56" s="3" t="s">
        <v>10</v>
      </c>
    </row>
    <row r="57" spans="1:4" x14ac:dyDescent="0.2">
      <c r="A57" s="1" t="s">
        <v>27</v>
      </c>
      <c r="B57" s="2"/>
      <c r="C57" s="2">
        <v>2411648</v>
      </c>
      <c r="D57" s="3">
        <f t="shared" ref="D57:D62" si="1">C57/$C$109*100</f>
        <v>1.3485377396678124</v>
      </c>
    </row>
    <row r="58" spans="1:4" x14ac:dyDescent="0.2">
      <c r="A58" s="1" t="s">
        <v>28</v>
      </c>
      <c r="B58" s="2"/>
      <c r="C58" s="2">
        <v>986855</v>
      </c>
      <c r="D58" s="3">
        <f t="shared" si="1"/>
        <v>0.55182647346539759</v>
      </c>
    </row>
    <row r="59" spans="1:4" x14ac:dyDescent="0.2">
      <c r="A59" s="1" t="s">
        <v>29</v>
      </c>
      <c r="B59" s="2"/>
      <c r="C59" s="2">
        <v>9279471</v>
      </c>
      <c r="D59" s="3">
        <f t="shared" si="1"/>
        <v>5.1888653931473483</v>
      </c>
    </row>
    <row r="60" spans="1:4" x14ac:dyDescent="0.2">
      <c r="A60" s="1" t="s">
        <v>49</v>
      </c>
      <c r="B60" s="2"/>
      <c r="C60" s="2">
        <v>5087747</v>
      </c>
      <c r="D60" s="3">
        <f t="shared" si="1"/>
        <v>2.8449503573414088</v>
      </c>
    </row>
    <row r="61" spans="1:4" x14ac:dyDescent="0.2">
      <c r="A61" s="1" t="s">
        <v>30</v>
      </c>
      <c r="B61" s="2"/>
      <c r="C61" s="2">
        <v>3333559</v>
      </c>
      <c r="D61" s="3">
        <f t="shared" si="1"/>
        <v>1.8640490315789424</v>
      </c>
    </row>
    <row r="62" spans="1:4" x14ac:dyDescent="0.2">
      <c r="A62" s="1" t="s">
        <v>14</v>
      </c>
      <c r="B62" s="2"/>
      <c r="C62" s="2">
        <v>153724</v>
      </c>
      <c r="D62" s="3">
        <f t="shared" si="1"/>
        <v>8.5958902581427646E-2</v>
      </c>
    </row>
    <row r="63" spans="1:4" x14ac:dyDescent="0.2">
      <c r="A63" s="1"/>
      <c r="B63" s="1"/>
      <c r="C63" s="5"/>
      <c r="D63" s="5"/>
    </row>
    <row r="64" spans="1:4" x14ac:dyDescent="0.2">
      <c r="A64" s="1" t="s">
        <v>25</v>
      </c>
      <c r="B64" s="2"/>
      <c r="C64" s="2">
        <f>SUM(C57:C62)</f>
        <v>21253004</v>
      </c>
      <c r="D64" s="3">
        <f>C64/$C$109*100</f>
        <v>11.884187897782338</v>
      </c>
    </row>
    <row r="65" spans="1:4" x14ac:dyDescent="0.2">
      <c r="A65" s="1"/>
      <c r="B65" s="2"/>
      <c r="C65" s="2"/>
    </row>
    <row r="66" spans="1:4" ht="18" x14ac:dyDescent="0.25">
      <c r="A66" s="7" t="s">
        <v>31</v>
      </c>
      <c r="B66" s="2"/>
      <c r="C66" s="2"/>
      <c r="D66" s="3" t="s">
        <v>10</v>
      </c>
    </row>
    <row r="67" spans="1:4" x14ac:dyDescent="0.2">
      <c r="A67" s="1" t="s">
        <v>50</v>
      </c>
      <c r="B67" s="2"/>
      <c r="C67" s="2">
        <v>838786</v>
      </c>
      <c r="D67" s="3">
        <f>C67/$C$109*100</f>
        <v>0.46902971598882004</v>
      </c>
    </row>
    <row r="68" spans="1:4" x14ac:dyDescent="0.2">
      <c r="A68" s="1" t="s">
        <v>33</v>
      </c>
      <c r="B68" s="2"/>
      <c r="C68" s="2">
        <v>555280</v>
      </c>
      <c r="D68" s="3">
        <f>C68/$C$109*100</f>
        <v>0.31049972304529638</v>
      </c>
    </row>
    <row r="69" spans="1:4" x14ac:dyDescent="0.2">
      <c r="A69" s="1" t="s">
        <v>34</v>
      </c>
      <c r="B69" s="2"/>
      <c r="C69" s="2">
        <v>44606</v>
      </c>
      <c r="D69" s="3">
        <f>C69/$C$109*100</f>
        <v>2.4942642713871362E-2</v>
      </c>
    </row>
    <row r="70" spans="1:4" x14ac:dyDescent="0.2">
      <c r="A70" s="1" t="s">
        <v>14</v>
      </c>
      <c r="B70" s="2"/>
      <c r="C70" s="2">
        <v>25323</v>
      </c>
      <c r="D70" s="3">
        <f>C70/$C$109*100</f>
        <v>1.4160035453601861E-2</v>
      </c>
    </row>
    <row r="71" spans="1:4" x14ac:dyDescent="0.2">
      <c r="A71" s="1"/>
      <c r="B71" s="1"/>
      <c r="C71" s="5"/>
      <c r="D71" s="5"/>
    </row>
    <row r="72" spans="1:4" x14ac:dyDescent="0.2">
      <c r="A72" s="1" t="s">
        <v>25</v>
      </c>
      <c r="B72" s="2"/>
      <c r="C72" s="2">
        <f>SUM(C67:C71)</f>
        <v>1463995</v>
      </c>
      <c r="D72" s="3">
        <f>C72/$C$109*100</f>
        <v>0.81863211720158957</v>
      </c>
    </row>
    <row r="73" spans="1:4" x14ac:dyDescent="0.2">
      <c r="A73" s="1"/>
      <c r="B73" s="2"/>
      <c r="C73" s="2"/>
      <c r="D73" s="3"/>
    </row>
    <row r="74" spans="1:4" ht="18" x14ac:dyDescent="0.25">
      <c r="A74" s="7" t="s">
        <v>51</v>
      </c>
      <c r="B74" s="2"/>
      <c r="C74" s="2"/>
      <c r="D74" s="3" t="s">
        <v>10</v>
      </c>
    </row>
    <row r="75" spans="1:4" x14ac:dyDescent="0.2">
      <c r="A75" s="1" t="s">
        <v>52</v>
      </c>
      <c r="B75" s="2"/>
      <c r="C75" s="2">
        <v>2326796</v>
      </c>
      <c r="D75" s="3">
        <f>C75/$C$109*100</f>
        <v>1.301090465320025</v>
      </c>
    </row>
    <row r="76" spans="1:4" x14ac:dyDescent="0.2">
      <c r="A76" s="1" t="s">
        <v>53</v>
      </c>
      <c r="B76" s="2"/>
      <c r="C76" s="2">
        <v>564493</v>
      </c>
      <c r="D76" s="3">
        <f>C76/$C$109*100</f>
        <v>0.31565141939383462</v>
      </c>
    </row>
    <row r="77" spans="1:4" x14ac:dyDescent="0.2">
      <c r="A77" s="1" t="s">
        <v>54</v>
      </c>
      <c r="B77" s="2"/>
      <c r="C77" s="2">
        <v>142159</v>
      </c>
      <c r="D77" s="3">
        <f>C77/$C$109*100</f>
        <v>7.94920222741613E-2</v>
      </c>
    </row>
    <row r="78" spans="1:4" x14ac:dyDescent="0.2">
      <c r="A78" s="1" t="s">
        <v>57</v>
      </c>
      <c r="B78" s="2"/>
      <c r="C78" s="2">
        <v>406811</v>
      </c>
      <c r="D78" s="3">
        <f>C78/$C$109*100</f>
        <v>0.22747929482743851</v>
      </c>
    </row>
    <row r="79" spans="1:4" x14ac:dyDescent="0.2">
      <c r="A79" s="1" t="s">
        <v>14</v>
      </c>
      <c r="B79" s="2"/>
      <c r="C79" s="2">
        <f>466132-406811</f>
        <v>59321</v>
      </c>
      <c r="D79" s="3">
        <f>C79/$C$109*100</f>
        <v>3.3170930108719972E-2</v>
      </c>
    </row>
    <row r="80" spans="1:4" x14ac:dyDescent="0.2">
      <c r="A80" s="1"/>
      <c r="B80" s="1"/>
      <c r="C80" s="5"/>
      <c r="D80" s="5"/>
    </row>
    <row r="81" spans="1:4" x14ac:dyDescent="0.2">
      <c r="A81" s="1" t="s">
        <v>25</v>
      </c>
      <c r="B81" s="2"/>
      <c r="C81" s="2">
        <f>SUM(C75:C80)</f>
        <v>3499580</v>
      </c>
      <c r="D81" s="3">
        <f>C81/$C$109*100</f>
        <v>1.9568841319241792</v>
      </c>
    </row>
    <row r="82" spans="1:4" x14ac:dyDescent="0.2">
      <c r="A82" s="1"/>
      <c r="B82" s="2"/>
      <c r="C82" s="2"/>
      <c r="D82" s="3"/>
    </row>
    <row r="83" spans="1:4" ht="18" x14ac:dyDescent="0.25">
      <c r="A83" s="7" t="s">
        <v>47</v>
      </c>
      <c r="B83" s="2"/>
      <c r="C83" s="2"/>
      <c r="D83" s="3"/>
    </row>
    <row r="84" spans="1:4" x14ac:dyDescent="0.2">
      <c r="A84" s="1" t="s">
        <v>32</v>
      </c>
      <c r="B84" s="2"/>
      <c r="C84" s="2">
        <v>2482342</v>
      </c>
      <c r="D84" s="3">
        <f>C84/$C$109*100</f>
        <v>1.3880681881279844</v>
      </c>
    </row>
    <row r="85" spans="1:4" x14ac:dyDescent="0.2">
      <c r="A85" s="1" t="s">
        <v>14</v>
      </c>
      <c r="B85" s="2"/>
      <c r="C85" s="2">
        <v>0</v>
      </c>
      <c r="D85" s="3">
        <f>C85/$C$109*100</f>
        <v>0</v>
      </c>
    </row>
    <row r="86" spans="1:4" x14ac:dyDescent="0.2">
      <c r="A86" s="1"/>
      <c r="B86" s="2"/>
      <c r="C86" s="5"/>
      <c r="D86" s="5"/>
    </row>
    <row r="87" spans="1:4" x14ac:dyDescent="0.2">
      <c r="A87" s="1" t="s">
        <v>25</v>
      </c>
      <c r="B87" s="2"/>
      <c r="C87" s="2">
        <f>SUM(C84:C86)</f>
        <v>2482342</v>
      </c>
      <c r="D87" s="3">
        <f>C87/$C$109*100</f>
        <v>1.3880681881279844</v>
      </c>
    </row>
    <row r="88" spans="1:4" x14ac:dyDescent="0.2">
      <c r="A88" s="1"/>
      <c r="B88" s="2"/>
      <c r="C88" s="2"/>
      <c r="D88" s="3"/>
    </row>
    <row r="89" spans="1:4" ht="18" x14ac:dyDescent="0.25">
      <c r="A89" s="7" t="s">
        <v>35</v>
      </c>
      <c r="B89" s="2"/>
      <c r="C89" s="2"/>
      <c r="D89" s="3"/>
    </row>
    <row r="90" spans="1:4" x14ac:dyDescent="0.2">
      <c r="A90" s="1" t="s">
        <v>35</v>
      </c>
      <c r="B90" s="2"/>
      <c r="C90" s="2">
        <f>3051068-150500-100000</f>
        <v>2800568</v>
      </c>
      <c r="D90" s="3">
        <f>C90/$C$109*100</f>
        <v>1.5660128014146371</v>
      </c>
    </row>
    <row r="91" spans="1:4" x14ac:dyDescent="0.2">
      <c r="A91" s="1"/>
      <c r="B91" s="1"/>
      <c r="C91" s="5"/>
      <c r="D91" s="5"/>
    </row>
    <row r="92" spans="1:4" x14ac:dyDescent="0.2">
      <c r="A92" s="1" t="s">
        <v>25</v>
      </c>
      <c r="B92" s="2"/>
      <c r="C92" s="2">
        <f>C90</f>
        <v>2800568</v>
      </c>
      <c r="D92" s="3">
        <f>C92/$C$109*100</f>
        <v>1.5660128014146371</v>
      </c>
    </row>
    <row r="93" spans="1:4" x14ac:dyDescent="0.2">
      <c r="A93" s="1"/>
      <c r="B93" s="2"/>
      <c r="C93" s="2"/>
      <c r="D93" s="3"/>
    </row>
    <row r="94" spans="1:4" ht="18" x14ac:dyDescent="0.25">
      <c r="A94" s="7" t="s">
        <v>36</v>
      </c>
      <c r="B94" s="2"/>
      <c r="C94" s="2"/>
      <c r="D94" s="3" t="s">
        <v>10</v>
      </c>
    </row>
    <row r="95" spans="1:4" x14ac:dyDescent="0.2">
      <c r="A95" s="1" t="s">
        <v>48</v>
      </c>
      <c r="B95" s="2"/>
      <c r="C95" s="2">
        <v>743720</v>
      </c>
      <c r="D95" s="3">
        <f t="shared" ref="D95:D103" si="2">C95/$C$109*100</f>
        <v>0.41587100926244025</v>
      </c>
    </row>
    <row r="96" spans="1:4" x14ac:dyDescent="0.2">
      <c r="A96" s="1" t="s">
        <v>131</v>
      </c>
      <c r="B96" s="1"/>
      <c r="C96" s="2">
        <v>10584754</v>
      </c>
      <c r="D96" s="3">
        <f t="shared" si="2"/>
        <v>5.9187494336237449</v>
      </c>
    </row>
    <row r="97" spans="1:4" x14ac:dyDescent="0.2">
      <c r="A97" s="1" t="s">
        <v>37</v>
      </c>
      <c r="B97" s="2"/>
      <c r="C97" s="2">
        <v>2689387</v>
      </c>
      <c r="D97" s="3">
        <f t="shared" si="2"/>
        <v>1.5038429596989276</v>
      </c>
    </row>
    <row r="98" spans="1:4" x14ac:dyDescent="0.2">
      <c r="A98" s="1" t="s">
        <v>38</v>
      </c>
      <c r="B98" s="2"/>
      <c r="C98" s="2">
        <v>3965104</v>
      </c>
      <c r="D98" s="3">
        <f t="shared" si="2"/>
        <v>2.217194377333592</v>
      </c>
    </row>
    <row r="99" spans="1:4" x14ac:dyDescent="0.2">
      <c r="A99" s="1" t="s">
        <v>39</v>
      </c>
      <c r="B99" s="2"/>
      <c r="C99" s="2">
        <v>555500</v>
      </c>
      <c r="D99" s="3">
        <f t="shared" si="2"/>
        <v>0.31062274195300055</v>
      </c>
    </row>
    <row r="100" spans="1:4" x14ac:dyDescent="0.2">
      <c r="A100" s="1" t="s">
        <v>40</v>
      </c>
      <c r="B100" s="2"/>
      <c r="C100" s="2">
        <v>361556</v>
      </c>
      <c r="D100" s="3">
        <f t="shared" si="2"/>
        <v>0.2021737463358399</v>
      </c>
    </row>
    <row r="101" spans="1:4" x14ac:dyDescent="0.2">
      <c r="A101" s="1" t="s">
        <v>41</v>
      </c>
      <c r="B101" s="2"/>
      <c r="C101" s="2">
        <v>3411870</v>
      </c>
      <c r="D101" s="3">
        <f t="shared" si="2"/>
        <v>1.9078387301299442</v>
      </c>
    </row>
    <row r="102" spans="1:4" x14ac:dyDescent="0.2">
      <c r="A102" s="1" t="s">
        <v>42</v>
      </c>
      <c r="B102" s="2"/>
      <c r="C102" s="2">
        <v>92041</v>
      </c>
      <c r="D102" s="3">
        <f t="shared" si="2"/>
        <v>5.1467196745447565E-2</v>
      </c>
    </row>
    <row r="103" spans="1:4" x14ac:dyDescent="0.2">
      <c r="A103" s="1" t="s">
        <v>43</v>
      </c>
      <c r="B103" s="2"/>
      <c r="C103" s="9">
        <f>SUM(C95:C102)</f>
        <v>22403932</v>
      </c>
      <c r="D103" s="10">
        <f t="shared" si="2"/>
        <v>12.527760195082937</v>
      </c>
    </row>
    <row r="104" spans="1:4" x14ac:dyDescent="0.2">
      <c r="A104" s="1"/>
      <c r="B104" s="2"/>
      <c r="C104" s="2"/>
    </row>
    <row r="105" spans="1:4" x14ac:dyDescent="0.2">
      <c r="A105" s="1" t="s">
        <v>44</v>
      </c>
      <c r="B105" s="2"/>
      <c r="C105" s="11">
        <f>1644166</f>
        <v>1644166</v>
      </c>
      <c r="D105" s="12">
        <f>C105/$C$109*100</f>
        <v>0.91937957001961679</v>
      </c>
    </row>
    <row r="107" spans="1:4" x14ac:dyDescent="0.2">
      <c r="A107" s="1" t="s">
        <v>45</v>
      </c>
      <c r="B107" s="2"/>
      <c r="C107" s="2">
        <f>C103+C105</f>
        <v>24048098</v>
      </c>
      <c r="D107" s="3">
        <f>C107/$C$109*100</f>
        <v>13.447139765102554</v>
      </c>
    </row>
    <row r="108" spans="1:4" x14ac:dyDescent="0.2">
      <c r="A108" s="1"/>
      <c r="B108" s="2"/>
      <c r="C108" s="2"/>
      <c r="D108" s="3"/>
    </row>
    <row r="109" spans="1:4" x14ac:dyDescent="0.2">
      <c r="A109" s="1" t="s">
        <v>46</v>
      </c>
      <c r="B109" s="2"/>
      <c r="C109" s="2">
        <f>C51+C64+C72+C81+C87+C92+C107</f>
        <v>178834298</v>
      </c>
      <c r="D109" s="3">
        <f>C109/$C$109*100</f>
        <v>100</v>
      </c>
    </row>
  </sheetData>
  <mergeCells count="2">
    <mergeCell ref="C3:D3"/>
    <mergeCell ref="C54:D54"/>
  </mergeCells>
  <pageMargins left="0.7" right="0.7" top="0.75" bottom="0.75" header="0.3" footer="0.3"/>
  <pageSetup scale="41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107"/>
  <sheetViews>
    <sheetView workbookViewId="0">
      <selection activeCell="C76" sqref="C76"/>
    </sheetView>
  </sheetViews>
  <sheetFormatPr defaultRowHeight="15" x14ac:dyDescent="0.2"/>
  <cols>
    <col min="2" max="2" width="20.21875" customWidth="1"/>
    <col min="3" max="3" width="11.44140625" bestFit="1" customWidth="1"/>
  </cols>
  <sheetData>
    <row r="1" spans="1:4" ht="23.25" x14ac:dyDescent="0.35">
      <c r="A1" s="225" t="s">
        <v>159</v>
      </c>
      <c r="B1" s="225"/>
      <c r="C1" s="225"/>
      <c r="D1" s="225"/>
    </row>
    <row r="3" spans="1:4" x14ac:dyDescent="0.2">
      <c r="C3" s="357">
        <v>38163</v>
      </c>
      <c r="D3" s="357"/>
    </row>
    <row r="4" spans="1:4" x14ac:dyDescent="0.2">
      <c r="C4" s="13" t="s">
        <v>0</v>
      </c>
      <c r="D4" s="13" t="s">
        <v>1</v>
      </c>
    </row>
    <row r="5" spans="1:4" ht="18.75" x14ac:dyDescent="0.3">
      <c r="A5" s="4" t="s">
        <v>2</v>
      </c>
      <c r="B5" s="2"/>
      <c r="C5" s="2"/>
      <c r="D5" s="3"/>
    </row>
    <row r="6" spans="1:4" x14ac:dyDescent="0.2">
      <c r="A6" s="1" t="s">
        <v>55</v>
      </c>
      <c r="B6" s="2"/>
      <c r="C6" s="2">
        <v>126556273</v>
      </c>
      <c r="D6" s="3">
        <f>C6/$C$12*100</f>
        <v>67.183256322558734</v>
      </c>
    </row>
    <row r="7" spans="1:4" x14ac:dyDescent="0.2">
      <c r="A7" s="1" t="s">
        <v>56</v>
      </c>
      <c r="B7" s="2"/>
      <c r="C7" s="2">
        <v>57904100</v>
      </c>
      <c r="D7" s="3">
        <f>C7/$C$12*100</f>
        <v>30.738784417482595</v>
      </c>
    </row>
    <row r="8" spans="1:4" x14ac:dyDescent="0.2">
      <c r="A8" s="1" t="s">
        <v>3</v>
      </c>
      <c r="B8" s="2"/>
      <c r="C8" s="2">
        <v>713150</v>
      </c>
      <c r="D8" s="3">
        <f>C8/$C$12*100</f>
        <v>0.37858051687752181</v>
      </c>
    </row>
    <row r="9" spans="1:4" x14ac:dyDescent="0.2">
      <c r="A9" s="1" t="s">
        <v>4</v>
      </c>
      <c r="B9" s="2"/>
      <c r="C9" s="2">
        <v>581110</v>
      </c>
      <c r="D9" s="3">
        <f>C9/$C$12*100</f>
        <v>0.3084861868648906</v>
      </c>
    </row>
    <row r="10" spans="1:4" x14ac:dyDescent="0.2">
      <c r="A10" s="1" t="s">
        <v>5</v>
      </c>
      <c r="B10" s="2"/>
      <c r="C10" s="2">
        <v>2620090</v>
      </c>
      <c r="D10" s="3">
        <f>C10/$C$12*100</f>
        <v>1.3908925562162606</v>
      </c>
    </row>
    <row r="11" spans="1:4" x14ac:dyDescent="0.2">
      <c r="A11" s="1"/>
      <c r="B11" s="1"/>
      <c r="C11" s="5"/>
      <c r="D11" s="5"/>
    </row>
    <row r="12" spans="1:4" x14ac:dyDescent="0.2">
      <c r="A12" s="1" t="s">
        <v>6</v>
      </c>
      <c r="B12" s="2"/>
      <c r="C12" s="2">
        <f>SUM(C6:C10)</f>
        <v>188374723</v>
      </c>
      <c r="D12" s="3">
        <f>C12/$C$12*100</f>
        <v>100</v>
      </c>
    </row>
    <row r="15" spans="1:4" ht="18.75" x14ac:dyDescent="0.3">
      <c r="A15" s="4" t="s">
        <v>7</v>
      </c>
      <c r="B15" s="2"/>
      <c r="C15" s="6"/>
    </row>
    <row r="16" spans="1:4" ht="18" x14ac:dyDescent="0.25">
      <c r="A16" s="7" t="s">
        <v>8</v>
      </c>
      <c r="B16" s="2"/>
      <c r="C16" s="2"/>
      <c r="D16" s="3"/>
    </row>
    <row r="17" spans="1:4" x14ac:dyDescent="0.2">
      <c r="A17" s="8" t="s">
        <v>9</v>
      </c>
      <c r="B17" s="2"/>
      <c r="C17" s="2"/>
      <c r="D17" s="3"/>
    </row>
    <row r="18" spans="1:4" x14ac:dyDescent="0.2">
      <c r="A18" s="1" t="s">
        <v>61</v>
      </c>
      <c r="B18" s="2"/>
      <c r="C18" s="2">
        <v>48501169</v>
      </c>
      <c r="D18" s="3">
        <f t="shared" ref="D18:D34" si="0">C18/$C$107*100</f>
        <v>25.747174688612549</v>
      </c>
    </row>
    <row r="19" spans="1:4" x14ac:dyDescent="0.2">
      <c r="A19" s="1" t="s">
        <v>58</v>
      </c>
      <c r="B19" s="2"/>
      <c r="C19" s="2">
        <v>11771710</v>
      </c>
      <c r="D19" s="3">
        <f t="shared" si="0"/>
        <v>6.2490921353604323</v>
      </c>
    </row>
    <row r="20" spans="1:4" x14ac:dyDescent="0.2">
      <c r="A20" s="1" t="s">
        <v>60</v>
      </c>
      <c r="B20" s="2"/>
      <c r="C20" s="2">
        <v>10040663</v>
      </c>
      <c r="D20" s="3">
        <f t="shared" si="0"/>
        <v>5.330154088667193</v>
      </c>
    </row>
    <row r="21" spans="1:4" x14ac:dyDescent="0.2">
      <c r="A21" s="1" t="s">
        <v>59</v>
      </c>
      <c r="B21" s="2"/>
      <c r="C21" s="2">
        <v>7257191</v>
      </c>
      <c r="D21" s="3">
        <f t="shared" si="0"/>
        <v>3.8525290890540553</v>
      </c>
    </row>
    <row r="22" spans="1:4" x14ac:dyDescent="0.2">
      <c r="A22" s="1" t="s">
        <v>62</v>
      </c>
      <c r="B22" s="2"/>
      <c r="C22" s="2">
        <v>5391242</v>
      </c>
      <c r="D22" s="3">
        <f t="shared" si="0"/>
        <v>2.8619774002268872</v>
      </c>
    </row>
    <row r="23" spans="1:4" x14ac:dyDescent="0.2">
      <c r="A23" s="1" t="s">
        <v>64</v>
      </c>
      <c r="B23" s="2"/>
      <c r="C23" s="2">
        <v>4781479</v>
      </c>
      <c r="D23" s="3">
        <f t="shared" si="0"/>
        <v>2.5382805738750838</v>
      </c>
    </row>
    <row r="24" spans="1:4" x14ac:dyDescent="0.2">
      <c r="A24" s="1" t="s">
        <v>160</v>
      </c>
      <c r="B24" s="2"/>
      <c r="C24" s="2">
        <v>3123761</v>
      </c>
      <c r="D24" s="3">
        <f t="shared" si="0"/>
        <v>1.6582697244364362</v>
      </c>
    </row>
    <row r="25" spans="1:4" x14ac:dyDescent="0.2">
      <c r="A25" s="1" t="s">
        <v>63</v>
      </c>
      <c r="B25" s="2"/>
      <c r="C25" s="2">
        <v>3637322</v>
      </c>
      <c r="D25" s="3">
        <f t="shared" si="0"/>
        <v>1.9308970662693423</v>
      </c>
    </row>
    <row r="26" spans="1:4" x14ac:dyDescent="0.2">
      <c r="A26" s="1" t="s">
        <v>71</v>
      </c>
      <c r="B26" s="2"/>
      <c r="C26" s="2">
        <v>1376492</v>
      </c>
      <c r="D26" s="3">
        <f t="shared" si="0"/>
        <v>0.73072011896203293</v>
      </c>
    </row>
    <row r="27" spans="1:4" x14ac:dyDescent="0.2">
      <c r="A27" s="1" t="s">
        <v>68</v>
      </c>
      <c r="B27" s="2"/>
      <c r="C27" s="2">
        <v>9794016</v>
      </c>
      <c r="D27" s="3">
        <f t="shared" si="0"/>
        <v>5.1992198549908419</v>
      </c>
    </row>
    <row r="28" spans="1:4" x14ac:dyDescent="0.2">
      <c r="A28" s="1" t="s">
        <v>66</v>
      </c>
      <c r="B28" s="2"/>
      <c r="C28" s="2">
        <v>7022962</v>
      </c>
      <c r="D28" s="3">
        <f t="shared" si="0"/>
        <v>3.7281870349452353</v>
      </c>
    </row>
    <row r="29" spans="1:4" x14ac:dyDescent="0.2">
      <c r="A29" s="1" t="s">
        <v>67</v>
      </c>
      <c r="B29" s="2"/>
      <c r="C29" s="2">
        <v>936021</v>
      </c>
      <c r="D29" s="3">
        <f t="shared" si="0"/>
        <v>0.49689309961188366</v>
      </c>
    </row>
    <row r="30" spans="1:4" x14ac:dyDescent="0.2">
      <c r="A30" s="1" t="s">
        <v>11</v>
      </c>
      <c r="B30" s="2"/>
      <c r="C30" s="2"/>
      <c r="D30" s="3">
        <f t="shared" si="0"/>
        <v>0</v>
      </c>
    </row>
    <row r="31" spans="1:4" x14ac:dyDescent="0.2">
      <c r="A31" s="1" t="s">
        <v>12</v>
      </c>
      <c r="B31" s="2"/>
      <c r="C31" s="2">
        <v>1000</v>
      </c>
      <c r="D31" s="3">
        <f t="shared" si="0"/>
        <v>5.3085678591814037E-4</v>
      </c>
    </row>
    <row r="32" spans="1:4" x14ac:dyDescent="0.2">
      <c r="A32" s="1" t="s">
        <v>13</v>
      </c>
      <c r="B32" s="2"/>
      <c r="C32" s="2">
        <v>1795529</v>
      </c>
      <c r="D32" s="3">
        <f t="shared" si="0"/>
        <v>0.95316875396281275</v>
      </c>
    </row>
    <row r="33" spans="1:4" x14ac:dyDescent="0.2">
      <c r="A33" s="1" t="s">
        <v>14</v>
      </c>
      <c r="B33" s="2"/>
      <c r="C33" s="2">
        <v>32675</v>
      </c>
      <c r="D33" s="3">
        <f t="shared" si="0"/>
        <v>1.7345745479875239E-2</v>
      </c>
    </row>
    <row r="34" spans="1:4" x14ac:dyDescent="0.2">
      <c r="A34" s="1" t="s">
        <v>15</v>
      </c>
      <c r="B34" s="2"/>
      <c r="C34" s="9">
        <f>SUM(C18:C33)</f>
        <v>115463232</v>
      </c>
      <c r="D34" s="10">
        <f t="shared" si="0"/>
        <v>61.294440231240578</v>
      </c>
    </row>
    <row r="35" spans="1:4" x14ac:dyDescent="0.2">
      <c r="A35" s="1"/>
      <c r="B35" s="2"/>
      <c r="C35" s="2"/>
      <c r="D35" s="3"/>
    </row>
    <row r="36" spans="1:4" x14ac:dyDescent="0.2">
      <c r="A36" s="8" t="s">
        <v>16</v>
      </c>
      <c r="B36" s="2"/>
      <c r="C36" s="2"/>
      <c r="D36" s="3"/>
    </row>
    <row r="37" spans="1:4" x14ac:dyDescent="0.2">
      <c r="A37" s="1" t="s">
        <v>69</v>
      </c>
      <c r="B37" s="2"/>
      <c r="C37" s="2">
        <v>2411816</v>
      </c>
      <c r="D37" s="3">
        <f>C37/$C$107*100</f>
        <v>1.2803288899859457</v>
      </c>
    </row>
    <row r="38" spans="1:4" x14ac:dyDescent="0.2">
      <c r="A38" s="1" t="s">
        <v>17</v>
      </c>
      <c r="B38" s="2"/>
      <c r="C38" s="2">
        <v>5814970</v>
      </c>
      <c r="D38" s="3">
        <f>C38/$C$107*100</f>
        <v>3.086916284410409</v>
      </c>
    </row>
    <row r="39" spans="1:4" x14ac:dyDescent="0.2">
      <c r="A39" s="1" t="s">
        <v>18</v>
      </c>
      <c r="B39" s="2"/>
      <c r="C39" s="9">
        <f>SUM(C37:C38)</f>
        <v>8226786</v>
      </c>
      <c r="D39" s="10">
        <f>C39/$C$107*100</f>
        <v>4.3672451743963547</v>
      </c>
    </row>
    <row r="40" spans="1:4" x14ac:dyDescent="0.2">
      <c r="A40" s="1"/>
      <c r="B40" s="2"/>
      <c r="C40" s="2"/>
      <c r="D40" s="3" t="s">
        <v>10</v>
      </c>
    </row>
    <row r="41" spans="1:4" x14ac:dyDescent="0.2">
      <c r="A41" s="8" t="s">
        <v>65</v>
      </c>
      <c r="B41" s="2"/>
      <c r="C41" s="2" t="s">
        <v>19</v>
      </c>
      <c r="D41" s="3" t="s">
        <v>10</v>
      </c>
    </row>
    <row r="42" spans="1:4" x14ac:dyDescent="0.2">
      <c r="A42" s="1" t="s">
        <v>20</v>
      </c>
      <c r="B42" s="2"/>
      <c r="C42" s="2">
        <v>646826</v>
      </c>
      <c r="D42" s="3">
        <f>C42/$C$107*100</f>
        <v>0.34337197140828712</v>
      </c>
    </row>
    <row r="43" spans="1:4" x14ac:dyDescent="0.2">
      <c r="A43" s="1" t="s">
        <v>21</v>
      </c>
      <c r="B43" s="1"/>
      <c r="C43" s="2">
        <v>611537</v>
      </c>
      <c r="D43" s="3">
        <f>C43/$C$107*100</f>
        <v>0.32463856629002186</v>
      </c>
    </row>
    <row r="44" spans="1:4" x14ac:dyDescent="0.2">
      <c r="A44" s="1" t="s">
        <v>22</v>
      </c>
      <c r="B44" s="2"/>
      <c r="C44" s="2">
        <v>1573545</v>
      </c>
      <c r="D44" s="3">
        <f>C44/$C$107*100</f>
        <v>0.83532704119756018</v>
      </c>
    </row>
    <row r="45" spans="1:4" x14ac:dyDescent="0.2">
      <c r="A45" s="1" t="s">
        <v>23</v>
      </c>
      <c r="B45" s="2"/>
      <c r="C45" s="2">
        <v>2455479</v>
      </c>
      <c r="D45" s="3">
        <f>C45/$C$107*100</f>
        <v>1.3035076898294895</v>
      </c>
    </row>
    <row r="46" spans="1:4" x14ac:dyDescent="0.2">
      <c r="A46" s="1" t="s">
        <v>24</v>
      </c>
      <c r="B46" s="2"/>
      <c r="C46" s="9">
        <f>SUM(C42:C45)</f>
        <v>5287387</v>
      </c>
      <c r="D46" s="10">
        <f>C46/$C$107*100</f>
        <v>2.8068452687253589</v>
      </c>
    </row>
    <row r="47" spans="1:4" x14ac:dyDescent="0.2">
      <c r="A47" s="1"/>
      <c r="B47" s="2"/>
      <c r="C47" s="2"/>
      <c r="D47" s="3" t="s">
        <v>10</v>
      </c>
    </row>
    <row r="48" spans="1:4" x14ac:dyDescent="0.2">
      <c r="A48" s="1" t="s">
        <v>25</v>
      </c>
      <c r="B48" s="2"/>
      <c r="C48" s="2">
        <f>SUM(C34,C39,C46)</f>
        <v>128977405</v>
      </c>
      <c r="D48" s="3">
        <f>C48/$C$107*100</f>
        <v>68.468530674362299</v>
      </c>
    </row>
    <row r="49" spans="1:4" x14ac:dyDescent="0.2">
      <c r="A49" s="1"/>
      <c r="B49" s="2"/>
      <c r="C49" s="2"/>
      <c r="D49" s="3"/>
    </row>
    <row r="51" spans="1:4" x14ac:dyDescent="0.2">
      <c r="C51" s="357">
        <f>+C3</f>
        <v>38163</v>
      </c>
      <c r="D51" s="357"/>
    </row>
    <row r="52" spans="1:4" x14ac:dyDescent="0.2">
      <c r="C52" s="13" t="s">
        <v>0</v>
      </c>
      <c r="D52" s="13" t="s">
        <v>1</v>
      </c>
    </row>
    <row r="53" spans="1:4" ht="18" x14ac:dyDescent="0.25">
      <c r="A53" s="7" t="s">
        <v>26</v>
      </c>
      <c r="B53" s="2"/>
      <c r="C53" s="2"/>
      <c r="D53" s="3" t="s">
        <v>10</v>
      </c>
    </row>
    <row r="54" spans="1:4" x14ac:dyDescent="0.2">
      <c r="A54" s="1" t="s">
        <v>27</v>
      </c>
      <c r="B54" s="2"/>
      <c r="C54" s="2">
        <v>2474690</v>
      </c>
      <c r="D54" s="3">
        <f t="shared" ref="D54:D60" si="1">C54/$C$107*100</f>
        <v>1.3137059795437629</v>
      </c>
    </row>
    <row r="55" spans="1:4" x14ac:dyDescent="0.2">
      <c r="A55" s="1" t="s">
        <v>28</v>
      </c>
      <c r="B55" s="2"/>
      <c r="C55" s="2">
        <v>1036393</v>
      </c>
      <c r="D55" s="3">
        <f t="shared" si="1"/>
        <v>0.55017625692805927</v>
      </c>
    </row>
    <row r="56" spans="1:4" x14ac:dyDescent="0.2">
      <c r="A56" s="1" t="s">
        <v>29</v>
      </c>
      <c r="B56" s="2"/>
      <c r="C56" s="2">
        <v>9220348</v>
      </c>
      <c r="D56" s="3">
        <f t="shared" si="1"/>
        <v>4.8946843043267538</v>
      </c>
    </row>
    <row r="57" spans="1:4" x14ac:dyDescent="0.2">
      <c r="A57" s="1" t="s">
        <v>49</v>
      </c>
      <c r="B57" s="2"/>
      <c r="C57" s="2">
        <v>4842015</v>
      </c>
      <c r="D57" s="3">
        <f t="shared" si="1"/>
        <v>2.5704165202674245</v>
      </c>
    </row>
    <row r="58" spans="1:4" x14ac:dyDescent="0.2">
      <c r="A58" s="1" t="s">
        <v>30</v>
      </c>
      <c r="B58" s="2"/>
      <c r="C58" s="2">
        <v>3497458</v>
      </c>
      <c r="D58" s="3">
        <f t="shared" si="1"/>
        <v>1.8566493127636876</v>
      </c>
    </row>
    <row r="59" spans="1:4" x14ac:dyDescent="0.2">
      <c r="A59" s="1" t="s">
        <v>70</v>
      </c>
      <c r="B59" s="2"/>
      <c r="C59" s="2">
        <v>943580</v>
      </c>
      <c r="D59" s="3">
        <f t="shared" si="1"/>
        <v>0.5009058460566389</v>
      </c>
    </row>
    <row r="60" spans="1:4" x14ac:dyDescent="0.2">
      <c r="A60" s="1" t="s">
        <v>14</v>
      </c>
      <c r="B60" s="2"/>
      <c r="C60" s="2">
        <v>153724</v>
      </c>
      <c r="D60" s="3">
        <f t="shared" si="1"/>
        <v>8.1605428558480214E-2</v>
      </c>
    </row>
    <row r="61" spans="1:4" x14ac:dyDescent="0.2">
      <c r="A61" s="1"/>
      <c r="B61" s="1"/>
      <c r="C61" s="5"/>
      <c r="D61" s="5"/>
    </row>
    <row r="62" spans="1:4" x14ac:dyDescent="0.2">
      <c r="A62" s="1" t="s">
        <v>25</v>
      </c>
      <c r="B62" s="2"/>
      <c r="C62" s="2">
        <f>SUM(C54:C60)</f>
        <v>22168208</v>
      </c>
      <c r="D62" s="3">
        <f>C62/$C$107*100</f>
        <v>11.768143648444807</v>
      </c>
    </row>
    <row r="63" spans="1:4" x14ac:dyDescent="0.2">
      <c r="A63" s="1"/>
      <c r="B63" s="2"/>
      <c r="C63" s="2"/>
    </row>
    <row r="64" spans="1:4" ht="18" x14ac:dyDescent="0.25">
      <c r="A64" s="7" t="s">
        <v>31</v>
      </c>
      <c r="B64" s="2"/>
      <c r="C64" s="2"/>
      <c r="D64" s="3" t="s">
        <v>10</v>
      </c>
    </row>
    <row r="65" spans="1:4" x14ac:dyDescent="0.2">
      <c r="A65" s="1" t="s">
        <v>50</v>
      </c>
      <c r="B65" s="2"/>
      <c r="C65" s="2">
        <f>851544</f>
        <v>851544</v>
      </c>
      <c r="D65" s="3">
        <f>C65/$C$107*100</f>
        <v>0.45204791090787694</v>
      </c>
    </row>
    <row r="66" spans="1:4" x14ac:dyDescent="0.2">
      <c r="A66" s="1" t="s">
        <v>33</v>
      </c>
      <c r="B66" s="2"/>
      <c r="C66" s="2">
        <v>555280</v>
      </c>
      <c r="D66" s="3">
        <f>C66/$C$107*100</f>
        <v>0.29477415608462498</v>
      </c>
    </row>
    <row r="67" spans="1:4" x14ac:dyDescent="0.2">
      <c r="A67" s="1" t="s">
        <v>34</v>
      </c>
      <c r="B67" s="2"/>
      <c r="C67" s="2">
        <v>44788</v>
      </c>
      <c r="D67" s="3">
        <f>C67/$C$107*100</f>
        <v>2.3776013727701672E-2</v>
      </c>
    </row>
    <row r="68" spans="1:4" x14ac:dyDescent="0.2">
      <c r="A68" s="1" t="s">
        <v>14</v>
      </c>
      <c r="B68" s="2"/>
      <c r="C68" s="2">
        <v>25323</v>
      </c>
      <c r="D68" s="3">
        <f>C68/$C$107*100</f>
        <v>1.344288638980507E-2</v>
      </c>
    </row>
    <row r="69" spans="1:4" x14ac:dyDescent="0.2">
      <c r="A69" s="1"/>
      <c r="B69" s="1"/>
      <c r="C69" s="5"/>
      <c r="D69" s="5"/>
    </row>
    <row r="70" spans="1:4" x14ac:dyDescent="0.2">
      <c r="A70" s="1" t="s">
        <v>25</v>
      </c>
      <c r="B70" s="2"/>
      <c r="C70" s="2">
        <f>SUM(C65:C69)</f>
        <v>1476935</v>
      </c>
      <c r="D70" s="3">
        <f>C70/$C$107*100</f>
        <v>0.7840409671100087</v>
      </c>
    </row>
    <row r="71" spans="1:4" x14ac:dyDescent="0.2">
      <c r="A71" s="1"/>
      <c r="B71" s="2"/>
      <c r="C71" s="2"/>
      <c r="D71" s="3"/>
    </row>
    <row r="72" spans="1:4" ht="18" x14ac:dyDescent="0.25">
      <c r="A72" s="7" t="s">
        <v>51</v>
      </c>
      <c r="B72" s="2"/>
      <c r="C72" s="2"/>
      <c r="D72" s="3" t="s">
        <v>10</v>
      </c>
    </row>
    <row r="73" spans="1:4" x14ac:dyDescent="0.2">
      <c r="A73" s="1" t="s">
        <v>52</v>
      </c>
      <c r="B73" s="2"/>
      <c r="C73" s="2">
        <v>2082119</v>
      </c>
      <c r="D73" s="3">
        <f>C73/$C$107*100</f>
        <v>1.1053070002390926</v>
      </c>
    </row>
    <row r="74" spans="1:4" x14ac:dyDescent="0.2">
      <c r="A74" s="1" t="s">
        <v>53</v>
      </c>
      <c r="B74" s="2"/>
      <c r="C74" s="2">
        <v>573432</v>
      </c>
      <c r="D74" s="3">
        <f>C74/$C$107*100</f>
        <v>0.3044102684626111</v>
      </c>
    </row>
    <row r="75" spans="1:4" x14ac:dyDescent="0.2">
      <c r="A75" s="1" t="s">
        <v>54</v>
      </c>
      <c r="B75" s="2"/>
      <c r="C75" s="2">
        <v>85828</v>
      </c>
      <c r="D75" s="3">
        <f>C75/$C$107*100</f>
        <v>4.5562376221782157E-2</v>
      </c>
    </row>
    <row r="76" spans="1:4" x14ac:dyDescent="0.2">
      <c r="A76" s="1" t="s">
        <v>57</v>
      </c>
      <c r="B76" s="2"/>
      <c r="C76" s="2">
        <v>420158</v>
      </c>
      <c r="D76" s="3">
        <f>C76/$C$107*100</f>
        <v>0.22304372545779405</v>
      </c>
    </row>
    <row r="77" spans="1:4" x14ac:dyDescent="0.2">
      <c r="A77" s="1" t="s">
        <v>14</v>
      </c>
      <c r="B77" s="2"/>
      <c r="C77" s="2">
        <v>59321</v>
      </c>
      <c r="D77" s="3">
        <f>C77/$C$107*100</f>
        <v>3.1490955397450004E-2</v>
      </c>
    </row>
    <row r="78" spans="1:4" x14ac:dyDescent="0.2">
      <c r="A78" s="1"/>
      <c r="B78" s="1"/>
      <c r="C78" s="5"/>
      <c r="D78" s="5"/>
    </row>
    <row r="79" spans="1:4" x14ac:dyDescent="0.2">
      <c r="A79" s="1" t="s">
        <v>25</v>
      </c>
      <c r="B79" s="2"/>
      <c r="C79" s="2">
        <f>SUM(C73:C78)</f>
        <v>3220858</v>
      </c>
      <c r="D79" s="3">
        <f>C79/$C$107*100</f>
        <v>1.7098143257787297</v>
      </c>
    </row>
    <row r="80" spans="1:4" x14ac:dyDescent="0.2">
      <c r="A80" s="1"/>
      <c r="B80" s="2"/>
      <c r="C80" s="2"/>
      <c r="D80" s="3"/>
    </row>
    <row r="81" spans="1:4" ht="18" x14ac:dyDescent="0.25">
      <c r="A81" s="7" t="s">
        <v>47</v>
      </c>
      <c r="B81" s="2"/>
      <c r="C81" s="2"/>
      <c r="D81" s="3"/>
    </row>
    <row r="82" spans="1:4" x14ac:dyDescent="0.2">
      <c r="A82" s="1" t="s">
        <v>32</v>
      </c>
      <c r="B82" s="2"/>
      <c r="C82" s="2">
        <v>2614786</v>
      </c>
      <c r="D82" s="3">
        <f>C82/$C$107*100</f>
        <v>1.3880768918237507</v>
      </c>
    </row>
    <row r="83" spans="1:4" x14ac:dyDescent="0.2">
      <c r="A83" s="1" t="s">
        <v>14</v>
      </c>
      <c r="B83" s="2"/>
      <c r="C83" s="2">
        <v>0</v>
      </c>
      <c r="D83" s="3">
        <f>C83/$C$107*100</f>
        <v>0</v>
      </c>
    </row>
    <row r="84" spans="1:4" x14ac:dyDescent="0.2">
      <c r="A84" s="1"/>
      <c r="B84" s="2"/>
      <c r="C84" s="5"/>
      <c r="D84" s="5"/>
    </row>
    <row r="85" spans="1:4" x14ac:dyDescent="0.2">
      <c r="A85" s="1" t="s">
        <v>25</v>
      </c>
      <c r="B85" s="2"/>
      <c r="C85" s="2">
        <f>SUM(C82:C84)</f>
        <v>2614786</v>
      </c>
      <c r="D85" s="3">
        <f>C85/$C$107*100</f>
        <v>1.3880768918237507</v>
      </c>
    </row>
    <row r="86" spans="1:4" x14ac:dyDescent="0.2">
      <c r="A86" s="1"/>
      <c r="B86" s="2"/>
      <c r="C86" s="2"/>
      <c r="D86" s="3"/>
    </row>
    <row r="87" spans="1:4" ht="18" x14ac:dyDescent="0.25">
      <c r="A87" s="7" t="s">
        <v>35</v>
      </c>
      <c r="B87" s="2"/>
      <c r="C87" s="2"/>
      <c r="D87" s="3"/>
    </row>
    <row r="88" spans="1:4" x14ac:dyDescent="0.2">
      <c r="A88" s="1" t="s">
        <v>35</v>
      </c>
      <c r="B88" s="2"/>
      <c r="C88" s="2">
        <v>2944658</v>
      </c>
      <c r="D88" s="3">
        <f>C88/$C$107*100</f>
        <v>1.5631916815081395</v>
      </c>
    </row>
    <row r="89" spans="1:4" x14ac:dyDescent="0.2">
      <c r="A89" s="1"/>
      <c r="B89" s="1"/>
      <c r="C89" s="5"/>
      <c r="D89" s="5"/>
    </row>
    <row r="90" spans="1:4" x14ac:dyDescent="0.2">
      <c r="A90" s="1" t="s">
        <v>25</v>
      </c>
      <c r="B90" s="2"/>
      <c r="C90" s="2">
        <f>C88</f>
        <v>2944658</v>
      </c>
      <c r="D90" s="3">
        <f>C90/$C$107*100</f>
        <v>1.5631916815081395</v>
      </c>
    </row>
    <row r="91" spans="1:4" x14ac:dyDescent="0.2">
      <c r="A91" s="1"/>
      <c r="B91" s="2"/>
      <c r="C91" s="2"/>
      <c r="D91" s="3"/>
    </row>
    <row r="92" spans="1:4" ht="18" x14ac:dyDescent="0.25">
      <c r="A92" s="7" t="s">
        <v>36</v>
      </c>
      <c r="B92" s="2"/>
      <c r="C92" s="2"/>
      <c r="D92" s="3" t="s">
        <v>10</v>
      </c>
    </row>
    <row r="93" spans="1:4" x14ac:dyDescent="0.2">
      <c r="A93" s="1" t="s">
        <v>48</v>
      </c>
      <c r="B93" s="2"/>
      <c r="C93" s="2">
        <v>0</v>
      </c>
      <c r="D93" s="3">
        <f t="shared" ref="D93:D101" si="2">C93/$C$107*100</f>
        <v>0</v>
      </c>
    </row>
    <row r="94" spans="1:4" x14ac:dyDescent="0.2">
      <c r="A94" s="1" t="s">
        <v>131</v>
      </c>
      <c r="B94" s="1"/>
      <c r="C94" s="2">
        <v>11695858</v>
      </c>
      <c r="D94" s="3">
        <f t="shared" si="2"/>
        <v>6.20882558643497</v>
      </c>
    </row>
    <row r="95" spans="1:4" x14ac:dyDescent="0.2">
      <c r="A95" s="1" t="s">
        <v>37</v>
      </c>
      <c r="B95" s="2"/>
      <c r="C95" s="2">
        <v>3485517</v>
      </c>
      <c r="D95" s="3">
        <f t="shared" si="2"/>
        <v>1.8503103518830388</v>
      </c>
    </row>
    <row r="96" spans="1:4" x14ac:dyDescent="0.2">
      <c r="A96" s="1" t="s">
        <v>38</v>
      </c>
      <c r="B96" s="2"/>
      <c r="C96" s="2">
        <v>4154435</v>
      </c>
      <c r="D96" s="3">
        <f t="shared" si="2"/>
        <v>2.2054100114058297</v>
      </c>
    </row>
    <row r="97" spans="1:4" x14ac:dyDescent="0.2">
      <c r="A97" s="1" t="s">
        <v>39</v>
      </c>
      <c r="B97" s="2"/>
      <c r="C97" s="2">
        <v>565300</v>
      </c>
      <c r="D97" s="3">
        <f t="shared" si="2"/>
        <v>0.30009334107952473</v>
      </c>
    </row>
    <row r="98" spans="1:4" x14ac:dyDescent="0.2">
      <c r="A98" s="1" t="s">
        <v>40</v>
      </c>
      <c r="B98" s="2"/>
      <c r="C98" s="2">
        <v>388966</v>
      </c>
      <c r="D98" s="3">
        <f t="shared" si="2"/>
        <v>0.20648524059143541</v>
      </c>
    </row>
    <row r="99" spans="1:4" x14ac:dyDescent="0.2">
      <c r="A99" s="1" t="s">
        <v>41</v>
      </c>
      <c r="B99" s="2"/>
      <c r="C99" s="2">
        <v>4589756</v>
      </c>
      <c r="D99" s="3">
        <f t="shared" si="2"/>
        <v>2.4365031183085004</v>
      </c>
    </row>
    <row r="100" spans="1:4" x14ac:dyDescent="0.2">
      <c r="A100" s="1" t="s">
        <v>42</v>
      </c>
      <c r="B100" s="2"/>
      <c r="C100" s="2">
        <v>92041</v>
      </c>
      <c r="D100" s="3">
        <f t="shared" si="2"/>
        <v>4.8860589432691559E-2</v>
      </c>
    </row>
    <row r="101" spans="1:4" x14ac:dyDescent="0.2">
      <c r="A101" s="1" t="s">
        <v>43</v>
      </c>
      <c r="B101" s="2"/>
      <c r="C101" s="9">
        <f>SUM(C93:C100)</f>
        <v>24971873</v>
      </c>
      <c r="D101" s="10">
        <f t="shared" si="2"/>
        <v>13.256488239135992</v>
      </c>
    </row>
    <row r="102" spans="1:4" x14ac:dyDescent="0.2">
      <c r="A102" s="1"/>
      <c r="B102" s="2"/>
      <c r="C102" s="2"/>
    </row>
    <row r="103" spans="1:4" x14ac:dyDescent="0.2">
      <c r="A103" s="1" t="s">
        <v>44</v>
      </c>
      <c r="B103" s="2"/>
      <c r="C103" s="11">
        <v>2000000</v>
      </c>
      <c r="D103" s="12">
        <f>C103/$C$107*100</f>
        <v>1.0617135718362809</v>
      </c>
    </row>
    <row r="105" spans="1:4" x14ac:dyDescent="0.2">
      <c r="A105" s="1" t="s">
        <v>45</v>
      </c>
      <c r="B105" s="2"/>
      <c r="C105" s="2">
        <f>C101+C103</f>
        <v>26971873</v>
      </c>
      <c r="D105" s="3">
        <f>C105/$C$107*100</f>
        <v>14.318201810972273</v>
      </c>
    </row>
    <row r="106" spans="1:4" x14ac:dyDescent="0.2">
      <c r="A106" s="1"/>
      <c r="B106" s="2"/>
      <c r="C106" s="2"/>
      <c r="D106" s="3"/>
    </row>
    <row r="107" spans="1:4" x14ac:dyDescent="0.2">
      <c r="A107" s="1" t="s">
        <v>46</v>
      </c>
      <c r="B107" s="2"/>
      <c r="C107" s="2">
        <f>C48+C62+C70+C79+C85+C90+C105</f>
        <v>188374723</v>
      </c>
      <c r="D107" s="3">
        <f>C107/$C$107*100</f>
        <v>100</v>
      </c>
    </row>
  </sheetData>
  <mergeCells count="2">
    <mergeCell ref="C3:D3"/>
    <mergeCell ref="C51:D51"/>
  </mergeCells>
  <pageMargins left="0.7" right="0.7" top="0.75" bottom="0.75" header="0.3" footer="0.3"/>
  <pageSetup scale="4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19</vt:i4>
      </vt:variant>
      <vt:variant>
        <vt:lpstr>Charts</vt:lpstr>
      </vt:variant>
      <vt:variant>
        <vt:i4>7</vt:i4>
      </vt:variant>
      <vt:variant>
        <vt:lpstr>Named Ranges</vt:lpstr>
      </vt:variant>
      <vt:variant>
        <vt:i4>13</vt:i4>
      </vt:variant>
    </vt:vector>
  </HeadingPairs>
  <TitlesOfParts>
    <vt:vector size="39" baseType="lpstr">
      <vt:lpstr>Colleges FYES</vt:lpstr>
      <vt:lpstr>SCH</vt:lpstr>
      <vt:lpstr>FYES per</vt:lpstr>
      <vt:lpstr>combined</vt:lpstr>
      <vt:lpstr>GF Expend</vt:lpstr>
      <vt:lpstr>FacStaff $</vt:lpstr>
      <vt:lpstr>2002-2003</vt:lpstr>
      <vt:lpstr>2003-2004</vt:lpstr>
      <vt:lpstr>2004-2005</vt:lpstr>
      <vt:lpstr>2005-2006</vt:lpstr>
      <vt:lpstr>2006-2007</vt:lpstr>
      <vt:lpstr>2007-2008</vt:lpstr>
      <vt:lpstr>2008-2009</vt:lpstr>
      <vt:lpstr>2009-2010</vt:lpstr>
      <vt:lpstr>2010-2011</vt:lpstr>
      <vt:lpstr>2011-2012</vt:lpstr>
      <vt:lpstr>2012-2013</vt:lpstr>
      <vt:lpstr>2013-2014</vt:lpstr>
      <vt:lpstr>2014-2015</vt:lpstr>
      <vt:lpstr>MPU 15 FYES</vt:lpstr>
      <vt:lpstr>ProfAdmin per FYES Chart</vt:lpstr>
      <vt:lpstr>Service per FYES Chart</vt:lpstr>
      <vt:lpstr>Faculty per FYES Chart</vt:lpstr>
      <vt:lpstr>FTE All Categories</vt:lpstr>
      <vt:lpstr>CPI Adjusted Salaries</vt:lpstr>
      <vt:lpstr>CPI Adjusted Monthly Salaries </vt:lpstr>
      <vt:lpstr>SCH!IDX</vt:lpstr>
      <vt:lpstr>'2006-2007'!Print_Area</vt:lpstr>
      <vt:lpstr>'2007-2008'!Print_Area</vt:lpstr>
      <vt:lpstr>'2008-2009'!Print_Area</vt:lpstr>
      <vt:lpstr>'2009-2010'!Print_Area</vt:lpstr>
      <vt:lpstr>'2010-2011'!Print_Area</vt:lpstr>
      <vt:lpstr>'2011-2012'!Print_Area</vt:lpstr>
      <vt:lpstr>'2014-2015'!Print_Area</vt:lpstr>
      <vt:lpstr>'2008-2009'!Print_Titles</vt:lpstr>
      <vt:lpstr>'2009-2010'!Print_Titles</vt:lpstr>
      <vt:lpstr>'2010-2011'!Print_Titles</vt:lpstr>
      <vt:lpstr>'2011-2012'!Print_Titles</vt:lpstr>
      <vt:lpstr>'2014-2015'!Print_Titles</vt:lpstr>
    </vt:vector>
  </TitlesOfParts>
  <Company>GVSU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 Hine</dc:creator>
  <cp:lastModifiedBy>Lawrence Burns</cp:lastModifiedBy>
  <cp:lastPrinted>2014-12-23T20:22:53Z</cp:lastPrinted>
  <dcterms:created xsi:type="dcterms:W3CDTF">1998-05-23T19:03:53Z</dcterms:created>
  <dcterms:modified xsi:type="dcterms:W3CDTF">2015-01-19T04:46:26Z</dcterms:modified>
</cp:coreProperties>
</file>