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sa401683\Box Sync\Back-up\MY DOCUMENTS\PR\Released Version\Strategic Portal\"/>
    </mc:Choice>
  </mc:AlternateContent>
  <bookViews>
    <workbookView xWindow="0" yWindow="0" windowWidth="10200" windowHeight="6240" tabRatio="740"/>
  </bookViews>
  <sheets>
    <sheet name="Inputs &amp; Estimations" sheetId="11" r:id="rId1"/>
    <sheet name="Sheet1" sheetId="12" r:id="rId2"/>
  </sheets>
  <externalReferences>
    <externalReference r:id="rId3"/>
  </externalReferences>
  <definedNames>
    <definedName name="Home">[1]Input!#REF!</definedName>
    <definedName name="_xlnm.Print_Area" localSheetId="0">'Inputs &amp; Estimations'!$A$1:$M$40</definedName>
    <definedName name="wrn.BCFE." hidden="1">{#N/A,#N/A,FALSE,"PAF";#N/A,#N/A,FALSE,"Cash Flow";#N/A,#N/A,FALSE,"Capital";#N/A,#N/A,FALSE,"Expense(1)";#N/A,#N/A,FALSE,"Expense(2)";#N/A,#N/A,FALSE,"Benefit(1)";#N/A,#N/A,FALSE,"Benefit(2)";#N/A,#N/A,FALSE,"People"}</definedName>
    <definedName name="wrn.Cash._.Flow." hidden="1">{#N/A,#N/A,FALSE,"Cash Flow"}</definedName>
    <definedName name="wrn.PAF." hidden="1">{#N/A,#N/A,FALSE,"PAF"}</definedName>
  </definedNames>
  <calcPr calcId="171027"/>
</workbook>
</file>

<file path=xl/calcChain.xml><?xml version="1.0" encoding="utf-8"?>
<calcChain xmlns="http://schemas.openxmlformats.org/spreadsheetml/2006/main">
  <c r="I14" i="12" l="1"/>
  <c r="H14" i="12"/>
  <c r="G14" i="12"/>
  <c r="F14" i="12"/>
  <c r="E25" i="11" l="1"/>
  <c r="D25" i="11" s="1"/>
  <c r="F72" i="11" l="1"/>
  <c r="E72" i="11"/>
  <c r="D72" i="11"/>
  <c r="C72" i="11"/>
  <c r="D6" i="11" l="1"/>
  <c r="D3" i="11"/>
  <c r="C3" i="11"/>
  <c r="G2" i="11"/>
  <c r="G5" i="11"/>
  <c r="D76" i="11"/>
  <c r="C22" i="11" l="1"/>
  <c r="E76" i="11"/>
  <c r="F76" i="11"/>
  <c r="C76" i="11"/>
  <c r="C101" i="11"/>
  <c r="C29" i="11"/>
  <c r="C16" i="11"/>
  <c r="G3" i="11" l="1"/>
  <c r="C105" i="11"/>
  <c r="C28" i="11"/>
  <c r="F30" i="11" l="1"/>
  <c r="G30" i="11"/>
  <c r="E30" i="11"/>
  <c r="D101" i="11"/>
  <c r="H101" i="11" l="1"/>
  <c r="G101" i="11"/>
  <c r="F101" i="11"/>
  <c r="E101" i="11"/>
  <c r="F106" i="11"/>
  <c r="G106" i="11"/>
  <c r="H106" i="11"/>
  <c r="C61" i="11"/>
  <c r="C47" i="11"/>
  <c r="C48" i="11"/>
  <c r="Q87" i="11" l="1"/>
  <c r="R87" i="11" s="1"/>
  <c r="G87" i="11"/>
  <c r="M87" i="11"/>
  <c r="N87" i="11"/>
  <c r="O87" i="11" s="1"/>
  <c r="J87" i="11"/>
  <c r="K87" i="11"/>
  <c r="L87" i="11" s="1"/>
  <c r="H87" i="11"/>
  <c r="P87" i="11"/>
  <c r="J88" i="11"/>
  <c r="M88" i="11"/>
  <c r="P88" i="11"/>
  <c r="G88" i="11"/>
  <c r="Q88" i="11"/>
  <c r="R88" i="11" s="1"/>
  <c r="K88" i="11"/>
  <c r="L88" i="11" s="1"/>
  <c r="N88" i="11"/>
  <c r="O88" i="11" s="1"/>
  <c r="H88" i="11"/>
  <c r="Q84" i="11"/>
  <c r="R84" i="11" s="1"/>
  <c r="N84" i="11"/>
  <c r="K84" i="11"/>
  <c r="L84" i="11" s="1"/>
  <c r="J86" i="11"/>
  <c r="P84" i="11"/>
  <c r="G84" i="11"/>
  <c r="M84" i="11"/>
  <c r="J84" i="11"/>
  <c r="H84" i="11"/>
  <c r="G54" i="11"/>
  <c r="M85" i="11"/>
  <c r="J80" i="11"/>
  <c r="G83" i="11"/>
  <c r="O84" i="11"/>
  <c r="J81" i="11"/>
  <c r="Q83" i="11"/>
  <c r="R83" i="11" s="1"/>
  <c r="N82" i="11"/>
  <c r="O82" i="11" s="1"/>
  <c r="N80" i="11"/>
  <c r="O80" i="11" s="1"/>
  <c r="K85" i="11"/>
  <c r="L85" i="11" s="1"/>
  <c r="H82" i="11"/>
  <c r="H80" i="11"/>
  <c r="N81" i="11"/>
  <c r="O81" i="11" s="1"/>
  <c r="N86" i="11"/>
  <c r="O86" i="11" s="1"/>
  <c r="K83" i="11"/>
  <c r="L83" i="11" s="1"/>
  <c r="H81" i="11"/>
  <c r="H86" i="11"/>
  <c r="Q81" i="11"/>
  <c r="R81" i="11" s="1"/>
  <c r="Q86" i="11"/>
  <c r="R86" i="11" s="1"/>
  <c r="Q80" i="11"/>
  <c r="R80" i="11" s="1"/>
  <c r="N85" i="11"/>
  <c r="O85" i="11" s="1"/>
  <c r="K82" i="11"/>
  <c r="L82" i="11" s="1"/>
  <c r="K80" i="11"/>
  <c r="L80" i="11" s="1"/>
  <c r="H85" i="11"/>
  <c r="Q85" i="11"/>
  <c r="R85" i="11" s="1"/>
  <c r="N83" i="11"/>
  <c r="O83" i="11" s="1"/>
  <c r="K81" i="11"/>
  <c r="L81" i="11" s="1"/>
  <c r="K86" i="11"/>
  <c r="L86" i="11" s="1"/>
  <c r="H83" i="11"/>
  <c r="Q82" i="11"/>
  <c r="R82" i="11" s="1"/>
  <c r="J85" i="11"/>
  <c r="P80" i="11"/>
  <c r="M86" i="11"/>
  <c r="P83" i="11"/>
  <c r="G81" i="11"/>
  <c r="M83" i="11"/>
  <c r="P85" i="11"/>
  <c r="G109" i="11"/>
  <c r="P86" i="11"/>
  <c r="P81" i="11"/>
  <c r="E50" i="11"/>
  <c r="J82" i="11"/>
  <c r="G86" i="11"/>
  <c r="P82" i="11"/>
  <c r="H109" i="11"/>
  <c r="M80" i="11"/>
  <c r="M82" i="11"/>
  <c r="G85" i="11"/>
  <c r="I52" i="11"/>
  <c r="J83" i="11"/>
  <c r="F109" i="11"/>
  <c r="G82" i="11"/>
  <c r="M81" i="11"/>
  <c r="G80" i="11"/>
  <c r="E51" i="11"/>
  <c r="G50" i="11"/>
  <c r="E54" i="11"/>
  <c r="I53" i="11"/>
  <c r="I49" i="11"/>
  <c r="I54" i="11"/>
  <c r="E49" i="11"/>
  <c r="I51" i="11"/>
  <c r="G49" i="11"/>
  <c r="E52" i="11"/>
  <c r="G51" i="11"/>
  <c r="I50" i="11"/>
  <c r="G53" i="11"/>
  <c r="G52" i="11"/>
  <c r="E53" i="11"/>
  <c r="D80" i="11" l="1"/>
  <c r="D86" i="11"/>
  <c r="D81" i="11"/>
  <c r="D88" i="11"/>
  <c r="I82" i="11"/>
  <c r="E82" i="11"/>
  <c r="M24" i="11" s="1"/>
  <c r="I87" i="11"/>
  <c r="E87" i="11"/>
  <c r="M29" i="11" s="1"/>
  <c r="D82" i="11"/>
  <c r="I83" i="11"/>
  <c r="E83" i="11"/>
  <c r="M25" i="11" s="1"/>
  <c r="I86" i="11"/>
  <c r="E86" i="11"/>
  <c r="M28" i="11" s="1"/>
  <c r="D84" i="11"/>
  <c r="L89" i="11"/>
  <c r="D87" i="11"/>
  <c r="I88" i="11"/>
  <c r="E88" i="11"/>
  <c r="M30" i="11" s="1"/>
  <c r="D85" i="11"/>
  <c r="I85" i="11"/>
  <c r="E85" i="11"/>
  <c r="M27" i="11" s="1"/>
  <c r="I81" i="11"/>
  <c r="E81" i="11"/>
  <c r="M23" i="11" s="1"/>
  <c r="I80" i="11"/>
  <c r="E80" i="11"/>
  <c r="M22" i="11" s="1"/>
  <c r="D83" i="11"/>
  <c r="I84" i="11"/>
  <c r="E84" i="11"/>
  <c r="M26" i="11" s="1"/>
  <c r="M89" i="11"/>
  <c r="J89" i="11"/>
  <c r="G89" i="11"/>
  <c r="R89" i="11"/>
  <c r="P89" i="11"/>
  <c r="O89" i="11"/>
  <c r="I55" i="11"/>
  <c r="H13" i="11" s="1"/>
  <c r="G55" i="11"/>
  <c r="G13" i="11" s="1"/>
  <c r="E55" i="11"/>
  <c r="F13" i="11" s="1"/>
  <c r="F84" i="11" l="1"/>
  <c r="F87" i="11"/>
  <c r="F81" i="11"/>
  <c r="F83" i="11"/>
  <c r="F88" i="11"/>
  <c r="F85" i="11"/>
  <c r="D93" i="11"/>
  <c r="I89" i="11"/>
  <c r="F82" i="11"/>
  <c r="E94" i="11"/>
  <c r="F86" i="11"/>
  <c r="E93" i="11"/>
  <c r="D89" i="11"/>
  <c r="D94" i="11"/>
  <c r="F80" i="11"/>
  <c r="E89" i="11"/>
  <c r="M31" i="11" s="1"/>
  <c r="F24" i="11"/>
  <c r="G24" i="11"/>
  <c r="I24" i="11"/>
  <c r="H24" i="11"/>
  <c r="F94" i="11" l="1"/>
  <c r="D96" i="11"/>
  <c r="C26" i="11" s="1"/>
  <c r="F89" i="11"/>
  <c r="F96" i="11" s="1"/>
  <c r="F93" i="11"/>
  <c r="E95" i="11"/>
  <c r="E96" i="11"/>
  <c r="D95" i="11"/>
  <c r="G4" i="11" l="1"/>
  <c r="G6" i="11" s="1"/>
  <c r="I6" i="11" s="1"/>
  <c r="C104" i="11"/>
  <c r="D106" i="11"/>
  <c r="D109" i="11" s="1"/>
  <c r="E106" i="11"/>
  <c r="E109" i="11" s="1"/>
  <c r="F95" i="11"/>
  <c r="C27" i="11"/>
  <c r="C106" i="11" l="1"/>
  <c r="C109" i="11" s="1"/>
  <c r="J103" i="11" l="1"/>
  <c r="F110" i="11"/>
  <c r="E110" i="11"/>
  <c r="G110" i="11"/>
  <c r="H110" i="11"/>
  <c r="C110" i="11"/>
  <c r="D110" i="11"/>
  <c r="F111" i="11" l="1"/>
  <c r="G111" i="11"/>
  <c r="D111" i="11"/>
  <c r="E111" i="11"/>
  <c r="H111" i="11"/>
  <c r="C38" i="11"/>
  <c r="L5" i="11" s="1"/>
  <c r="J106" i="11" l="1"/>
  <c r="C39" i="11" s="1"/>
  <c r="L6" i="11" s="1"/>
</calcChain>
</file>

<file path=xl/comments1.xml><?xml version="1.0" encoding="utf-8"?>
<comments xmlns="http://schemas.openxmlformats.org/spreadsheetml/2006/main">
  <authors>
    <author>Windows User</author>
  </authors>
  <commentList>
    <comment ref="B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20' Info gathering / 10' RFQ
30' Quotes review / 1 hr PR
Total: 2 hrs / part (average)
If required use 2   4   6   8 hrs
for different complexity levels</t>
        </r>
      </text>
    </comment>
  </commentList>
</comments>
</file>

<file path=xl/sharedStrings.xml><?xml version="1.0" encoding="utf-8"?>
<sst xmlns="http://schemas.openxmlformats.org/spreadsheetml/2006/main" count="235" uniqueCount="133">
  <si>
    <t>Medium</t>
  </si>
  <si>
    <t>Low</t>
  </si>
  <si>
    <t>Stampings</t>
  </si>
  <si>
    <t>Number of tools</t>
  </si>
  <si>
    <t>Plastics</t>
  </si>
  <si>
    <t>Die Casting</t>
  </si>
  <si>
    <t>Left-over material</t>
  </si>
  <si>
    <t>Collect info &amp; mark</t>
  </si>
  <si>
    <t>Other tools &amp; gages</t>
  </si>
  <si>
    <t>Year 1</t>
  </si>
  <si>
    <t>Year 2</t>
  </si>
  <si>
    <t>Year 3</t>
  </si>
  <si>
    <t>Year 4</t>
  </si>
  <si>
    <t>Year 5</t>
  </si>
  <si>
    <t>Discount Rate</t>
  </si>
  <si>
    <t>Project Expenditures</t>
  </si>
  <si>
    <t>Project Savings / Benefits</t>
  </si>
  <si>
    <t>Payback Ratio</t>
  </si>
  <si>
    <t>NPV ($000)</t>
  </si>
  <si>
    <t>Year 0</t>
  </si>
  <si>
    <t>Year</t>
  </si>
  <si>
    <t>Net Cash Flow</t>
  </si>
  <si>
    <t>CE Labor</t>
  </si>
  <si>
    <t>PE Labor</t>
  </si>
  <si>
    <t>PM Labor</t>
  </si>
  <si>
    <t>Samples</t>
  </si>
  <si>
    <t>Parts</t>
  </si>
  <si>
    <t>Complex</t>
  </si>
  <si>
    <t xml:space="preserve">     Samples / Tooling</t>
  </si>
  <si>
    <t xml:space="preserve">     Labor</t>
  </si>
  <si>
    <t xml:space="preserve">     Total Expendatures</t>
  </si>
  <si>
    <t>hr/piece</t>
  </si>
  <si>
    <t>Total Labor</t>
  </si>
  <si>
    <t>Adaptation / modifications</t>
  </si>
  <si>
    <t>Tooling Expenses Estimation</t>
  </si>
  <si>
    <t>Long distance? (Y/N)</t>
  </si>
  <si>
    <t>Inputs required</t>
  </si>
  <si>
    <t xml:space="preserve">     Yearly Savings  (TCO)</t>
  </si>
  <si>
    <t>NPV &amp; Payback</t>
  </si>
  <si>
    <t>Tool Expenses</t>
  </si>
  <si>
    <t>Resource expenses estimation</t>
  </si>
  <si>
    <t>Technology</t>
  </si>
  <si>
    <t>Expense</t>
  </si>
  <si>
    <t>Complexity</t>
  </si>
  <si>
    <t xml:space="preserve">Tool Expenses </t>
  </si>
  <si>
    <t>No. Parts</t>
  </si>
  <si>
    <t>Labor Estimation</t>
  </si>
  <si>
    <t>Outputs</t>
  </si>
  <si>
    <t>NPV (000's)</t>
  </si>
  <si>
    <t>Payback (years)</t>
  </si>
  <si>
    <t>* Packaging 20% more expensive if long distance</t>
  </si>
  <si>
    <t>** Transport &amp; customs 50% more expensive if long distance</t>
  </si>
  <si>
    <t>Packaging (skid)*</t>
  </si>
  <si>
    <t>Transport &amp; customs**</t>
  </si>
  <si>
    <t xml:space="preserve">     Yearly Savings  (TCO)*</t>
  </si>
  <si>
    <t>* Update for Project Prioritization with at least 80% of volume quoted</t>
  </si>
  <si>
    <t>Cummulative Cash Flow</t>
  </si>
  <si>
    <t>Payback calculation</t>
  </si>
  <si>
    <t>Rate USD/hr</t>
  </si>
  <si>
    <t>Y</t>
  </si>
  <si>
    <t>Lab  time</t>
  </si>
  <si>
    <t>Med-High</t>
  </si>
  <si>
    <t xml:space="preserve">     Labor Expenses (includes Lab)</t>
  </si>
  <si>
    <t>Tool expenses estimation (if tools are moved)</t>
  </si>
  <si>
    <t>hr</t>
  </si>
  <si>
    <t>USD</t>
  </si>
  <si>
    <t>USD / tool</t>
  </si>
  <si>
    <t>If ETO or big Circuit Breakers samples/assemblies are required go to higher limit</t>
  </si>
  <si>
    <t>1.5%</t>
  </si>
  <si>
    <t>2.0%</t>
  </si>
  <si>
    <t>2.3%</t>
  </si>
  <si>
    <t>Sample expenses estimation</t>
  </si>
  <si>
    <t>~1.5-2.3 % of Annual volume (Spend of parts included)</t>
  </si>
  <si>
    <t>Mature year once project is completed</t>
  </si>
  <si>
    <t>Time (estimates/part)</t>
  </si>
  <si>
    <t>CoreTech Labor</t>
  </si>
  <si>
    <t>FTE</t>
  </si>
  <si>
    <t>Buyer Labor (RFQ/PR)</t>
  </si>
  <si>
    <t>New Tooling</t>
  </si>
  <si>
    <t>SQE Labor</t>
  </si>
  <si>
    <t>Core Tech Labor</t>
  </si>
  <si>
    <t>Buyer (RFQ/PR) Labor</t>
  </si>
  <si>
    <t>Plant Labor (ME, QE, others)</t>
  </si>
  <si>
    <t xml:space="preserve">Plant Labor (ME, QE, others) </t>
  </si>
  <si>
    <t>Labor $ / part</t>
  </si>
  <si>
    <t>Savings %</t>
  </si>
  <si>
    <t>Spend / part</t>
  </si>
  <si>
    <t>Buyer Labor (Execution)</t>
  </si>
  <si>
    <t>Weighted Average</t>
  </si>
  <si>
    <t>Part Complexity (% of parts)</t>
  </si>
  <si>
    <t>Source</t>
  </si>
  <si>
    <t>LoB</t>
  </si>
  <si>
    <t>Purchasing</t>
  </si>
  <si>
    <t>GSC</t>
  </si>
  <si>
    <t>Labor Cost estimates</t>
  </si>
  <si>
    <t>Labor Cost Estimates by Source</t>
  </si>
  <si>
    <t>Total</t>
  </si>
  <si>
    <t>Savings / part (Mature Year)</t>
  </si>
  <si>
    <t>Summary</t>
  </si>
  <si>
    <t>Labor</t>
  </si>
  <si>
    <t>New Tooling (Capital)</t>
  </si>
  <si>
    <t>Tooling Move Expenses</t>
  </si>
  <si>
    <t>Expense/part</t>
  </si>
  <si>
    <t>Tools to Move</t>
  </si>
  <si>
    <t>New Tools</t>
  </si>
  <si>
    <t>Standard</t>
  </si>
  <si>
    <t>Reference</t>
  </si>
  <si>
    <t>Cell color code</t>
  </si>
  <si>
    <t>Input-Cost Est</t>
  </si>
  <si>
    <t>Input-NPV Est</t>
  </si>
  <si>
    <t>% tools being replaced (0% for COS)</t>
  </si>
  <si>
    <t>Cost of New Tool</t>
  </si>
  <si>
    <t>Comments:</t>
  </si>
  <si>
    <t>Comments</t>
  </si>
  <si>
    <t>Annual Spend</t>
  </si>
  <si>
    <t>Hours allocated to the project</t>
  </si>
  <si>
    <t>Labor cost/time is weighted averaged based on these percentages</t>
  </si>
  <si>
    <t>Detailed Calculation &amp; Reference Tables</t>
  </si>
  <si>
    <t>Payback (yr)</t>
  </si>
  <si>
    <t>NPV (000s)</t>
  </si>
  <si>
    <t>Project Evaluation Metrics</t>
  </si>
  <si>
    <t>Need to define the % of low, mid, high complexity</t>
  </si>
  <si>
    <t>Total hrs</t>
  </si>
  <si>
    <t>Purchasing (US/MX)</t>
  </si>
  <si>
    <t>Mfg. / Indus. / CT (US/MX)</t>
  </si>
  <si>
    <t>Design Engineering  (US/MX)</t>
  </si>
  <si>
    <t>Design Engineering (MX)</t>
  </si>
  <si>
    <t>PR Cost Estimates Area</t>
  </si>
  <si>
    <t>Other (if Required)</t>
  </si>
  <si>
    <t>Quality Assurance</t>
  </si>
  <si>
    <t>Other (specify)</t>
  </si>
  <si>
    <t>hr/month</t>
  </si>
  <si>
    <t>Time (estimates/part, except for 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</si>
</sst>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Helv"/>
    </font>
    <font>
      <b/>
      <sz val="12"/>
      <color indexed="12"/>
      <name val="Arial"/>
      <family val="2"/>
    </font>
    <font>
      <sz val="10"/>
      <color indexed="9"/>
      <name val="Arial"/>
      <family val="2"/>
    </font>
    <font>
      <sz val="10"/>
      <color rgb="FFFF0000"/>
      <name val="Arial"/>
      <family val="2"/>
    </font>
    <font>
      <b/>
      <sz val="12"/>
      <color rgb="FF00B050"/>
      <name val="Arial"/>
      <family val="2"/>
    </font>
    <font>
      <sz val="9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rgb="FF0070C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7"/>
      <color rgb="FFFF0000"/>
      <name val="Arial"/>
      <family val="2"/>
    </font>
    <font>
      <sz val="7"/>
      <name val="Arial"/>
      <family val="2"/>
    </font>
    <font>
      <sz val="7"/>
      <color indexed="10"/>
      <name val="Arial"/>
      <family val="2"/>
    </font>
    <font>
      <sz val="9"/>
      <name val="Arial"/>
      <family val="2"/>
    </font>
    <font>
      <b/>
      <sz val="14"/>
      <color rgb="FF0070C0"/>
      <name val="Arial"/>
      <family val="2"/>
    </font>
    <font>
      <b/>
      <sz val="11"/>
      <name val="Arial"/>
      <family val="2"/>
    </font>
    <font>
      <sz val="8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6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7" fillId="0" borderId="0"/>
    <xf numFmtId="0" fontId="7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</cellStyleXfs>
  <cellXfs count="269">
    <xf numFmtId="0" fontId="0" fillId="0" borderId="0" xfId="0"/>
    <xf numFmtId="0" fontId="0" fillId="0" borderId="0" xfId="0" applyProtection="1"/>
    <xf numFmtId="0" fontId="0" fillId="0" borderId="0" xfId="0" applyFill="1" applyBorder="1" applyProtection="1"/>
    <xf numFmtId="0" fontId="3" fillId="0" borderId="0" xfId="0" applyFont="1" applyProtection="1"/>
    <xf numFmtId="0" fontId="0" fillId="0" borderId="0" xfId="0" applyFill="1" applyProtection="1"/>
    <xf numFmtId="0" fontId="4" fillId="0" borderId="0" xfId="0" applyFont="1" applyProtection="1"/>
    <xf numFmtId="165" fontId="6" fillId="2" borderId="5" xfId="3" applyNumberFormat="1" applyFont="1" applyFill="1" applyBorder="1" applyAlignment="1" applyProtection="1">
      <alignment horizontal="center"/>
      <protection locked="0"/>
    </xf>
    <xf numFmtId="165" fontId="6" fillId="2" borderId="5" xfId="3" applyNumberFormat="1" applyFont="1" applyFill="1" applyBorder="1" applyProtection="1">
      <protection locked="0"/>
    </xf>
    <xf numFmtId="0" fontId="8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center"/>
    </xf>
    <xf numFmtId="0" fontId="2" fillId="0" borderId="0" xfId="0" applyFont="1" applyFill="1" applyAlignment="1" applyProtection="1">
      <alignment horizontal="center"/>
    </xf>
    <xf numFmtId="0" fontId="6" fillId="0" borderId="0" xfId="0" applyFont="1" applyBorder="1" applyAlignment="1" applyProtection="1">
      <alignment horizontal="right"/>
    </xf>
    <xf numFmtId="0" fontId="6" fillId="0" borderId="0" xfId="0" applyFont="1" applyFill="1" applyAlignment="1" applyProtection="1">
      <alignment horizontal="right"/>
    </xf>
    <xf numFmtId="0" fontId="6" fillId="0" borderId="0" xfId="0" applyFont="1" applyAlignment="1" applyProtection="1">
      <alignment horizontal="right"/>
    </xf>
    <xf numFmtId="165" fontId="2" fillId="0" borderId="0" xfId="3" applyNumberFormat="1" applyFont="1" applyFill="1" applyBorder="1" applyProtection="1"/>
    <xf numFmtId="0" fontId="0" fillId="0" borderId="0" xfId="0" applyAlignment="1" applyProtection="1">
      <alignment horizontal="right"/>
    </xf>
    <xf numFmtId="0" fontId="2" fillId="0" borderId="0" xfId="0" applyFont="1" applyFill="1" applyBorder="1" applyAlignment="1" applyProtection="1">
      <alignment horizontal="center"/>
    </xf>
    <xf numFmtId="0" fontId="2" fillId="0" borderId="16" xfId="0" applyFont="1" applyBorder="1" applyAlignment="1" applyProtection="1">
      <alignment horizontal="right"/>
    </xf>
    <xf numFmtId="9" fontId="6" fillId="0" borderId="0" xfId="5" applyFont="1" applyAlignment="1" applyProtection="1">
      <alignment horizontal="right"/>
    </xf>
    <xf numFmtId="38" fontId="2" fillId="0" borderId="17" xfId="0" applyNumberFormat="1" applyFont="1" applyBorder="1" applyAlignment="1" applyProtection="1">
      <alignment horizontal="right"/>
    </xf>
    <xf numFmtId="43" fontId="2" fillId="0" borderId="17" xfId="3" applyNumberFormat="1" applyFont="1" applyFill="1" applyBorder="1" applyAlignment="1" applyProtection="1">
      <alignment horizontal="right"/>
    </xf>
    <xf numFmtId="0" fontId="2" fillId="0" borderId="0" xfId="0" applyFont="1" applyProtection="1"/>
    <xf numFmtId="0" fontId="0" fillId="0" borderId="18" xfId="0" applyBorder="1" applyProtection="1"/>
    <xf numFmtId="0" fontId="0" fillId="0" borderId="19" xfId="0" applyBorder="1" applyProtection="1"/>
    <xf numFmtId="0" fontId="6" fillId="0" borderId="6" xfId="0" applyFont="1" applyBorder="1" applyAlignment="1" applyProtection="1">
      <alignment horizontal="right"/>
    </xf>
    <xf numFmtId="0" fontId="6" fillId="0" borderId="20" xfId="0" applyFont="1" applyFill="1" applyBorder="1" applyAlignment="1" applyProtection="1">
      <alignment horizontal="center"/>
    </xf>
    <xf numFmtId="0" fontId="0" fillId="0" borderId="21" xfId="0" applyFill="1" applyBorder="1" applyProtection="1"/>
    <xf numFmtId="0" fontId="0" fillId="0" borderId="22" xfId="0" applyBorder="1" applyProtection="1"/>
    <xf numFmtId="0" fontId="6" fillId="0" borderId="2" xfId="0" applyFont="1" applyFill="1" applyBorder="1" applyAlignment="1" applyProtection="1">
      <alignment horizontal="center"/>
    </xf>
    <xf numFmtId="0" fontId="0" fillId="0" borderId="24" xfId="0" applyBorder="1" applyProtection="1"/>
    <xf numFmtId="0" fontId="0" fillId="0" borderId="21" xfId="0" applyBorder="1" applyAlignment="1" applyProtection="1">
      <alignment horizontal="right"/>
    </xf>
    <xf numFmtId="0" fontId="0" fillId="0" borderId="1" xfId="0" applyBorder="1" applyProtection="1"/>
    <xf numFmtId="0" fontId="0" fillId="0" borderId="2" xfId="0" applyBorder="1" applyProtection="1"/>
    <xf numFmtId="0" fontId="5" fillId="0" borderId="26" xfId="0" applyFont="1" applyBorder="1" applyProtection="1"/>
    <xf numFmtId="0" fontId="5" fillId="0" borderId="27" xfId="0" applyFont="1" applyBorder="1" applyAlignment="1" applyProtection="1">
      <alignment horizontal="right"/>
    </xf>
    <xf numFmtId="0" fontId="5" fillId="0" borderId="0" xfId="0" applyFont="1" applyBorder="1" applyProtection="1"/>
    <xf numFmtId="0" fontId="5" fillId="0" borderId="0" xfId="0" applyFont="1" applyBorder="1" applyAlignment="1" applyProtection="1">
      <alignment horizontal="right"/>
    </xf>
    <xf numFmtId="0" fontId="5" fillId="0" borderId="0" xfId="0" applyFont="1" applyFill="1" applyBorder="1" applyProtection="1"/>
    <xf numFmtId="164" fontId="5" fillId="0" borderId="0" xfId="4" applyNumberFormat="1" applyFont="1" applyFill="1" applyBorder="1" applyProtection="1"/>
    <xf numFmtId="164" fontId="5" fillId="0" borderId="0" xfId="4" applyNumberFormat="1" applyFont="1" applyBorder="1" applyProtection="1"/>
    <xf numFmtId="165" fontId="2" fillId="0" borderId="16" xfId="3" applyNumberFormat="1" applyFont="1" applyFill="1" applyBorder="1" applyProtection="1"/>
    <xf numFmtId="165" fontId="2" fillId="0" borderId="29" xfId="3" applyNumberFormat="1" applyFont="1" applyFill="1" applyBorder="1" applyProtection="1"/>
    <xf numFmtId="165" fontId="2" fillId="0" borderId="17" xfId="3" applyNumberFormat="1" applyFont="1" applyFill="1" applyBorder="1" applyProtection="1"/>
    <xf numFmtId="0" fontId="2" fillId="0" borderId="9" xfId="0" applyFont="1" applyBorder="1" applyAlignment="1" applyProtection="1">
      <alignment horizontal="center"/>
    </xf>
    <xf numFmtId="38" fontId="5" fillId="0" borderId="8" xfId="0" applyNumberFormat="1" applyFont="1" applyBorder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165" fontId="2" fillId="0" borderId="36" xfId="3" applyNumberFormat="1" applyFont="1" applyBorder="1" applyProtection="1"/>
    <xf numFmtId="165" fontId="2" fillId="0" borderId="37" xfId="3" applyNumberFormat="1" applyFont="1" applyBorder="1" applyProtection="1"/>
    <xf numFmtId="165" fontId="2" fillId="0" borderId="38" xfId="3" applyNumberFormat="1" applyFont="1" applyBorder="1" applyProtection="1"/>
    <xf numFmtId="2" fontId="5" fillId="0" borderId="8" xfId="0" applyNumberFormat="1" applyFont="1" applyBorder="1" applyAlignment="1" applyProtection="1">
      <alignment horizontal="center"/>
    </xf>
    <xf numFmtId="38" fontId="0" fillId="0" borderId="33" xfId="3" applyNumberFormat="1" applyFont="1" applyFill="1" applyBorder="1" applyProtection="1"/>
    <xf numFmtId="38" fontId="0" fillId="0" borderId="34" xfId="3" applyNumberFormat="1" applyFont="1" applyFill="1" applyBorder="1" applyProtection="1"/>
    <xf numFmtId="38" fontId="0" fillId="0" borderId="35" xfId="3" applyNumberFormat="1" applyFont="1" applyFill="1" applyBorder="1" applyProtection="1"/>
    <xf numFmtId="0" fontId="6" fillId="0" borderId="0" xfId="0" applyFont="1" applyFill="1" applyBorder="1" applyAlignment="1" applyProtection="1">
      <alignment horizontal="left"/>
    </xf>
    <xf numFmtId="0" fontId="0" fillId="2" borderId="39" xfId="0" applyFill="1" applyBorder="1" applyAlignment="1" applyProtection="1">
      <alignment horizontal="center"/>
      <protection locked="0"/>
    </xf>
    <xf numFmtId="165" fontId="2" fillId="0" borderId="0" xfId="3" applyNumberFormat="1" applyFont="1" applyBorder="1" applyProtection="1"/>
    <xf numFmtId="0" fontId="2" fillId="0" borderId="0" xfId="0" applyFont="1" applyAlignment="1" applyProtection="1">
      <alignment horizontal="right"/>
    </xf>
    <xf numFmtId="38" fontId="2" fillId="0" borderId="30" xfId="3" applyNumberFormat="1" applyFont="1" applyFill="1" applyBorder="1" applyAlignment="1" applyProtection="1">
      <alignment horizontal="center"/>
    </xf>
    <xf numFmtId="38" fontId="2" fillId="0" borderId="31" xfId="3" applyNumberFormat="1" applyFont="1" applyFill="1" applyBorder="1" applyAlignment="1" applyProtection="1">
      <alignment horizontal="center"/>
    </xf>
    <xf numFmtId="38" fontId="2" fillId="0" borderId="32" xfId="3" applyNumberFormat="1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/>
    <xf numFmtId="0" fontId="9" fillId="0" borderId="0" xfId="0" applyFont="1" applyFill="1" applyAlignment="1" applyProtection="1">
      <alignment horizontal="center"/>
    </xf>
    <xf numFmtId="2" fontId="5" fillId="0" borderId="0" xfId="0" quotePrefix="1" applyNumberFormat="1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center"/>
    </xf>
    <xf numFmtId="0" fontId="1" fillId="0" borderId="23" xfId="0" applyFont="1" applyFill="1" applyBorder="1" applyAlignment="1" applyProtection="1">
      <alignment horizontal="center" vertical="center"/>
    </xf>
    <xf numFmtId="0" fontId="0" fillId="0" borderId="24" xfId="0" applyBorder="1" applyAlignment="1" applyProtection="1">
      <alignment horizontal="center" vertical="center"/>
    </xf>
    <xf numFmtId="0" fontId="0" fillId="0" borderId="25" xfId="0" applyBorder="1" applyAlignment="1" applyProtection="1">
      <alignment horizontal="right" vertical="center"/>
    </xf>
    <xf numFmtId="0" fontId="0" fillId="0" borderId="12" xfId="0" applyBorder="1" applyAlignment="1" applyProtection="1">
      <alignment horizontal="right" vertical="center"/>
    </xf>
    <xf numFmtId="0" fontId="5" fillId="0" borderId="26" xfId="0" applyFont="1" applyBorder="1" applyAlignment="1" applyProtection="1">
      <alignment horizontal="right" vertical="center"/>
    </xf>
    <xf numFmtId="164" fontId="5" fillId="0" borderId="28" xfId="4" applyNumberFormat="1" applyFont="1" applyBorder="1" applyAlignment="1" applyProtection="1">
      <alignment horizontal="right" vertical="center"/>
    </xf>
    <xf numFmtId="165" fontId="1" fillId="0" borderId="0" xfId="3" applyNumberFormat="1" applyFont="1" applyFill="1" applyBorder="1" applyProtection="1"/>
    <xf numFmtId="0" fontId="10" fillId="0" borderId="0" xfId="0" applyFont="1" applyProtection="1"/>
    <xf numFmtId="0" fontId="11" fillId="0" borderId="0" xfId="0" applyFont="1" applyProtection="1"/>
    <xf numFmtId="0" fontId="11" fillId="0" borderId="0" xfId="0" applyFont="1" applyFill="1" applyAlignment="1" applyProtection="1">
      <alignment horizontal="left"/>
    </xf>
    <xf numFmtId="0" fontId="1" fillId="0" borderId="0" xfId="0" applyFont="1" applyAlignment="1" applyProtection="1">
      <alignment horizontal="right"/>
    </xf>
    <xf numFmtId="165" fontId="2" fillId="3" borderId="18" xfId="3" applyNumberFormat="1" applyFont="1" applyFill="1" applyBorder="1" applyProtection="1"/>
    <xf numFmtId="165" fontId="2" fillId="3" borderId="19" xfId="3" applyNumberFormat="1" applyFont="1" applyFill="1" applyBorder="1" applyProtection="1"/>
    <xf numFmtId="165" fontId="2" fillId="3" borderId="42" xfId="3" applyNumberFormat="1" applyFont="1" applyFill="1" applyBorder="1" applyProtection="1"/>
    <xf numFmtId="165" fontId="1" fillId="3" borderId="7" xfId="3" quotePrefix="1" applyNumberFormat="1" applyFont="1" applyFill="1" applyBorder="1" applyAlignment="1" applyProtection="1">
      <alignment horizontal="center"/>
    </xf>
    <xf numFmtId="165" fontId="1" fillId="3" borderId="11" xfId="3" quotePrefix="1" applyNumberFormat="1" applyFont="1" applyFill="1" applyBorder="1" applyAlignment="1" applyProtection="1">
      <alignment horizontal="center"/>
    </xf>
    <xf numFmtId="165" fontId="1" fillId="3" borderId="12" xfId="3" quotePrefix="1" applyNumberFormat="1" applyFont="1" applyFill="1" applyBorder="1" applyAlignment="1" applyProtection="1">
      <alignment horizontal="center"/>
    </xf>
    <xf numFmtId="165" fontId="2" fillId="3" borderId="3" xfId="3" applyNumberFormat="1" applyFont="1" applyFill="1" applyBorder="1" applyAlignment="1" applyProtection="1">
      <alignment horizontal="left"/>
    </xf>
    <xf numFmtId="0" fontId="0" fillId="3" borderId="10" xfId="0" applyFill="1" applyBorder="1" applyAlignment="1" applyProtection="1">
      <alignment horizontal="left"/>
    </xf>
    <xf numFmtId="165" fontId="2" fillId="3" borderId="10" xfId="3" applyNumberFormat="1" applyFont="1" applyFill="1" applyBorder="1" applyAlignment="1" applyProtection="1">
      <alignment horizontal="left"/>
    </xf>
    <xf numFmtId="0" fontId="0" fillId="3" borderId="4" xfId="0" applyFill="1" applyBorder="1" applyProtection="1"/>
    <xf numFmtId="0" fontId="6" fillId="3" borderId="7" xfId="0" applyFont="1" applyFill="1" applyBorder="1" applyAlignment="1" applyProtection="1">
      <alignment horizontal="left"/>
    </xf>
    <xf numFmtId="165" fontId="6" fillId="3" borderId="11" xfId="3" applyNumberFormat="1" applyFont="1" applyFill="1" applyBorder="1" applyAlignment="1" applyProtection="1">
      <alignment horizontal="center"/>
    </xf>
    <xf numFmtId="165" fontId="6" fillId="3" borderId="12" xfId="3" applyNumberFormat="1" applyFont="1" applyFill="1" applyBorder="1" applyAlignment="1" applyProtection="1">
      <alignment horizontal="center"/>
    </xf>
    <xf numFmtId="165" fontId="6" fillId="3" borderId="13" xfId="3" applyNumberFormat="1" applyFont="1" applyFill="1" applyBorder="1" applyAlignment="1" applyProtection="1">
      <alignment horizontal="left"/>
    </xf>
    <xf numFmtId="0" fontId="2" fillId="3" borderId="3" xfId="0" applyFont="1" applyFill="1" applyBorder="1" applyProtection="1"/>
    <xf numFmtId="0" fontId="0" fillId="3" borderId="10" xfId="0" applyFill="1" applyBorder="1" applyProtection="1"/>
    <xf numFmtId="0" fontId="6" fillId="3" borderId="7" xfId="0" applyFont="1" applyFill="1" applyBorder="1" applyProtection="1"/>
    <xf numFmtId="0" fontId="6" fillId="3" borderId="11" xfId="0" applyFont="1" applyFill="1" applyBorder="1" applyAlignment="1" applyProtection="1">
      <alignment horizontal="center"/>
    </xf>
    <xf numFmtId="0" fontId="6" fillId="3" borderId="12" xfId="0" applyFont="1" applyFill="1" applyBorder="1" applyAlignment="1" applyProtection="1">
      <alignment horizontal="center"/>
    </xf>
    <xf numFmtId="0" fontId="6" fillId="3" borderId="13" xfId="0" applyFont="1" applyFill="1" applyBorder="1" applyProtection="1"/>
    <xf numFmtId="165" fontId="6" fillId="3" borderId="14" xfId="3" applyNumberFormat="1" applyFont="1" applyFill="1" applyBorder="1" applyAlignment="1" applyProtection="1">
      <alignment horizontal="center"/>
    </xf>
    <xf numFmtId="165" fontId="6" fillId="3" borderId="15" xfId="3" applyNumberFormat="1" applyFont="1" applyFill="1" applyBorder="1" applyAlignment="1" applyProtection="1">
      <alignment horizontal="center"/>
    </xf>
    <xf numFmtId="165" fontId="0" fillId="0" borderId="0" xfId="0" applyNumberFormat="1" applyFill="1" applyBorder="1" applyProtection="1"/>
    <xf numFmtId="165" fontId="12" fillId="0" borderId="0" xfId="3" applyNumberFormat="1" applyFont="1" applyFill="1" applyBorder="1" applyProtection="1"/>
    <xf numFmtId="0" fontId="2" fillId="0" borderId="0" xfId="0" applyFont="1" applyAlignment="1" applyProtection="1">
      <alignment horizontal="center"/>
    </xf>
    <xf numFmtId="0" fontId="1" fillId="0" borderId="0" xfId="0" applyFont="1" applyBorder="1" applyAlignment="1" applyProtection="1">
      <alignment horizontal="center" vertical="center"/>
    </xf>
    <xf numFmtId="0" fontId="13" fillId="0" borderId="0" xfId="0" applyFont="1" applyBorder="1" applyProtection="1"/>
    <xf numFmtId="0" fontId="13" fillId="0" borderId="0" xfId="0" applyFont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 vertical="center"/>
    </xf>
    <xf numFmtId="164" fontId="13" fillId="0" borderId="0" xfId="4" applyNumberFormat="1" applyFont="1" applyBorder="1" applyAlignment="1" applyProtection="1">
      <alignment horizontal="right" vertical="center"/>
    </xf>
    <xf numFmtId="165" fontId="0" fillId="0" borderId="0" xfId="3" applyNumberFormat="1" applyFont="1" applyFill="1" applyBorder="1" applyProtection="1"/>
    <xf numFmtId="0" fontId="1" fillId="0" borderId="43" xfId="0" applyFont="1" applyBorder="1" applyAlignment="1" applyProtection="1">
      <alignment horizontal="center"/>
    </xf>
    <xf numFmtId="0" fontId="10" fillId="0" borderId="0" xfId="0" applyFont="1" applyFill="1" applyProtection="1"/>
    <xf numFmtId="0" fontId="10" fillId="0" borderId="0" xfId="0" applyFont="1" applyFill="1" applyAlignment="1" applyProtection="1">
      <alignment horizontal="right"/>
    </xf>
    <xf numFmtId="0" fontId="1" fillId="0" borderId="0" xfId="0" applyFont="1" applyFill="1" applyAlignment="1" applyProtection="1">
      <alignment horizontal="right"/>
    </xf>
    <xf numFmtId="0" fontId="1" fillId="0" borderId="0" xfId="0" applyFont="1" applyProtection="1"/>
    <xf numFmtId="165" fontId="6" fillId="3" borderId="47" xfId="3" applyNumberFormat="1" applyFont="1" applyFill="1" applyBorder="1" applyAlignment="1" applyProtection="1">
      <alignment horizontal="left"/>
    </xf>
    <xf numFmtId="165" fontId="6" fillId="3" borderId="48" xfId="3" applyNumberFormat="1" applyFont="1" applyFill="1" applyBorder="1" applyAlignment="1" applyProtection="1">
      <alignment horizontal="left"/>
    </xf>
    <xf numFmtId="0" fontId="1" fillId="0" borderId="0" xfId="0" applyFont="1" applyFill="1" applyProtection="1"/>
    <xf numFmtId="0" fontId="2" fillId="0" borderId="50" xfId="0" applyFont="1" applyBorder="1" applyAlignment="1" applyProtection="1"/>
    <xf numFmtId="0" fontId="1" fillId="0" borderId="0" xfId="0" applyFont="1" applyBorder="1" applyProtection="1"/>
    <xf numFmtId="0" fontId="2" fillId="0" borderId="53" xfId="0" applyFont="1" applyBorder="1" applyProtection="1"/>
    <xf numFmtId="165" fontId="2" fillId="0" borderId="54" xfId="0" applyNumberFormat="1" applyFont="1" applyBorder="1" applyProtection="1"/>
    <xf numFmtId="0" fontId="2" fillId="0" borderId="49" xfId="0" applyFont="1" applyBorder="1" applyProtection="1"/>
    <xf numFmtId="0" fontId="2" fillId="0" borderId="59" xfId="0" applyFont="1" applyBorder="1" applyProtection="1"/>
    <xf numFmtId="0" fontId="2" fillId="0" borderId="60" xfId="0" applyFont="1" applyBorder="1" applyAlignment="1" applyProtection="1">
      <alignment horizontal="center"/>
    </xf>
    <xf numFmtId="0" fontId="2" fillId="0" borderId="60" xfId="0" applyFont="1" applyBorder="1" applyAlignment="1" applyProtection="1">
      <alignment horizontal="center" vertical="center"/>
    </xf>
    <xf numFmtId="0" fontId="2" fillId="0" borderId="61" xfId="0" applyFont="1" applyBorder="1" applyAlignment="1" applyProtection="1">
      <alignment horizontal="center" vertical="center"/>
    </xf>
    <xf numFmtId="0" fontId="1" fillId="0" borderId="0" xfId="0" applyFont="1" applyAlignment="1" applyProtection="1">
      <alignment horizontal="center"/>
    </xf>
    <xf numFmtId="0" fontId="1" fillId="0" borderId="0" xfId="0" applyFont="1" applyFill="1" applyAlignment="1" applyProtection="1">
      <alignment horizontal="center"/>
    </xf>
    <xf numFmtId="0" fontId="1" fillId="0" borderId="0" xfId="0" applyFont="1" applyAlignment="1" applyProtection="1">
      <alignment horizontal="left"/>
    </xf>
    <xf numFmtId="0" fontId="1" fillId="0" borderId="0" xfId="0" applyFont="1" applyFill="1" applyAlignment="1" applyProtection="1">
      <alignment horizontal="left"/>
    </xf>
    <xf numFmtId="165" fontId="1" fillId="0" borderId="0" xfId="3" applyNumberFormat="1" applyFont="1" applyProtection="1"/>
    <xf numFmtId="0" fontId="2" fillId="0" borderId="0" xfId="0" applyFont="1" applyAlignment="1" applyProtection="1">
      <alignment horizontal="left"/>
    </xf>
    <xf numFmtId="165" fontId="6" fillId="0" borderId="5" xfId="3" applyNumberFormat="1" applyFont="1" applyFill="1" applyBorder="1" applyProtection="1"/>
    <xf numFmtId="165" fontId="6" fillId="0" borderId="0" xfId="3" applyNumberFormat="1" applyFont="1" applyFill="1" applyBorder="1" applyProtection="1"/>
    <xf numFmtId="165" fontId="6" fillId="0" borderId="0" xfId="3" applyNumberFormat="1" applyFont="1" applyFill="1" applyBorder="1" applyAlignment="1" applyProtection="1">
      <alignment horizontal="right"/>
    </xf>
    <xf numFmtId="165" fontId="6" fillId="0" borderId="0" xfId="3" applyNumberFormat="1" applyFont="1" applyFill="1" applyBorder="1" applyAlignment="1" applyProtection="1">
      <alignment horizontal="center"/>
    </xf>
    <xf numFmtId="0" fontId="2" fillId="0" borderId="53" xfId="0" applyFont="1" applyBorder="1" applyAlignment="1" applyProtection="1">
      <alignment horizontal="right"/>
    </xf>
    <xf numFmtId="165" fontId="2" fillId="0" borderId="54" xfId="3" applyNumberFormat="1" applyFont="1" applyBorder="1" applyProtection="1"/>
    <xf numFmtId="165" fontId="2" fillId="0" borderId="43" xfId="3" applyNumberFormat="1" applyFont="1" applyBorder="1" applyProtection="1"/>
    <xf numFmtId="165" fontId="1" fillId="0" borderId="0" xfId="3" applyNumberFormat="1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165" fontId="1" fillId="0" borderId="43" xfId="3" applyNumberFormat="1" applyFont="1" applyFill="1" applyBorder="1" applyProtection="1"/>
    <xf numFmtId="0" fontId="2" fillId="0" borderId="51" xfId="0" applyFont="1" applyBorder="1" applyProtection="1"/>
    <xf numFmtId="0" fontId="12" fillId="0" borderId="0" xfId="0" applyFont="1" applyProtection="1"/>
    <xf numFmtId="165" fontId="0" fillId="0" borderId="57" xfId="0" applyNumberFormat="1" applyFill="1" applyBorder="1" applyProtection="1"/>
    <xf numFmtId="0" fontId="14" fillId="0" borderId="43" xfId="0" applyFont="1" applyFill="1" applyBorder="1" applyProtection="1"/>
    <xf numFmtId="165" fontId="14" fillId="0" borderId="0" xfId="0" applyNumberFormat="1" applyFont="1" applyFill="1" applyBorder="1" applyProtection="1"/>
    <xf numFmtId="0" fontId="14" fillId="0" borderId="43" xfId="0" applyFont="1" applyFill="1" applyBorder="1" applyAlignment="1" applyProtection="1">
      <alignment horizontal="left"/>
    </xf>
    <xf numFmtId="0" fontId="15" fillId="0" borderId="43" xfId="0" applyFont="1" applyFill="1" applyBorder="1" applyAlignment="1" applyProtection="1">
      <alignment horizontal="left"/>
    </xf>
    <xf numFmtId="0" fontId="16" fillId="0" borderId="43" xfId="0" applyFont="1" applyFill="1" applyBorder="1" applyAlignment="1" applyProtection="1">
      <alignment horizontal="left"/>
    </xf>
    <xf numFmtId="0" fontId="16" fillId="0" borderId="56" xfId="0" applyFont="1" applyFill="1" applyBorder="1" applyProtection="1"/>
    <xf numFmtId="0" fontId="15" fillId="0" borderId="43" xfId="0" applyFont="1" applyFill="1" applyBorder="1" applyProtection="1"/>
    <xf numFmtId="0" fontId="2" fillId="0" borderId="56" xfId="0" applyFont="1" applyBorder="1" applyAlignment="1" applyProtection="1">
      <alignment horizontal="left"/>
    </xf>
    <xf numFmtId="0" fontId="2" fillId="0" borderId="57" xfId="0" applyFont="1" applyBorder="1" applyAlignment="1" applyProtection="1">
      <alignment horizontal="center"/>
    </xf>
    <xf numFmtId="0" fontId="2" fillId="0" borderId="57" xfId="0" applyFont="1" applyBorder="1" applyAlignment="1" applyProtection="1">
      <alignment horizontal="center" vertical="center"/>
    </xf>
    <xf numFmtId="0" fontId="2" fillId="0" borderId="58" xfId="0" applyFont="1" applyBorder="1" applyAlignment="1" applyProtection="1">
      <alignment horizontal="center" vertical="center"/>
    </xf>
    <xf numFmtId="0" fontId="16" fillId="0" borderId="56" xfId="0" applyFont="1" applyFill="1" applyBorder="1" applyAlignment="1" applyProtection="1">
      <alignment horizontal="left"/>
    </xf>
    <xf numFmtId="165" fontId="1" fillId="0" borderId="57" xfId="3" applyNumberFormat="1" applyFont="1" applyFill="1" applyBorder="1" applyProtection="1"/>
    <xf numFmtId="165" fontId="1" fillId="0" borderId="57" xfId="3" applyNumberFormat="1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 applyProtection="1">
      <alignment horizontal="center"/>
    </xf>
    <xf numFmtId="0" fontId="1" fillId="0" borderId="10" xfId="0" applyFont="1" applyFill="1" applyBorder="1" applyAlignment="1" applyProtection="1">
      <alignment horizontal="center"/>
    </xf>
    <xf numFmtId="0" fontId="1" fillId="0" borderId="4" xfId="0" applyFont="1" applyFill="1" applyBorder="1" applyAlignment="1" applyProtection="1">
      <alignment horizontal="center"/>
    </xf>
    <xf numFmtId="9" fontId="1" fillId="0" borderId="13" xfId="0" applyNumberFormat="1" applyFont="1" applyFill="1" applyBorder="1" applyAlignment="1" applyProtection="1">
      <alignment horizontal="center"/>
    </xf>
    <xf numFmtId="9" fontId="1" fillId="0" borderId="14" xfId="0" applyNumberFormat="1" applyFont="1" applyFill="1" applyBorder="1" applyAlignment="1" applyProtection="1">
      <alignment horizontal="center"/>
    </xf>
    <xf numFmtId="9" fontId="1" fillId="0" borderId="15" xfId="0" applyNumberFormat="1" applyFont="1" applyFill="1" applyBorder="1" applyAlignment="1" applyProtection="1">
      <alignment horizontal="center"/>
    </xf>
    <xf numFmtId="0" fontId="2" fillId="0" borderId="57" xfId="0" applyFont="1" applyBorder="1" applyAlignment="1" applyProtection="1">
      <alignment horizontal="right"/>
    </xf>
    <xf numFmtId="165" fontId="0" fillId="0" borderId="0" xfId="3" applyNumberFormat="1" applyFont="1" applyProtection="1"/>
    <xf numFmtId="165" fontId="0" fillId="0" borderId="57" xfId="3" applyNumberFormat="1" applyFont="1" applyBorder="1" applyProtection="1"/>
    <xf numFmtId="0" fontId="2" fillId="0" borderId="57" xfId="0" applyFont="1" applyBorder="1" applyProtection="1"/>
    <xf numFmtId="0" fontId="2" fillId="0" borderId="9" xfId="0" applyFont="1" applyBorder="1" applyProtection="1"/>
    <xf numFmtId="165" fontId="0" fillId="0" borderId="8" xfId="3" applyNumberFormat="1" applyFont="1" applyBorder="1" applyProtection="1"/>
    <xf numFmtId="0" fontId="2" fillId="0" borderId="0" xfId="0" applyFont="1" applyBorder="1" applyAlignment="1" applyProtection="1">
      <alignment horizontal="center"/>
    </xf>
    <xf numFmtId="165" fontId="0" fillId="0" borderId="0" xfId="3" applyNumberFormat="1" applyFont="1" applyBorder="1" applyProtection="1"/>
    <xf numFmtId="0" fontId="8" fillId="6" borderId="0" xfId="0" applyFont="1" applyFill="1" applyAlignment="1" applyProtection="1">
      <alignment horizontal="left"/>
    </xf>
    <xf numFmtId="0" fontId="0" fillId="6" borderId="0" xfId="0" applyFill="1" applyProtection="1"/>
    <xf numFmtId="165" fontId="0" fillId="6" borderId="0" xfId="3" applyNumberFormat="1" applyFont="1" applyFill="1" applyProtection="1"/>
    <xf numFmtId="0" fontId="2" fillId="6" borderId="0" xfId="0" applyFont="1" applyFill="1" applyAlignment="1" applyProtection="1">
      <alignment horizontal="right"/>
    </xf>
    <xf numFmtId="165" fontId="0" fillId="6" borderId="0" xfId="3" applyNumberFormat="1" applyFont="1" applyFill="1" applyBorder="1" applyProtection="1"/>
    <xf numFmtId="0" fontId="2" fillId="6" borderId="0" xfId="0" applyFont="1" applyFill="1" applyAlignment="1" applyProtection="1">
      <alignment horizontal="center"/>
    </xf>
    <xf numFmtId="165" fontId="0" fillId="0" borderId="0" xfId="3" applyNumberFormat="1" applyFont="1" applyFill="1" applyProtection="1"/>
    <xf numFmtId="0" fontId="2" fillId="0" borderId="0" xfId="0" applyFont="1" applyFill="1" applyAlignment="1" applyProtection="1">
      <alignment horizontal="right"/>
    </xf>
    <xf numFmtId="0" fontId="20" fillId="0" borderId="0" xfId="0" applyFont="1" applyAlignment="1" applyProtection="1">
      <alignment horizontal="right"/>
    </xf>
    <xf numFmtId="9" fontId="19" fillId="0" borderId="0" xfId="0" applyNumberFormat="1" applyFont="1" applyFill="1" applyAlignment="1" applyProtection="1">
      <alignment horizontal="left" vertical="top"/>
    </xf>
    <xf numFmtId="0" fontId="21" fillId="0" borderId="0" xfId="0" applyFont="1" applyFill="1" applyProtection="1"/>
    <xf numFmtId="165" fontId="1" fillId="0" borderId="0" xfId="3" applyNumberFormat="1" applyFont="1" applyAlignment="1" applyProtection="1">
      <alignment horizontal="right"/>
    </xf>
    <xf numFmtId="9" fontId="1" fillId="0" borderId="0" xfId="5" applyFont="1" applyAlignment="1" applyProtection="1">
      <alignment horizontal="right"/>
    </xf>
    <xf numFmtId="0" fontId="1" fillId="0" borderId="0" xfId="0" applyFont="1" applyFill="1" applyBorder="1" applyAlignment="1" applyProtection="1">
      <alignment horizontal="right"/>
    </xf>
    <xf numFmtId="0" fontId="1" fillId="0" borderId="0" xfId="0" applyFont="1" applyFill="1" applyAlignment="1" applyProtection="1">
      <alignment vertical="top"/>
    </xf>
    <xf numFmtId="0" fontId="0" fillId="0" borderId="0" xfId="0" applyFill="1" applyAlignment="1" applyProtection="1">
      <alignment vertical="top"/>
    </xf>
    <xf numFmtId="165" fontId="10" fillId="7" borderId="31" xfId="3" applyNumberFormat="1" applyFont="1" applyFill="1" applyBorder="1" applyProtection="1">
      <protection locked="0"/>
    </xf>
    <xf numFmtId="165" fontId="0" fillId="7" borderId="31" xfId="3" applyNumberFormat="1" applyFont="1" applyFill="1" applyBorder="1" applyProtection="1">
      <protection locked="0"/>
    </xf>
    <xf numFmtId="165" fontId="0" fillId="7" borderId="32" xfId="3" applyNumberFormat="1" applyFont="1" applyFill="1" applyBorder="1" applyProtection="1">
      <protection locked="0"/>
    </xf>
    <xf numFmtId="165" fontId="10" fillId="7" borderId="33" xfId="3" applyNumberFormat="1" applyFont="1" applyFill="1" applyBorder="1" applyProtection="1">
      <protection locked="0"/>
    </xf>
    <xf numFmtId="165" fontId="10" fillId="7" borderId="34" xfId="3" applyNumberFormat="1" applyFont="1" applyFill="1" applyBorder="1" applyProtection="1">
      <protection locked="0"/>
    </xf>
    <xf numFmtId="165" fontId="0" fillId="7" borderId="34" xfId="3" applyNumberFormat="1" applyFont="1" applyFill="1" applyBorder="1" applyProtection="1">
      <protection locked="0"/>
    </xf>
    <xf numFmtId="165" fontId="0" fillId="7" borderId="35" xfId="3" applyNumberFormat="1" applyFont="1" applyFill="1" applyBorder="1" applyProtection="1">
      <protection locked="0"/>
    </xf>
    <xf numFmtId="165" fontId="10" fillId="7" borderId="30" xfId="3" applyNumberFormat="1" applyFont="1" applyFill="1" applyBorder="1" applyProtection="1">
      <protection locked="0"/>
    </xf>
    <xf numFmtId="43" fontId="0" fillId="0" borderId="63" xfId="0" applyNumberFormat="1" applyFont="1" applyBorder="1" applyAlignment="1" applyProtection="1">
      <alignment horizontal="right" vertical="center"/>
    </xf>
    <xf numFmtId="43" fontId="0" fillId="0" borderId="64" xfId="0" applyNumberFormat="1" applyFont="1" applyBorder="1" applyAlignment="1" applyProtection="1">
      <alignment horizontal="right" vertical="center"/>
    </xf>
    <xf numFmtId="43" fontId="0" fillId="0" borderId="65" xfId="0" applyNumberFormat="1" applyFont="1" applyBorder="1" applyAlignment="1" applyProtection="1">
      <alignment horizontal="right" vertical="center"/>
    </xf>
    <xf numFmtId="165" fontId="19" fillId="0" borderId="0" xfId="3" applyNumberFormat="1" applyFont="1" applyFill="1" applyBorder="1" applyProtection="1"/>
    <xf numFmtId="43" fontId="1" fillId="0" borderId="52" xfId="3" applyNumberFormat="1" applyFont="1" applyFill="1" applyBorder="1" applyAlignment="1" applyProtection="1">
      <alignment horizontal="center" vertical="center"/>
    </xf>
    <xf numFmtId="43" fontId="1" fillId="0" borderId="58" xfId="3" applyNumberFormat="1" applyFont="1" applyFill="1" applyBorder="1" applyAlignment="1" applyProtection="1">
      <alignment horizontal="center" vertical="center"/>
    </xf>
    <xf numFmtId="43" fontId="2" fillId="0" borderId="55" xfId="3" applyNumberFormat="1" applyFont="1" applyFill="1" applyBorder="1" applyAlignment="1" applyProtection="1">
      <alignment horizontal="center" vertical="center"/>
    </xf>
    <xf numFmtId="43" fontId="1" fillId="0" borderId="0" xfId="3" applyNumberFormat="1" applyFont="1" applyFill="1" applyBorder="1" applyAlignment="1" applyProtection="1">
      <alignment horizontal="center" vertical="center"/>
    </xf>
    <xf numFmtId="43" fontId="14" fillId="0" borderId="52" xfId="0" applyNumberFormat="1" applyFont="1" applyFill="1" applyBorder="1" applyProtection="1"/>
    <xf numFmtId="43" fontId="0" fillId="0" borderId="52" xfId="0" applyNumberFormat="1" applyFill="1" applyBorder="1" applyProtection="1"/>
    <xf numFmtId="43" fontId="0" fillId="0" borderId="58" xfId="0" applyNumberFormat="1" applyFill="1" applyBorder="1" applyProtection="1"/>
    <xf numFmtId="43" fontId="2" fillId="0" borderId="55" xfId="0" applyNumberFormat="1" applyFont="1" applyBorder="1" applyProtection="1"/>
    <xf numFmtId="0" fontId="2" fillId="7" borderId="5" xfId="0" applyFont="1" applyFill="1" applyBorder="1" applyAlignment="1" applyProtection="1">
      <alignment horizontal="center"/>
      <protection locked="0"/>
    </xf>
    <xf numFmtId="0" fontId="1" fillId="7" borderId="0" xfId="0" applyFont="1" applyFill="1" applyProtection="1">
      <protection locked="0"/>
    </xf>
    <xf numFmtId="0" fontId="0" fillId="7" borderId="6" xfId="0" applyFill="1" applyBorder="1" applyAlignment="1" applyProtection="1">
      <alignment horizontal="right" vertical="center"/>
      <protection locked="0"/>
    </xf>
    <xf numFmtId="0" fontId="0" fillId="7" borderId="7" xfId="0" applyFill="1" applyBorder="1" applyAlignment="1" applyProtection="1">
      <alignment horizontal="right" vertical="center"/>
      <protection locked="0"/>
    </xf>
    <xf numFmtId="9" fontId="6" fillId="7" borderId="44" xfId="5" applyFont="1" applyFill="1" applyBorder="1" applyProtection="1">
      <protection locked="0"/>
    </xf>
    <xf numFmtId="9" fontId="6" fillId="7" borderId="45" xfId="5" applyFont="1" applyFill="1" applyBorder="1" applyProtection="1">
      <protection locked="0"/>
    </xf>
    <xf numFmtId="9" fontId="6" fillId="7" borderId="46" xfId="5" applyFont="1" applyFill="1" applyBorder="1" applyProtection="1">
      <protection locked="0"/>
    </xf>
    <xf numFmtId="165" fontId="6" fillId="7" borderId="5" xfId="3" applyNumberFormat="1" applyFont="1" applyFill="1" applyBorder="1" applyProtection="1">
      <protection locked="0"/>
    </xf>
    <xf numFmtId="165" fontId="0" fillId="0" borderId="0" xfId="0" applyNumberFormat="1" applyProtection="1"/>
    <xf numFmtId="9" fontId="2" fillId="0" borderId="0" xfId="5" applyFont="1" applyFill="1" applyBorder="1" applyAlignment="1" applyProtection="1">
      <alignment horizontal="center"/>
    </xf>
    <xf numFmtId="9" fontId="1" fillId="7" borderId="45" xfId="5" applyFont="1" applyFill="1" applyBorder="1" applyProtection="1">
      <protection locked="0"/>
    </xf>
    <xf numFmtId="0" fontId="10" fillId="0" borderId="0" xfId="0" applyFont="1" applyAlignment="1" applyProtection="1">
      <alignment horizontal="right"/>
    </xf>
    <xf numFmtId="0" fontId="23" fillId="0" borderId="0" xfId="0" applyFont="1" applyProtection="1"/>
    <xf numFmtId="0" fontId="0" fillId="0" borderId="0" xfId="0" applyFill="1" applyAlignment="1" applyProtection="1">
      <alignment vertical="center" textRotation="90"/>
    </xf>
    <xf numFmtId="0" fontId="24" fillId="0" borderId="0" xfId="0" applyFont="1" applyFill="1" applyAlignment="1" applyProtection="1">
      <alignment horizontal="left"/>
    </xf>
    <xf numFmtId="165" fontId="0" fillId="3" borderId="13" xfId="3" applyNumberFormat="1" applyFont="1" applyFill="1" applyBorder="1" applyProtection="1"/>
    <xf numFmtId="165" fontId="0" fillId="3" borderId="14" xfId="3" applyNumberFormat="1" applyFont="1" applyFill="1" applyBorder="1" applyProtection="1"/>
    <xf numFmtId="165" fontId="0" fillId="3" borderId="15" xfId="3" applyNumberFormat="1" applyFont="1" applyFill="1" applyBorder="1" applyProtection="1"/>
    <xf numFmtId="165" fontId="1" fillId="0" borderId="0" xfId="3" applyNumberFormat="1" applyFont="1" applyAlignment="1" applyProtection="1">
      <alignment horizontal="center"/>
    </xf>
    <xf numFmtId="165" fontId="1" fillId="0" borderId="0" xfId="3" applyNumberFormat="1" applyFont="1" applyFill="1" applyBorder="1" applyAlignment="1" applyProtection="1">
      <alignment horizontal="center"/>
    </xf>
    <xf numFmtId="9" fontId="1" fillId="0" borderId="0" xfId="5" applyFont="1" applyFill="1" applyBorder="1" applyAlignment="1" applyProtection="1">
      <alignment horizontal="center"/>
    </xf>
    <xf numFmtId="9" fontId="6" fillId="2" borderId="5" xfId="5" applyFont="1" applyFill="1" applyBorder="1" applyAlignment="1" applyProtection="1">
      <alignment horizontal="center"/>
      <protection locked="0"/>
    </xf>
    <xf numFmtId="165" fontId="6" fillId="4" borderId="16" xfId="3" applyNumberFormat="1" applyFont="1" applyFill="1" applyBorder="1" applyProtection="1">
      <protection locked="0"/>
    </xf>
    <xf numFmtId="165" fontId="6" fillId="4" borderId="46" xfId="3" applyNumberFormat="1" applyFont="1" applyFill="1" applyBorder="1" applyProtection="1">
      <protection locked="0"/>
    </xf>
    <xf numFmtId="165" fontId="6" fillId="4" borderId="45" xfId="3" applyNumberFormat="1" applyFont="1" applyFill="1" applyBorder="1" applyProtection="1">
      <protection locked="0"/>
    </xf>
    <xf numFmtId="165" fontId="6" fillId="4" borderId="29" xfId="3" applyNumberFormat="1" applyFont="1" applyFill="1" applyBorder="1" applyProtection="1">
      <protection locked="0"/>
    </xf>
    <xf numFmtId="165" fontId="6" fillId="4" borderId="66" xfId="3" applyNumberFormat="1" applyFont="1" applyFill="1" applyBorder="1" applyProtection="1">
      <protection locked="0"/>
    </xf>
    <xf numFmtId="0" fontId="25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center"/>
    </xf>
    <xf numFmtId="0" fontId="1" fillId="0" borderId="57" xfId="0" applyFont="1" applyFill="1" applyBorder="1" applyAlignment="1" applyProtection="1">
      <alignment horizontal="right"/>
    </xf>
    <xf numFmtId="165" fontId="0" fillId="0" borderId="57" xfId="0" applyNumberFormat="1" applyBorder="1" applyProtection="1"/>
    <xf numFmtId="0" fontId="0" fillId="0" borderId="5" xfId="0" applyFill="1" applyBorder="1" applyProtection="1"/>
    <xf numFmtId="9" fontId="13" fillId="0" borderId="0" xfId="5" applyFont="1" applyFill="1" applyBorder="1" applyProtection="1"/>
    <xf numFmtId="0" fontId="22" fillId="8" borderId="54" xfId="0" applyFont="1" applyFill="1" applyBorder="1" applyAlignment="1" applyProtection="1">
      <alignment horizontal="left" vertical="top"/>
      <protection locked="0"/>
    </xf>
    <xf numFmtId="0" fontId="22" fillId="8" borderId="0" xfId="0" applyFont="1" applyFill="1" applyAlignment="1" applyProtection="1">
      <alignment horizontal="left" vertical="top" wrapText="1"/>
      <protection locked="0"/>
    </xf>
    <xf numFmtId="0" fontId="22" fillId="8" borderId="62" xfId="0" applyFont="1" applyFill="1" applyBorder="1" applyAlignment="1" applyProtection="1">
      <alignment horizontal="left" vertical="top" wrapText="1"/>
      <protection locked="0"/>
    </xf>
    <xf numFmtId="0" fontId="22" fillId="8" borderId="0" xfId="0" applyFont="1" applyFill="1" applyBorder="1" applyAlignment="1" applyProtection="1">
      <alignment horizontal="left" vertical="top" wrapText="1"/>
      <protection locked="0"/>
    </xf>
    <xf numFmtId="0" fontId="3" fillId="0" borderId="40" xfId="0" applyFont="1" applyFill="1" applyBorder="1" applyAlignment="1" applyProtection="1">
      <alignment horizontal="center"/>
    </xf>
    <xf numFmtId="0" fontId="3" fillId="0" borderId="41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0" fontId="2" fillId="0" borderId="43" xfId="0" applyFont="1" applyBorder="1" applyAlignment="1" applyProtection="1">
      <alignment horizontal="center"/>
    </xf>
    <xf numFmtId="38" fontId="0" fillId="0" borderId="29" xfId="0" applyNumberFormat="1" applyBorder="1" applyAlignment="1" applyProtection="1">
      <alignment horizontal="center"/>
    </xf>
    <xf numFmtId="38" fontId="0" fillId="0" borderId="17" xfId="0" applyNumberFormat="1" applyBorder="1" applyAlignment="1" applyProtection="1">
      <alignment horizontal="center"/>
    </xf>
    <xf numFmtId="43" fontId="0" fillId="0" borderId="29" xfId="0" applyNumberFormat="1" applyBorder="1" applyAlignment="1" applyProtection="1">
      <alignment horizontal="center"/>
    </xf>
    <xf numFmtId="43" fontId="0" fillId="0" borderId="17" xfId="0" applyNumberFormat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1" fillId="5" borderId="0" xfId="0" applyFont="1" applyFill="1" applyBorder="1" applyAlignment="1" applyProtection="1">
      <alignment horizontal="center"/>
    </xf>
    <xf numFmtId="165" fontId="1" fillId="4" borderId="0" xfId="3" applyNumberFormat="1" applyFont="1" applyFill="1" applyBorder="1" applyAlignment="1" applyProtection="1">
      <alignment horizontal="center"/>
    </xf>
    <xf numFmtId="165" fontId="1" fillId="3" borderId="0" xfId="3" applyNumberFormat="1" applyFont="1" applyFill="1" applyBorder="1" applyAlignment="1" applyProtection="1">
      <alignment horizontal="center"/>
    </xf>
    <xf numFmtId="0" fontId="1" fillId="7" borderId="0" xfId="0" applyFont="1" applyFill="1" applyBorder="1" applyAlignment="1" applyProtection="1">
      <alignment horizontal="center"/>
    </xf>
    <xf numFmtId="0" fontId="1" fillId="8" borderId="0" xfId="0" applyFont="1" applyFill="1" applyAlignment="1" applyProtection="1">
      <alignment horizontal="center"/>
    </xf>
    <xf numFmtId="165" fontId="22" fillId="8" borderId="0" xfId="3" applyNumberFormat="1" applyFont="1" applyFill="1" applyBorder="1" applyAlignment="1" applyProtection="1">
      <alignment horizontal="left" vertical="top" wrapText="1"/>
      <protection locked="0"/>
    </xf>
    <xf numFmtId="1" fontId="1" fillId="7" borderId="0" xfId="0" applyNumberFormat="1" applyFont="1" applyFill="1" applyAlignment="1" applyProtection="1">
      <alignment horizontal="center"/>
      <protection locked="0"/>
    </xf>
    <xf numFmtId="0" fontId="0" fillId="9" borderId="0" xfId="0" applyFill="1"/>
    <xf numFmtId="0" fontId="1" fillId="9" borderId="0" xfId="0" applyFont="1" applyFill="1" applyBorder="1" applyAlignment="1" applyProtection="1">
      <alignment horizontal="center"/>
    </xf>
    <xf numFmtId="0" fontId="1" fillId="9" borderId="0" xfId="0" applyFont="1" applyFill="1" applyBorder="1" applyProtection="1"/>
    <xf numFmtId="0" fontId="10" fillId="9" borderId="0" xfId="0" applyFont="1" applyFill="1" applyBorder="1" applyAlignment="1" applyProtection="1">
      <alignment horizontal="center"/>
    </xf>
    <xf numFmtId="0" fontId="1" fillId="7" borderId="0" xfId="0" applyFont="1" applyFill="1" applyBorder="1" applyAlignment="1" applyProtection="1">
      <alignment horizontal="center"/>
      <protection locked="0"/>
    </xf>
    <xf numFmtId="0" fontId="2" fillId="9" borderId="0" xfId="0" applyFont="1" applyFill="1" applyBorder="1" applyAlignment="1" applyProtection="1">
      <alignment horizontal="left"/>
    </xf>
    <xf numFmtId="0" fontId="2" fillId="9" borderId="0" xfId="0" applyFont="1" applyFill="1" applyBorder="1" applyAlignment="1" applyProtection="1">
      <alignment horizontal="center"/>
    </xf>
    <xf numFmtId="0" fontId="1" fillId="9" borderId="0" xfId="0" applyFont="1" applyFill="1" applyBorder="1" applyAlignment="1" applyProtection="1">
      <alignment horizontal="left"/>
    </xf>
    <xf numFmtId="0" fontId="1" fillId="9" borderId="0" xfId="0" applyFont="1" applyFill="1" applyBorder="1" applyAlignment="1" applyProtection="1">
      <alignment horizontal="right"/>
    </xf>
    <xf numFmtId="1" fontId="1" fillId="7" borderId="0" xfId="0" applyNumberFormat="1" applyFont="1" applyFill="1" applyBorder="1" applyAlignment="1" applyProtection="1">
      <alignment horizontal="center"/>
      <protection locked="0"/>
    </xf>
  </cellXfs>
  <cellStyles count="7">
    <cellStyle name="_Juno Phase II" xfId="1"/>
    <cellStyle name="_Sheet3" xfId="2"/>
    <cellStyle name="Comma" xfId="3" builtinId="3"/>
    <cellStyle name="Currency" xfId="4" builtinId="4"/>
    <cellStyle name="Normal" xfId="0" builtinId="0"/>
    <cellStyle name="Percent" xfId="5" builtinId="5"/>
    <cellStyle name="Style 1" xfId="6"/>
  </cellStyles>
  <dxfs count="1">
    <dxf>
      <font>
        <color rgb="FFFF0000"/>
      </font>
    </dxf>
  </dxfs>
  <tableStyles count="0" defaultTableStyle="TableStyleMedium9" defaultPivotStyle="PivotStyleLight16"/>
  <colors>
    <mruColors>
      <color rgb="FFFFFF99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14</xdr:row>
      <xdr:rowOff>91440</xdr:rowOff>
    </xdr:from>
    <xdr:to>
      <xdr:col>6</xdr:col>
      <xdr:colOff>403860</xdr:colOff>
      <xdr:row>14</xdr:row>
      <xdr:rowOff>91440</xdr:rowOff>
    </xdr:to>
    <xdr:sp macro="" textlink="">
      <xdr:nvSpPr>
        <xdr:cNvPr id="8340" name="Line 5">
          <a:extLst>
            <a:ext uri="{FF2B5EF4-FFF2-40B4-BE49-F238E27FC236}">
              <a16:creationId xmlns:a16="http://schemas.microsoft.com/office/drawing/2014/main" id="{00000000-0008-0000-0000-000094200000}"/>
            </a:ext>
          </a:extLst>
        </xdr:cNvPr>
        <xdr:cNvSpPr>
          <a:spLocks noChangeShapeType="1"/>
        </xdr:cNvSpPr>
      </xdr:nvSpPr>
      <xdr:spPr bwMode="auto">
        <a:xfrm flipH="1">
          <a:off x="3299460" y="990600"/>
          <a:ext cx="2750820" cy="0"/>
        </a:xfrm>
        <a:prstGeom prst="line">
          <a:avLst/>
        </a:prstGeom>
        <a:noFill/>
        <a:ln w="19050">
          <a:solidFill>
            <a:srgbClr val="0000FF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396240</xdr:colOff>
      <xdr:row>13</xdr:row>
      <xdr:rowOff>158115</xdr:rowOff>
    </xdr:from>
    <xdr:to>
      <xdr:col>6</xdr:col>
      <xdr:colOff>396240</xdr:colOff>
      <xdr:row>14</xdr:row>
      <xdr:rowOff>104775</xdr:rowOff>
    </xdr:to>
    <xdr:sp macro="" textlink="">
      <xdr:nvSpPr>
        <xdr:cNvPr id="8341" name="Line 6">
          <a:extLst>
            <a:ext uri="{FF2B5EF4-FFF2-40B4-BE49-F238E27FC236}">
              <a16:creationId xmlns:a16="http://schemas.microsoft.com/office/drawing/2014/main" id="{00000000-0008-0000-0000-000095200000}"/>
            </a:ext>
          </a:extLst>
        </xdr:cNvPr>
        <xdr:cNvSpPr>
          <a:spLocks noChangeShapeType="1"/>
        </xdr:cNvSpPr>
      </xdr:nvSpPr>
      <xdr:spPr bwMode="auto">
        <a:xfrm flipV="1">
          <a:off x="5711190" y="872490"/>
          <a:ext cx="0" cy="118110"/>
        </a:xfrm>
        <a:prstGeom prst="line">
          <a:avLst/>
        </a:prstGeom>
        <a:noFill/>
        <a:ln w="19050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4</xdr:col>
      <xdr:colOff>902971</xdr:colOff>
      <xdr:row>13</xdr:row>
      <xdr:rowOff>22860</xdr:rowOff>
    </xdr:from>
    <xdr:to>
      <xdr:col>8</xdr:col>
      <xdr:colOff>28578</xdr:colOff>
      <xdr:row>14</xdr:row>
      <xdr:rowOff>0</xdr:rowOff>
    </xdr:to>
    <xdr:sp macro="" textlink="">
      <xdr:nvSpPr>
        <xdr:cNvPr id="8342" name="AutoShape 16">
          <a:extLst>
            <a:ext uri="{FF2B5EF4-FFF2-40B4-BE49-F238E27FC236}">
              <a16:creationId xmlns:a16="http://schemas.microsoft.com/office/drawing/2014/main" id="{00000000-0008-0000-0000-000096200000}"/>
            </a:ext>
          </a:extLst>
        </xdr:cNvPr>
        <xdr:cNvSpPr>
          <a:spLocks/>
        </xdr:cNvSpPr>
      </xdr:nvSpPr>
      <xdr:spPr bwMode="auto">
        <a:xfrm rot="-5400000">
          <a:off x="6173155" y="858201"/>
          <a:ext cx="148590" cy="2745107"/>
        </a:xfrm>
        <a:prstGeom prst="leftBracket">
          <a:avLst>
            <a:gd name="adj" fmla="val 0"/>
          </a:avLst>
        </a:prstGeom>
        <a:noFill/>
        <a:ln w="19050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3</xdr:col>
      <xdr:colOff>99059</xdr:colOff>
      <xdr:row>25</xdr:row>
      <xdr:rowOff>83820</xdr:rowOff>
    </xdr:from>
    <xdr:to>
      <xdr:col>5</xdr:col>
      <xdr:colOff>9524</xdr:colOff>
      <xdr:row>25</xdr:row>
      <xdr:rowOff>83820</xdr:rowOff>
    </xdr:to>
    <xdr:sp macro="" textlink="">
      <xdr:nvSpPr>
        <xdr:cNvPr id="8343" name="Line 19">
          <a:extLst>
            <a:ext uri="{FF2B5EF4-FFF2-40B4-BE49-F238E27FC236}">
              <a16:creationId xmlns:a16="http://schemas.microsoft.com/office/drawing/2014/main" id="{00000000-0008-0000-0000-000097200000}"/>
            </a:ext>
          </a:extLst>
        </xdr:cNvPr>
        <xdr:cNvSpPr>
          <a:spLocks noChangeShapeType="1"/>
        </xdr:cNvSpPr>
      </xdr:nvSpPr>
      <xdr:spPr bwMode="auto">
        <a:xfrm flipH="1">
          <a:off x="3166109" y="2836545"/>
          <a:ext cx="1720215" cy="0"/>
        </a:xfrm>
        <a:prstGeom prst="line">
          <a:avLst/>
        </a:prstGeom>
        <a:noFill/>
        <a:ln w="19050">
          <a:solidFill>
            <a:srgbClr val="0000FF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902970</xdr:colOff>
      <xdr:row>24</xdr:row>
      <xdr:rowOff>114299</xdr:rowOff>
    </xdr:from>
    <xdr:to>
      <xdr:col>9</xdr:col>
      <xdr:colOff>0</xdr:colOff>
      <xdr:row>25</xdr:row>
      <xdr:rowOff>171448</xdr:rowOff>
    </xdr:to>
    <xdr:sp macro="" textlink="">
      <xdr:nvSpPr>
        <xdr:cNvPr id="8345" name="AutoShape 21">
          <a:extLst>
            <a:ext uri="{FF2B5EF4-FFF2-40B4-BE49-F238E27FC236}">
              <a16:creationId xmlns:a16="http://schemas.microsoft.com/office/drawing/2014/main" id="{00000000-0008-0000-0000-000099200000}"/>
            </a:ext>
          </a:extLst>
        </xdr:cNvPr>
        <xdr:cNvSpPr>
          <a:spLocks/>
        </xdr:cNvSpPr>
      </xdr:nvSpPr>
      <xdr:spPr bwMode="auto">
        <a:xfrm rot="-5400000">
          <a:off x="6571298" y="2418396"/>
          <a:ext cx="228599" cy="3621405"/>
        </a:xfrm>
        <a:prstGeom prst="leftBracket">
          <a:avLst>
            <a:gd name="adj" fmla="val 0"/>
          </a:avLst>
        </a:prstGeom>
        <a:noFill/>
        <a:ln w="19050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3</xdr:col>
      <xdr:colOff>91440</xdr:colOff>
      <xdr:row>31</xdr:row>
      <xdr:rowOff>99060</xdr:rowOff>
    </xdr:from>
    <xdr:to>
      <xdr:col>4</xdr:col>
      <xdr:colOff>0</xdr:colOff>
      <xdr:row>31</xdr:row>
      <xdr:rowOff>99060</xdr:rowOff>
    </xdr:to>
    <xdr:sp macro="" textlink="">
      <xdr:nvSpPr>
        <xdr:cNvPr id="18" name="Line 5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ShapeType="1"/>
        </xdr:cNvSpPr>
      </xdr:nvSpPr>
      <xdr:spPr bwMode="auto">
        <a:xfrm flipH="1">
          <a:off x="3158490" y="3870960"/>
          <a:ext cx="813435" cy="0"/>
        </a:xfrm>
        <a:prstGeom prst="line">
          <a:avLst/>
        </a:prstGeom>
        <a:noFill/>
        <a:ln w="19050">
          <a:solidFill>
            <a:srgbClr val="0000FF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30</xdr:row>
      <xdr:rowOff>38100</xdr:rowOff>
    </xdr:from>
    <xdr:to>
      <xdr:col>7</xdr:col>
      <xdr:colOff>9525</xdr:colOff>
      <xdr:row>31</xdr:row>
      <xdr:rowOff>161924</xdr:rowOff>
    </xdr:to>
    <xdr:sp macro="" textlink="">
      <xdr:nvSpPr>
        <xdr:cNvPr id="20" name="AutoShape 1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/>
        </xdr:cNvSpPr>
      </xdr:nvSpPr>
      <xdr:spPr bwMode="auto">
        <a:xfrm rot="-5400000">
          <a:off x="5186363" y="3843337"/>
          <a:ext cx="295274" cy="2724150"/>
        </a:xfrm>
        <a:prstGeom prst="leftBracket">
          <a:avLst>
            <a:gd name="adj" fmla="val 0"/>
          </a:avLst>
        </a:prstGeom>
        <a:noFill/>
        <a:ln w="19050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7</xdr:col>
      <xdr:colOff>257175</xdr:colOff>
      <xdr:row>4</xdr:row>
      <xdr:rowOff>28575</xdr:rowOff>
    </xdr:from>
    <xdr:to>
      <xdr:col>7</xdr:col>
      <xdr:colOff>704850</xdr:colOff>
      <xdr:row>5</xdr:row>
      <xdr:rowOff>180975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943725" y="838200"/>
          <a:ext cx="447675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38100</xdr:colOff>
      <xdr:row>21</xdr:row>
      <xdr:rowOff>9525</xdr:rowOff>
    </xdr:from>
    <xdr:to>
      <xdr:col>9</xdr:col>
      <xdr:colOff>657225</xdr:colOff>
      <xdr:row>24</xdr:row>
      <xdr:rowOff>57150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H="1">
          <a:off x="8534400" y="3514725"/>
          <a:ext cx="619125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ma189/Documents/0%20Rebalance%20Projects/Castings%20-%20Pace%20to%20JinTuo/PR-Castings%20to%20China%20Project%2006072011%20CE%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 "/>
      <sheetName val=" Request Content "/>
      <sheetName val="Project Cost Estimates"/>
      <sheetName val="Profitability Analysis"/>
      <sheetName val="Input"/>
      <sheetName val="PAF"/>
      <sheetName val="Cash Flow"/>
      <sheetName val="Capital"/>
      <sheetName val="Expense(1)"/>
      <sheetName val="Expense(2)"/>
      <sheetName val="Benefit(1)"/>
      <sheetName val="Benefit(2)"/>
      <sheetName val="People"/>
      <sheetName val="Impact Analysis"/>
      <sheetName val="Part Number Summary"/>
      <sheetName val="Group Definition "/>
      <sheetName val="Iter A - Part Cost Estimations "/>
    </sheetNames>
    <sheetDataSet>
      <sheetData sheetId="0" refreshError="1"/>
      <sheetData sheetId="1"/>
      <sheetData sheetId="2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3"/>
    <pageSetUpPr fitToPage="1"/>
  </sheetPr>
  <dimension ref="A1:R111"/>
  <sheetViews>
    <sheetView tabSelected="1" zoomScaleNormal="100" workbookViewId="0">
      <selection activeCell="J69" sqref="J69"/>
    </sheetView>
  </sheetViews>
  <sheetFormatPr defaultColWidth="9.140625" defaultRowHeight="12.75" x14ac:dyDescent="0.2"/>
  <cols>
    <col min="1" max="1" width="2.7109375" style="1" customWidth="1"/>
    <col min="2" max="2" width="29.7109375" style="1" bestFit="1" customWidth="1"/>
    <col min="3" max="9" width="13.5703125" style="1" customWidth="1"/>
    <col min="10" max="10" width="14.42578125" style="99" customWidth="1"/>
    <col min="11" max="11" width="12.140625" style="1" customWidth="1"/>
    <col min="12" max="12" width="4.28515625" style="1" customWidth="1"/>
    <col min="13" max="13" width="8" style="1" customWidth="1"/>
    <col min="14" max="14" width="25.5703125" style="1" bestFit="1" customWidth="1"/>
    <col min="15" max="17" width="12.140625" style="1" customWidth="1"/>
    <col min="18" max="16384" width="9.140625" style="1"/>
  </cols>
  <sheetData>
    <row r="1" spans="1:13" ht="15.75" x14ac:dyDescent="0.25">
      <c r="A1" s="8" t="s">
        <v>98</v>
      </c>
      <c r="H1" s="184"/>
      <c r="I1" s="240" t="s">
        <v>112</v>
      </c>
      <c r="J1" s="240"/>
      <c r="K1" s="240"/>
      <c r="L1" s="240"/>
      <c r="M1" s="240"/>
    </row>
    <row r="2" spans="1:13" ht="15.75" x14ac:dyDescent="0.25">
      <c r="A2" s="8"/>
      <c r="C2" s="165" t="s">
        <v>45</v>
      </c>
      <c r="D2" s="165" t="s">
        <v>103</v>
      </c>
      <c r="F2" s="56" t="s">
        <v>101</v>
      </c>
      <c r="G2" s="163">
        <f>+C15</f>
        <v>0</v>
      </c>
      <c r="H2" s="185"/>
      <c r="I2" s="240"/>
      <c r="J2" s="240"/>
      <c r="K2" s="240"/>
      <c r="L2" s="240"/>
      <c r="M2" s="240"/>
    </row>
    <row r="3" spans="1:13" ht="15.75" x14ac:dyDescent="0.25">
      <c r="A3" s="8"/>
      <c r="C3" s="163">
        <f>+C23</f>
        <v>1</v>
      </c>
      <c r="D3" s="163">
        <f>+C12</f>
        <v>0</v>
      </c>
      <c r="F3" s="56" t="s">
        <v>100</v>
      </c>
      <c r="G3" s="163">
        <f>+C16</f>
        <v>0</v>
      </c>
      <c r="H3" s="185"/>
      <c r="I3" s="240"/>
      <c r="J3" s="240"/>
      <c r="K3" s="240"/>
      <c r="L3" s="240"/>
      <c r="M3" s="240"/>
    </row>
    <row r="4" spans="1:13" ht="16.5" thickBot="1" x14ac:dyDescent="0.3">
      <c r="A4" s="8"/>
      <c r="F4" s="56" t="s">
        <v>99</v>
      </c>
      <c r="G4" s="163">
        <f>+C26</f>
        <v>17652.45</v>
      </c>
      <c r="J4" s="234"/>
    </row>
    <row r="5" spans="1:13" ht="16.5" thickBot="1" x14ac:dyDescent="0.3">
      <c r="A5" s="8"/>
      <c r="D5" s="165" t="s">
        <v>104</v>
      </c>
      <c r="F5" s="162" t="s">
        <v>25</v>
      </c>
      <c r="G5" s="164">
        <f>+C32</f>
        <v>2000</v>
      </c>
      <c r="I5" s="166" t="s">
        <v>102</v>
      </c>
      <c r="J5" s="234"/>
      <c r="K5" s="17" t="s">
        <v>119</v>
      </c>
      <c r="L5" s="247">
        <f>+C38</f>
        <v>-19.652450000000002</v>
      </c>
      <c r="M5" s="248"/>
    </row>
    <row r="6" spans="1:13" ht="16.5" thickBot="1" x14ac:dyDescent="0.3">
      <c r="A6" s="8"/>
      <c r="D6" s="163">
        <f>+C12*D16</f>
        <v>0</v>
      </c>
      <c r="F6" s="56" t="s">
        <v>96</v>
      </c>
      <c r="G6" s="163">
        <f>+SUM(G2:G5)</f>
        <v>19652.45</v>
      </c>
      <c r="I6" s="167">
        <f>+G6/C23</f>
        <v>19652.45</v>
      </c>
      <c r="J6" s="234"/>
      <c r="K6" s="17" t="s">
        <v>118</v>
      </c>
      <c r="L6" s="249" t="str">
        <f>+C39</f>
        <v>+ 6 years</v>
      </c>
      <c r="M6" s="250"/>
    </row>
    <row r="7" spans="1:13" ht="6" customHeight="1" x14ac:dyDescent="0.25">
      <c r="A7" s="8"/>
      <c r="D7" s="163"/>
      <c r="F7" s="56"/>
      <c r="G7" s="163"/>
      <c r="I7" s="169"/>
    </row>
    <row r="8" spans="1:13" ht="3" customHeight="1" x14ac:dyDescent="0.25">
      <c r="A8" s="170"/>
      <c r="B8" s="171"/>
      <c r="C8" s="171"/>
      <c r="D8" s="172"/>
      <c r="E8" s="171"/>
      <c r="F8" s="173"/>
      <c r="G8" s="172"/>
      <c r="H8" s="171"/>
      <c r="I8" s="174"/>
      <c r="J8" s="175"/>
      <c r="K8" s="171"/>
      <c r="L8" s="171"/>
      <c r="M8" s="171"/>
    </row>
    <row r="9" spans="1:13" s="4" customFormat="1" ht="6" customHeight="1" x14ac:dyDescent="0.25">
      <c r="A9" s="8"/>
      <c r="D9" s="176"/>
      <c r="F9" s="177"/>
      <c r="G9" s="176"/>
      <c r="I9" s="105"/>
      <c r="J9" s="10"/>
    </row>
    <row r="10" spans="1:13" ht="16.5" thickBot="1" x14ac:dyDescent="0.3">
      <c r="A10" s="8" t="s">
        <v>36</v>
      </c>
      <c r="K10" s="251" t="s">
        <v>107</v>
      </c>
      <c r="L10" s="251"/>
    </row>
    <row r="11" spans="1:13" s="4" customFormat="1" ht="13.9" customHeight="1" thickBot="1" x14ac:dyDescent="0.25">
      <c r="A11" s="219"/>
      <c r="B11" s="9"/>
      <c r="E11" s="89" t="s">
        <v>63</v>
      </c>
      <c r="F11" s="90"/>
      <c r="G11" s="90"/>
      <c r="H11" s="84"/>
      <c r="K11" s="252" t="s">
        <v>108</v>
      </c>
      <c r="L11" s="252"/>
    </row>
    <row r="12" spans="1:13" s="4" customFormat="1" ht="13.5" thickBot="1" x14ac:dyDescent="0.25">
      <c r="A12" s="219"/>
      <c r="B12" s="11" t="s">
        <v>3</v>
      </c>
      <c r="C12" s="7"/>
      <c r="E12" s="91" t="s">
        <v>41</v>
      </c>
      <c r="F12" s="92" t="s">
        <v>2</v>
      </c>
      <c r="G12" s="92" t="s">
        <v>4</v>
      </c>
      <c r="H12" s="93" t="s">
        <v>5</v>
      </c>
      <c r="K12" s="253" t="s">
        <v>109</v>
      </c>
      <c r="L12" s="253"/>
    </row>
    <row r="13" spans="1:13" s="4" customFormat="1" ht="13.5" thickBot="1" x14ac:dyDescent="0.25">
      <c r="A13" s="219"/>
      <c r="B13" s="11" t="s">
        <v>35</v>
      </c>
      <c r="C13" s="54"/>
      <c r="E13" s="94" t="s">
        <v>42</v>
      </c>
      <c r="F13" s="95">
        <f>E55</f>
        <v>0</v>
      </c>
      <c r="G13" s="95">
        <f>G55</f>
        <v>0</v>
      </c>
      <c r="H13" s="96">
        <f>I55</f>
        <v>0</v>
      </c>
      <c r="K13" s="254" t="s">
        <v>106</v>
      </c>
      <c r="L13" s="254"/>
    </row>
    <row r="14" spans="1:13" s="4" customFormat="1" ht="13.5" thickBot="1" x14ac:dyDescent="0.25">
      <c r="A14" s="219"/>
      <c r="B14" s="12"/>
      <c r="C14" s="61" t="s">
        <v>59</v>
      </c>
      <c r="K14" s="255" t="s">
        <v>105</v>
      </c>
      <c r="L14" s="255"/>
    </row>
    <row r="15" spans="1:13" s="4" customFormat="1" ht="13.5" thickBot="1" x14ac:dyDescent="0.25">
      <c r="A15" s="219"/>
      <c r="B15" s="13" t="s">
        <v>44</v>
      </c>
      <c r="C15" s="7"/>
      <c r="K15" s="256" t="s">
        <v>113</v>
      </c>
      <c r="L15" s="256"/>
    </row>
    <row r="16" spans="1:13" s="4" customFormat="1" ht="13.5" thickBot="1" x14ac:dyDescent="0.25">
      <c r="A16" s="219"/>
      <c r="B16" s="108" t="s">
        <v>78</v>
      </c>
      <c r="C16" s="129">
        <f>+C12*D16*F16</f>
        <v>0</v>
      </c>
      <c r="D16" s="227">
        <v>0</v>
      </c>
      <c r="F16" s="213">
        <v>80000</v>
      </c>
      <c r="G16" s="107" t="s">
        <v>111</v>
      </c>
      <c r="J16" s="10"/>
    </row>
    <row r="17" spans="1:14" s="4" customFormat="1" x14ac:dyDescent="0.2">
      <c r="A17" s="219"/>
      <c r="B17" s="108"/>
      <c r="C17" s="130"/>
      <c r="D17" s="179" t="s">
        <v>110</v>
      </c>
      <c r="F17" s="107"/>
      <c r="J17" s="10"/>
    </row>
    <row r="18" spans="1:14" ht="13.5" thickBot="1" x14ac:dyDescent="0.25">
      <c r="A18" s="219"/>
      <c r="B18" s="178" t="s">
        <v>73</v>
      </c>
      <c r="C18" s="123" t="s">
        <v>19</v>
      </c>
      <c r="D18" s="123" t="s">
        <v>9</v>
      </c>
      <c r="E18" s="123" t="s">
        <v>10</v>
      </c>
      <c r="F18" s="123" t="s">
        <v>11</v>
      </c>
      <c r="G18" s="123" t="s">
        <v>12</v>
      </c>
      <c r="H18" s="123" t="s">
        <v>13</v>
      </c>
      <c r="I18" s="99"/>
    </row>
    <row r="19" spans="1:14" ht="13.5" customHeight="1" thickBot="1" x14ac:dyDescent="0.25">
      <c r="A19" s="219"/>
      <c r="B19" s="13" t="s">
        <v>54</v>
      </c>
      <c r="C19" s="228"/>
      <c r="D19" s="230"/>
      <c r="E19" s="231"/>
      <c r="F19" s="232"/>
      <c r="G19" s="232"/>
      <c r="H19" s="229"/>
      <c r="I19" s="99"/>
      <c r="J19" s="1"/>
    </row>
    <row r="20" spans="1:14" ht="13.5" customHeight="1" x14ac:dyDescent="0.2">
      <c r="A20" s="219"/>
      <c r="B20" s="13"/>
      <c r="C20" s="180" t="s">
        <v>55</v>
      </c>
      <c r="D20" s="131"/>
      <c r="E20" s="131"/>
      <c r="F20" s="131"/>
      <c r="G20" s="131"/>
      <c r="I20" s="99"/>
      <c r="J20" s="1"/>
      <c r="M20" s="56" t="s">
        <v>115</v>
      </c>
    </row>
    <row r="21" spans="1:14" ht="13.5" thickBot="1" x14ac:dyDescent="0.25">
      <c r="A21" s="219"/>
      <c r="B21" s="13"/>
      <c r="C21" s="14"/>
      <c r="D21" s="14"/>
      <c r="E21" s="14"/>
      <c r="F21" s="14"/>
      <c r="G21" s="14"/>
      <c r="H21" s="14"/>
      <c r="J21" s="234"/>
      <c r="K21" s="234"/>
      <c r="M21" s="233" t="s">
        <v>121</v>
      </c>
      <c r="N21" s="21" t="s">
        <v>127</v>
      </c>
    </row>
    <row r="22" spans="1:14" ht="13.5" customHeight="1" thickBot="1" x14ac:dyDescent="0.25">
      <c r="A22" s="219"/>
      <c r="B22" s="74" t="s">
        <v>97</v>
      </c>
      <c r="C22" s="132">
        <f>+F19/C23</f>
        <v>0</v>
      </c>
      <c r="D22" s="14"/>
      <c r="E22" s="81" t="s">
        <v>40</v>
      </c>
      <c r="F22" s="82"/>
      <c r="G22" s="83"/>
      <c r="H22" s="83"/>
      <c r="I22" s="84"/>
      <c r="J22" s="234"/>
      <c r="K22" s="234"/>
      <c r="L22" s="109" t="s">
        <v>22</v>
      </c>
      <c r="M22" s="214">
        <f>+E80</f>
        <v>25</v>
      </c>
      <c r="N22" s="110" t="s">
        <v>125</v>
      </c>
    </row>
    <row r="23" spans="1:14" ht="13.5" thickBot="1" x14ac:dyDescent="0.25">
      <c r="A23" s="219"/>
      <c r="B23" s="13" t="s">
        <v>45</v>
      </c>
      <c r="C23" s="7">
        <v>1</v>
      </c>
      <c r="D23" s="14"/>
      <c r="E23" s="85" t="s">
        <v>43</v>
      </c>
      <c r="F23" s="86" t="s">
        <v>1</v>
      </c>
      <c r="G23" s="86" t="s">
        <v>0</v>
      </c>
      <c r="H23" s="86" t="s">
        <v>61</v>
      </c>
      <c r="I23" s="87" t="s">
        <v>27</v>
      </c>
      <c r="J23" s="234"/>
      <c r="K23" s="234"/>
      <c r="L23" s="109" t="s">
        <v>23</v>
      </c>
      <c r="M23" s="214">
        <f t="shared" ref="M23:M30" si="0">+E81</f>
        <v>40</v>
      </c>
      <c r="N23" s="110" t="s">
        <v>126</v>
      </c>
    </row>
    <row r="24" spans="1:14" ht="13.5" thickBot="1" x14ac:dyDescent="0.25">
      <c r="A24" s="219"/>
      <c r="B24" s="12"/>
      <c r="C24" s="2"/>
      <c r="D24" s="14"/>
      <c r="E24" s="88" t="s">
        <v>42</v>
      </c>
      <c r="F24" s="111">
        <f>G89</f>
        <v>2447.1999999999998</v>
      </c>
      <c r="G24" s="111">
        <f>J89</f>
        <v>5103.96</v>
      </c>
      <c r="H24" s="111">
        <f>M89</f>
        <v>8318.9599999999991</v>
      </c>
      <c r="I24" s="112">
        <f>P89</f>
        <v>17652.45</v>
      </c>
      <c r="J24" s="234"/>
      <c r="K24" s="234"/>
      <c r="L24" s="109" t="s">
        <v>83</v>
      </c>
      <c r="M24" s="214">
        <f t="shared" si="0"/>
        <v>45</v>
      </c>
      <c r="N24" s="110" t="s">
        <v>124</v>
      </c>
    </row>
    <row r="25" spans="1:14" ht="13.5" thickBot="1" x14ac:dyDescent="0.25">
      <c r="A25" s="219"/>
      <c r="B25" s="13"/>
      <c r="C25" s="14"/>
      <c r="D25" s="238" t="str">
        <f>IF(E25="% ERROR",SUM(F25:I25),"")</f>
        <v/>
      </c>
      <c r="E25" s="215">
        <f>IF(SUM(F25:I25)&lt;&gt;1,"% ERROR",SUM(F25:I25))</f>
        <v>1</v>
      </c>
      <c r="F25" s="210"/>
      <c r="G25" s="216"/>
      <c r="H25" s="211"/>
      <c r="I25" s="212">
        <v>1</v>
      </c>
      <c r="J25" s="234"/>
      <c r="K25" s="234"/>
      <c r="L25" s="109" t="s">
        <v>87</v>
      </c>
      <c r="M25" s="214">
        <f t="shared" si="0"/>
        <v>25</v>
      </c>
      <c r="N25" s="110" t="s">
        <v>123</v>
      </c>
    </row>
    <row r="26" spans="1:14" ht="13.5" thickBot="1" x14ac:dyDescent="0.25">
      <c r="A26" s="219"/>
      <c r="B26" s="13" t="s">
        <v>62</v>
      </c>
      <c r="C26" s="129">
        <f>+D96</f>
        <v>17652.45</v>
      </c>
      <c r="D26" s="14"/>
      <c r="E26" s="14"/>
      <c r="F26" s="197" t="s">
        <v>116</v>
      </c>
      <c r="G26" s="14"/>
      <c r="H26" s="14"/>
      <c r="J26" s="234"/>
      <c r="K26" s="234"/>
      <c r="L26" s="109" t="s">
        <v>24</v>
      </c>
      <c r="M26" s="214">
        <f t="shared" si="0"/>
        <v>40</v>
      </c>
      <c r="N26" s="110" t="s">
        <v>128</v>
      </c>
    </row>
    <row r="27" spans="1:14" ht="13.5" thickBot="1" x14ac:dyDescent="0.25">
      <c r="A27" s="219"/>
      <c r="B27" s="181" t="s">
        <v>84</v>
      </c>
      <c r="C27" s="225">
        <f>+C26/C23</f>
        <v>17652.45</v>
      </c>
      <c r="D27" s="14"/>
      <c r="E27" s="14"/>
      <c r="F27" s="14"/>
      <c r="G27" s="14"/>
      <c r="H27" s="14"/>
      <c r="J27" s="234"/>
      <c r="K27" s="234"/>
      <c r="L27" s="109" t="s">
        <v>79</v>
      </c>
      <c r="M27" s="214">
        <f t="shared" si="0"/>
        <v>25</v>
      </c>
      <c r="N27" s="110" t="s">
        <v>129</v>
      </c>
    </row>
    <row r="28" spans="1:14" x14ac:dyDescent="0.2">
      <c r="A28" s="219"/>
      <c r="B28" s="182" t="s">
        <v>85</v>
      </c>
      <c r="C28" s="226">
        <f>+C22/C29</f>
        <v>0</v>
      </c>
      <c r="D28" s="14"/>
      <c r="E28" s="75" t="s">
        <v>71</v>
      </c>
      <c r="F28" s="76"/>
      <c r="G28" s="77"/>
      <c r="J28" s="234"/>
      <c r="K28" s="234"/>
      <c r="L28" s="109" t="s">
        <v>60</v>
      </c>
      <c r="M28" s="214">
        <f t="shared" si="0"/>
        <v>50</v>
      </c>
      <c r="N28" s="110" t="s">
        <v>130</v>
      </c>
    </row>
    <row r="29" spans="1:14" ht="13.5" thickBot="1" x14ac:dyDescent="0.25">
      <c r="A29" s="219"/>
      <c r="B29" s="183" t="s">
        <v>86</v>
      </c>
      <c r="C29" s="224">
        <f>+C30/C23</f>
        <v>1500000</v>
      </c>
      <c r="D29" s="14"/>
      <c r="E29" s="78" t="s">
        <v>68</v>
      </c>
      <c r="F29" s="79" t="s">
        <v>69</v>
      </c>
      <c r="G29" s="80" t="s">
        <v>70</v>
      </c>
      <c r="J29" s="234"/>
      <c r="K29" s="234"/>
      <c r="L29" s="109" t="s">
        <v>75</v>
      </c>
      <c r="M29" s="214">
        <f t="shared" si="0"/>
        <v>0</v>
      </c>
      <c r="N29" s="110" t="s">
        <v>124</v>
      </c>
    </row>
    <row r="30" spans="1:14" ht="13.5" thickBot="1" x14ac:dyDescent="0.25">
      <c r="A30" s="219"/>
      <c r="B30" s="74" t="s">
        <v>114</v>
      </c>
      <c r="C30" s="6">
        <v>1500000</v>
      </c>
      <c r="D30" s="14"/>
      <c r="E30" s="221">
        <f>+$C$30*E29</f>
        <v>22500</v>
      </c>
      <c r="F30" s="222">
        <f t="shared" ref="F30:G30" si="1">+$C$30*F29</f>
        <v>30000</v>
      </c>
      <c r="G30" s="223">
        <f t="shared" si="1"/>
        <v>34500</v>
      </c>
      <c r="J30" s="150"/>
      <c r="K30" s="150"/>
      <c r="L30" s="235" t="s">
        <v>77</v>
      </c>
      <c r="M30" s="236">
        <f t="shared" si="0"/>
        <v>0</v>
      </c>
    </row>
    <row r="31" spans="1:14" ht="13.5" thickBot="1" x14ac:dyDescent="0.25">
      <c r="A31" s="219"/>
      <c r="B31" s="74"/>
      <c r="C31" s="132"/>
      <c r="D31" s="14"/>
      <c r="E31" s="98"/>
      <c r="F31" s="97"/>
      <c r="G31" s="97"/>
      <c r="H31" s="70"/>
      <c r="K31" s="110" t="s">
        <v>122</v>
      </c>
      <c r="M31" s="214">
        <f>+E89</f>
        <v>250</v>
      </c>
    </row>
    <row r="32" spans="1:14" ht="13.5" thickBot="1" x14ac:dyDescent="0.25">
      <c r="A32" s="219"/>
      <c r="B32" s="13" t="s">
        <v>25</v>
      </c>
      <c r="C32" s="6">
        <v>2000</v>
      </c>
      <c r="D32" s="14"/>
      <c r="E32" s="197" t="s">
        <v>72</v>
      </c>
    </row>
    <row r="33" spans="1:13" x14ac:dyDescent="0.2">
      <c r="B33" s="15"/>
      <c r="C33" s="16"/>
      <c r="D33" s="14"/>
      <c r="E33" s="197" t="s">
        <v>67</v>
      </c>
      <c r="F33" s="14"/>
      <c r="G33" s="14"/>
    </row>
    <row r="34" spans="1:13" x14ac:dyDescent="0.2">
      <c r="D34" s="14"/>
      <c r="E34" s="14"/>
      <c r="F34" s="14"/>
      <c r="G34" s="14"/>
      <c r="H34" s="14"/>
    </row>
    <row r="35" spans="1:13" ht="15.75" x14ac:dyDescent="0.25">
      <c r="A35" s="8" t="s">
        <v>47</v>
      </c>
      <c r="C35" s="14"/>
      <c r="D35" s="14"/>
      <c r="E35" s="257" t="s">
        <v>112</v>
      </c>
      <c r="F35" s="257"/>
      <c r="G35" s="257"/>
      <c r="H35" s="257"/>
      <c r="I35" s="257"/>
      <c r="J35" s="257"/>
      <c r="K35" s="257"/>
      <c r="L35" s="257"/>
      <c r="M35" s="257"/>
    </row>
    <row r="36" spans="1:13" x14ac:dyDescent="0.2">
      <c r="B36" s="13"/>
      <c r="C36" s="18"/>
      <c r="D36" s="14"/>
      <c r="E36" s="257"/>
      <c r="F36" s="257"/>
      <c r="G36" s="257"/>
      <c r="H36" s="257"/>
      <c r="I36" s="257"/>
      <c r="J36" s="257"/>
      <c r="K36" s="257"/>
      <c r="L36" s="257"/>
      <c r="M36" s="257"/>
    </row>
    <row r="37" spans="1:13" ht="15.75" thickBot="1" x14ac:dyDescent="0.3">
      <c r="B37" s="220" t="s">
        <v>120</v>
      </c>
      <c r="C37" s="18"/>
      <c r="D37" s="14"/>
      <c r="E37" s="257"/>
      <c r="F37" s="257"/>
      <c r="G37" s="257"/>
      <c r="H37" s="257"/>
      <c r="I37" s="257"/>
      <c r="J37" s="257"/>
      <c r="K37" s="257"/>
      <c r="L37" s="257"/>
      <c r="M37" s="257"/>
    </row>
    <row r="38" spans="1:13" ht="13.5" thickBot="1" x14ac:dyDescent="0.25">
      <c r="B38" s="17" t="s">
        <v>48</v>
      </c>
      <c r="C38" s="19">
        <f>J103</f>
        <v>-19.652450000000002</v>
      </c>
      <c r="D38" s="14"/>
      <c r="E38" s="257"/>
      <c r="F38" s="257"/>
      <c r="G38" s="257"/>
      <c r="H38" s="257"/>
      <c r="I38" s="257"/>
      <c r="J38" s="257"/>
      <c r="K38" s="257"/>
      <c r="L38" s="257"/>
      <c r="M38" s="257"/>
    </row>
    <row r="39" spans="1:13" ht="13.5" thickBot="1" x14ac:dyDescent="0.25">
      <c r="B39" s="17" t="s">
        <v>49</v>
      </c>
      <c r="C39" s="20" t="str">
        <f>J106</f>
        <v>+ 6 years</v>
      </c>
      <c r="D39" s="14"/>
      <c r="E39" s="257"/>
      <c r="F39" s="257"/>
      <c r="G39" s="257"/>
      <c r="H39" s="257"/>
      <c r="I39" s="257"/>
      <c r="J39" s="257"/>
      <c r="K39" s="257"/>
      <c r="L39" s="257"/>
      <c r="M39" s="257"/>
    </row>
    <row r="40" spans="1:13" ht="6" customHeight="1" x14ac:dyDescent="0.25">
      <c r="A40" s="8"/>
      <c r="D40" s="163"/>
      <c r="F40" s="56"/>
      <c r="G40" s="163"/>
      <c r="I40" s="169"/>
    </row>
    <row r="41" spans="1:13" ht="3" customHeight="1" x14ac:dyDescent="0.25">
      <c r="A41" s="170"/>
      <c r="B41" s="171"/>
      <c r="C41" s="171"/>
      <c r="D41" s="172"/>
      <c r="E41" s="171"/>
      <c r="F41" s="173"/>
      <c r="G41" s="172"/>
      <c r="H41" s="171"/>
      <c r="I41" s="174"/>
      <c r="J41" s="175"/>
      <c r="K41" s="171"/>
      <c r="L41" s="171"/>
      <c r="M41" s="171"/>
    </row>
    <row r="42" spans="1:13" s="4" customFormat="1" ht="6" customHeight="1" x14ac:dyDescent="0.25">
      <c r="A42" s="8"/>
      <c r="D42" s="176"/>
      <c r="F42" s="177"/>
      <c r="G42" s="176"/>
      <c r="I42" s="105"/>
      <c r="J42" s="10"/>
    </row>
    <row r="43" spans="1:13" ht="18" x14ac:dyDescent="0.25">
      <c r="A43" s="218" t="s">
        <v>117</v>
      </c>
      <c r="D43" s="4"/>
      <c r="G43" s="4"/>
      <c r="J43" s="4"/>
    </row>
    <row r="44" spans="1:13" ht="15.75" x14ac:dyDescent="0.25">
      <c r="A44" s="73" t="s">
        <v>39</v>
      </c>
      <c r="D44" s="4"/>
      <c r="G44" s="4"/>
      <c r="J44" s="4"/>
    </row>
    <row r="45" spans="1:13" ht="13.5" thickBot="1" x14ac:dyDescent="0.25">
      <c r="D45" s="4"/>
      <c r="G45" s="4"/>
      <c r="J45" s="4"/>
    </row>
    <row r="46" spans="1:13" ht="15.75" x14ac:dyDescent="0.25">
      <c r="B46" s="22"/>
      <c r="C46" s="23"/>
      <c r="D46" s="243" t="s">
        <v>2</v>
      </c>
      <c r="E46" s="244"/>
      <c r="F46" s="243" t="s">
        <v>4</v>
      </c>
      <c r="G46" s="244"/>
      <c r="H46" s="243" t="s">
        <v>5</v>
      </c>
      <c r="I46" s="244"/>
      <c r="J46" s="1"/>
    </row>
    <row r="47" spans="1:13" x14ac:dyDescent="0.2">
      <c r="B47" s="24" t="s">
        <v>3</v>
      </c>
      <c r="C47" s="25">
        <f>C12</f>
        <v>0</v>
      </c>
      <c r="D47" s="26"/>
      <c r="E47" s="27"/>
      <c r="F47" s="26"/>
      <c r="G47" s="27"/>
      <c r="H47" s="26"/>
      <c r="I47" s="27"/>
      <c r="J47" s="1"/>
    </row>
    <row r="48" spans="1:13" x14ac:dyDescent="0.2">
      <c r="B48" s="24" t="s">
        <v>35</v>
      </c>
      <c r="C48" s="28">
        <f>C13</f>
        <v>0</v>
      </c>
      <c r="D48" s="64" t="s">
        <v>66</v>
      </c>
      <c r="E48" s="65"/>
      <c r="F48" s="64" t="s">
        <v>66</v>
      </c>
      <c r="G48" s="65"/>
      <c r="H48" s="64" t="s">
        <v>66</v>
      </c>
      <c r="I48" s="29"/>
      <c r="J48" s="1"/>
    </row>
    <row r="49" spans="1:17" x14ac:dyDescent="0.2">
      <c r="B49" s="30" t="s">
        <v>7</v>
      </c>
      <c r="C49" s="31"/>
      <c r="D49" s="208">
        <v>250</v>
      </c>
      <c r="E49" s="66">
        <f>D49*$C$47</f>
        <v>0</v>
      </c>
      <c r="F49" s="208">
        <v>350</v>
      </c>
      <c r="G49" s="66">
        <f>F49*$C$47</f>
        <v>0</v>
      </c>
      <c r="H49" s="208">
        <v>350</v>
      </c>
      <c r="I49" s="66">
        <f>H49*$C$47</f>
        <v>0</v>
      </c>
      <c r="J49" s="1"/>
    </row>
    <row r="50" spans="1:17" x14ac:dyDescent="0.2">
      <c r="B50" s="30" t="s">
        <v>8</v>
      </c>
      <c r="C50" s="32"/>
      <c r="D50" s="209">
        <v>50</v>
      </c>
      <c r="E50" s="66">
        <f>D50*$C$47</f>
        <v>0</v>
      </c>
      <c r="F50" s="209">
        <v>75</v>
      </c>
      <c r="G50" s="66">
        <f>F50*$C$47</f>
        <v>0</v>
      </c>
      <c r="H50" s="209">
        <v>75</v>
      </c>
      <c r="I50" s="66">
        <f>H50*$C$47</f>
        <v>0</v>
      </c>
      <c r="J50" s="1"/>
    </row>
    <row r="51" spans="1:17" x14ac:dyDescent="0.2">
      <c r="B51" s="30" t="s">
        <v>52</v>
      </c>
      <c r="C51" s="32"/>
      <c r="D51" s="209">
        <v>350</v>
      </c>
      <c r="E51" s="67">
        <f>IF($C$48="N",D51*$C$47,D51*$C$47*1.2)</f>
        <v>0</v>
      </c>
      <c r="F51" s="209">
        <v>450</v>
      </c>
      <c r="G51" s="67">
        <f>IF($C$48="N",F51*$C$47,F51*$C$47*1.2)</f>
        <v>0</v>
      </c>
      <c r="H51" s="209">
        <v>450</v>
      </c>
      <c r="I51" s="67">
        <f>IF($C$48="N",H51*$C$47,H51*$C$47*1.2)</f>
        <v>0</v>
      </c>
      <c r="J51" s="1"/>
    </row>
    <row r="52" spans="1:17" x14ac:dyDescent="0.2">
      <c r="B52" s="30" t="s">
        <v>53</v>
      </c>
      <c r="C52" s="32"/>
      <c r="D52" s="209">
        <v>350</v>
      </c>
      <c r="E52" s="67">
        <f>IF($C$48="N",D52*$C$47,D52*$C$47*1.5)</f>
        <v>0</v>
      </c>
      <c r="F52" s="209">
        <v>500</v>
      </c>
      <c r="G52" s="67">
        <f>IF($C$48="N",F52*$C$47,F52*$C$47*1.5)</f>
        <v>0</v>
      </c>
      <c r="H52" s="209">
        <v>400</v>
      </c>
      <c r="I52" s="67">
        <f>IF($C$48="N",H52*$C$47,H52*$C$47*1.5)</f>
        <v>0</v>
      </c>
      <c r="J52" s="1"/>
    </row>
    <row r="53" spans="1:17" x14ac:dyDescent="0.2">
      <c r="B53" s="30" t="s">
        <v>6</v>
      </c>
      <c r="C53" s="32"/>
      <c r="D53" s="209">
        <v>350</v>
      </c>
      <c r="E53" s="66">
        <f>D53*$C$47</f>
        <v>0</v>
      </c>
      <c r="F53" s="209">
        <v>500</v>
      </c>
      <c r="G53" s="66">
        <f>F53*$C$47</f>
        <v>0</v>
      </c>
      <c r="H53" s="209">
        <v>750</v>
      </c>
      <c r="I53" s="66">
        <f>H53*$C$47</f>
        <v>0</v>
      </c>
      <c r="J53" s="1"/>
    </row>
    <row r="54" spans="1:17" x14ac:dyDescent="0.2">
      <c r="B54" s="30" t="s">
        <v>33</v>
      </c>
      <c r="C54" s="32"/>
      <c r="D54" s="209">
        <v>500</v>
      </c>
      <c r="E54" s="66">
        <f>D54*$C$47</f>
        <v>0</v>
      </c>
      <c r="F54" s="209">
        <v>1000</v>
      </c>
      <c r="G54" s="66">
        <f>F54*$C$47</f>
        <v>0</v>
      </c>
      <c r="H54" s="209">
        <v>1000</v>
      </c>
      <c r="I54" s="66">
        <f>H54*$C$47</f>
        <v>0</v>
      </c>
      <c r="J54" s="1"/>
    </row>
    <row r="55" spans="1:17" ht="13.5" thickBot="1" x14ac:dyDescent="0.25">
      <c r="B55" s="33"/>
      <c r="C55" s="34" t="s">
        <v>34</v>
      </c>
      <c r="D55" s="68"/>
      <c r="E55" s="69">
        <f>SUM(E49:E54)</f>
        <v>0</v>
      </c>
      <c r="F55" s="68"/>
      <c r="G55" s="69">
        <f>SUM(G49:G54)</f>
        <v>0</v>
      </c>
      <c r="H55" s="68"/>
      <c r="I55" s="69">
        <f>SUM(I49:I54)</f>
        <v>0</v>
      </c>
      <c r="J55" s="71"/>
    </row>
    <row r="56" spans="1:17" s="71" customFormat="1" x14ac:dyDescent="0.2">
      <c r="B56" s="101"/>
      <c r="C56" s="102"/>
      <c r="D56" s="103"/>
      <c r="E56" s="104"/>
      <c r="F56" s="103"/>
      <c r="G56" s="104"/>
      <c r="H56" s="103"/>
      <c r="I56" s="104"/>
    </row>
    <row r="57" spans="1:17" x14ac:dyDescent="0.2">
      <c r="B57" s="5" t="s">
        <v>50</v>
      </c>
      <c r="C57" s="36"/>
      <c r="D57" s="37"/>
      <c r="E57" s="37"/>
      <c r="F57" s="38"/>
      <c r="G57" s="37"/>
      <c r="H57" s="37"/>
      <c r="I57" s="38"/>
      <c r="J57" s="37"/>
      <c r="K57" s="35"/>
      <c r="L57" s="39"/>
      <c r="M57" s="35"/>
      <c r="O57" s="35"/>
      <c r="Q57" s="35"/>
    </row>
    <row r="58" spans="1:17" x14ac:dyDescent="0.2">
      <c r="B58" s="5" t="s">
        <v>51</v>
      </c>
      <c r="C58" s="36"/>
      <c r="D58" s="37"/>
      <c r="E58" s="37"/>
      <c r="F58" s="38"/>
      <c r="G58" s="37"/>
      <c r="H58" s="37"/>
      <c r="I58" s="38"/>
      <c r="J58" s="37"/>
      <c r="K58" s="35"/>
      <c r="L58" s="39"/>
      <c r="M58" s="35"/>
      <c r="O58" s="35"/>
      <c r="Q58" s="35"/>
    </row>
    <row r="60" spans="1:17" ht="16.5" thickBot="1" x14ac:dyDescent="0.3">
      <c r="A60" s="72" t="s">
        <v>46</v>
      </c>
      <c r="B60" s="3"/>
    </row>
    <row r="61" spans="1:17" ht="13.5" thickBot="1" x14ac:dyDescent="0.25">
      <c r="B61" s="15" t="s">
        <v>26</v>
      </c>
      <c r="C61" s="237">
        <f>C23</f>
        <v>1</v>
      </c>
    </row>
    <row r="62" spans="1:17" x14ac:dyDescent="0.2">
      <c r="B62" s="53"/>
      <c r="E62" s="15"/>
      <c r="F62" s="2"/>
    </row>
    <row r="63" spans="1:17" s="110" customFormat="1" x14ac:dyDescent="0.2">
      <c r="B63" s="128" t="s">
        <v>74</v>
      </c>
      <c r="C63" s="99"/>
      <c r="D63" s="99"/>
      <c r="F63" s="99"/>
      <c r="G63" s="99"/>
      <c r="H63" s="99"/>
      <c r="J63" s="99"/>
    </row>
    <row r="64" spans="1:17" s="110" customFormat="1" x14ac:dyDescent="0.2">
      <c r="C64" s="123" t="s">
        <v>1</v>
      </c>
      <c r="D64" s="123" t="s">
        <v>0</v>
      </c>
      <c r="E64" s="123" t="s">
        <v>61</v>
      </c>
      <c r="F64" s="123" t="s">
        <v>27</v>
      </c>
      <c r="G64" s="124"/>
      <c r="H64" s="125" t="s">
        <v>58</v>
      </c>
      <c r="I64" s="126"/>
      <c r="J64" s="99"/>
    </row>
    <row r="65" spans="2:18" s="110" customFormat="1" x14ac:dyDescent="0.2">
      <c r="B65" s="74" t="s">
        <v>22</v>
      </c>
      <c r="C65" s="207">
        <v>4</v>
      </c>
      <c r="D65" s="207">
        <v>9</v>
      </c>
      <c r="E65" s="207">
        <v>16</v>
      </c>
      <c r="F65" s="207">
        <v>25</v>
      </c>
      <c r="G65" s="110" t="s">
        <v>31</v>
      </c>
      <c r="H65" s="258">
        <v>115.13</v>
      </c>
      <c r="I65" s="124"/>
      <c r="J65" s="113"/>
      <c r="K65" s="113"/>
      <c r="L65" s="113"/>
      <c r="M65" s="113"/>
    </row>
    <row r="66" spans="2:18" s="110" customFormat="1" x14ac:dyDescent="0.2">
      <c r="B66" s="74" t="s">
        <v>23</v>
      </c>
      <c r="C66" s="207">
        <v>6</v>
      </c>
      <c r="D66" s="207">
        <v>10</v>
      </c>
      <c r="E66" s="207">
        <v>15</v>
      </c>
      <c r="F66" s="207">
        <v>40</v>
      </c>
      <c r="G66" s="110" t="s">
        <v>31</v>
      </c>
      <c r="H66" s="258">
        <v>42.59</v>
      </c>
      <c r="I66" s="124"/>
      <c r="J66" s="10"/>
      <c r="K66" s="113"/>
      <c r="L66" s="113"/>
      <c r="M66" s="113"/>
    </row>
    <row r="67" spans="2:18" s="110" customFormat="1" x14ac:dyDescent="0.2">
      <c r="B67" s="74" t="s">
        <v>82</v>
      </c>
      <c r="C67" s="207">
        <v>6</v>
      </c>
      <c r="D67" s="207">
        <v>9</v>
      </c>
      <c r="E67" s="207">
        <v>15</v>
      </c>
      <c r="F67" s="207">
        <v>45</v>
      </c>
      <c r="G67" s="110" t="s">
        <v>31</v>
      </c>
      <c r="H67" s="258">
        <v>60.13</v>
      </c>
      <c r="I67" s="124"/>
      <c r="J67" s="10"/>
      <c r="K67" s="113"/>
      <c r="L67" s="113"/>
      <c r="M67" s="113"/>
    </row>
    <row r="68" spans="2:18" s="110" customFormat="1" x14ac:dyDescent="0.2">
      <c r="B68" s="74" t="s">
        <v>87</v>
      </c>
      <c r="C68" s="207">
        <v>6</v>
      </c>
      <c r="D68" s="207">
        <v>10</v>
      </c>
      <c r="E68" s="207">
        <v>15</v>
      </c>
      <c r="F68" s="207">
        <v>25</v>
      </c>
      <c r="G68" s="110" t="s">
        <v>31</v>
      </c>
      <c r="H68" s="258">
        <v>40</v>
      </c>
      <c r="I68" s="124"/>
      <c r="J68" s="10"/>
      <c r="K68" s="113"/>
      <c r="L68" s="113"/>
      <c r="M68" s="113"/>
    </row>
    <row r="69" spans="2:18" s="110" customFormat="1" x14ac:dyDescent="0.2">
      <c r="B69" s="74" t="s">
        <v>24</v>
      </c>
      <c r="C69" s="207">
        <v>6</v>
      </c>
      <c r="D69" s="207">
        <v>10</v>
      </c>
      <c r="E69" s="207">
        <v>15</v>
      </c>
      <c r="F69" s="207">
        <v>40</v>
      </c>
      <c r="G69" s="110" t="s">
        <v>131</v>
      </c>
      <c r="H69" s="258">
        <v>65</v>
      </c>
      <c r="I69" s="124"/>
      <c r="J69" s="10"/>
      <c r="K69" s="113"/>
      <c r="L69" s="113"/>
      <c r="M69" s="113"/>
    </row>
    <row r="70" spans="2:18" s="110" customFormat="1" x14ac:dyDescent="0.2">
      <c r="B70" s="74" t="s">
        <v>79</v>
      </c>
      <c r="C70" s="207">
        <v>4</v>
      </c>
      <c r="D70" s="207">
        <v>8</v>
      </c>
      <c r="E70" s="207">
        <v>12</v>
      </c>
      <c r="F70" s="207">
        <v>25</v>
      </c>
      <c r="G70" s="110" t="s">
        <v>31</v>
      </c>
      <c r="H70" s="258">
        <v>42.59</v>
      </c>
      <c r="I70" s="124"/>
      <c r="J70" s="10"/>
      <c r="K70" s="113"/>
      <c r="L70" s="113"/>
      <c r="M70" s="113"/>
    </row>
    <row r="71" spans="2:18" s="110" customFormat="1" x14ac:dyDescent="0.2">
      <c r="B71" s="74" t="s">
        <v>60</v>
      </c>
      <c r="C71" s="207">
        <v>5</v>
      </c>
      <c r="D71" s="207">
        <v>15</v>
      </c>
      <c r="E71" s="207">
        <v>25</v>
      </c>
      <c r="F71" s="207">
        <v>50</v>
      </c>
      <c r="G71" s="110" t="s">
        <v>31</v>
      </c>
      <c r="H71" s="258">
        <v>114</v>
      </c>
      <c r="I71" s="124"/>
      <c r="J71" s="113"/>
      <c r="K71" s="113"/>
      <c r="L71" s="113"/>
      <c r="M71" s="113"/>
    </row>
    <row r="72" spans="2:18" s="110" customFormat="1" x14ac:dyDescent="0.2">
      <c r="B72" s="74" t="s">
        <v>80</v>
      </c>
      <c r="C72" s="207">
        <f>+IF($D$16&gt;0,30,6)</f>
        <v>6</v>
      </c>
      <c r="D72" s="207">
        <f>+IF($D$16&gt;0,40,8)</f>
        <v>8</v>
      </c>
      <c r="E72" s="207">
        <f>+IF($D$16&gt;0,50,12)</f>
        <v>12</v>
      </c>
      <c r="F72" s="207">
        <f>+IF($D$16&gt;0,60,16)</f>
        <v>16</v>
      </c>
      <c r="G72" s="110" t="s">
        <v>31</v>
      </c>
      <c r="H72" s="258">
        <v>110.53</v>
      </c>
      <c r="I72" s="124"/>
      <c r="J72" s="10"/>
      <c r="K72" s="113"/>
      <c r="L72" s="113"/>
      <c r="M72" s="113"/>
    </row>
    <row r="73" spans="2:18" s="110" customFormat="1" x14ac:dyDescent="0.2">
      <c r="B73" s="217" t="s">
        <v>81</v>
      </c>
      <c r="C73" s="207"/>
      <c r="D73" s="207"/>
      <c r="E73" s="207"/>
      <c r="F73" s="207"/>
      <c r="G73" s="110" t="s">
        <v>31</v>
      </c>
      <c r="H73" s="258">
        <v>40</v>
      </c>
      <c r="I73" s="124"/>
      <c r="J73" s="99"/>
    </row>
    <row r="74" spans="2:18" s="110" customFormat="1" ht="13.5" thickBot="1" x14ac:dyDescent="0.25">
      <c r="J74" s="99"/>
    </row>
    <row r="75" spans="2:18" s="110" customFormat="1" x14ac:dyDescent="0.2">
      <c r="B75" s="21" t="s">
        <v>89</v>
      </c>
      <c r="C75" s="156" t="s">
        <v>1</v>
      </c>
      <c r="D75" s="157" t="s">
        <v>0</v>
      </c>
      <c r="E75" s="157" t="s">
        <v>61</v>
      </c>
      <c r="F75" s="158" t="s">
        <v>27</v>
      </c>
      <c r="G75" s="127"/>
      <c r="H75" s="127"/>
      <c r="I75" s="127"/>
      <c r="K75" s="99"/>
      <c r="M75" s="99"/>
      <c r="O75" s="99"/>
      <c r="Q75" s="99"/>
    </row>
    <row r="76" spans="2:18" s="110" customFormat="1" ht="13.5" thickBot="1" x14ac:dyDescent="0.25">
      <c r="C76" s="159">
        <f>+F25</f>
        <v>0</v>
      </c>
      <c r="D76" s="160">
        <f>+G25</f>
        <v>0</v>
      </c>
      <c r="E76" s="160">
        <f>+H25</f>
        <v>0</v>
      </c>
      <c r="F76" s="161">
        <f>+I25</f>
        <v>1</v>
      </c>
      <c r="G76" s="127"/>
      <c r="H76" s="127"/>
      <c r="I76" s="127"/>
      <c r="K76" s="99"/>
      <c r="M76" s="99"/>
      <c r="O76" s="99"/>
      <c r="Q76" s="99"/>
    </row>
    <row r="77" spans="2:18" s="110" customFormat="1" ht="13.5" thickBot="1" x14ac:dyDescent="0.25">
      <c r="G77" s="127"/>
      <c r="H77" s="127"/>
      <c r="I77" s="127"/>
      <c r="K77" s="99"/>
      <c r="M77" s="99"/>
      <c r="O77" s="99"/>
      <c r="Q77" s="99"/>
    </row>
    <row r="78" spans="2:18" s="21" customFormat="1" ht="13.5" thickTop="1" x14ac:dyDescent="0.2">
      <c r="B78" s="60" t="s">
        <v>94</v>
      </c>
      <c r="C78" s="118" t="s">
        <v>88</v>
      </c>
      <c r="D78" s="114"/>
      <c r="E78" s="114"/>
      <c r="F78" s="139"/>
      <c r="G78" s="245" t="s">
        <v>1</v>
      </c>
      <c r="H78" s="245"/>
      <c r="I78" s="168"/>
      <c r="J78" s="246" t="s">
        <v>0</v>
      </c>
      <c r="K78" s="245"/>
      <c r="L78" s="168"/>
      <c r="M78" s="246" t="s">
        <v>61</v>
      </c>
      <c r="N78" s="245"/>
      <c r="O78" s="168"/>
      <c r="P78" s="246" t="s">
        <v>27</v>
      </c>
      <c r="Q78" s="245"/>
      <c r="R78" s="168"/>
    </row>
    <row r="79" spans="2:18" s="110" customFormat="1" x14ac:dyDescent="0.2">
      <c r="C79" s="149" t="s">
        <v>90</v>
      </c>
      <c r="D79" s="150" t="s">
        <v>65</v>
      </c>
      <c r="E79" s="151" t="s">
        <v>64</v>
      </c>
      <c r="F79" s="152" t="s">
        <v>76</v>
      </c>
      <c r="G79" s="63" t="s">
        <v>65</v>
      </c>
      <c r="H79" s="100" t="s">
        <v>64</v>
      </c>
      <c r="I79" s="100" t="s">
        <v>76</v>
      </c>
      <c r="J79" s="106" t="s">
        <v>65</v>
      </c>
      <c r="K79" s="100" t="s">
        <v>64</v>
      </c>
      <c r="L79" s="100" t="s">
        <v>76</v>
      </c>
      <c r="M79" s="106" t="s">
        <v>65</v>
      </c>
      <c r="N79" s="100" t="s">
        <v>64</v>
      </c>
      <c r="O79" s="100" t="s">
        <v>76</v>
      </c>
      <c r="P79" s="106" t="s">
        <v>65</v>
      </c>
      <c r="Q79" s="100" t="s">
        <v>64</v>
      </c>
      <c r="R79" s="100" t="s">
        <v>76</v>
      </c>
    </row>
    <row r="80" spans="2:18" s="113" customFormat="1" x14ac:dyDescent="0.2">
      <c r="B80" s="109" t="s">
        <v>22</v>
      </c>
      <c r="C80" s="144" t="s">
        <v>91</v>
      </c>
      <c r="D80" s="70">
        <f t="shared" ref="D80:D88" si="2">+G80*$C$76+J80*$D$76+M80*$E$76+P80*$F$76</f>
        <v>2878.25</v>
      </c>
      <c r="E80" s="136">
        <f t="shared" ref="E80:E88" si="3">+H80*$C$76+K80*$D$76+N80*$E$76+Q80*$F$76</f>
        <v>25</v>
      </c>
      <c r="F80" s="198">
        <f>+E80/(35*52*0.8)</f>
        <v>1.7170329670329672E-2</v>
      </c>
      <c r="G80" s="70">
        <f t="shared" ref="G80:G86" si="4">$H65*C65*$C$61</f>
        <v>460.52</v>
      </c>
      <c r="H80" s="137">
        <f t="shared" ref="H80:H86" si="5">+C65*$C$61</f>
        <v>4</v>
      </c>
      <c r="I80" s="201">
        <f>+H80/(35*52*0.8)</f>
        <v>2.7472527472527475E-3</v>
      </c>
      <c r="J80" s="138">
        <f t="shared" ref="J80:J86" si="6">$H65*D65*$C$61</f>
        <v>1036.17</v>
      </c>
      <c r="K80" s="137">
        <f t="shared" ref="K80:K86" si="7">+D65*$C$61</f>
        <v>9</v>
      </c>
      <c r="L80" s="201">
        <f>+K80/(35*52*0.8)</f>
        <v>6.181318681318681E-3</v>
      </c>
      <c r="M80" s="138">
        <f t="shared" ref="M80:M86" si="8">$H65*E65*$C$61</f>
        <v>1842.08</v>
      </c>
      <c r="N80" s="137">
        <f t="shared" ref="N80:N86" si="9">+E65*$C$61</f>
        <v>16</v>
      </c>
      <c r="O80" s="201">
        <f>+N80/(35*52*0.8)</f>
        <v>1.098901098901099E-2</v>
      </c>
      <c r="P80" s="138">
        <f t="shared" ref="P80:P86" si="10">$H65*F65*$C$61</f>
        <v>2878.25</v>
      </c>
      <c r="Q80" s="137">
        <f t="shared" ref="Q80:Q86" si="11">+F65*$C$61</f>
        <v>25</v>
      </c>
      <c r="R80" s="201">
        <f>+Q80/(35*52*0.8)</f>
        <v>1.7170329670329672E-2</v>
      </c>
    </row>
    <row r="81" spans="2:18" s="113" customFormat="1" x14ac:dyDescent="0.2">
      <c r="B81" s="109" t="s">
        <v>23</v>
      </c>
      <c r="C81" s="146" t="s">
        <v>92</v>
      </c>
      <c r="D81" s="70">
        <f t="shared" si="2"/>
        <v>1703.6000000000001</v>
      </c>
      <c r="E81" s="136">
        <f t="shared" si="3"/>
        <v>40</v>
      </c>
      <c r="F81" s="198">
        <f t="shared" ref="F81:F88" si="12">+E81/(35*52*0.8)</f>
        <v>2.7472527472527472E-2</v>
      </c>
      <c r="G81" s="70">
        <f t="shared" si="4"/>
        <v>255.54000000000002</v>
      </c>
      <c r="H81" s="137">
        <f t="shared" si="5"/>
        <v>6</v>
      </c>
      <c r="I81" s="201">
        <f t="shared" ref="I81:I86" si="13">+H81/(35*52*0.8)</f>
        <v>4.120879120879121E-3</v>
      </c>
      <c r="J81" s="138">
        <f t="shared" si="6"/>
        <v>425.90000000000003</v>
      </c>
      <c r="K81" s="137">
        <f t="shared" si="7"/>
        <v>10</v>
      </c>
      <c r="L81" s="201">
        <f t="shared" ref="L81:L86" si="14">+K81/(35*52*0.8)</f>
        <v>6.868131868131868E-3</v>
      </c>
      <c r="M81" s="138">
        <f t="shared" si="8"/>
        <v>638.85</v>
      </c>
      <c r="N81" s="137">
        <f t="shared" si="9"/>
        <v>15</v>
      </c>
      <c r="O81" s="201">
        <f t="shared" ref="O81:O86" si="15">+N81/(35*52*0.8)</f>
        <v>1.0302197802197802E-2</v>
      </c>
      <c r="P81" s="138">
        <f t="shared" si="10"/>
        <v>1703.6000000000001</v>
      </c>
      <c r="Q81" s="137">
        <f t="shared" si="11"/>
        <v>40</v>
      </c>
      <c r="R81" s="201">
        <f t="shared" ref="R81:R86" si="16">+Q81/(35*52*0.8)</f>
        <v>2.7472527472527472E-2</v>
      </c>
    </row>
    <row r="82" spans="2:18" s="113" customFormat="1" x14ac:dyDescent="0.2">
      <c r="B82" s="109" t="s">
        <v>83</v>
      </c>
      <c r="C82" s="145" t="s">
        <v>93</v>
      </c>
      <c r="D82" s="70">
        <f t="shared" si="2"/>
        <v>2705.85</v>
      </c>
      <c r="E82" s="136">
        <f t="shared" si="3"/>
        <v>45</v>
      </c>
      <c r="F82" s="198">
        <f t="shared" si="12"/>
        <v>3.0906593406593408E-2</v>
      </c>
      <c r="G82" s="70">
        <f t="shared" si="4"/>
        <v>360.78000000000003</v>
      </c>
      <c r="H82" s="137">
        <f t="shared" si="5"/>
        <v>6</v>
      </c>
      <c r="I82" s="201">
        <f t="shared" si="13"/>
        <v>4.120879120879121E-3</v>
      </c>
      <c r="J82" s="138">
        <f t="shared" si="6"/>
        <v>541.17000000000007</v>
      </c>
      <c r="K82" s="137">
        <f t="shared" si="7"/>
        <v>9</v>
      </c>
      <c r="L82" s="201">
        <f t="shared" si="14"/>
        <v>6.181318681318681E-3</v>
      </c>
      <c r="M82" s="138">
        <f t="shared" si="8"/>
        <v>901.95</v>
      </c>
      <c r="N82" s="137">
        <f t="shared" si="9"/>
        <v>15</v>
      </c>
      <c r="O82" s="201">
        <f t="shared" si="15"/>
        <v>1.0302197802197802E-2</v>
      </c>
      <c r="P82" s="138">
        <f t="shared" si="10"/>
        <v>2705.85</v>
      </c>
      <c r="Q82" s="137">
        <f t="shared" si="11"/>
        <v>45</v>
      </c>
      <c r="R82" s="201">
        <f t="shared" si="16"/>
        <v>3.0906593406593408E-2</v>
      </c>
    </row>
    <row r="83" spans="2:18" s="113" customFormat="1" x14ac:dyDescent="0.2">
      <c r="B83" s="109" t="s">
        <v>87</v>
      </c>
      <c r="C83" s="146" t="s">
        <v>92</v>
      </c>
      <c r="D83" s="70">
        <f t="shared" si="2"/>
        <v>1000</v>
      </c>
      <c r="E83" s="136">
        <f t="shared" si="3"/>
        <v>25</v>
      </c>
      <c r="F83" s="198">
        <f t="shared" si="12"/>
        <v>1.7170329670329672E-2</v>
      </c>
      <c r="G83" s="70">
        <f t="shared" si="4"/>
        <v>240</v>
      </c>
      <c r="H83" s="137">
        <f t="shared" si="5"/>
        <v>6</v>
      </c>
      <c r="I83" s="201">
        <f t="shared" si="13"/>
        <v>4.120879120879121E-3</v>
      </c>
      <c r="J83" s="138">
        <f t="shared" si="6"/>
        <v>400</v>
      </c>
      <c r="K83" s="137">
        <f t="shared" si="7"/>
        <v>10</v>
      </c>
      <c r="L83" s="201">
        <f t="shared" si="14"/>
        <v>6.868131868131868E-3</v>
      </c>
      <c r="M83" s="138">
        <f t="shared" si="8"/>
        <v>600</v>
      </c>
      <c r="N83" s="137">
        <f t="shared" si="9"/>
        <v>15</v>
      </c>
      <c r="O83" s="201">
        <f t="shared" si="15"/>
        <v>1.0302197802197802E-2</v>
      </c>
      <c r="P83" s="138">
        <f t="shared" si="10"/>
        <v>1000</v>
      </c>
      <c r="Q83" s="137">
        <f t="shared" si="11"/>
        <v>25</v>
      </c>
      <c r="R83" s="201">
        <f t="shared" si="16"/>
        <v>1.7170329670329672E-2</v>
      </c>
    </row>
    <row r="84" spans="2:18" s="113" customFormat="1" x14ac:dyDescent="0.2">
      <c r="B84" s="109" t="s">
        <v>24</v>
      </c>
      <c r="C84" s="146" t="s">
        <v>92</v>
      </c>
      <c r="D84" s="70">
        <f t="shared" si="2"/>
        <v>2600</v>
      </c>
      <c r="E84" s="136">
        <f t="shared" si="3"/>
        <v>40</v>
      </c>
      <c r="F84" s="198">
        <f t="shared" si="12"/>
        <v>2.7472527472527472E-2</v>
      </c>
      <c r="G84" s="70">
        <f t="shared" si="4"/>
        <v>390</v>
      </c>
      <c r="H84" s="137">
        <f t="shared" si="5"/>
        <v>6</v>
      </c>
      <c r="I84" s="201">
        <f t="shared" si="13"/>
        <v>4.120879120879121E-3</v>
      </c>
      <c r="J84" s="138">
        <f t="shared" si="6"/>
        <v>650</v>
      </c>
      <c r="K84" s="137">
        <f t="shared" si="7"/>
        <v>10</v>
      </c>
      <c r="L84" s="201">
        <f t="shared" si="14"/>
        <v>6.868131868131868E-3</v>
      </c>
      <c r="M84" s="138">
        <f t="shared" si="8"/>
        <v>975</v>
      </c>
      <c r="N84" s="137">
        <f t="shared" si="9"/>
        <v>15</v>
      </c>
      <c r="O84" s="201">
        <f t="shared" si="15"/>
        <v>1.0302197802197802E-2</v>
      </c>
      <c r="P84" s="138">
        <f t="shared" si="10"/>
        <v>2600</v>
      </c>
      <c r="Q84" s="137">
        <f t="shared" si="11"/>
        <v>40</v>
      </c>
      <c r="R84" s="201">
        <f t="shared" si="16"/>
        <v>2.7472527472527472E-2</v>
      </c>
    </row>
    <row r="85" spans="2:18" s="113" customFormat="1" x14ac:dyDescent="0.2">
      <c r="B85" s="109" t="s">
        <v>79</v>
      </c>
      <c r="C85" s="146" t="s">
        <v>92</v>
      </c>
      <c r="D85" s="70">
        <f t="shared" si="2"/>
        <v>1064.75</v>
      </c>
      <c r="E85" s="136">
        <f t="shared" si="3"/>
        <v>25</v>
      </c>
      <c r="F85" s="198">
        <f t="shared" si="12"/>
        <v>1.7170329670329672E-2</v>
      </c>
      <c r="G85" s="70">
        <f t="shared" si="4"/>
        <v>170.36</v>
      </c>
      <c r="H85" s="137">
        <f t="shared" si="5"/>
        <v>4</v>
      </c>
      <c r="I85" s="201">
        <f t="shared" si="13"/>
        <v>2.7472527472527475E-3</v>
      </c>
      <c r="J85" s="138">
        <f t="shared" si="6"/>
        <v>340.72</v>
      </c>
      <c r="K85" s="137">
        <f t="shared" si="7"/>
        <v>8</v>
      </c>
      <c r="L85" s="201">
        <f t="shared" si="14"/>
        <v>5.4945054945054949E-3</v>
      </c>
      <c r="M85" s="138">
        <f t="shared" si="8"/>
        <v>511.08000000000004</v>
      </c>
      <c r="N85" s="137">
        <f t="shared" si="9"/>
        <v>12</v>
      </c>
      <c r="O85" s="201">
        <f t="shared" si="15"/>
        <v>8.241758241758242E-3</v>
      </c>
      <c r="P85" s="138">
        <f t="shared" si="10"/>
        <v>1064.75</v>
      </c>
      <c r="Q85" s="137">
        <f t="shared" si="11"/>
        <v>25</v>
      </c>
      <c r="R85" s="201">
        <f t="shared" si="16"/>
        <v>1.7170329670329672E-2</v>
      </c>
    </row>
    <row r="86" spans="2:18" s="113" customFormat="1" x14ac:dyDescent="0.2">
      <c r="B86" s="109" t="s">
        <v>60</v>
      </c>
      <c r="C86" s="144" t="s">
        <v>91</v>
      </c>
      <c r="D86" s="70">
        <f t="shared" si="2"/>
        <v>5700</v>
      </c>
      <c r="E86" s="136">
        <f t="shared" si="3"/>
        <v>50</v>
      </c>
      <c r="F86" s="198">
        <f t="shared" si="12"/>
        <v>3.4340659340659344E-2</v>
      </c>
      <c r="G86" s="70">
        <f t="shared" si="4"/>
        <v>570</v>
      </c>
      <c r="H86" s="137">
        <f t="shared" si="5"/>
        <v>5</v>
      </c>
      <c r="I86" s="201">
        <f t="shared" si="13"/>
        <v>3.434065934065934E-3</v>
      </c>
      <c r="J86" s="138">
        <f t="shared" si="6"/>
        <v>1710</v>
      </c>
      <c r="K86" s="137">
        <f t="shared" si="7"/>
        <v>15</v>
      </c>
      <c r="L86" s="201">
        <f t="shared" si="14"/>
        <v>1.0302197802197802E-2</v>
      </c>
      <c r="M86" s="138">
        <f t="shared" si="8"/>
        <v>2850</v>
      </c>
      <c r="N86" s="137">
        <f t="shared" si="9"/>
        <v>25</v>
      </c>
      <c r="O86" s="201">
        <f t="shared" si="15"/>
        <v>1.7170329670329672E-2</v>
      </c>
      <c r="P86" s="138">
        <f t="shared" si="10"/>
        <v>5700</v>
      </c>
      <c r="Q86" s="137">
        <f t="shared" si="11"/>
        <v>50</v>
      </c>
      <c r="R86" s="201">
        <f t="shared" si="16"/>
        <v>3.4340659340659344E-2</v>
      </c>
    </row>
    <row r="87" spans="2:18" s="113" customFormat="1" x14ac:dyDescent="0.2">
      <c r="B87" s="109" t="s">
        <v>75</v>
      </c>
      <c r="C87" s="145" t="s">
        <v>93</v>
      </c>
      <c r="D87" s="70">
        <f t="shared" si="2"/>
        <v>0</v>
      </c>
      <c r="E87" s="136">
        <f t="shared" si="3"/>
        <v>0</v>
      </c>
      <c r="F87" s="198">
        <f t="shared" si="12"/>
        <v>0</v>
      </c>
      <c r="G87" s="70">
        <f>$H72*C72*$C$47</f>
        <v>0</v>
      </c>
      <c r="H87" s="137">
        <f>+C72*$C$47</f>
        <v>0</v>
      </c>
      <c r="I87" s="201">
        <f t="shared" ref="I87" si="17">+H87/(35*52*0.8)</f>
        <v>0</v>
      </c>
      <c r="J87" s="138">
        <f>$H72*D72*$C$47</f>
        <v>0</v>
      </c>
      <c r="K87" s="137">
        <f>+D72*$C$47</f>
        <v>0</v>
      </c>
      <c r="L87" s="201">
        <f t="shared" ref="L87" si="18">+K87/(35*52*0.8)</f>
        <v>0</v>
      </c>
      <c r="M87" s="138">
        <f>$H72*E72*$C$47</f>
        <v>0</v>
      </c>
      <c r="N87" s="137">
        <f>+E72*$C$47</f>
        <v>0</v>
      </c>
      <c r="O87" s="201">
        <f t="shared" ref="O87" si="19">+N87/(35*52*0.8)</f>
        <v>0</v>
      </c>
      <c r="P87" s="138">
        <f>$H72*F72*$C$47</f>
        <v>0</v>
      </c>
      <c r="Q87" s="137">
        <f>+F72*$C$47</f>
        <v>0</v>
      </c>
      <c r="R87" s="201">
        <f t="shared" ref="R87" si="20">+Q87/(35*52*0.8)</f>
        <v>0</v>
      </c>
    </row>
    <row r="88" spans="2:18" s="113" customFormat="1" x14ac:dyDescent="0.2">
      <c r="B88" s="108" t="s">
        <v>77</v>
      </c>
      <c r="C88" s="153" t="s">
        <v>92</v>
      </c>
      <c r="D88" s="154">
        <f t="shared" si="2"/>
        <v>0</v>
      </c>
      <c r="E88" s="155">
        <f t="shared" si="3"/>
        <v>0</v>
      </c>
      <c r="F88" s="199">
        <f t="shared" si="12"/>
        <v>0</v>
      </c>
      <c r="G88" s="70">
        <f>$H73*C73*$C$61</f>
        <v>0</v>
      </c>
      <c r="H88" s="137">
        <f>+C73*$C$61</f>
        <v>0</v>
      </c>
      <c r="I88" s="201">
        <f t="shared" ref="I88" si="21">+H88/(35*52*0.8)</f>
        <v>0</v>
      </c>
      <c r="J88" s="138">
        <f>$H73*D73*$C$61</f>
        <v>0</v>
      </c>
      <c r="K88" s="137">
        <f>+D73*$C$61</f>
        <v>0</v>
      </c>
      <c r="L88" s="201">
        <f t="shared" ref="L88" si="22">+K88/(35*52*0.8)</f>
        <v>0</v>
      </c>
      <c r="M88" s="138">
        <f>$H73*E73*$C$61</f>
        <v>0</v>
      </c>
      <c r="N88" s="137">
        <f>+E73*$C$61</f>
        <v>0</v>
      </c>
      <c r="O88" s="201">
        <f t="shared" ref="O88" si="23">+N88/(35*52*0.8)</f>
        <v>0</v>
      </c>
      <c r="P88" s="138">
        <f>$H73*F73*$C$61</f>
        <v>0</v>
      </c>
      <c r="Q88" s="137">
        <f>+F73*$C$61</f>
        <v>0</v>
      </c>
      <c r="R88" s="201">
        <f t="shared" ref="R88" si="24">+Q88/(35*52*0.8)</f>
        <v>0</v>
      </c>
    </row>
    <row r="89" spans="2:18" s="110" customFormat="1" ht="13.5" thickBot="1" x14ac:dyDescent="0.25">
      <c r="B89" s="56" t="s">
        <v>32</v>
      </c>
      <c r="C89" s="133"/>
      <c r="D89" s="134">
        <f>SUM(D80:D88)</f>
        <v>17652.45</v>
      </c>
      <c r="E89" s="134">
        <f>SUM(E80:E88)</f>
        <v>250</v>
      </c>
      <c r="F89" s="200">
        <f>+SUM(F80:F88)</f>
        <v>0.1717032967032967</v>
      </c>
      <c r="G89" s="55">
        <f>SUM(G80:G88)</f>
        <v>2447.1999999999998</v>
      </c>
      <c r="H89" s="115"/>
      <c r="I89" s="201">
        <f>+SUM(I80:I88)</f>
        <v>2.5412087912087912E-2</v>
      </c>
      <c r="J89" s="135">
        <f>SUM(J80:J88)</f>
        <v>5103.96</v>
      </c>
      <c r="K89" s="115"/>
      <c r="L89" s="201">
        <f>+SUM(L80:L88)</f>
        <v>4.8763736263736257E-2</v>
      </c>
      <c r="M89" s="135">
        <f>SUM(M80:M88)</f>
        <v>8318.9599999999991</v>
      </c>
      <c r="N89" s="115"/>
      <c r="O89" s="201">
        <f>+SUM(O80:O88)</f>
        <v>7.7609890109890112E-2</v>
      </c>
      <c r="P89" s="135">
        <f>SUM(P80:P88)</f>
        <v>17652.45</v>
      </c>
      <c r="Q89" s="115"/>
      <c r="R89" s="201">
        <f>+SUM(R80:R88)</f>
        <v>0.1717032967032967</v>
      </c>
    </row>
    <row r="90" spans="2:18" ht="13.5" thickTop="1" x14ac:dyDescent="0.2"/>
    <row r="91" spans="2:18" ht="13.5" thickBot="1" x14ac:dyDescent="0.25">
      <c r="B91" s="21" t="s">
        <v>95</v>
      </c>
      <c r="C91" s="239" t="s">
        <v>112</v>
      </c>
      <c r="D91" s="239"/>
      <c r="E91" s="239"/>
      <c r="F91" s="239"/>
      <c r="H91" s="240" t="s">
        <v>112</v>
      </c>
      <c r="I91" s="240"/>
      <c r="J91" s="240"/>
      <c r="K91" s="240"/>
      <c r="L91" s="240"/>
      <c r="M91" s="240"/>
    </row>
    <row r="92" spans="2:18" ht="13.5" thickTop="1" x14ac:dyDescent="0.2">
      <c r="B92" s="140"/>
      <c r="C92" s="119" t="s">
        <v>90</v>
      </c>
      <c r="D92" s="120" t="s">
        <v>65</v>
      </c>
      <c r="E92" s="121" t="s">
        <v>64</v>
      </c>
      <c r="F92" s="122" t="s">
        <v>76</v>
      </c>
      <c r="H92" s="240"/>
      <c r="I92" s="240"/>
      <c r="J92" s="240"/>
      <c r="K92" s="240"/>
      <c r="L92" s="240"/>
      <c r="M92" s="240"/>
    </row>
    <row r="93" spans="2:18" x14ac:dyDescent="0.2">
      <c r="B93" s="71"/>
      <c r="C93" s="142" t="s">
        <v>91</v>
      </c>
      <c r="D93" s="143">
        <f>+D80+D86</f>
        <v>8578.25</v>
      </c>
      <c r="E93" s="143">
        <f t="shared" ref="E93:F93" si="25">+E80+E86</f>
        <v>75</v>
      </c>
      <c r="F93" s="202">
        <f t="shared" si="25"/>
        <v>5.1510989010989015E-2</v>
      </c>
      <c r="H93" s="240"/>
      <c r="I93" s="240"/>
      <c r="J93" s="240"/>
      <c r="K93" s="240"/>
      <c r="L93" s="240"/>
      <c r="M93" s="240"/>
    </row>
    <row r="94" spans="2:18" x14ac:dyDescent="0.2">
      <c r="C94" s="148" t="s">
        <v>93</v>
      </c>
      <c r="D94" s="97">
        <f>+D82+D87</f>
        <v>2705.85</v>
      </c>
      <c r="E94" s="97">
        <f t="shared" ref="E94:F94" si="26">+E82+E87</f>
        <v>45</v>
      </c>
      <c r="F94" s="203">
        <f t="shared" si="26"/>
        <v>3.0906593406593408E-2</v>
      </c>
      <c r="H94" s="240"/>
      <c r="I94" s="240"/>
      <c r="J94" s="240"/>
      <c r="K94" s="240"/>
      <c r="L94" s="240"/>
      <c r="M94" s="240"/>
    </row>
    <row r="95" spans="2:18" x14ac:dyDescent="0.2">
      <c r="C95" s="147" t="s">
        <v>92</v>
      </c>
      <c r="D95" s="141">
        <f>+D89-(D93+D94)</f>
        <v>6368.35</v>
      </c>
      <c r="E95" s="141">
        <f t="shared" ref="E95:F95" si="27">+E89-(E93+E94)</f>
        <v>130</v>
      </c>
      <c r="F95" s="204">
        <f t="shared" si="27"/>
        <v>8.9285714285714274E-2</v>
      </c>
      <c r="H95" s="240"/>
      <c r="I95" s="240"/>
      <c r="J95" s="240"/>
      <c r="K95" s="240"/>
      <c r="L95" s="240"/>
      <c r="M95" s="240"/>
    </row>
    <row r="96" spans="2:18" ht="13.5" thickBot="1" x14ac:dyDescent="0.25">
      <c r="C96" s="116" t="s">
        <v>96</v>
      </c>
      <c r="D96" s="117">
        <f>+D89</f>
        <v>17652.45</v>
      </c>
      <c r="E96" s="117">
        <f t="shared" ref="E96:F96" si="28">+E89</f>
        <v>250</v>
      </c>
      <c r="F96" s="205">
        <f t="shared" si="28"/>
        <v>0.1717032967032967</v>
      </c>
      <c r="H96" s="240"/>
      <c r="I96" s="240"/>
      <c r="J96" s="240"/>
      <c r="K96" s="240"/>
      <c r="L96" s="240"/>
      <c r="M96" s="240"/>
    </row>
    <row r="97" spans="1:13" ht="13.5" thickTop="1" x14ac:dyDescent="0.2"/>
    <row r="98" spans="1:13" ht="15.75" x14ac:dyDescent="0.25">
      <c r="A98" s="73" t="s">
        <v>38</v>
      </c>
      <c r="B98" s="8"/>
    </row>
    <row r="99" spans="1:13" ht="13.5" thickBot="1" x14ac:dyDescent="0.25">
      <c r="C99" s="99" t="s">
        <v>19</v>
      </c>
      <c r="D99" s="99" t="s">
        <v>9</v>
      </c>
      <c r="E99" s="99" t="s">
        <v>10</v>
      </c>
      <c r="F99" s="99" t="s">
        <v>11</v>
      </c>
      <c r="G99" s="99" t="s">
        <v>12</v>
      </c>
      <c r="H99" s="99" t="s">
        <v>13</v>
      </c>
      <c r="J99" s="99" t="s">
        <v>14</v>
      </c>
    </row>
    <row r="100" spans="1:13" ht="16.5" thickBot="1" x14ac:dyDescent="0.3">
      <c r="B100" s="3" t="s">
        <v>16</v>
      </c>
      <c r="J100" s="206">
        <v>8.7999999999999995E-2</v>
      </c>
    </row>
    <row r="101" spans="1:13" ht="13.5" thickBot="1" x14ac:dyDescent="0.25">
      <c r="B101" s="21" t="s">
        <v>37</v>
      </c>
      <c r="C101" s="40">
        <f>+C19</f>
        <v>0</v>
      </c>
      <c r="D101" s="41">
        <f>D19</f>
        <v>0</v>
      </c>
      <c r="E101" s="41">
        <f>E19</f>
        <v>0</v>
      </c>
      <c r="F101" s="41">
        <f>F19</f>
        <v>0</v>
      </c>
      <c r="G101" s="41">
        <f>G19</f>
        <v>0</v>
      </c>
      <c r="H101" s="42">
        <f>H19</f>
        <v>0</v>
      </c>
    </row>
    <row r="102" spans="1:13" x14ac:dyDescent="0.2">
      <c r="J102" s="43" t="s">
        <v>18</v>
      </c>
    </row>
    <row r="103" spans="1:13" s="21" customFormat="1" ht="16.5" thickBot="1" x14ac:dyDescent="0.3">
      <c r="B103" s="3" t="s">
        <v>15</v>
      </c>
      <c r="C103" s="1"/>
      <c r="D103" s="1"/>
      <c r="E103" s="1"/>
      <c r="F103" s="1"/>
      <c r="G103" s="1"/>
      <c r="H103" s="1"/>
      <c r="J103" s="44">
        <f>SUM(C109:H109)/1000</f>
        <v>-19.652450000000002</v>
      </c>
    </row>
    <row r="104" spans="1:13" ht="13.5" thickBot="1" x14ac:dyDescent="0.25">
      <c r="B104" s="1" t="s">
        <v>29</v>
      </c>
      <c r="C104" s="193">
        <f>C26</f>
        <v>17652.45</v>
      </c>
      <c r="D104" s="186"/>
      <c r="E104" s="187"/>
      <c r="F104" s="187"/>
      <c r="G104" s="187"/>
      <c r="H104" s="188"/>
      <c r="J104" s="45"/>
    </row>
    <row r="105" spans="1:13" x14ac:dyDescent="0.2">
      <c r="B105" s="110" t="s">
        <v>28</v>
      </c>
      <c r="C105" s="189">
        <f>(C32+C15+C16)</f>
        <v>2000</v>
      </c>
      <c r="D105" s="190"/>
      <c r="E105" s="191"/>
      <c r="F105" s="191"/>
      <c r="G105" s="191"/>
      <c r="H105" s="192"/>
      <c r="J105" s="43" t="s">
        <v>17</v>
      </c>
    </row>
    <row r="106" spans="1:13" ht="13.5" thickBot="1" x14ac:dyDescent="0.25">
      <c r="B106" s="21" t="s">
        <v>30</v>
      </c>
      <c r="C106" s="46">
        <f t="shared" ref="C106:H106" si="29">SUM(C104:C105)</f>
        <v>19652.45</v>
      </c>
      <c r="D106" s="47">
        <f t="shared" si="29"/>
        <v>0</v>
      </c>
      <c r="E106" s="47">
        <f t="shared" si="29"/>
        <v>0</v>
      </c>
      <c r="F106" s="47">
        <f t="shared" si="29"/>
        <v>0</v>
      </c>
      <c r="G106" s="47">
        <f t="shared" si="29"/>
        <v>0</v>
      </c>
      <c r="H106" s="48">
        <f t="shared" si="29"/>
        <v>0</v>
      </c>
      <c r="J106" s="49" t="str">
        <f>IF(H111="n/m","+ 6 years",IF(C110&gt;=0,C106/C101,COUNTIF(C110:H110,"&lt;0")+INDEX(C111:H111,COUNTIF(C110:H110,"&lt;0")+1)))</f>
        <v>+ 6 years</v>
      </c>
    </row>
    <row r="107" spans="1:13" ht="13.5" thickBot="1" x14ac:dyDescent="0.25">
      <c r="B107" s="21"/>
      <c r="C107" s="55"/>
      <c r="D107" s="55"/>
      <c r="E107" s="55"/>
      <c r="F107" s="55"/>
      <c r="G107" s="55"/>
      <c r="H107" s="55"/>
      <c r="J107" s="62"/>
    </row>
    <row r="108" spans="1:13" s="21" customFormat="1" x14ac:dyDescent="0.2">
      <c r="B108" s="56" t="s">
        <v>20</v>
      </c>
      <c r="C108" s="57">
        <v>0</v>
      </c>
      <c r="D108" s="58">
        <v>1</v>
      </c>
      <c r="E108" s="58">
        <v>2</v>
      </c>
      <c r="F108" s="58">
        <v>3</v>
      </c>
      <c r="G108" s="58">
        <v>4</v>
      </c>
      <c r="H108" s="59">
        <v>5</v>
      </c>
      <c r="I108" s="241" t="s">
        <v>112</v>
      </c>
      <c r="J108" s="242"/>
      <c r="K108" s="242"/>
      <c r="L108" s="242"/>
      <c r="M108" s="242"/>
    </row>
    <row r="109" spans="1:13" s="21" customFormat="1" x14ac:dyDescent="0.2">
      <c r="B109" s="13" t="s">
        <v>21</v>
      </c>
      <c r="C109" s="50">
        <f t="shared" ref="C109:H109" si="30">C101-C106</f>
        <v>-19652.45</v>
      </c>
      <c r="D109" s="51">
        <f t="shared" si="30"/>
        <v>0</v>
      </c>
      <c r="E109" s="51">
        <f t="shared" si="30"/>
        <v>0</v>
      </c>
      <c r="F109" s="51">
        <f t="shared" si="30"/>
        <v>0</v>
      </c>
      <c r="G109" s="51">
        <f t="shared" si="30"/>
        <v>0</v>
      </c>
      <c r="H109" s="52">
        <f t="shared" si="30"/>
        <v>0</v>
      </c>
      <c r="I109" s="241"/>
      <c r="J109" s="242"/>
      <c r="K109" s="242"/>
      <c r="L109" s="242"/>
      <c r="M109" s="242"/>
    </row>
    <row r="110" spans="1:13" s="21" customFormat="1" x14ac:dyDescent="0.2">
      <c r="B110" s="13" t="s">
        <v>56</v>
      </c>
      <c r="C110" s="50">
        <f>+C109</f>
        <v>-19652.45</v>
      </c>
      <c r="D110" s="51">
        <f>+D109+C109</f>
        <v>-19652.45</v>
      </c>
      <c r="E110" s="51">
        <f>C109+E109+D109</f>
        <v>-19652.45</v>
      </c>
      <c r="F110" s="51">
        <f>C109+D109+F109+E109</f>
        <v>-19652.45</v>
      </c>
      <c r="G110" s="51">
        <f>C109+D109+E109+G109+F109</f>
        <v>-19652.45</v>
      </c>
      <c r="H110" s="52">
        <f>C109+D109+E109+F109+H109+G109</f>
        <v>-19652.45</v>
      </c>
      <c r="I110" s="241"/>
      <c r="J110" s="242"/>
      <c r="K110" s="242"/>
      <c r="L110" s="242"/>
      <c r="M110" s="242"/>
    </row>
    <row r="111" spans="1:13" ht="13.5" thickBot="1" x14ac:dyDescent="0.25">
      <c r="B111" s="13" t="s">
        <v>57</v>
      </c>
      <c r="C111" s="194"/>
      <c r="D111" s="195" t="str">
        <f>IF(D110&lt;0,"n/m",ABS(C110)/D109)</f>
        <v>n/m</v>
      </c>
      <c r="E111" s="195" t="str">
        <f t="shared" ref="E111:H111" si="31">IF(E110&lt;0,"n/m",ABS(D110)/E109)</f>
        <v>n/m</v>
      </c>
      <c r="F111" s="195" t="str">
        <f t="shared" si="31"/>
        <v>n/m</v>
      </c>
      <c r="G111" s="195" t="str">
        <f t="shared" si="31"/>
        <v>n/m</v>
      </c>
      <c r="H111" s="196" t="str">
        <f t="shared" si="31"/>
        <v>n/m</v>
      </c>
      <c r="I111" s="241"/>
      <c r="J111" s="242"/>
      <c r="K111" s="242"/>
      <c r="L111" s="242"/>
      <c r="M111" s="242"/>
    </row>
  </sheetData>
  <mergeCells count="20">
    <mergeCell ref="K12:L12"/>
    <mergeCell ref="K13:L13"/>
    <mergeCell ref="K14:L14"/>
    <mergeCell ref="M78:N78"/>
    <mergeCell ref="P78:Q78"/>
    <mergeCell ref="K15:L15"/>
    <mergeCell ref="E35:M39"/>
    <mergeCell ref="I1:M3"/>
    <mergeCell ref="L5:M5"/>
    <mergeCell ref="L6:M6"/>
    <mergeCell ref="K10:L10"/>
    <mergeCell ref="K11:L11"/>
    <mergeCell ref="C91:F91"/>
    <mergeCell ref="H91:M96"/>
    <mergeCell ref="I108:M111"/>
    <mergeCell ref="D46:E46"/>
    <mergeCell ref="G78:H78"/>
    <mergeCell ref="J78:K78"/>
    <mergeCell ref="F46:G46"/>
    <mergeCell ref="H46:I46"/>
  </mergeCells>
  <phoneticPr fontId="4" type="noConversion"/>
  <conditionalFormatting sqref="E25">
    <cfRule type="cellIs" dxfId="0" priority="1" operator="equal">
      <formula>"% ERROR"</formula>
    </cfRule>
  </conditionalFormatting>
  <pageMargins left="0.38" right="0.4" top="0.87" bottom="0.69" header="0.5" footer="0.5"/>
  <pageSetup scale="81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16"/>
  <sheetViews>
    <sheetView workbookViewId="0">
      <selection activeCell="F4" sqref="F4"/>
    </sheetView>
  </sheetViews>
  <sheetFormatPr defaultRowHeight="12.75" x14ac:dyDescent="0.2"/>
  <cols>
    <col min="5" max="5" width="34.5703125" bestFit="1" customWidth="1"/>
    <col min="11" max="11" width="11.42578125" bestFit="1" customWidth="1"/>
  </cols>
  <sheetData>
    <row r="3" spans="4:13" x14ac:dyDescent="0.2">
      <c r="D3" s="259"/>
      <c r="E3" s="259"/>
      <c r="F3" s="259"/>
      <c r="G3" s="259"/>
      <c r="H3" s="259"/>
      <c r="I3" s="259"/>
      <c r="J3" s="259"/>
      <c r="K3" s="259"/>
      <c r="L3" s="259"/>
      <c r="M3" s="259"/>
    </row>
    <row r="4" spans="4:13" x14ac:dyDescent="0.2">
      <c r="D4" s="259"/>
      <c r="E4" s="259"/>
      <c r="F4" s="259"/>
      <c r="G4" s="259"/>
      <c r="H4" s="259"/>
      <c r="I4" s="259"/>
      <c r="J4" s="259"/>
      <c r="K4" s="259"/>
      <c r="L4" s="259"/>
      <c r="M4" s="259"/>
    </row>
    <row r="5" spans="4:13" x14ac:dyDescent="0.2">
      <c r="D5" s="259"/>
      <c r="E5" s="264" t="s">
        <v>132</v>
      </c>
      <c r="F5" s="265"/>
      <c r="G5" s="265"/>
      <c r="H5" s="261"/>
      <c r="I5" s="265"/>
      <c r="J5" s="265"/>
      <c r="K5" s="265"/>
      <c r="L5" s="259"/>
      <c r="M5" s="259"/>
    </row>
    <row r="6" spans="4:13" x14ac:dyDescent="0.2">
      <c r="D6" s="259"/>
      <c r="E6" s="261"/>
      <c r="F6" s="260" t="s">
        <v>1</v>
      </c>
      <c r="G6" s="260" t="s">
        <v>0</v>
      </c>
      <c r="H6" s="260" t="s">
        <v>61</v>
      </c>
      <c r="I6" s="260" t="s">
        <v>27</v>
      </c>
      <c r="J6" s="260"/>
      <c r="K6" s="266" t="s">
        <v>58</v>
      </c>
      <c r="L6" s="259"/>
      <c r="M6" s="259"/>
    </row>
    <row r="7" spans="4:13" x14ac:dyDescent="0.2">
      <c r="D7" s="259"/>
      <c r="E7" s="267" t="s">
        <v>22</v>
      </c>
      <c r="F7" s="263">
        <v>4</v>
      </c>
      <c r="G7" s="263">
        <v>9</v>
      </c>
      <c r="H7" s="263">
        <v>16</v>
      </c>
      <c r="I7" s="263">
        <v>25</v>
      </c>
      <c r="J7" s="260" t="s">
        <v>31</v>
      </c>
      <c r="K7" s="268">
        <v>115.13</v>
      </c>
      <c r="L7" s="259"/>
      <c r="M7" s="259"/>
    </row>
    <row r="8" spans="4:13" x14ac:dyDescent="0.2">
      <c r="D8" s="259"/>
      <c r="E8" s="267" t="s">
        <v>23</v>
      </c>
      <c r="F8" s="263">
        <v>6</v>
      </c>
      <c r="G8" s="263">
        <v>10</v>
      </c>
      <c r="H8" s="263">
        <v>15</v>
      </c>
      <c r="I8" s="263">
        <v>40</v>
      </c>
      <c r="J8" s="260" t="s">
        <v>31</v>
      </c>
      <c r="K8" s="268">
        <v>42.59</v>
      </c>
      <c r="L8" s="259"/>
      <c r="M8" s="259"/>
    </row>
    <row r="9" spans="4:13" x14ac:dyDescent="0.2">
      <c r="D9" s="259"/>
      <c r="E9" s="267" t="s">
        <v>82</v>
      </c>
      <c r="F9" s="263">
        <v>6</v>
      </c>
      <c r="G9" s="263">
        <v>9</v>
      </c>
      <c r="H9" s="263">
        <v>15</v>
      </c>
      <c r="I9" s="263">
        <v>45</v>
      </c>
      <c r="J9" s="260" t="s">
        <v>31</v>
      </c>
      <c r="K9" s="268">
        <v>60.13</v>
      </c>
      <c r="L9" s="259"/>
      <c r="M9" s="259"/>
    </row>
    <row r="10" spans="4:13" x14ac:dyDescent="0.2">
      <c r="D10" s="259"/>
      <c r="E10" s="267" t="s">
        <v>87</v>
      </c>
      <c r="F10" s="263">
        <v>6</v>
      </c>
      <c r="G10" s="263">
        <v>10</v>
      </c>
      <c r="H10" s="263">
        <v>15</v>
      </c>
      <c r="I10" s="263">
        <v>25</v>
      </c>
      <c r="J10" s="260" t="s">
        <v>31</v>
      </c>
      <c r="K10" s="268">
        <v>40</v>
      </c>
      <c r="L10" s="259"/>
      <c r="M10" s="259"/>
    </row>
    <row r="11" spans="4:13" x14ac:dyDescent="0.2">
      <c r="D11" s="259"/>
      <c r="E11" s="267" t="s">
        <v>24</v>
      </c>
      <c r="F11" s="263">
        <v>6</v>
      </c>
      <c r="G11" s="263">
        <v>10</v>
      </c>
      <c r="H11" s="263">
        <v>15</v>
      </c>
      <c r="I11" s="263">
        <v>40</v>
      </c>
      <c r="J11" s="262" t="s">
        <v>131</v>
      </c>
      <c r="K11" s="268">
        <v>65</v>
      </c>
      <c r="L11" s="259"/>
      <c r="M11" s="259"/>
    </row>
    <row r="12" spans="4:13" x14ac:dyDescent="0.2">
      <c r="D12" s="259"/>
      <c r="E12" s="267" t="s">
        <v>79</v>
      </c>
      <c r="F12" s="263">
        <v>4</v>
      </c>
      <c r="G12" s="263">
        <v>8</v>
      </c>
      <c r="H12" s="263">
        <v>12</v>
      </c>
      <c r="I12" s="263">
        <v>25</v>
      </c>
      <c r="J12" s="260" t="s">
        <v>31</v>
      </c>
      <c r="K12" s="268">
        <v>42.59</v>
      </c>
      <c r="L12" s="259"/>
      <c r="M12" s="259"/>
    </row>
    <row r="13" spans="4:13" x14ac:dyDescent="0.2">
      <c r="D13" s="259"/>
      <c r="E13" s="267" t="s">
        <v>60</v>
      </c>
      <c r="F13" s="263">
        <v>5</v>
      </c>
      <c r="G13" s="263">
        <v>15</v>
      </c>
      <c r="H13" s="263">
        <v>25</v>
      </c>
      <c r="I13" s="263">
        <v>50</v>
      </c>
      <c r="J13" s="260" t="s">
        <v>31</v>
      </c>
      <c r="K13" s="268">
        <v>114</v>
      </c>
      <c r="L13" s="259"/>
      <c r="M13" s="259"/>
    </row>
    <row r="14" spans="4:13" x14ac:dyDescent="0.2">
      <c r="D14" s="259"/>
      <c r="E14" s="267" t="s">
        <v>80</v>
      </c>
      <c r="F14" s="263">
        <f>+IF($D$15&gt;0,30,6)</f>
        <v>6</v>
      </c>
      <c r="G14" s="263">
        <f>+IF($D$15&gt;0,40,8)</f>
        <v>8</v>
      </c>
      <c r="H14" s="263">
        <f>+IF($D$15&gt;0,50,12)</f>
        <v>12</v>
      </c>
      <c r="I14" s="263">
        <f>+IF($D$15&gt;0,60,16)</f>
        <v>16</v>
      </c>
      <c r="J14" s="260" t="s">
        <v>31</v>
      </c>
      <c r="K14" s="268">
        <v>110.53</v>
      </c>
      <c r="L14" s="259"/>
      <c r="M14" s="259"/>
    </row>
    <row r="15" spans="4:13" x14ac:dyDescent="0.2">
      <c r="D15" s="259"/>
      <c r="E15" s="259"/>
      <c r="F15" s="259"/>
      <c r="G15" s="259"/>
      <c r="H15" s="259"/>
      <c r="I15" s="259"/>
      <c r="J15" s="259"/>
      <c r="K15" s="259"/>
      <c r="L15" s="259"/>
      <c r="M15" s="259"/>
    </row>
    <row r="16" spans="4:13" x14ac:dyDescent="0.2">
      <c r="D16" s="259"/>
      <c r="E16" s="259"/>
      <c r="F16" s="259"/>
      <c r="G16" s="259"/>
      <c r="H16" s="259"/>
      <c r="I16" s="259"/>
      <c r="J16" s="259"/>
      <c r="K16" s="259"/>
      <c r="L16" s="259"/>
      <c r="M16" s="259"/>
    </row>
  </sheetData>
  <pageMargins left="0.7" right="0.7" top="0.75" bottom="0.75" header="0.3" footer="0.3"/>
  <ignoredErrors>
    <ignoredError sqref="F14:I14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Inputs &amp; Estimations</vt:lpstr>
      <vt:lpstr>Sheet1</vt:lpstr>
      <vt:lpstr>'Inputs &amp; Estimations'!Print_Area</vt:lpstr>
    </vt:vector>
  </TitlesOfParts>
  <Company>Groupe Schneider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Larsen</dc:creator>
  <cp:lastModifiedBy>Windows User</cp:lastModifiedBy>
  <cp:lastPrinted>2016-11-30T22:32:30Z</cp:lastPrinted>
  <dcterms:created xsi:type="dcterms:W3CDTF">2005-01-18T20:58:45Z</dcterms:created>
  <dcterms:modified xsi:type="dcterms:W3CDTF">2018-04-24T14:37:29Z</dcterms:modified>
</cp:coreProperties>
</file>