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6810" tabRatio="765" activeTab="1"/>
  </bookViews>
  <sheets>
    <sheet name="Company's Initial Investment" sheetId="1" r:id="rId1"/>
    <sheet name="Cash Flows" sheetId="2" r:id="rId2"/>
    <sheet name="Cash Flows 2" sheetId="3" r:id="rId3"/>
    <sheet name="WACC" sheetId="4" r:id="rId4"/>
    <sheet name="IRR" sheetId="5" r:id="rId5"/>
    <sheet name="NPV" sheetId="6" r:id="rId6"/>
    <sheet name="PI" sheetId="7" r:id="rId7"/>
    <sheet name="Regular Payback Period " sheetId="8" r:id="rId8"/>
    <sheet name="Discounted Payback period" sheetId="9" r:id="rId9"/>
  </sheets>
  <calcPr calcId="144525"/>
</workbook>
</file>

<file path=xl/calcChain.xml><?xml version="1.0" encoding="utf-8"?>
<calcChain xmlns="http://schemas.openxmlformats.org/spreadsheetml/2006/main">
  <c r="J29" i="2" l="1"/>
  <c r="E12" i="9" l="1"/>
  <c r="C20" i="6"/>
  <c r="F13" i="1"/>
  <c r="E9" i="9" l="1"/>
  <c r="F9" i="9"/>
  <c r="G9" i="9"/>
  <c r="H9" i="9"/>
  <c r="D9" i="9"/>
  <c r="D20" i="5"/>
  <c r="C16" i="5"/>
  <c r="E18" i="3"/>
  <c r="F18" i="3"/>
  <c r="G18" i="3"/>
  <c r="D18" i="3"/>
  <c r="H15" i="3"/>
  <c r="H8" i="3"/>
  <c r="G8" i="3"/>
  <c r="F8" i="3"/>
  <c r="E8" i="3"/>
  <c r="D8" i="3"/>
  <c r="K29" i="2"/>
  <c r="L29" i="2"/>
  <c r="M29" i="2"/>
  <c r="I29" i="2"/>
  <c r="K28" i="2"/>
  <c r="L28" i="2"/>
  <c r="M28" i="2"/>
  <c r="N28" i="2"/>
  <c r="J28" i="2"/>
  <c r="N27" i="2"/>
  <c r="M27" i="2"/>
  <c r="L27" i="2"/>
  <c r="K27" i="2"/>
  <c r="J27" i="2"/>
  <c r="I17" i="2"/>
  <c r="C21" i="1"/>
  <c r="P7" i="2"/>
  <c r="O7" i="2"/>
  <c r="N7" i="2"/>
  <c r="J12" i="2"/>
  <c r="K12" i="2"/>
  <c r="L12" i="2"/>
  <c r="M12" i="2"/>
  <c r="I12" i="2"/>
  <c r="J11" i="2"/>
  <c r="C7" i="8" l="1"/>
  <c r="D8" i="8" s="1"/>
  <c r="E8" i="8" s="1"/>
  <c r="D11" i="8" s="1"/>
  <c r="C8" i="9"/>
  <c r="C11" i="5"/>
  <c r="I9" i="2"/>
  <c r="N12" i="2"/>
  <c r="C8" i="4"/>
  <c r="C12" i="6"/>
  <c r="C14" i="7" s="1"/>
  <c r="C17" i="7" s="1"/>
  <c r="C15" i="7"/>
  <c r="D10" i="9"/>
  <c r="K11" i="2"/>
  <c r="L11" i="2"/>
  <c r="M11" i="2"/>
  <c r="I11" i="2"/>
  <c r="J10" i="2"/>
  <c r="K10" i="2"/>
  <c r="L10" i="2"/>
  <c r="M10" i="2"/>
  <c r="I10" i="2"/>
  <c r="J9" i="2"/>
  <c r="K9" i="2"/>
  <c r="L9" i="2"/>
  <c r="M9" i="2"/>
  <c r="J8" i="2"/>
  <c r="K8" i="2"/>
  <c r="L8" i="2"/>
  <c r="M8" i="2"/>
  <c r="I8" i="2"/>
  <c r="N9" i="2" l="1"/>
  <c r="P9" i="2" s="1"/>
  <c r="N8" i="2"/>
  <c r="Q8" i="2" s="1"/>
  <c r="Q13" i="2" s="1"/>
  <c r="N10" i="2"/>
  <c r="I16" i="2"/>
  <c r="N11" i="2"/>
  <c r="P11" i="2" s="1"/>
  <c r="H17" i="3"/>
  <c r="H19" i="3"/>
  <c r="C9" i="2"/>
  <c r="E9" i="2" s="1"/>
  <c r="E7" i="3" s="1"/>
  <c r="C10" i="2"/>
  <c r="E10" i="2" s="1"/>
  <c r="C11" i="2"/>
  <c r="E11" i="2" s="1"/>
  <c r="G7" i="3" s="1"/>
  <c r="C12" i="2"/>
  <c r="E12" i="2" s="1"/>
  <c r="C8" i="2"/>
  <c r="E8" i="2" s="1"/>
  <c r="D7" i="3" s="1"/>
  <c r="C19" i="2"/>
  <c r="E19" i="2" s="1"/>
  <c r="C20" i="2"/>
  <c r="E20" i="2" s="1"/>
  <c r="C21" i="2"/>
  <c r="E21" i="2" s="1"/>
  <c r="C22" i="2"/>
  <c r="E22" i="2" s="1"/>
  <c r="C18" i="2"/>
  <c r="E18" i="2" s="1"/>
  <c r="H9" i="4"/>
  <c r="H12" i="4" s="1"/>
  <c r="H15" i="4" s="1"/>
  <c r="C13" i="6" s="1"/>
  <c r="H7" i="3"/>
  <c r="F7" i="3"/>
  <c r="P13" i="2" l="1"/>
  <c r="H16" i="3" s="1"/>
  <c r="H10" i="3"/>
  <c r="H14" i="3" s="1"/>
  <c r="F10" i="3"/>
  <c r="F11" i="3" s="1"/>
  <c r="F12" i="3" s="1"/>
  <c r="F13" i="3" s="1"/>
  <c r="E10" i="3"/>
  <c r="E14" i="3" s="1"/>
  <c r="D10" i="3"/>
  <c r="D14" i="3" s="1"/>
  <c r="G10" i="3"/>
  <c r="G11" i="3" s="1"/>
  <c r="G12" i="3" s="1"/>
  <c r="G13" i="3" s="1"/>
  <c r="H11" i="3"/>
  <c r="H12" i="3" s="1"/>
  <c r="H13" i="3" s="1"/>
  <c r="H20" i="3" s="1"/>
  <c r="E10" i="9"/>
  <c r="C23" i="5"/>
  <c r="E16" i="5"/>
  <c r="D16" i="5"/>
  <c r="C21" i="5"/>
  <c r="D11" i="3" l="1"/>
  <c r="D12" i="3" s="1"/>
  <c r="G14" i="3"/>
  <c r="F14" i="3"/>
  <c r="F20" i="3" s="1"/>
  <c r="F10" i="9"/>
  <c r="G20" i="3"/>
  <c r="E11" i="3"/>
  <c r="E12" i="3" s="1"/>
  <c r="E13" i="3" s="1"/>
  <c r="E20" i="3" s="1"/>
  <c r="D13" i="3"/>
  <c r="D20" i="3" s="1"/>
  <c r="C18" i="5"/>
  <c r="E24" i="5" l="1"/>
  <c r="E23" i="5"/>
  <c r="C24" i="5" l="1"/>
  <c r="C26" i="5" s="1"/>
</calcChain>
</file>

<file path=xl/sharedStrings.xml><?xml version="1.0" encoding="utf-8"?>
<sst xmlns="http://schemas.openxmlformats.org/spreadsheetml/2006/main" count="161" uniqueCount="110">
  <si>
    <t xml:space="preserve">Project : Manufacter of shaver </t>
  </si>
  <si>
    <t>Company's Initial Investment</t>
  </si>
  <si>
    <t xml:space="preserve">Building </t>
  </si>
  <si>
    <t>Industrial Equipment</t>
  </si>
  <si>
    <t xml:space="preserve">Packaging Machine </t>
  </si>
  <si>
    <t xml:space="preserve">Office Equipment </t>
  </si>
  <si>
    <t xml:space="preserve">Trucks and cars </t>
  </si>
  <si>
    <t>MIS and and other intangible assets</t>
  </si>
  <si>
    <t xml:space="preserve">Land </t>
  </si>
  <si>
    <t xml:space="preserve">Price Per unit </t>
  </si>
  <si>
    <t xml:space="preserve">Variable cost Per unit </t>
  </si>
  <si>
    <t>Year</t>
  </si>
  <si>
    <t>Price</t>
  </si>
  <si>
    <t>Quantity</t>
  </si>
  <si>
    <t>Y1</t>
  </si>
  <si>
    <t>Y2</t>
  </si>
  <si>
    <t>Y3</t>
  </si>
  <si>
    <t>Y4</t>
  </si>
  <si>
    <t>Y5</t>
  </si>
  <si>
    <t>Year 1</t>
  </si>
  <si>
    <t>Year 2</t>
  </si>
  <si>
    <t>Year 3</t>
  </si>
  <si>
    <t>Year 4</t>
  </si>
  <si>
    <t>Year 5</t>
  </si>
  <si>
    <t>Revenue</t>
  </si>
  <si>
    <t>Variable Cost/Unit</t>
  </si>
  <si>
    <t>Total Variable Cost</t>
  </si>
  <si>
    <t>Depreciation &amp; Amortization</t>
  </si>
  <si>
    <t>Book Value</t>
  </si>
  <si>
    <t>Salvage Value</t>
  </si>
  <si>
    <t>Tax Loss</t>
  </si>
  <si>
    <t>Tax Benefit</t>
  </si>
  <si>
    <t>Annual Depreciation &amp; Amortization</t>
  </si>
  <si>
    <t>Total Salvage Value</t>
  </si>
  <si>
    <t>Razor blade machine</t>
  </si>
  <si>
    <t>Razor holder machine</t>
  </si>
  <si>
    <t xml:space="preserve">Cost </t>
  </si>
  <si>
    <t>NWC</t>
  </si>
  <si>
    <t>Sales</t>
  </si>
  <si>
    <t>Corresponding NWC</t>
  </si>
  <si>
    <t>Investments in NWC</t>
  </si>
  <si>
    <t>Variable Costs</t>
  </si>
  <si>
    <t>Fixed Operating Cost Except Depreciation and Amortization</t>
  </si>
  <si>
    <t>Operating Income</t>
  </si>
  <si>
    <t>Tax on operating income (25%)</t>
  </si>
  <si>
    <t>Net Operating Income After Tax</t>
  </si>
  <si>
    <t>Add back Depreciation</t>
  </si>
  <si>
    <t>Tax loss on LT Assets</t>
  </si>
  <si>
    <t>Tax benefit on LT assets</t>
  </si>
  <si>
    <t>Additional  NWC</t>
  </si>
  <si>
    <t>Recovery of NWC</t>
  </si>
  <si>
    <t>Annual Cash Flow</t>
  </si>
  <si>
    <t xml:space="preserve">Cash Flow </t>
  </si>
  <si>
    <t xml:space="preserve">Initial Investment </t>
  </si>
  <si>
    <t>cost of debt</t>
  </si>
  <si>
    <t>Risk free</t>
  </si>
  <si>
    <t>Risk Premium</t>
  </si>
  <si>
    <t>Beta Unlevred</t>
  </si>
  <si>
    <t>Tax rate T</t>
  </si>
  <si>
    <t>Debt D (Wd)</t>
  </si>
  <si>
    <t>Equity E (We)</t>
  </si>
  <si>
    <t>Beta levered =βu*[1+(D/E)*(1+T)]</t>
  </si>
  <si>
    <t xml:space="preserve">Beta levered </t>
  </si>
  <si>
    <t>Project cost of equity =Rf+βL*(RRRm-Rf)</t>
  </si>
  <si>
    <t>Project cost of equity (Pce)</t>
  </si>
  <si>
    <t>WACC=Pce*We+rd*Wd*(1-T)</t>
  </si>
  <si>
    <t>WACC</t>
  </si>
  <si>
    <t>Initial investment</t>
  </si>
  <si>
    <t>N</t>
  </si>
  <si>
    <t xml:space="preserve">r </t>
  </si>
  <si>
    <t>NPV</t>
  </si>
  <si>
    <t>&gt;0</t>
  </si>
  <si>
    <t>r</t>
  </si>
  <si>
    <t>When we increase r by</t>
  </si>
  <si>
    <t>; NPV decreases by</t>
  </si>
  <si>
    <t>We increse r by ? =</t>
  </si>
  <si>
    <t xml:space="preserve">; NPV decreses by </t>
  </si>
  <si>
    <t>So IRR =</t>
  </si>
  <si>
    <t xml:space="preserve">Reminder </t>
  </si>
  <si>
    <t>NPV(WACC)</t>
  </si>
  <si>
    <t>NPV&gt;0</t>
  </si>
  <si>
    <t>PI = 1 + (NPV/CF0)</t>
  </si>
  <si>
    <t>CF0 : I0</t>
  </si>
  <si>
    <t>PI&gt;1</t>
  </si>
  <si>
    <t>Regular Payback Period</t>
  </si>
  <si>
    <t>To recover</t>
  </si>
  <si>
    <t>Left</t>
  </si>
  <si>
    <t>-</t>
  </si>
  <si>
    <t xml:space="preserve">Payback Period </t>
  </si>
  <si>
    <t>Discounted Payback Period</t>
  </si>
  <si>
    <t>Discounted CF</t>
  </si>
  <si>
    <t>Discounted payback period:</t>
  </si>
  <si>
    <t>days</t>
  </si>
  <si>
    <t xml:space="preserve"> Revenue perYear</t>
  </si>
  <si>
    <t>Year 0</t>
  </si>
  <si>
    <t xml:space="preserve">WACC : </t>
  </si>
  <si>
    <t xml:space="preserve">IRR: </t>
  </si>
  <si>
    <t>NPV :</t>
  </si>
  <si>
    <t>Profitability Index :</t>
  </si>
  <si>
    <t>Total:</t>
  </si>
  <si>
    <t xml:space="preserve">We took into consederation the currency exchange </t>
  </si>
  <si>
    <t xml:space="preserve"> We choose a higher discount rate</t>
  </si>
  <si>
    <t>So accept the project</t>
  </si>
  <si>
    <t>PI =</t>
  </si>
  <si>
    <t>so accept the project</t>
  </si>
  <si>
    <t xml:space="preserve">2 Years + </t>
  </si>
  <si>
    <t xml:space="preserve">Days </t>
  </si>
  <si>
    <t>Initial Investment :</t>
  </si>
  <si>
    <t>NB: We We used the beta unlevered of the Healthcare Products</t>
  </si>
  <si>
    <t>2 years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</si>
</sst>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164" formatCode="0.000"/>
    <numFmt numFmtId="165" formatCode="#,##0.00\ [$TND]"/>
    <numFmt numFmtId="166" formatCode="_-* #,##0.00\ [$د.ت.‏-1C01]_-;\-* #,##0.00\ [$د.ت.‏-1C01]_-;_-* &quot;-&quot;??\ [$د.ت.‏-1C01]_-;_-@_-"/>
    <numFmt numFmtId="167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3" xfId="0" applyBorder="1"/>
    <xf numFmtId="0" fontId="1" fillId="0" borderId="3" xfId="0" applyFont="1" applyBorder="1"/>
    <xf numFmtId="10" fontId="0" fillId="0" borderId="0" xfId="0" applyNumberFormat="1"/>
    <xf numFmtId="9" fontId="0" fillId="0" borderId="0" xfId="0" applyNumberFormat="1"/>
    <xf numFmtId="0" fontId="1" fillId="0" borderId="0" xfId="0" applyNumberFormat="1" applyFont="1"/>
    <xf numFmtId="8" fontId="0" fillId="0" borderId="0" xfId="0" applyNumberFormat="1"/>
    <xf numFmtId="10" fontId="1" fillId="0" borderId="0" xfId="0" applyNumberFormat="1" applyFont="1"/>
    <xf numFmtId="8" fontId="1" fillId="0" borderId="0" xfId="0" applyNumberFormat="1" applyFont="1"/>
    <xf numFmtId="0" fontId="1" fillId="0" borderId="1" xfId="0" applyFont="1" applyBorder="1"/>
    <xf numFmtId="165" fontId="0" fillId="0" borderId="3" xfId="0" applyNumberFormat="1" applyBorder="1" applyAlignment="1">
      <alignment horizontal="right"/>
    </xf>
    <xf numFmtId="165" fontId="0" fillId="0" borderId="3" xfId="0" applyNumberFormat="1" applyBorder="1"/>
    <xf numFmtId="0" fontId="0" fillId="0" borderId="3" xfId="0" quotePrefix="1" applyBorder="1" applyAlignment="1">
      <alignment horizontal="center"/>
    </xf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0" fontId="3" fillId="0" borderId="1" xfId="0" applyFont="1" applyBorder="1"/>
    <xf numFmtId="0" fontId="3" fillId="0" borderId="0" xfId="0" applyFont="1"/>
    <xf numFmtId="0" fontId="5" fillId="4" borderId="10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1" fillId="2" borderId="0" xfId="0" applyNumberFormat="1" applyFont="1" applyFill="1"/>
    <xf numFmtId="10" fontId="1" fillId="3" borderId="2" xfId="0" applyNumberFormat="1" applyFont="1" applyFill="1" applyBorder="1"/>
    <xf numFmtId="0" fontId="7" fillId="0" borderId="3" xfId="0" applyFont="1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8" fillId="0" borderId="16" xfId="0" applyFont="1" applyBorder="1" applyAlignment="1">
      <alignment horizontal="center" vertical="center"/>
    </xf>
    <xf numFmtId="10" fontId="1" fillId="2" borderId="2" xfId="0" applyNumberFormat="1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2" xfId="0" applyFill="1" applyBorder="1"/>
    <xf numFmtId="1" fontId="0" fillId="0" borderId="0" xfId="0" applyNumberFormat="1" applyAlignment="1">
      <alignment horizontal="center"/>
    </xf>
    <xf numFmtId="0" fontId="9" fillId="0" borderId="0" xfId="0" applyFont="1" applyFill="1" applyBorder="1"/>
    <xf numFmtId="0" fontId="1" fillId="2" borderId="4" xfId="0" applyFont="1" applyFill="1" applyBorder="1" applyAlignment="1">
      <alignment horizontal="right"/>
    </xf>
    <xf numFmtId="1" fontId="1" fillId="2" borderId="4" xfId="0" applyNumberFormat="1" applyFont="1" applyFill="1" applyBorder="1"/>
    <xf numFmtId="0" fontId="1" fillId="2" borderId="2" xfId="0" applyFont="1" applyFill="1" applyBorder="1"/>
    <xf numFmtId="0" fontId="13" fillId="0" borderId="3" xfId="0" applyFont="1" applyBorder="1"/>
    <xf numFmtId="0" fontId="8" fillId="0" borderId="3" xfId="0" applyFont="1" applyBorder="1"/>
    <xf numFmtId="0" fontId="13" fillId="2" borderId="3" xfId="0" applyFont="1" applyFill="1" applyBorder="1"/>
    <xf numFmtId="167" fontId="0" fillId="0" borderId="3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2" borderId="3" xfId="0" applyFont="1" applyFill="1" applyBorder="1"/>
    <xf numFmtId="0" fontId="12" fillId="0" borderId="0" xfId="0" applyFont="1"/>
    <xf numFmtId="0" fontId="0" fillId="2" borderId="0" xfId="0" applyFill="1"/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4</xdr:row>
      <xdr:rowOff>19050</xdr:rowOff>
    </xdr:from>
    <xdr:to>
      <xdr:col>4</xdr:col>
      <xdr:colOff>391885</xdr:colOff>
      <xdr:row>7</xdr:row>
      <xdr:rowOff>12870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203200"/>
          <a:ext cx="3408135" cy="597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330200</xdr:colOff>
      <xdr:row>4</xdr:row>
      <xdr:rowOff>88900</xdr:rowOff>
    </xdr:from>
    <xdr:to>
      <xdr:col>6</xdr:col>
      <xdr:colOff>311150</xdr:colOff>
      <xdr:row>7</xdr:row>
      <xdr:rowOff>67542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200" y="273050"/>
          <a:ext cx="3371850" cy="6326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4</xdr:row>
      <xdr:rowOff>76200</xdr:rowOff>
    </xdr:from>
    <xdr:to>
      <xdr:col>5</xdr:col>
      <xdr:colOff>177799</xdr:colOff>
      <xdr:row>9</xdr:row>
      <xdr:rowOff>28218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57" b="15482"/>
        <a:stretch/>
      </xdr:blipFill>
      <xdr:spPr>
        <a:xfrm>
          <a:off x="1854200" y="812800"/>
          <a:ext cx="3022599" cy="923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opLeftCell="A7" workbookViewId="0">
      <selection activeCell="E21" sqref="E21"/>
    </sheetView>
  </sheetViews>
  <sheetFormatPr baseColWidth="10" defaultColWidth="8.7265625" defaultRowHeight="14.5" x14ac:dyDescent="0.35"/>
  <cols>
    <col min="2" max="2" width="34.81640625" customWidth="1"/>
    <col min="3" max="3" width="25.08984375" customWidth="1"/>
    <col min="4" max="5" width="12.90625" customWidth="1"/>
    <col min="6" max="6" width="16.6328125" customWidth="1"/>
    <col min="8" max="8" width="19.81640625" customWidth="1"/>
    <col min="9" max="9" width="23.90625" customWidth="1"/>
  </cols>
  <sheetData>
    <row r="4" spans="1:9" ht="23.5" x14ac:dyDescent="0.55000000000000004">
      <c r="D4" s="85" t="s">
        <v>0</v>
      </c>
      <c r="E4" s="85"/>
      <c r="F4" s="85"/>
      <c r="G4" s="85"/>
      <c r="H4" s="85"/>
    </row>
    <row r="7" spans="1:9" ht="23.5" x14ac:dyDescent="0.55000000000000004">
      <c r="A7" s="85" t="s">
        <v>1</v>
      </c>
      <c r="B7" s="85"/>
    </row>
    <row r="10" spans="1:9" ht="18.5" x14ac:dyDescent="0.45">
      <c r="B10" s="86" t="s">
        <v>8</v>
      </c>
      <c r="C10" s="87"/>
      <c r="D10" s="87"/>
      <c r="E10" s="88"/>
      <c r="F10" s="67">
        <v>1000000</v>
      </c>
      <c r="H10" s="70" t="s">
        <v>9</v>
      </c>
      <c r="I10" s="70" t="s">
        <v>10</v>
      </c>
    </row>
    <row r="11" spans="1:9" ht="18.5" x14ac:dyDescent="0.35">
      <c r="B11" s="79" t="s">
        <v>2</v>
      </c>
      <c r="C11" s="80"/>
      <c r="D11" s="80"/>
      <c r="E11" s="81"/>
      <c r="F11" s="68">
        <v>3900000</v>
      </c>
      <c r="H11" s="6">
        <v>2.9</v>
      </c>
      <c r="I11" s="6">
        <v>1.1000000000000001</v>
      </c>
    </row>
    <row r="12" spans="1:9" ht="18.5" customHeight="1" x14ac:dyDescent="0.35">
      <c r="B12" s="82" t="s">
        <v>3</v>
      </c>
      <c r="C12" s="18" t="s">
        <v>34</v>
      </c>
      <c r="D12" s="66">
        <v>35000</v>
      </c>
      <c r="E12" s="6">
        <v>4</v>
      </c>
      <c r="F12" s="68"/>
    </row>
    <row r="13" spans="1:9" ht="18.5" customHeight="1" x14ac:dyDescent="0.35">
      <c r="B13" s="83"/>
      <c r="C13" s="18" t="s">
        <v>35</v>
      </c>
      <c r="D13" s="66">
        <v>28000</v>
      </c>
      <c r="E13" s="6">
        <v>4</v>
      </c>
      <c r="F13" s="68">
        <f>(D12*E12+D13*E13+D14*E14)*4.6</f>
        <v>1159339.8399999999</v>
      </c>
      <c r="H13" t="s">
        <v>100</v>
      </c>
    </row>
    <row r="14" spans="1:9" ht="18.5" customHeight="1" x14ac:dyDescent="0.35">
      <c r="B14" s="84"/>
      <c r="C14" s="18" t="s">
        <v>4</v>
      </c>
      <c r="D14" s="66">
        <v>7.6</v>
      </c>
      <c r="E14" s="6">
        <v>4</v>
      </c>
      <c r="F14" s="68"/>
    </row>
    <row r="15" spans="1:9" ht="18.5" x14ac:dyDescent="0.45">
      <c r="B15" s="73" t="s">
        <v>5</v>
      </c>
      <c r="C15" s="74"/>
      <c r="D15" s="74"/>
      <c r="E15" s="75"/>
      <c r="F15" s="68">
        <v>30000</v>
      </c>
    </row>
    <row r="16" spans="1:9" ht="18.5" x14ac:dyDescent="0.45">
      <c r="B16" s="73" t="s">
        <v>6</v>
      </c>
      <c r="C16" s="74"/>
      <c r="D16" s="74"/>
      <c r="E16" s="75"/>
      <c r="F16" s="68">
        <v>940000</v>
      </c>
    </row>
    <row r="17" spans="2:8" ht="37" customHeight="1" x14ac:dyDescent="0.35">
      <c r="B17" s="76" t="s">
        <v>7</v>
      </c>
      <c r="C17" s="77"/>
      <c r="D17" s="77"/>
      <c r="E17" s="78"/>
      <c r="F17" s="69">
        <v>45000</v>
      </c>
    </row>
    <row r="21" spans="2:8" ht="23.5" x14ac:dyDescent="0.55000000000000004">
      <c r="B21" s="71" t="s">
        <v>107</v>
      </c>
      <c r="C21" s="72">
        <f>F10+F11+F13+F15+F16+F17</f>
        <v>7074339.8399999999</v>
      </c>
    </row>
    <row r="23" spans="2:8" x14ac:dyDescent="0.35">
      <c r="H23" s="28"/>
    </row>
  </sheetData>
  <mergeCells count="8">
    <mergeCell ref="B16:E16"/>
    <mergeCell ref="B17:E17"/>
    <mergeCell ref="B11:E11"/>
    <mergeCell ref="B12:B14"/>
    <mergeCell ref="D4:H4"/>
    <mergeCell ref="A7:B7"/>
    <mergeCell ref="B10:E10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9"/>
  <sheetViews>
    <sheetView tabSelected="1" topLeftCell="D28" workbookViewId="0">
      <selection activeCell="L37" sqref="L37"/>
    </sheetView>
  </sheetViews>
  <sheetFormatPr baseColWidth="10" defaultColWidth="8.7265625" defaultRowHeight="14.5" x14ac:dyDescent="0.35"/>
  <cols>
    <col min="4" max="4" width="10.26953125" customWidth="1"/>
    <col min="5" max="5" width="15.36328125" customWidth="1"/>
    <col min="8" max="8" width="40.08984375" customWidth="1"/>
    <col min="9" max="9" width="12.90625" customWidth="1"/>
    <col min="10" max="10" width="11.7265625" customWidth="1"/>
    <col min="11" max="11" width="11.453125" customWidth="1"/>
    <col min="12" max="12" width="12.81640625" customWidth="1"/>
    <col min="13" max="13" width="11.90625" customWidth="1"/>
    <col min="14" max="14" width="10.453125" customWidth="1"/>
    <col min="15" max="15" width="12.90625" customWidth="1"/>
    <col min="16" max="16" width="12.36328125" customWidth="1"/>
    <col min="17" max="17" width="11.08984375" customWidth="1"/>
    <col min="19" max="19" width="9.26953125" customWidth="1"/>
  </cols>
  <sheetData>
    <row r="4" spans="2:20" x14ac:dyDescent="0.35"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20" x14ac:dyDescent="0.35"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20" ht="24.5" customHeight="1" x14ac:dyDescent="0.35">
      <c r="B6" s="90" t="s">
        <v>24</v>
      </c>
      <c r="C6" s="90"/>
      <c r="D6" s="90"/>
      <c r="E6" s="90"/>
      <c r="H6" s="35" t="s">
        <v>27</v>
      </c>
      <c r="I6" s="27" t="s">
        <v>19</v>
      </c>
      <c r="J6" s="27" t="s">
        <v>20</v>
      </c>
      <c r="K6" s="27" t="s">
        <v>21</v>
      </c>
      <c r="L6" s="20" t="s">
        <v>22</v>
      </c>
      <c r="M6" s="20" t="s">
        <v>23</v>
      </c>
      <c r="N6" s="20" t="s">
        <v>28</v>
      </c>
      <c r="O6" s="20" t="s">
        <v>29</v>
      </c>
      <c r="P6" s="20" t="s">
        <v>30</v>
      </c>
      <c r="Q6" s="20" t="s">
        <v>31</v>
      </c>
      <c r="R6" s="3"/>
      <c r="S6" s="3"/>
      <c r="T6" s="3"/>
    </row>
    <row r="7" spans="2:20" ht="15.5" x14ac:dyDescent="0.35">
      <c r="B7" s="19" t="s">
        <v>11</v>
      </c>
      <c r="C7" s="19" t="s">
        <v>12</v>
      </c>
      <c r="D7" s="19" t="s">
        <v>13</v>
      </c>
      <c r="E7" s="19" t="s">
        <v>93</v>
      </c>
      <c r="H7" s="21" t="s">
        <v>8</v>
      </c>
      <c r="I7" s="30" t="s">
        <v>87</v>
      </c>
      <c r="J7" s="30" t="s">
        <v>87</v>
      </c>
      <c r="K7" s="29" t="s">
        <v>87</v>
      </c>
      <c r="L7" s="29" t="s">
        <v>87</v>
      </c>
      <c r="M7" s="29" t="s">
        <v>87</v>
      </c>
      <c r="N7" s="29">
        <f>'Company''s Initial Investment'!F10</f>
        <v>1000000</v>
      </c>
      <c r="O7" s="22">
        <f>'Company''s Initial Investment'!F10*POWER(1.05,5)</f>
        <v>1276281.5625000002</v>
      </c>
      <c r="P7">
        <f>(O7-N7)*0.25</f>
        <v>69070.390625000058</v>
      </c>
      <c r="Q7" s="22"/>
      <c r="R7" s="2"/>
      <c r="S7" s="2"/>
      <c r="T7" s="3"/>
    </row>
    <row r="8" spans="2:20" ht="15.5" x14ac:dyDescent="0.35">
      <c r="B8" s="19" t="s">
        <v>19</v>
      </c>
      <c r="C8" s="6">
        <f>'Company''s Initial Investment'!$H$11</f>
        <v>2.9</v>
      </c>
      <c r="D8" s="43">
        <v>1800000</v>
      </c>
      <c r="E8" s="6">
        <f>C8*D8</f>
        <v>5220000</v>
      </c>
      <c r="H8" s="21" t="s">
        <v>2</v>
      </c>
      <c r="I8" s="6">
        <f>'Company''s Initial Investment'!$F$11/20</f>
        <v>195000</v>
      </c>
      <c r="J8" s="6">
        <f>'Company''s Initial Investment'!$F$11/20</f>
        <v>195000</v>
      </c>
      <c r="K8" s="6">
        <f>'Company''s Initial Investment'!$F$11/20</f>
        <v>195000</v>
      </c>
      <c r="L8" s="6">
        <f>'Company''s Initial Investment'!$F$11/20</f>
        <v>195000</v>
      </c>
      <c r="M8" s="6">
        <f>'Company''s Initial Investment'!$F$11/20</f>
        <v>195000</v>
      </c>
      <c r="N8" s="6">
        <f>'Company''s Initial Investment'!F11-('Cash Flows'!I8+'Cash Flows'!J8+'Cash Flows'!K8+'Cash Flows'!L8+'Cash Flows'!M8)</f>
        <v>2925000</v>
      </c>
      <c r="O8" s="45">
        <v>2800000</v>
      </c>
      <c r="P8" s="29" t="s">
        <v>87</v>
      </c>
      <c r="Q8" s="29">
        <f>(N8-O8)*0.25</f>
        <v>31250</v>
      </c>
      <c r="R8" s="3"/>
      <c r="S8" s="3"/>
      <c r="T8" s="3"/>
    </row>
    <row r="9" spans="2:20" ht="15.5" x14ac:dyDescent="0.35">
      <c r="B9" s="19" t="s">
        <v>20</v>
      </c>
      <c r="C9" s="6">
        <f>'Company''s Initial Investment'!$H$11</f>
        <v>2.9</v>
      </c>
      <c r="D9" s="27">
        <v>2448000</v>
      </c>
      <c r="E9" s="6">
        <f t="shared" ref="E9:E12" si="0">C9*D9</f>
        <v>7099200</v>
      </c>
      <c r="H9" s="21" t="s">
        <v>3</v>
      </c>
      <c r="I9" s="6">
        <f>'Company''s Initial Investment'!$F$13/10</f>
        <v>115933.98399999998</v>
      </c>
      <c r="J9" s="6">
        <f>'Company''s Initial Investment'!$F$13/10</f>
        <v>115933.98399999998</v>
      </c>
      <c r="K9" s="6">
        <f>'Company''s Initial Investment'!$F$13/10</f>
        <v>115933.98399999998</v>
      </c>
      <c r="L9" s="6">
        <f>'Company''s Initial Investment'!$F$13/10</f>
        <v>115933.98399999998</v>
      </c>
      <c r="M9" s="6">
        <f>'Company''s Initial Investment'!$F$13/10</f>
        <v>115933.98399999998</v>
      </c>
      <c r="N9" s="6">
        <f>'Company''s Initial Investment'!F13-('Cash Flows'!I9+'Cash Flows'!J9+'Cash Flows'!K9+'Cash Flows'!L9+'Cash Flows'!M9)</f>
        <v>579669.91999999993</v>
      </c>
      <c r="O9" s="46">
        <v>750000</v>
      </c>
      <c r="P9" s="29">
        <f>(O9-N9)*0.25</f>
        <v>42582.520000000019</v>
      </c>
      <c r="Q9" s="29" t="s">
        <v>87</v>
      </c>
      <c r="R9" s="3"/>
      <c r="S9" s="3"/>
      <c r="T9" s="3"/>
    </row>
    <row r="10" spans="2:20" ht="15.5" x14ac:dyDescent="0.35">
      <c r="B10" s="19" t="s">
        <v>21</v>
      </c>
      <c r="C10" s="6">
        <f>'Company''s Initial Investment'!$H$11</f>
        <v>2.9</v>
      </c>
      <c r="D10" s="27">
        <v>2484000</v>
      </c>
      <c r="E10" s="6">
        <f t="shared" si="0"/>
        <v>7203600</v>
      </c>
      <c r="H10" s="21" t="s">
        <v>5</v>
      </c>
      <c r="I10" s="6">
        <f>'Company''s Initial Investment'!$F$15/5</f>
        <v>6000</v>
      </c>
      <c r="J10" s="6">
        <f>'Company''s Initial Investment'!$F$15/5</f>
        <v>6000</v>
      </c>
      <c r="K10" s="6">
        <f>'Company''s Initial Investment'!$F$15/5</f>
        <v>6000</v>
      </c>
      <c r="L10" s="6">
        <f>'Company''s Initial Investment'!$F$15/5</f>
        <v>6000</v>
      </c>
      <c r="M10" s="6">
        <f>'Company''s Initial Investment'!$F$15/5</f>
        <v>6000</v>
      </c>
      <c r="N10" s="6">
        <f>'Company''s Initial Investment'!F15-('Cash Flows'!I10+'Cash Flows'!J10+'Cash Flows'!K10+'Cash Flows'!L10+'Cash Flows'!M10)</f>
        <v>0</v>
      </c>
      <c r="O10" s="46">
        <v>0</v>
      </c>
      <c r="P10" s="29">
        <v>0</v>
      </c>
      <c r="Q10" s="29"/>
      <c r="R10" s="3"/>
      <c r="S10" s="3"/>
    </row>
    <row r="11" spans="2:20" ht="15.5" x14ac:dyDescent="0.35">
      <c r="B11" s="19" t="s">
        <v>22</v>
      </c>
      <c r="C11" s="6">
        <f>'Company''s Initial Investment'!$H$11</f>
        <v>2.9</v>
      </c>
      <c r="D11" s="27">
        <v>2304000</v>
      </c>
      <c r="E11" s="6">
        <f t="shared" si="0"/>
        <v>6681600</v>
      </c>
      <c r="H11" s="21" t="s">
        <v>6</v>
      </c>
      <c r="I11" s="6">
        <f>'Company''s Initial Investment'!$F$16/5</f>
        <v>188000</v>
      </c>
      <c r="J11" s="6">
        <f>'Company''s Initial Investment'!$F$16/5</f>
        <v>188000</v>
      </c>
      <c r="K11" s="6">
        <f>'Company''s Initial Investment'!$F$16/5</f>
        <v>188000</v>
      </c>
      <c r="L11" s="6">
        <f>'Company''s Initial Investment'!$F$16/5</f>
        <v>188000</v>
      </c>
      <c r="M11" s="6">
        <f>'Company''s Initial Investment'!$F$16/5</f>
        <v>188000</v>
      </c>
      <c r="N11" s="6">
        <f>'Company''s Initial Investment'!F16-('Cash Flows'!I11+'Cash Flows'!J11+'Cash Flows'!K11+'Cash Flows'!L11+'Cash Flows'!M11)</f>
        <v>0</v>
      </c>
      <c r="O11" s="46">
        <v>500000</v>
      </c>
      <c r="P11" s="29">
        <f>(O11-N11)*0.25</f>
        <v>125000</v>
      </c>
      <c r="Q11" s="29"/>
    </row>
    <row r="12" spans="2:20" ht="16" thickBot="1" x14ac:dyDescent="0.4">
      <c r="B12" s="19" t="s">
        <v>23</v>
      </c>
      <c r="C12" s="6">
        <f>'Company''s Initial Investment'!$H$11</f>
        <v>2.9</v>
      </c>
      <c r="D12" s="44">
        <v>2772000</v>
      </c>
      <c r="E12" s="6">
        <f t="shared" si="0"/>
        <v>8038800</v>
      </c>
      <c r="H12" s="21" t="s">
        <v>7</v>
      </c>
      <c r="I12" s="6">
        <f>'Company''s Initial Investment'!$F$17/5</f>
        <v>9000</v>
      </c>
      <c r="J12" s="6">
        <f>'Company''s Initial Investment'!$F$17/5</f>
        <v>9000</v>
      </c>
      <c r="K12" s="6">
        <f>'Company''s Initial Investment'!$F$17/5</f>
        <v>9000</v>
      </c>
      <c r="L12" s="6">
        <f>'Company''s Initial Investment'!$F$17/5</f>
        <v>9000</v>
      </c>
      <c r="M12" s="6">
        <f>'Company''s Initial Investment'!$F$17/5</f>
        <v>9000</v>
      </c>
      <c r="N12" s="6">
        <f>'Company''s Initial Investment'!F17-(SUM(I12:M12))</f>
        <v>0</v>
      </c>
      <c r="O12" s="47">
        <v>0</v>
      </c>
      <c r="P12" s="29" t="s">
        <v>87</v>
      </c>
      <c r="Q12" s="29">
        <v>0</v>
      </c>
    </row>
    <row r="13" spans="2:20" ht="18.5" x14ac:dyDescent="0.45">
      <c r="O13" s="42" t="s">
        <v>99</v>
      </c>
      <c r="P13" s="6">
        <f>P7+P9+P11</f>
        <v>236652.91062500008</v>
      </c>
      <c r="Q13" s="6">
        <f>Q8</f>
        <v>31250</v>
      </c>
    </row>
    <row r="15" spans="2:20" x14ac:dyDescent="0.35">
      <c r="J15" s="3"/>
      <c r="K15" s="3"/>
    </row>
    <row r="16" spans="2:20" ht="22.5" customHeight="1" x14ac:dyDescent="0.35">
      <c r="B16" s="90" t="s">
        <v>36</v>
      </c>
      <c r="C16" s="90"/>
      <c r="D16" s="90"/>
      <c r="E16" s="90"/>
      <c r="F16" s="90"/>
      <c r="H16" s="36" t="s">
        <v>32</v>
      </c>
      <c r="I16" s="51">
        <f>SUM(I8:I12)</f>
        <v>513933.984</v>
      </c>
      <c r="J16" s="50"/>
      <c r="K16" s="50"/>
    </row>
    <row r="17" spans="2:14" ht="15.5" x14ac:dyDescent="0.35">
      <c r="B17" s="19" t="s">
        <v>11</v>
      </c>
      <c r="C17" s="91" t="s">
        <v>25</v>
      </c>
      <c r="D17" s="91"/>
      <c r="E17" s="92" t="s">
        <v>26</v>
      </c>
      <c r="F17" s="92"/>
      <c r="H17" s="36" t="s">
        <v>33</v>
      </c>
      <c r="I17" s="51">
        <f>SUM(O7:O12)</f>
        <v>5326281.5625</v>
      </c>
      <c r="J17" s="50"/>
      <c r="K17" s="50"/>
    </row>
    <row r="18" spans="2:14" x14ac:dyDescent="0.35">
      <c r="B18" s="19" t="s">
        <v>19</v>
      </c>
      <c r="C18" s="95">
        <f>'Company''s Initial Investment'!$I$11</f>
        <v>1.1000000000000001</v>
      </c>
      <c r="D18" s="96"/>
      <c r="E18" s="48">
        <f>C18*D8</f>
        <v>1980000.0000000002</v>
      </c>
      <c r="F18" s="49"/>
      <c r="J18" s="3"/>
      <c r="K18" s="3"/>
    </row>
    <row r="19" spans="2:14" x14ac:dyDescent="0.35">
      <c r="B19" s="19" t="s">
        <v>20</v>
      </c>
      <c r="C19" s="95">
        <f>'Company''s Initial Investment'!$I$11</f>
        <v>1.1000000000000001</v>
      </c>
      <c r="D19" s="96"/>
      <c r="E19" s="48">
        <f>C19*D9</f>
        <v>2692800</v>
      </c>
      <c r="F19" s="49"/>
      <c r="J19" s="3"/>
      <c r="K19" s="3"/>
    </row>
    <row r="20" spans="2:14" x14ac:dyDescent="0.35">
      <c r="B20" s="19" t="s">
        <v>21</v>
      </c>
      <c r="C20" s="95">
        <f>'Company''s Initial Investment'!$I$11</f>
        <v>1.1000000000000001</v>
      </c>
      <c r="D20" s="96"/>
      <c r="E20" s="48">
        <f>C20*D10</f>
        <v>2732400</v>
      </c>
      <c r="F20" s="49"/>
    </row>
    <row r="21" spans="2:14" x14ac:dyDescent="0.35">
      <c r="B21" s="19" t="s">
        <v>22</v>
      </c>
      <c r="C21" s="95">
        <f>'Company''s Initial Investment'!$I$11</f>
        <v>1.1000000000000001</v>
      </c>
      <c r="D21" s="96"/>
      <c r="E21" s="48">
        <f>C21*D11</f>
        <v>2534400</v>
      </c>
      <c r="F21" s="49"/>
    </row>
    <row r="22" spans="2:14" x14ac:dyDescent="0.35">
      <c r="B22" s="19" t="s">
        <v>23</v>
      </c>
      <c r="C22" s="95">
        <f>'Company''s Initial Investment'!$I$11</f>
        <v>1.1000000000000001</v>
      </c>
      <c r="D22" s="96"/>
      <c r="E22" s="48">
        <f>C22*D12</f>
        <v>3049200.0000000005</v>
      </c>
      <c r="F22" s="49"/>
    </row>
    <row r="25" spans="2:14" ht="14.5" customHeight="1" x14ac:dyDescent="0.35">
      <c r="H25" s="93" t="s">
        <v>37</v>
      </c>
      <c r="I25" s="89" t="s">
        <v>94</v>
      </c>
      <c r="J25" s="89" t="s">
        <v>19</v>
      </c>
      <c r="K25" s="89" t="s">
        <v>20</v>
      </c>
      <c r="L25" s="89" t="s">
        <v>21</v>
      </c>
      <c r="M25" s="89" t="s">
        <v>22</v>
      </c>
      <c r="N25" s="89" t="s">
        <v>23</v>
      </c>
    </row>
    <row r="26" spans="2:14" ht="15" customHeight="1" x14ac:dyDescent="0.35">
      <c r="H26" s="94"/>
      <c r="I26" s="89"/>
      <c r="J26" s="89"/>
      <c r="K26" s="89"/>
      <c r="L26" s="89"/>
      <c r="M26" s="89"/>
      <c r="N26" s="89"/>
    </row>
    <row r="27" spans="2:14" x14ac:dyDescent="0.35">
      <c r="H27" s="20" t="s">
        <v>38</v>
      </c>
      <c r="I27" s="6"/>
      <c r="J27" s="6">
        <f>E8</f>
        <v>5220000</v>
      </c>
      <c r="K27" s="6">
        <f>E9</f>
        <v>7099200</v>
      </c>
      <c r="L27" s="6">
        <f>E10</f>
        <v>7203600</v>
      </c>
      <c r="M27" s="6">
        <f>E11</f>
        <v>6681600</v>
      </c>
      <c r="N27" s="6">
        <f>E12</f>
        <v>8038800</v>
      </c>
    </row>
    <row r="28" spans="2:14" x14ac:dyDescent="0.35">
      <c r="H28" s="20" t="s">
        <v>39</v>
      </c>
      <c r="I28" s="6"/>
      <c r="J28" s="6">
        <f>J27*60/360</f>
        <v>870000</v>
      </c>
      <c r="K28" s="6">
        <f>K27*60/360</f>
        <v>1183200</v>
      </c>
      <c r="L28" s="6">
        <f t="shared" ref="L28:N28" si="1">L27*60/360</f>
        <v>1200600</v>
      </c>
      <c r="M28" s="6">
        <f t="shared" si="1"/>
        <v>1113600</v>
      </c>
      <c r="N28" s="6">
        <f t="shared" si="1"/>
        <v>1339800</v>
      </c>
    </row>
    <row r="29" spans="2:14" x14ac:dyDescent="0.35">
      <c r="H29" s="20" t="s">
        <v>40</v>
      </c>
      <c r="I29" s="6">
        <f>J28</f>
        <v>870000</v>
      </c>
      <c r="J29" s="6">
        <f>K28-J28</f>
        <v>313200</v>
      </c>
      <c r="K29" s="6">
        <f t="shared" ref="K29:M29" si="2">L28-K28</f>
        <v>17400</v>
      </c>
      <c r="L29" s="6">
        <f t="shared" si="2"/>
        <v>-87000</v>
      </c>
      <c r="M29" s="6">
        <f t="shared" si="2"/>
        <v>226200</v>
      </c>
      <c r="N29" s="6"/>
    </row>
  </sheetData>
  <mergeCells count="16">
    <mergeCell ref="L25:L26"/>
    <mergeCell ref="M25:M26"/>
    <mergeCell ref="N25:N26"/>
    <mergeCell ref="B6:E6"/>
    <mergeCell ref="C17:D17"/>
    <mergeCell ref="E17:F17"/>
    <mergeCell ref="B16:F16"/>
    <mergeCell ref="H25:H26"/>
    <mergeCell ref="I25:I26"/>
    <mergeCell ref="J25:J26"/>
    <mergeCell ref="K25:K26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0"/>
  <sheetViews>
    <sheetView topLeftCell="A4" workbookViewId="0">
      <selection activeCell="D20" sqref="D20:H20"/>
    </sheetView>
  </sheetViews>
  <sheetFormatPr baseColWidth="10" defaultColWidth="8.7265625" defaultRowHeight="14.5" x14ac:dyDescent="0.35"/>
  <cols>
    <col min="3" max="3" width="31.90625" customWidth="1"/>
    <col min="4" max="4" width="9.81640625" customWidth="1"/>
    <col min="5" max="7" width="8.90625" bestFit="1" customWidth="1"/>
    <col min="8" max="8" width="10.7265625" customWidth="1"/>
  </cols>
  <sheetData>
    <row r="3" spans="3:8" ht="28.5" x14ac:dyDescent="0.35">
      <c r="C3" s="97" t="s">
        <v>52</v>
      </c>
      <c r="D3" s="97"/>
      <c r="E3" s="97"/>
      <c r="F3" s="97"/>
      <c r="G3" s="97"/>
      <c r="H3" s="97"/>
    </row>
    <row r="6" spans="3:8" x14ac:dyDescent="0.35">
      <c r="C6" s="23"/>
      <c r="D6" s="19" t="s">
        <v>14</v>
      </c>
      <c r="E6" s="19" t="s">
        <v>15</v>
      </c>
      <c r="F6" s="19" t="s">
        <v>16</v>
      </c>
      <c r="G6" s="19" t="s">
        <v>17</v>
      </c>
      <c r="H6" s="19" t="s">
        <v>18</v>
      </c>
    </row>
    <row r="7" spans="3:8" x14ac:dyDescent="0.35">
      <c r="C7" s="24" t="s">
        <v>24</v>
      </c>
      <c r="D7" s="63">
        <f>'Cash Flows'!E8</f>
        <v>5220000</v>
      </c>
      <c r="E7" s="63">
        <f>'Cash Flows'!E9</f>
        <v>7099200</v>
      </c>
      <c r="F7" s="63">
        <f>'Cash Flows'!E10</f>
        <v>7203600</v>
      </c>
      <c r="G7" s="63">
        <f>'Cash Flows'!E11</f>
        <v>6681600</v>
      </c>
      <c r="H7" s="63">
        <f>'Cash Flows'!E12</f>
        <v>8038800</v>
      </c>
    </row>
    <row r="8" spans="3:8" x14ac:dyDescent="0.35">
      <c r="C8" s="24" t="s">
        <v>41</v>
      </c>
      <c r="D8" s="64">
        <f>'Cash Flows'!E18</f>
        <v>1980000.0000000002</v>
      </c>
      <c r="E8" s="64">
        <f>'Cash Flows'!E19:F19</f>
        <v>2692800</v>
      </c>
      <c r="F8" s="64">
        <f>'Cash Flows'!E20</f>
        <v>2732400</v>
      </c>
      <c r="G8" s="64">
        <f>'Cash Flows'!E21</f>
        <v>2534400</v>
      </c>
      <c r="H8" s="64">
        <f>'Cash Flows'!E22</f>
        <v>3049200.0000000005</v>
      </c>
    </row>
    <row r="9" spans="3:8" ht="29" x14ac:dyDescent="0.35">
      <c r="C9" s="25" t="s">
        <v>42</v>
      </c>
      <c r="D9" s="52">
        <v>420000</v>
      </c>
      <c r="E9" s="52">
        <v>420000</v>
      </c>
      <c r="F9" s="52">
        <v>420000</v>
      </c>
      <c r="G9" s="52">
        <v>420000</v>
      </c>
      <c r="H9" s="52">
        <v>420000</v>
      </c>
    </row>
    <row r="10" spans="3:8" x14ac:dyDescent="0.35">
      <c r="C10" s="24" t="s">
        <v>27</v>
      </c>
      <c r="D10" s="64">
        <f>'Cash Flows'!$I$16</f>
        <v>513933.984</v>
      </c>
      <c r="E10" s="64">
        <f>'Cash Flows'!$I$16</f>
        <v>513933.984</v>
      </c>
      <c r="F10" s="64">
        <f>'Cash Flows'!$I$16</f>
        <v>513933.984</v>
      </c>
      <c r="G10" s="64">
        <f>'Cash Flows'!$I$16</f>
        <v>513933.984</v>
      </c>
      <c r="H10" s="64">
        <f>'Cash Flows'!$I$16</f>
        <v>513933.984</v>
      </c>
    </row>
    <row r="11" spans="3:8" x14ac:dyDescent="0.35">
      <c r="C11" s="24" t="s">
        <v>43</v>
      </c>
      <c r="D11" s="63">
        <f>D7-D8-D9-D10</f>
        <v>2306066.0159999998</v>
      </c>
      <c r="E11" s="63">
        <f t="shared" ref="E11:H11" si="0">E7-E8-E9-E10</f>
        <v>3472466.0159999998</v>
      </c>
      <c r="F11" s="63">
        <f t="shared" si="0"/>
        <v>3537266.0159999998</v>
      </c>
      <c r="G11" s="63">
        <f t="shared" si="0"/>
        <v>3213266.0159999998</v>
      </c>
      <c r="H11" s="63">
        <f t="shared" si="0"/>
        <v>4055666.0159999998</v>
      </c>
    </row>
    <row r="12" spans="3:8" x14ac:dyDescent="0.35">
      <c r="C12" s="24" t="s">
        <v>44</v>
      </c>
      <c r="D12" s="64">
        <f>D11*25%</f>
        <v>576516.50399999996</v>
      </c>
      <c r="E12" s="64">
        <f>E11*25%</f>
        <v>868116.50399999996</v>
      </c>
      <c r="F12" s="64">
        <f>F11*25%</f>
        <v>884316.50399999996</v>
      </c>
      <c r="G12" s="64">
        <f>G11*25%</f>
        <v>803316.50399999996</v>
      </c>
      <c r="H12" s="64">
        <f>H11*25%</f>
        <v>1013916.504</v>
      </c>
    </row>
    <row r="13" spans="3:8" x14ac:dyDescent="0.35">
      <c r="C13" s="24" t="s">
        <v>45</v>
      </c>
      <c r="D13" s="63">
        <f>D11-D12</f>
        <v>1729549.5119999999</v>
      </c>
      <c r="E13" s="63">
        <f>E11-E12</f>
        <v>2604349.5120000001</v>
      </c>
      <c r="F13" s="63">
        <f t="shared" ref="F13:H13" si="1">F11-F12</f>
        <v>2652949.5120000001</v>
      </c>
      <c r="G13" s="63">
        <f t="shared" si="1"/>
        <v>2409949.5120000001</v>
      </c>
      <c r="H13" s="63">
        <f t="shared" si="1"/>
        <v>3041749.5120000001</v>
      </c>
    </row>
    <row r="14" spans="3:8" x14ac:dyDescent="0.35">
      <c r="C14" s="24" t="s">
        <v>46</v>
      </c>
      <c r="D14" s="63">
        <f>D10</f>
        <v>513933.984</v>
      </c>
      <c r="E14" s="63">
        <f>E10</f>
        <v>513933.984</v>
      </c>
      <c r="F14" s="63">
        <f t="shared" ref="F14:H14" si="2">F10</f>
        <v>513933.984</v>
      </c>
      <c r="G14" s="63">
        <f t="shared" si="2"/>
        <v>513933.984</v>
      </c>
      <c r="H14" s="63">
        <f t="shared" si="2"/>
        <v>513933.984</v>
      </c>
    </row>
    <row r="15" spans="3:8" x14ac:dyDescent="0.35">
      <c r="C15" s="24" t="s">
        <v>29</v>
      </c>
      <c r="D15" s="63"/>
      <c r="E15" s="63"/>
      <c r="F15" s="63"/>
      <c r="G15" s="63"/>
      <c r="H15" s="63">
        <f>'Cash Flows'!I17</f>
        <v>5326281.5625</v>
      </c>
    </row>
    <row r="16" spans="3:8" x14ac:dyDescent="0.35">
      <c r="C16" s="24" t="s">
        <v>47</v>
      </c>
      <c r="D16" s="6"/>
      <c r="E16" s="6"/>
      <c r="F16" s="6"/>
      <c r="G16" s="6"/>
      <c r="H16" s="64">
        <f>'Cash Flows'!P13</f>
        <v>236652.91062500008</v>
      </c>
    </row>
    <row r="17" spans="3:8" x14ac:dyDescent="0.35">
      <c r="C17" s="24" t="s">
        <v>48</v>
      </c>
      <c r="D17" s="6"/>
      <c r="E17" s="6"/>
      <c r="F17" s="6"/>
      <c r="G17" s="6"/>
      <c r="H17" s="63">
        <f>'Cash Flows'!Q13</f>
        <v>31250</v>
      </c>
    </row>
    <row r="18" spans="3:8" x14ac:dyDescent="0.35">
      <c r="C18" s="24" t="s">
        <v>49</v>
      </c>
      <c r="D18" s="63">
        <f>'Cash Flows'!J29*-1</f>
        <v>-313200</v>
      </c>
      <c r="E18" s="63">
        <f>'Cash Flows'!K29*-1</f>
        <v>-17400</v>
      </c>
      <c r="F18" s="63">
        <f>'Cash Flows'!L29*-1</f>
        <v>87000</v>
      </c>
      <c r="G18" s="63">
        <f>'Cash Flows'!M29*-1</f>
        <v>-226200</v>
      </c>
      <c r="H18" s="63"/>
    </row>
    <row r="19" spans="3:8" x14ac:dyDescent="0.35">
      <c r="C19" s="24" t="s">
        <v>50</v>
      </c>
      <c r="D19" s="63"/>
      <c r="E19" s="63"/>
      <c r="F19" s="63"/>
      <c r="G19" s="63"/>
      <c r="H19" s="63">
        <f>'Cash Flows'!N28</f>
        <v>1339800</v>
      </c>
    </row>
    <row r="20" spans="3:8" ht="16.5" customHeight="1" x14ac:dyDescent="0.35">
      <c r="C20" s="26" t="s">
        <v>51</v>
      </c>
      <c r="D20" s="65">
        <f>D13+D14+D18</f>
        <v>1930283.4959999998</v>
      </c>
      <c r="E20" s="65">
        <f t="shared" ref="E20:H20" si="3">E13+E14+E18</f>
        <v>3100883.4960000003</v>
      </c>
      <c r="F20" s="65">
        <f t="shared" si="3"/>
        <v>3253883.4960000003</v>
      </c>
      <c r="G20" s="65">
        <f t="shared" si="3"/>
        <v>2697683.4960000003</v>
      </c>
      <c r="H20" s="65">
        <f t="shared" si="3"/>
        <v>3555683.4960000003</v>
      </c>
    </row>
  </sheetData>
  <mergeCells count="1">
    <mergeCell ref="C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E4" sqref="E4"/>
    </sheetView>
  </sheetViews>
  <sheetFormatPr baseColWidth="10" defaultRowHeight="14.5" x14ac:dyDescent="0.35"/>
  <cols>
    <col min="2" max="2" width="18.1796875" customWidth="1"/>
    <col min="7" max="7" width="42.36328125" customWidth="1"/>
    <col min="8" max="8" width="20.6328125" customWidth="1"/>
  </cols>
  <sheetData>
    <row r="3" spans="2:8" ht="32.5" customHeight="1" x14ac:dyDescent="0.35">
      <c r="B3" s="97" t="s">
        <v>95</v>
      </c>
      <c r="C3" s="97"/>
      <c r="D3" s="37"/>
      <c r="E3" s="37"/>
      <c r="F3" s="37"/>
      <c r="G3" s="37"/>
    </row>
    <row r="5" spans="2:8" x14ac:dyDescent="0.35">
      <c r="G5" t="s">
        <v>108</v>
      </c>
    </row>
    <row r="8" spans="2:8" ht="17" customHeight="1" x14ac:dyDescent="0.45">
      <c r="B8" s="23" t="s">
        <v>53</v>
      </c>
      <c r="C8" s="31">
        <f>'Company''s Initial Investment'!C21+(2.9*1800000*60/360)</f>
        <v>7944339.8399999999</v>
      </c>
      <c r="G8" s="38" t="s">
        <v>61</v>
      </c>
    </row>
    <row r="9" spans="2:8" ht="21" x14ac:dyDescent="0.5">
      <c r="B9" s="23" t="s">
        <v>54</v>
      </c>
      <c r="C9" s="31">
        <v>0.12</v>
      </c>
      <c r="G9" s="34" t="s">
        <v>62</v>
      </c>
      <c r="H9" s="40">
        <f>C12*(1+C14/C15)*(1+C13)</f>
        <v>2.0416666666666665</v>
      </c>
    </row>
    <row r="10" spans="2:8" ht="15" customHeight="1" x14ac:dyDescent="0.35">
      <c r="B10" s="23" t="s">
        <v>55</v>
      </c>
      <c r="C10" s="32">
        <v>0.05</v>
      </c>
    </row>
    <row r="11" spans="2:8" ht="18.5" x14ac:dyDescent="0.45">
      <c r="B11" s="23" t="s">
        <v>56</v>
      </c>
      <c r="C11" s="32">
        <v>0.08</v>
      </c>
      <c r="G11" s="38" t="s">
        <v>63</v>
      </c>
    </row>
    <row r="12" spans="2:8" ht="21" x14ac:dyDescent="0.5">
      <c r="B12" s="23" t="s">
        <v>57</v>
      </c>
      <c r="C12" s="31">
        <v>0.98</v>
      </c>
      <c r="G12" s="34" t="s">
        <v>64</v>
      </c>
      <c r="H12" s="40">
        <f>C10+H9*C11</f>
        <v>0.21333333333333332</v>
      </c>
    </row>
    <row r="13" spans="2:8" x14ac:dyDescent="0.35">
      <c r="B13" s="23" t="s">
        <v>58</v>
      </c>
      <c r="C13" s="32">
        <v>0.25</v>
      </c>
    </row>
    <row r="14" spans="2:8" ht="19" thickBot="1" x14ac:dyDescent="0.5">
      <c r="B14" s="23" t="s">
        <v>59</v>
      </c>
      <c r="C14" s="31">
        <v>0.4</v>
      </c>
      <c r="G14" s="38" t="s">
        <v>65</v>
      </c>
    </row>
    <row r="15" spans="2:8" ht="21.5" thickBot="1" x14ac:dyDescent="0.55000000000000004">
      <c r="B15" s="23" t="s">
        <v>60</v>
      </c>
      <c r="C15" s="31">
        <v>0.6</v>
      </c>
      <c r="G15" s="33" t="s">
        <v>66</v>
      </c>
      <c r="H15" s="40">
        <f>H12*C15+C14*C9*(1-C13)</f>
        <v>0.16399999999999998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opLeftCell="A7" workbookViewId="0">
      <selection activeCell="H23" sqref="H23"/>
    </sheetView>
  </sheetViews>
  <sheetFormatPr baseColWidth="10" defaultRowHeight="14.5" x14ac:dyDescent="0.35"/>
  <cols>
    <col min="2" max="2" width="25.453125" customWidth="1"/>
    <col min="3" max="3" width="16.1796875" customWidth="1"/>
    <col min="4" max="4" width="27.7265625" customWidth="1"/>
    <col min="5" max="5" width="20.36328125" customWidth="1"/>
    <col min="6" max="6" width="14.26953125" customWidth="1"/>
  </cols>
  <sheetData>
    <row r="3" spans="2:7" ht="28.5" x14ac:dyDescent="0.35">
      <c r="B3" s="97" t="s">
        <v>96</v>
      </c>
      <c r="C3" s="97"/>
    </row>
    <row r="6" spans="2:7" ht="18.5" x14ac:dyDescent="0.45">
      <c r="B6" s="38" t="s">
        <v>78</v>
      </c>
    </row>
    <row r="11" spans="2:7" x14ac:dyDescent="0.35">
      <c r="B11" t="s">
        <v>67</v>
      </c>
      <c r="C11" s="5">
        <f>'Company''s Initial Investment'!C21</f>
        <v>7074339.8399999999</v>
      </c>
    </row>
    <row r="12" spans="2:7" x14ac:dyDescent="0.35">
      <c r="B12" t="s">
        <v>68</v>
      </c>
      <c r="C12">
        <v>5</v>
      </c>
    </row>
    <row r="14" spans="2:7" x14ac:dyDescent="0.35">
      <c r="B14" s="6" t="s">
        <v>11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</row>
    <row r="15" spans="2:7" x14ac:dyDescent="0.35">
      <c r="B15" s="6" t="s">
        <v>51</v>
      </c>
      <c r="C15" s="7">
        <v>1930283.4959999998</v>
      </c>
      <c r="D15" s="7">
        <v>3100883.4960000003</v>
      </c>
      <c r="E15" s="7">
        <v>3253883.4960000003</v>
      </c>
      <c r="F15" s="7">
        <v>2697683.4960000003</v>
      </c>
      <c r="G15" s="7">
        <v>3555683.4960000003</v>
      </c>
    </row>
    <row r="16" spans="2:7" x14ac:dyDescent="0.35">
      <c r="C16">
        <f>C15/1.23</f>
        <v>1569336.175609756</v>
      </c>
      <c r="D16">
        <f>D15/(1.23^2)</f>
        <v>2049628.8558397782</v>
      </c>
      <c r="E16">
        <f>E15/(1.23^3)</f>
        <v>1748584.6629554937</v>
      </c>
    </row>
    <row r="17" spans="2:7" x14ac:dyDescent="0.35">
      <c r="B17" t="s">
        <v>69</v>
      </c>
      <c r="C17" s="8">
        <v>0.27</v>
      </c>
    </row>
    <row r="18" spans="2:7" x14ac:dyDescent="0.35">
      <c r="B18" s="9" t="s">
        <v>70</v>
      </c>
      <c r="C18" s="10">
        <f>NPV(C17,C15:G15)-C11</f>
        <v>69855.457591134124</v>
      </c>
      <c r="D18" s="1" t="s">
        <v>71</v>
      </c>
      <c r="E18" s="98" t="s">
        <v>101</v>
      </c>
      <c r="F18" s="98"/>
      <c r="G18" s="98"/>
    </row>
    <row r="19" spans="2:7" x14ac:dyDescent="0.35">
      <c r="C19" s="9"/>
    </row>
    <row r="20" spans="2:7" x14ac:dyDescent="0.35">
      <c r="B20" t="s">
        <v>72</v>
      </c>
      <c r="C20" s="8">
        <v>0.28000000000000003</v>
      </c>
      <c r="D20" s="11">
        <f>NPV(C17,C15:G15)</f>
        <v>7144195.297591134</v>
      </c>
    </row>
    <row r="21" spans="2:7" x14ac:dyDescent="0.35">
      <c r="B21" t="s">
        <v>70</v>
      </c>
      <c r="C21" s="8">
        <f>NPV(C20,C15:G15)-C11</f>
        <v>-82298.700628384016</v>
      </c>
      <c r="D21" s="8"/>
    </row>
    <row r="23" spans="2:7" x14ac:dyDescent="0.35">
      <c r="B23" t="s">
        <v>73</v>
      </c>
      <c r="C23" s="8">
        <f>C20-C17</f>
        <v>1.0000000000000009E-2</v>
      </c>
      <c r="D23" t="s">
        <v>74</v>
      </c>
      <c r="E23" s="8">
        <f>C18-C21</f>
        <v>152154.15821951814</v>
      </c>
    </row>
    <row r="24" spans="2:7" x14ac:dyDescent="0.35">
      <c r="B24" t="s">
        <v>75</v>
      </c>
      <c r="C24" s="12">
        <f>(E24*C23)/E23</f>
        <v>4.5910975032539877E-3</v>
      </c>
      <c r="D24" t="s">
        <v>76</v>
      </c>
      <c r="E24">
        <f>C18</f>
        <v>69855.457591134124</v>
      </c>
    </row>
    <row r="25" spans="2:7" ht="15" thickBot="1" x14ac:dyDescent="0.4"/>
    <row r="26" spans="2:7" ht="15" thickBot="1" x14ac:dyDescent="0.4">
      <c r="B26" s="4" t="s">
        <v>77</v>
      </c>
      <c r="C26" s="53">
        <f>C17+C24</f>
        <v>0.274591097503254</v>
      </c>
    </row>
  </sheetData>
  <mergeCells count="2">
    <mergeCell ref="E18:G18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opLeftCell="A4" workbookViewId="0">
      <selection activeCell="C21" sqref="C21"/>
    </sheetView>
  </sheetViews>
  <sheetFormatPr baseColWidth="10" defaultRowHeight="14.5" x14ac:dyDescent="0.35"/>
  <cols>
    <col min="2" max="2" width="18.6328125" customWidth="1"/>
    <col min="3" max="3" width="15.81640625" customWidth="1"/>
  </cols>
  <sheetData>
    <row r="3" spans="2:7" ht="28.5" customHeight="1" x14ac:dyDescent="0.35">
      <c r="B3" s="97" t="s">
        <v>97</v>
      </c>
      <c r="C3" s="97"/>
    </row>
    <row r="5" spans="2:7" ht="18.5" x14ac:dyDescent="0.45">
      <c r="B5" s="39"/>
    </row>
    <row r="6" spans="2:7" ht="18.5" x14ac:dyDescent="0.45">
      <c r="B6" s="38" t="s">
        <v>78</v>
      </c>
    </row>
    <row r="12" spans="2:7" x14ac:dyDescent="0.35">
      <c r="B12" t="s">
        <v>67</v>
      </c>
      <c r="C12" s="5">
        <f>'Company''s Initial Investment'!C21</f>
        <v>7074339.8399999999</v>
      </c>
    </row>
    <row r="13" spans="2:7" x14ac:dyDescent="0.35">
      <c r="B13" t="s">
        <v>66</v>
      </c>
      <c r="C13" s="8">
        <f>WACC!H15</f>
        <v>0.16399999999999998</v>
      </c>
    </row>
    <row r="14" spans="2:7" x14ac:dyDescent="0.35">
      <c r="B14" t="s">
        <v>68</v>
      </c>
      <c r="C14">
        <v>5</v>
      </c>
    </row>
    <row r="16" spans="2:7" x14ac:dyDescent="0.35">
      <c r="B16" s="6" t="s">
        <v>11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</row>
    <row r="17" spans="2:7" x14ac:dyDescent="0.35">
      <c r="B17" s="6" t="s">
        <v>51</v>
      </c>
      <c r="C17" s="7">
        <v>1930283.4959999998</v>
      </c>
      <c r="D17" s="7">
        <v>3100883.4960000003</v>
      </c>
      <c r="E17" s="7">
        <v>3253883.4960000003</v>
      </c>
      <c r="F17" s="7">
        <v>2697683.4960000003</v>
      </c>
      <c r="G17" s="7">
        <v>3555683.4960000003</v>
      </c>
    </row>
    <row r="19" spans="2:7" ht="15" thickBot="1" x14ac:dyDescent="0.4">
      <c r="C19" s="13"/>
    </row>
    <row r="20" spans="2:7" ht="15" thickBot="1" x14ac:dyDescent="0.4">
      <c r="B20" s="14" t="s">
        <v>79</v>
      </c>
      <c r="C20" s="53">
        <f>NPV(C13,C17:G17)-C12</f>
        <v>2069388.8513385933</v>
      </c>
    </row>
    <row r="22" spans="2:7" ht="23.5" x14ac:dyDescent="0.55000000000000004">
      <c r="B22" s="56" t="s">
        <v>80</v>
      </c>
      <c r="C22" s="56" t="s">
        <v>102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topLeftCell="A4" workbookViewId="0">
      <selection activeCell="B6" sqref="B6"/>
    </sheetView>
  </sheetViews>
  <sheetFormatPr baseColWidth="10" defaultRowHeight="14.5" x14ac:dyDescent="0.35"/>
  <cols>
    <col min="2" max="2" width="13.6328125" customWidth="1"/>
    <col min="3" max="3" width="17.90625" customWidth="1"/>
    <col min="4" max="4" width="13.90625" customWidth="1"/>
  </cols>
  <sheetData>
    <row r="3" spans="2:4" ht="28.5" x14ac:dyDescent="0.35">
      <c r="B3" s="97" t="s">
        <v>98</v>
      </c>
      <c r="C3" s="97"/>
      <c r="D3" s="97"/>
    </row>
    <row r="6" spans="2:4" ht="18.5" x14ac:dyDescent="0.45">
      <c r="B6" s="38" t="s">
        <v>78</v>
      </c>
    </row>
    <row r="12" spans="2:4" ht="18.5" x14ac:dyDescent="0.45">
      <c r="B12" s="99" t="s">
        <v>81</v>
      </c>
      <c r="C12" s="99"/>
    </row>
    <row r="13" spans="2:4" ht="15" thickBot="1" x14ac:dyDescent="0.4"/>
    <row r="14" spans="2:4" ht="15" thickBot="1" x14ac:dyDescent="0.4">
      <c r="B14" t="s">
        <v>70</v>
      </c>
      <c r="C14" s="41">
        <f>NPV!C20</f>
        <v>2069388.8513385933</v>
      </c>
    </row>
    <row r="15" spans="2:4" x14ac:dyDescent="0.35">
      <c r="B15" t="s">
        <v>82</v>
      </c>
      <c r="C15" s="5">
        <f>'Company''s Initial Investment'!C21</f>
        <v>7074339.8399999999</v>
      </c>
    </row>
    <row r="16" spans="2:4" ht="15" thickBot="1" x14ac:dyDescent="0.4"/>
    <row r="17" spans="2:3" ht="21.5" thickBot="1" x14ac:dyDescent="0.55000000000000004">
      <c r="B17" s="33" t="s">
        <v>103</v>
      </c>
      <c r="C17" s="57">
        <f xml:space="preserve"> 1 + (C14/C15)</f>
        <v>1.2925204186032704</v>
      </c>
    </row>
    <row r="19" spans="2:3" ht="21" x14ac:dyDescent="0.5">
      <c r="B19" s="55" t="s">
        <v>83</v>
      </c>
      <c r="C19" s="54" t="s">
        <v>104</v>
      </c>
    </row>
  </sheetData>
  <mergeCells count="2">
    <mergeCell ref="B12:C12"/>
    <mergeCell ref="B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1"/>
  <sheetViews>
    <sheetView workbookViewId="0">
      <selection activeCell="D11" sqref="D11"/>
    </sheetView>
  </sheetViews>
  <sheetFormatPr baseColWidth="10" defaultRowHeight="14.5" x14ac:dyDescent="0.35"/>
  <cols>
    <col min="2" max="2" width="19.81640625" customWidth="1"/>
    <col min="3" max="3" width="17.1796875" customWidth="1"/>
    <col min="4" max="4" width="17.08984375" customWidth="1"/>
    <col min="5" max="5" width="17.6328125" customWidth="1"/>
    <col min="6" max="6" width="24.26953125" customWidth="1"/>
    <col min="7" max="7" width="16.453125" customWidth="1"/>
    <col min="8" max="8" width="16.7265625" customWidth="1"/>
  </cols>
  <sheetData>
    <row r="5" spans="2:8" ht="23.5" x14ac:dyDescent="0.55000000000000004">
      <c r="B5" s="100" t="s">
        <v>84</v>
      </c>
      <c r="C5" s="100"/>
      <c r="D5" s="100"/>
      <c r="E5" s="100"/>
      <c r="F5" s="100"/>
      <c r="G5" s="100"/>
      <c r="H5" s="100"/>
    </row>
    <row r="6" spans="2:8" x14ac:dyDescent="0.35">
      <c r="B6" s="7" t="s">
        <v>11</v>
      </c>
      <c r="C6" s="6">
        <v>0</v>
      </c>
      <c r="D6" s="6">
        <v>1</v>
      </c>
      <c r="E6" s="6">
        <v>2</v>
      </c>
      <c r="F6" s="6">
        <v>3</v>
      </c>
      <c r="G6" s="6">
        <v>4</v>
      </c>
      <c r="H6" s="6">
        <v>5</v>
      </c>
    </row>
    <row r="7" spans="2:8" x14ac:dyDescent="0.35">
      <c r="B7" s="7" t="s">
        <v>85</v>
      </c>
      <c r="C7" s="15">
        <f>-'Company''s Initial Investment'!C21</f>
        <v>-7074339.8399999999</v>
      </c>
      <c r="D7" s="16">
        <v>1930283.4959999998</v>
      </c>
      <c r="E7" s="16">
        <v>3100883.4960000003</v>
      </c>
      <c r="F7" s="16">
        <v>3253883.4960000003</v>
      </c>
      <c r="G7" s="16">
        <v>2697683.4960000003</v>
      </c>
      <c r="H7" s="16">
        <v>3555683.4960000003</v>
      </c>
    </row>
    <row r="8" spans="2:8" x14ac:dyDescent="0.35">
      <c r="B8" s="7" t="s">
        <v>86</v>
      </c>
      <c r="C8" s="6"/>
      <c r="D8" s="16">
        <f>C7+D7</f>
        <v>-5144056.3440000005</v>
      </c>
      <c r="E8" s="16">
        <f>E7+D8</f>
        <v>-2043172.8480000002</v>
      </c>
      <c r="F8" s="17"/>
      <c r="G8" s="17" t="s">
        <v>87</v>
      </c>
      <c r="H8" s="17" t="s">
        <v>87</v>
      </c>
    </row>
    <row r="11" spans="2:8" ht="18.5" x14ac:dyDescent="0.45">
      <c r="B11" s="59" t="s">
        <v>88</v>
      </c>
      <c r="C11" s="5" t="s">
        <v>105</v>
      </c>
      <c r="D11" s="58">
        <f>(-E8/F7)*365</f>
        <v>229.19016321167021</v>
      </c>
      <c r="E11" t="s">
        <v>106</v>
      </c>
    </row>
  </sheetData>
  <mergeCells count="1">
    <mergeCell ref="B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4"/>
  <sheetViews>
    <sheetView workbookViewId="0">
      <selection activeCell="D13" sqref="D13"/>
    </sheetView>
  </sheetViews>
  <sheetFormatPr baseColWidth="10" defaultRowHeight="14.5" x14ac:dyDescent="0.35"/>
  <cols>
    <col min="2" max="2" width="14.26953125" customWidth="1"/>
    <col min="3" max="3" width="18.453125" customWidth="1"/>
    <col min="4" max="4" width="22.81640625" customWidth="1"/>
    <col min="5" max="5" width="17.90625" customWidth="1"/>
    <col min="6" max="6" width="17.36328125" customWidth="1"/>
    <col min="7" max="7" width="20.08984375" customWidth="1"/>
    <col min="8" max="8" width="17.90625" customWidth="1"/>
  </cols>
  <sheetData>
    <row r="6" spans="2:8" ht="23.5" x14ac:dyDescent="0.55000000000000004">
      <c r="B6" s="100" t="s">
        <v>89</v>
      </c>
      <c r="C6" s="100"/>
      <c r="D6" s="100"/>
      <c r="E6" s="100"/>
      <c r="F6" s="100"/>
      <c r="G6" s="100"/>
      <c r="H6" s="100"/>
    </row>
    <row r="7" spans="2:8" x14ac:dyDescent="0.35">
      <c r="B7" s="7" t="s">
        <v>11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</row>
    <row r="8" spans="2:8" x14ac:dyDescent="0.35">
      <c r="B8" s="7" t="s">
        <v>85</v>
      </c>
      <c r="C8" s="15">
        <f>-'Company''s Initial Investment'!C21</f>
        <v>-7074339.8399999999</v>
      </c>
      <c r="D8" s="16">
        <v>1930283.4959999998</v>
      </c>
      <c r="E8" s="16">
        <v>3100883.4960000003</v>
      </c>
      <c r="F8" s="16">
        <v>3253883.4960000003</v>
      </c>
      <c r="G8" s="16">
        <v>2697683.4960000003</v>
      </c>
      <c r="H8" s="16">
        <v>3555683.4960000003</v>
      </c>
    </row>
    <row r="9" spans="2:8" x14ac:dyDescent="0.35">
      <c r="B9" s="7" t="s">
        <v>90</v>
      </c>
      <c r="C9" s="6"/>
      <c r="D9" s="16">
        <f>D8/(POWER((1+WACC!$H$15),1))</f>
        <v>1658319.1546391752</v>
      </c>
      <c r="E9" s="16">
        <f>E8/(POWER((1+WACC!$H$15),1))</f>
        <v>2663989.2577319592</v>
      </c>
      <c r="F9" s="16">
        <f>F8/(POWER((1+WACC!$H$15),1))</f>
        <v>2795432.5567010315</v>
      </c>
      <c r="G9" s="16">
        <f>G8/(POWER((1+WACC!$H$15),1))</f>
        <v>2317597.5051546395</v>
      </c>
      <c r="H9" s="16">
        <f>H8/(POWER((1+WACC!$H$15),1))</f>
        <v>3054710.9072164954</v>
      </c>
    </row>
    <row r="10" spans="2:8" x14ac:dyDescent="0.35">
      <c r="B10" s="7" t="s">
        <v>86</v>
      </c>
      <c r="C10" s="6"/>
      <c r="D10" s="16">
        <f>C8+D9</f>
        <v>-5416020.6853608247</v>
      </c>
      <c r="E10" s="16">
        <f>D10+E9</f>
        <v>-2752031.4276288655</v>
      </c>
      <c r="F10" s="16">
        <f>E10+F9</f>
        <v>43401.129072166048</v>
      </c>
      <c r="G10" s="17" t="s">
        <v>87</v>
      </c>
      <c r="H10" s="17" t="s">
        <v>87</v>
      </c>
    </row>
    <row r="11" spans="2:8" ht="15" thickBot="1" x14ac:dyDescent="0.4"/>
    <row r="12" spans="2:8" ht="19" thickBot="1" x14ac:dyDescent="0.5">
      <c r="B12" s="101" t="s">
        <v>91</v>
      </c>
      <c r="C12" s="102"/>
      <c r="D12" s="60" t="s">
        <v>109</v>
      </c>
      <c r="E12" s="61">
        <f>(-E10/F9)*365</f>
        <v>359.33310881589091</v>
      </c>
      <c r="F12" s="62" t="s">
        <v>92</v>
      </c>
    </row>
    <row r="14" spans="2:8" x14ac:dyDescent="0.35">
      <c r="B14" s="103"/>
      <c r="C14" s="103"/>
      <c r="D14" s="103"/>
      <c r="E14" s="103"/>
      <c r="F14" s="103"/>
    </row>
  </sheetData>
  <mergeCells count="3">
    <mergeCell ref="B6:H6"/>
    <mergeCell ref="B12:C12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Company's Initial Investment</vt:lpstr>
      <vt:lpstr>Cash Flows</vt:lpstr>
      <vt:lpstr>Cash Flows 2</vt:lpstr>
      <vt:lpstr>WACC</vt:lpstr>
      <vt:lpstr>IRR</vt:lpstr>
      <vt:lpstr>NPV</vt:lpstr>
      <vt:lpstr>PI</vt:lpstr>
      <vt:lpstr>Regular Payback Period </vt:lpstr>
      <vt:lpstr>Discounted Payback period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2020-12-05T13:10:16Z</dcterms:modified>
</cp:coreProperties>
</file>