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SI\Desktop\"/>
    </mc:Choice>
  </mc:AlternateContent>
  <xr:revisionPtr revIDLastSave="0" documentId="13_ncr:1_{E532203C-F940-49C0-A0F5-1F4D2F46854B}" xr6:coauthVersionLast="46" xr6:coauthVersionMax="46" xr10:uidLastSave="{00000000-0000-0000-0000-000000000000}"/>
  <bookViews>
    <workbookView xWindow="-120" yWindow="-120" windowWidth="20730" windowHeight="11160" activeTab="5" xr2:uid="{00000000-000D-0000-FFFF-FFFF00000000}"/>
  </bookViews>
  <sheets>
    <sheet name="initial informations" sheetId="1" r:id="rId1"/>
    <sheet name="cash flow" sheetId="2" r:id="rId2"/>
    <sheet name="cash flow2" sheetId="10" r:id="rId3"/>
    <sheet name="WACC" sheetId="11" r:id="rId4"/>
    <sheet name="IRR" sheetId="12" r:id="rId5"/>
    <sheet name="NPV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2" l="1"/>
  <c r="C17" i="12"/>
  <c r="C16" i="10"/>
  <c r="H12" i="11"/>
  <c r="H9" i="11"/>
  <c r="G16" i="10"/>
  <c r="D16" i="10"/>
  <c r="E16" i="10"/>
  <c r="F16" i="10"/>
  <c r="D14" i="10"/>
  <c r="E14" i="10"/>
  <c r="F14" i="10"/>
  <c r="C14" i="10"/>
  <c r="G15" i="10" s="1"/>
  <c r="D9" i="10"/>
  <c r="E9" i="10"/>
  <c r="F9" i="10"/>
  <c r="G9" i="10"/>
  <c r="C9" i="10"/>
  <c r="J11" i="2"/>
  <c r="F8" i="10"/>
  <c r="F7" i="10"/>
  <c r="G7" i="10"/>
  <c r="G8" i="10" s="1"/>
  <c r="E7" i="10"/>
  <c r="E8" i="10" s="1"/>
  <c r="D7" i="10"/>
  <c r="D8" i="10" s="1"/>
  <c r="C7" i="10"/>
  <c r="C8" i="10" s="1"/>
  <c r="J10" i="2"/>
  <c r="R8" i="2"/>
  <c r="Q2" i="2"/>
  <c r="R2" i="2" s="1"/>
  <c r="P3" i="2"/>
  <c r="S3" i="2" s="1"/>
  <c r="L3" i="2"/>
  <c r="M3" i="2"/>
  <c r="N3" i="2"/>
  <c r="O3" i="2"/>
  <c r="K3" i="2"/>
  <c r="S6" i="2"/>
  <c r="S5" i="2"/>
  <c r="S4" i="2"/>
  <c r="P6" i="2"/>
  <c r="P5" i="2"/>
  <c r="P4" i="2"/>
  <c r="C18" i="12" l="1"/>
  <c r="S8" i="2"/>
  <c r="L4" i="2" l="1"/>
  <c r="M4" i="2"/>
  <c r="N4" i="2"/>
  <c r="O4" i="2"/>
  <c r="K4" i="2"/>
  <c r="L6" i="2"/>
  <c r="M6" i="2"/>
  <c r="N6" i="2"/>
  <c r="O6" i="2"/>
  <c r="K6" i="2"/>
  <c r="L5" i="2"/>
  <c r="M5" i="2"/>
  <c r="N5" i="2"/>
  <c r="O5" i="2"/>
  <c r="K5" i="2"/>
  <c r="B16" i="2"/>
  <c r="B15" i="2"/>
  <c r="B14" i="2"/>
  <c r="B13" i="2"/>
  <c r="B12" i="2"/>
  <c r="B7" i="2"/>
  <c r="B6" i="2"/>
  <c r="B5" i="2"/>
  <c r="B4" i="2"/>
  <c r="B3" i="2"/>
  <c r="A7" i="2"/>
  <c r="A6" i="2"/>
  <c r="A5" i="2"/>
  <c r="A4" i="2"/>
  <c r="D12" i="1"/>
  <c r="D14" i="1" s="1"/>
</calcChain>
</file>

<file path=xl/sharedStrings.xml><?xml version="1.0" encoding="utf-8"?>
<sst xmlns="http://schemas.openxmlformats.org/spreadsheetml/2006/main" count="118" uniqueCount="98">
  <si>
    <t xml:space="preserve">company's initial investment </t>
  </si>
  <si>
    <t>land</t>
  </si>
  <si>
    <t>building</t>
  </si>
  <si>
    <t>transportation equipment</t>
  </si>
  <si>
    <t xml:space="preserve">industrial equipment </t>
  </si>
  <si>
    <t xml:space="preserve">office equipment </t>
  </si>
  <si>
    <t xml:space="preserve">software and patent </t>
  </si>
  <si>
    <t xml:space="preserve">INITIAL INVESTMENT= </t>
  </si>
  <si>
    <t>sales</t>
  </si>
  <si>
    <t xml:space="preserve">Net working K : </t>
  </si>
  <si>
    <t xml:space="preserve">I 0 </t>
  </si>
  <si>
    <t>trans equipment</t>
  </si>
  <si>
    <t>price per unit</t>
  </si>
  <si>
    <t xml:space="preserve">VC per unit </t>
  </si>
  <si>
    <t xml:space="preserve">Revenue </t>
  </si>
  <si>
    <t xml:space="preserve">Quantity </t>
  </si>
  <si>
    <t xml:space="preserve">Revenue per year </t>
  </si>
  <si>
    <t xml:space="preserve">Cost </t>
  </si>
  <si>
    <t>cost per unit</t>
  </si>
  <si>
    <t xml:space="preserve">total VC </t>
  </si>
  <si>
    <t xml:space="preserve">Dep and amortization </t>
  </si>
  <si>
    <t>Land</t>
  </si>
  <si>
    <t>industrial equip</t>
  </si>
  <si>
    <t>office equip</t>
  </si>
  <si>
    <t>Year1</t>
  </si>
  <si>
    <t>Year2</t>
  </si>
  <si>
    <t>Year3</t>
  </si>
  <si>
    <t>Year4</t>
  </si>
  <si>
    <t>Year5</t>
  </si>
  <si>
    <t>Book value</t>
  </si>
  <si>
    <t xml:space="preserve">Salvage value </t>
  </si>
  <si>
    <t>Tax loss</t>
  </si>
  <si>
    <t>No dep</t>
  </si>
  <si>
    <t>Tax benefit</t>
  </si>
  <si>
    <t xml:space="preserve">_ </t>
  </si>
  <si>
    <t>annual dep and amortization</t>
  </si>
  <si>
    <t xml:space="preserve">total SV </t>
  </si>
  <si>
    <t xml:space="preserve">Cash flow statement </t>
  </si>
  <si>
    <t>VC</t>
  </si>
  <si>
    <t>FC</t>
  </si>
  <si>
    <t>DEP</t>
  </si>
  <si>
    <t>OPP INCOME</t>
  </si>
  <si>
    <t>TAX</t>
  </si>
  <si>
    <t>ADD DEP</t>
  </si>
  <si>
    <t>TOT SV</t>
  </si>
  <si>
    <t>TAX LOSS</t>
  </si>
  <si>
    <t>TAX BENEFIT</t>
  </si>
  <si>
    <t>ADDED NWC</t>
  </si>
  <si>
    <t>RECOVERY NWC</t>
  </si>
  <si>
    <t>CF</t>
  </si>
  <si>
    <t>end Y1</t>
  </si>
  <si>
    <t>end Y2</t>
  </si>
  <si>
    <t>end Y3</t>
  </si>
  <si>
    <t>end Y4</t>
  </si>
  <si>
    <t>end Y5</t>
  </si>
  <si>
    <t>units sold in year 1 = 150 ( growth rate per year 10%)</t>
  </si>
  <si>
    <t>INCOME AFTER TAX</t>
  </si>
  <si>
    <t>WACC</t>
  </si>
  <si>
    <t>initial investment</t>
  </si>
  <si>
    <t>cost of debt</t>
  </si>
  <si>
    <t>risk free</t>
  </si>
  <si>
    <t>risk premium</t>
  </si>
  <si>
    <t>beta unlevred</t>
  </si>
  <si>
    <t>tax rate T</t>
  </si>
  <si>
    <t>debt D</t>
  </si>
  <si>
    <t>Equity E</t>
  </si>
  <si>
    <t>0.12</t>
  </si>
  <si>
    <t>0.98</t>
  </si>
  <si>
    <t>0.4</t>
  </si>
  <si>
    <t>0.6</t>
  </si>
  <si>
    <t>Beta levered =βu*[1+(D/E)*(1+T)]</t>
  </si>
  <si>
    <t>Beta levered</t>
  </si>
  <si>
    <t>Project cost of equity =Rf+βL*(RRRm-Rf)</t>
  </si>
  <si>
    <t>Project cost of equity (Pce)</t>
  </si>
  <si>
    <t>WACC=Pce*We+rd*Wd*(1-T)</t>
  </si>
  <si>
    <t>IRR</t>
  </si>
  <si>
    <t>Reminder</t>
  </si>
  <si>
    <t>N</t>
  </si>
  <si>
    <t>annual cash flow</t>
  </si>
  <si>
    <t xml:space="preserve">Year </t>
  </si>
  <si>
    <t>338463.6</t>
  </si>
  <si>
    <t>583756.8</t>
  </si>
  <si>
    <t>R</t>
  </si>
  <si>
    <t>478 896.70 is greater than I0 so we add 2%</t>
  </si>
  <si>
    <t>ACC. CF</t>
  </si>
  <si>
    <t>when we increase r by 2%</t>
  </si>
  <si>
    <t>NPV decrease by 30896.7</t>
  </si>
  <si>
    <t>when we increase r by ? %</t>
  </si>
  <si>
    <t>NPV decrease by 29896.7</t>
  </si>
  <si>
    <t>0.0038</t>
  </si>
  <si>
    <t>So IRR= 56.38%</t>
  </si>
  <si>
    <t xml:space="preserve">initial investment </t>
  </si>
  <si>
    <t xml:space="preserve">N </t>
  </si>
  <si>
    <t>0.15</t>
  </si>
  <si>
    <t>YEAR</t>
  </si>
  <si>
    <t>&gt;0</t>
  </si>
  <si>
    <t>NPV = 442587.31</t>
  </si>
  <si>
    <t xml:space="preserve">So we accept the project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</si>
</sst>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0_-;\-* #,##0.000_-;_-* &quot;-&quot;??_-;_-@_-"/>
    <numFmt numFmtId="166" formatCode="0.000"/>
    <numFmt numFmtId="171" formatCode="_-* #,##0.000\ _€_-;\-* #,##0.000\ _€_-;_-* &quot;-&quot;???\ _€_-;_-@_-"/>
    <numFmt numFmtId="182" formatCode="#,##0.0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166" fontId="0" fillId="0" borderId="0" xfId="0" applyNumberFormat="1"/>
    <xf numFmtId="0" fontId="0" fillId="0" borderId="0" xfId="0" applyFont="1"/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164" fontId="0" fillId="0" borderId="4" xfId="1" applyNumberFormat="1" applyFont="1" applyBorder="1"/>
    <xf numFmtId="164" fontId="0" fillId="0" borderId="6" xfId="1" applyNumberFormat="1" applyFont="1" applyBorder="1"/>
    <xf numFmtId="166" fontId="0" fillId="0" borderId="6" xfId="0" applyNumberFormat="1" applyBorder="1"/>
    <xf numFmtId="166" fontId="0" fillId="0" borderId="9" xfId="0" applyNumberFormat="1" applyBorder="1"/>
    <xf numFmtId="0" fontId="0" fillId="0" borderId="10" xfId="0" applyBorder="1"/>
    <xf numFmtId="166" fontId="0" fillId="0" borderId="10" xfId="0" applyNumberFormat="1" applyBorder="1"/>
    <xf numFmtId="9" fontId="0" fillId="0" borderId="10" xfId="0" applyNumberFormat="1" applyBorder="1"/>
    <xf numFmtId="164" fontId="0" fillId="0" borderId="10" xfId="0" applyNumberFormat="1" applyBorder="1"/>
    <xf numFmtId="171" fontId="0" fillId="0" borderId="10" xfId="0" applyNumberFormat="1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10" xfId="0" applyFont="1" applyBorder="1"/>
    <xf numFmtId="0" fontId="2" fillId="0" borderId="0" xfId="0" applyFont="1"/>
    <xf numFmtId="1" fontId="0" fillId="0" borderId="0" xfId="0" applyNumberFormat="1"/>
    <xf numFmtId="182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NumberFormat="1" applyFill="1"/>
    <xf numFmtId="9" fontId="0" fillId="3" borderId="0" xfId="0" applyNumberFormat="1" applyFill="1"/>
    <xf numFmtId="0" fontId="0" fillId="4" borderId="0" xfId="0" applyFill="1" applyAlignment="1">
      <alignment horizontal="center"/>
    </xf>
    <xf numFmtId="3" fontId="0" fillId="0" borderId="10" xfId="0" applyNumberFormat="1" applyBorder="1"/>
    <xf numFmtId="0" fontId="0" fillId="0" borderId="10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5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4</xdr:row>
      <xdr:rowOff>28575</xdr:rowOff>
    </xdr:from>
    <xdr:to>
      <xdr:col>8</xdr:col>
      <xdr:colOff>160110</xdr:colOff>
      <xdr:row>7</xdr:row>
      <xdr:rowOff>70020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9351781-D79F-4BC2-948A-2C80C2406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50" y="790575"/>
          <a:ext cx="3265260" cy="6129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workbookViewId="0">
      <selection activeCell="I10" sqref="I10"/>
    </sheetView>
  </sheetViews>
  <sheetFormatPr defaultRowHeight="15" x14ac:dyDescent="0.25"/>
  <cols>
    <col min="4" max="4" width="10.42578125" bestFit="1" customWidth="1"/>
    <col min="9" max="9" width="12.85546875" customWidth="1"/>
    <col min="10" max="10" width="11.140625" customWidth="1"/>
  </cols>
  <sheetData>
    <row r="1" spans="1:13" x14ac:dyDescent="0.25">
      <c r="A1" t="s">
        <v>0</v>
      </c>
    </row>
    <row r="3" spans="1:13" ht="15.75" thickBot="1" x14ac:dyDescent="0.3"/>
    <row r="4" spans="1:13" x14ac:dyDescent="0.25">
      <c r="B4" s="4" t="s">
        <v>1</v>
      </c>
      <c r="C4" s="5"/>
      <c r="D4" s="5"/>
      <c r="E4" s="10">
        <v>140</v>
      </c>
      <c r="H4" s="2"/>
      <c r="I4" s="23" t="s">
        <v>12</v>
      </c>
      <c r="J4" s="23" t="s">
        <v>13</v>
      </c>
      <c r="K4" s="2"/>
      <c r="L4" s="2"/>
      <c r="M4" s="2"/>
    </row>
    <row r="5" spans="1:13" x14ac:dyDescent="0.25">
      <c r="B5" s="6" t="s">
        <v>2</v>
      </c>
      <c r="C5" s="7"/>
      <c r="D5" s="7"/>
      <c r="E5" s="11">
        <v>150</v>
      </c>
      <c r="I5" s="15">
        <v>4</v>
      </c>
      <c r="J5" s="16">
        <v>0.3</v>
      </c>
    </row>
    <row r="6" spans="1:13" x14ac:dyDescent="0.25">
      <c r="B6" s="6" t="s">
        <v>3</v>
      </c>
      <c r="C6" s="7"/>
      <c r="D6" s="7"/>
      <c r="E6" s="12">
        <v>74</v>
      </c>
    </row>
    <row r="7" spans="1:13" x14ac:dyDescent="0.25">
      <c r="B7" s="6" t="s">
        <v>4</v>
      </c>
      <c r="C7" s="7"/>
      <c r="D7" s="7"/>
      <c r="E7" s="12">
        <v>5</v>
      </c>
    </row>
    <row r="8" spans="1:13" x14ac:dyDescent="0.25">
      <c r="B8" s="6" t="s">
        <v>5</v>
      </c>
      <c r="C8" s="7"/>
      <c r="D8" s="7"/>
      <c r="E8" s="12">
        <v>10</v>
      </c>
      <c r="I8" t="s">
        <v>55</v>
      </c>
    </row>
    <row r="9" spans="1:13" ht="15.75" thickBot="1" x14ac:dyDescent="0.3">
      <c r="B9" s="8" t="s">
        <v>6</v>
      </c>
      <c r="C9" s="9"/>
      <c r="D9" s="9"/>
      <c r="E9" s="13">
        <v>15</v>
      </c>
    </row>
    <row r="11" spans="1:13" ht="15.75" thickBot="1" x14ac:dyDescent="0.3"/>
    <row r="12" spans="1:13" ht="15.75" thickBot="1" x14ac:dyDescent="0.3">
      <c r="B12" s="20" t="s">
        <v>7</v>
      </c>
      <c r="C12" s="21"/>
      <c r="D12" s="17">
        <f>SUM(E4:E9)</f>
        <v>394</v>
      </c>
    </row>
    <row r="13" spans="1:13" ht="15.75" thickBot="1" x14ac:dyDescent="0.3">
      <c r="B13" s="20" t="s">
        <v>9</v>
      </c>
      <c r="C13" s="22"/>
      <c r="D13" s="15">
        <v>100</v>
      </c>
    </row>
    <row r="14" spans="1:13" ht="15.75" thickBot="1" x14ac:dyDescent="0.3">
      <c r="B14" s="8" t="s">
        <v>10</v>
      </c>
      <c r="C14" s="19"/>
      <c r="D14" s="18">
        <f>D12+D13</f>
        <v>494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FF7C-6232-4A78-95AA-A1B8D19A26A2}">
  <dimension ref="A1:S16"/>
  <sheetViews>
    <sheetView workbookViewId="0">
      <selection activeCell="R8" sqref="R8"/>
    </sheetView>
  </sheetViews>
  <sheetFormatPr defaultRowHeight="15" x14ac:dyDescent="0.25"/>
  <cols>
    <col min="1" max="1" width="11.85546875" customWidth="1"/>
    <col min="8" max="8" width="10.28515625" customWidth="1"/>
    <col min="10" max="11" width="9.5703125" bestFit="1" customWidth="1"/>
    <col min="16" max="16" width="11.28515625" customWidth="1"/>
    <col min="17" max="17" width="12.7109375" customWidth="1"/>
    <col min="18" max="18" width="10.42578125" bestFit="1" customWidth="1"/>
    <col min="19" max="19" width="10.5703125" bestFit="1" customWidth="1"/>
  </cols>
  <sheetData>
    <row r="1" spans="1:19" ht="26.25" x14ac:dyDescent="0.4">
      <c r="A1" s="24" t="s">
        <v>14</v>
      </c>
      <c r="B1" s="24"/>
      <c r="G1" s="24" t="s">
        <v>20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33</v>
      </c>
    </row>
    <row r="2" spans="1:19" x14ac:dyDescent="0.25">
      <c r="A2" t="s">
        <v>15</v>
      </c>
      <c r="B2" t="s">
        <v>16</v>
      </c>
      <c r="G2" t="s">
        <v>21</v>
      </c>
      <c r="K2" t="s">
        <v>32</v>
      </c>
      <c r="L2" t="s">
        <v>32</v>
      </c>
      <c r="M2" t="s">
        <v>32</v>
      </c>
      <c r="N2" t="s">
        <v>32</v>
      </c>
      <c r="O2" t="s">
        <v>32</v>
      </c>
      <c r="P2" s="27">
        <v>140000</v>
      </c>
      <c r="Q2" s="28">
        <f>P2*POWER(1.04,5)</f>
        <v>170331.40633600004</v>
      </c>
      <c r="R2" s="27">
        <f>0.12*(Q2-P2)</f>
        <v>3639.7687603200052</v>
      </c>
    </row>
    <row r="3" spans="1:19" x14ac:dyDescent="0.25">
      <c r="A3">
        <v>150</v>
      </c>
      <c r="B3" s="1">
        <f>A3*4</f>
        <v>600</v>
      </c>
      <c r="G3" t="s">
        <v>2</v>
      </c>
      <c r="K3" s="27">
        <f>150000/20</f>
        <v>7500</v>
      </c>
      <c r="L3" s="27">
        <f t="shared" ref="L3:O3" si="0">150000/20</f>
        <v>7500</v>
      </c>
      <c r="M3" s="27">
        <f t="shared" si="0"/>
        <v>7500</v>
      </c>
      <c r="N3" s="27">
        <f t="shared" si="0"/>
        <v>7500</v>
      </c>
      <c r="O3" s="27">
        <f t="shared" si="0"/>
        <v>7500</v>
      </c>
      <c r="P3" s="27">
        <f>150000-SUM(K3:O3)</f>
        <v>112500</v>
      </c>
      <c r="Q3" s="27">
        <v>100000</v>
      </c>
      <c r="R3" s="27"/>
      <c r="S3" s="27">
        <f>0.12*(P3-Q3)</f>
        <v>1500</v>
      </c>
    </row>
    <row r="4" spans="1:19" x14ac:dyDescent="0.25">
      <c r="A4">
        <f>A3*1.1</f>
        <v>165</v>
      </c>
      <c r="B4" s="1">
        <f>A4*4</f>
        <v>660</v>
      </c>
      <c r="G4" t="s">
        <v>11</v>
      </c>
      <c r="K4">
        <f>74000/20</f>
        <v>3700</v>
      </c>
      <c r="L4">
        <f t="shared" ref="L4:O4" si="1">74000/20</f>
        <v>3700</v>
      </c>
      <c r="M4">
        <f t="shared" si="1"/>
        <v>3700</v>
      </c>
      <c r="N4">
        <f t="shared" si="1"/>
        <v>3700</v>
      </c>
      <c r="O4">
        <f t="shared" si="1"/>
        <v>3700</v>
      </c>
      <c r="P4" s="27">
        <f>74000-SUM(K4:O4)</f>
        <v>55500</v>
      </c>
      <c r="Q4" s="27">
        <v>45000</v>
      </c>
      <c r="S4" s="25">
        <f>0.12*(P4-Q4)</f>
        <v>1260</v>
      </c>
    </row>
    <row r="5" spans="1:19" x14ac:dyDescent="0.25">
      <c r="A5">
        <f>A4*1.1</f>
        <v>181.50000000000003</v>
      </c>
      <c r="B5" s="1">
        <f>A5*4</f>
        <v>726.00000000000011</v>
      </c>
      <c r="G5" t="s">
        <v>22</v>
      </c>
      <c r="K5">
        <f>5000/10</f>
        <v>500</v>
      </c>
      <c r="L5">
        <f t="shared" ref="L5:O5" si="2">5000/10</f>
        <v>500</v>
      </c>
      <c r="M5">
        <f t="shared" si="2"/>
        <v>500</v>
      </c>
      <c r="N5">
        <f t="shared" si="2"/>
        <v>500</v>
      </c>
      <c r="O5">
        <f t="shared" si="2"/>
        <v>500</v>
      </c>
      <c r="P5">
        <f>5000-SUM(K5:O5)</f>
        <v>2500</v>
      </c>
      <c r="Q5">
        <v>2000</v>
      </c>
      <c r="S5">
        <f>0.12*(P5-Q5)</f>
        <v>60</v>
      </c>
    </row>
    <row r="6" spans="1:19" x14ac:dyDescent="0.25">
      <c r="A6">
        <f>A5*1.1</f>
        <v>199.65000000000003</v>
      </c>
      <c r="B6" s="1">
        <f>A6*4</f>
        <v>798.60000000000014</v>
      </c>
      <c r="G6" t="s">
        <v>23</v>
      </c>
      <c r="K6" s="25">
        <f>10000/20</f>
        <v>500</v>
      </c>
      <c r="L6" s="25">
        <f t="shared" ref="L6:O6" si="3">10000/20</f>
        <v>500</v>
      </c>
      <c r="M6" s="25">
        <f t="shared" si="3"/>
        <v>500</v>
      </c>
      <c r="N6" s="25">
        <f t="shared" si="3"/>
        <v>500</v>
      </c>
      <c r="O6" s="25">
        <f t="shared" si="3"/>
        <v>500</v>
      </c>
      <c r="P6" s="25">
        <f>10000-SUM(K6:O6)</f>
        <v>7500</v>
      </c>
      <c r="Q6">
        <v>5000</v>
      </c>
      <c r="S6">
        <f>0.12*(P6-Q6)</f>
        <v>300</v>
      </c>
    </row>
    <row r="7" spans="1:19" x14ac:dyDescent="0.25">
      <c r="A7">
        <f>A6*1.1</f>
        <v>219.61500000000007</v>
      </c>
      <c r="B7" s="1">
        <f>A7*4</f>
        <v>878.46000000000026</v>
      </c>
      <c r="G7" t="s">
        <v>6</v>
      </c>
      <c r="K7" t="s">
        <v>32</v>
      </c>
      <c r="L7" t="s">
        <v>32</v>
      </c>
      <c r="M7" t="s">
        <v>32</v>
      </c>
      <c r="N7" t="s">
        <v>32</v>
      </c>
      <c r="O7" t="s">
        <v>32</v>
      </c>
      <c r="P7" t="s">
        <v>34</v>
      </c>
      <c r="Q7" t="s">
        <v>34</v>
      </c>
    </row>
    <row r="8" spans="1:19" x14ac:dyDescent="0.25">
      <c r="R8" s="26">
        <f>SUM(R2)</f>
        <v>3639.7687603200052</v>
      </c>
      <c r="S8" s="1">
        <f>SUM(S3:S6)</f>
        <v>3120</v>
      </c>
    </row>
    <row r="10" spans="1:19" ht="26.25" x14ac:dyDescent="0.4">
      <c r="A10" s="24" t="s">
        <v>17</v>
      </c>
      <c r="G10" t="s">
        <v>35</v>
      </c>
      <c r="J10" s="27">
        <f>SUM(K3:K6)</f>
        <v>12200</v>
      </c>
    </row>
    <row r="11" spans="1:19" x14ac:dyDescent="0.25">
      <c r="A11" t="s">
        <v>18</v>
      </c>
      <c r="B11" t="s">
        <v>19</v>
      </c>
      <c r="G11" t="s">
        <v>36</v>
      </c>
      <c r="J11">
        <f>SUM(Q2:KQ6)</f>
        <v>329091.17509632005</v>
      </c>
    </row>
    <row r="12" spans="1:19" x14ac:dyDescent="0.25">
      <c r="A12" s="3">
        <v>0.3</v>
      </c>
      <c r="B12" s="1">
        <f>B3*A12</f>
        <v>180</v>
      </c>
    </row>
    <row r="13" spans="1:19" x14ac:dyDescent="0.25">
      <c r="A13" s="3">
        <v>0.3</v>
      </c>
      <c r="B13" s="1">
        <f>B4*A13</f>
        <v>198</v>
      </c>
    </row>
    <row r="14" spans="1:19" x14ac:dyDescent="0.25">
      <c r="A14" s="3">
        <v>0.3</v>
      </c>
      <c r="B14" s="1">
        <f>B5*A14</f>
        <v>217.80000000000004</v>
      </c>
    </row>
    <row r="15" spans="1:19" x14ac:dyDescent="0.25">
      <c r="A15" s="3">
        <v>0.3</v>
      </c>
      <c r="B15" s="1">
        <f>B6*A15</f>
        <v>239.58000000000004</v>
      </c>
    </row>
    <row r="16" spans="1:19" x14ac:dyDescent="0.25">
      <c r="A16" s="3">
        <v>0.3</v>
      </c>
      <c r="B16" s="1">
        <f>B7*A16</f>
        <v>263.53800000000007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5896-CFA0-41E0-AA9A-1398C5E5A293}">
  <dimension ref="A1:G16"/>
  <sheetViews>
    <sheetView workbookViewId="0">
      <selection activeCell="C16" sqref="C16"/>
    </sheetView>
  </sheetViews>
  <sheetFormatPr defaultRowHeight="15" x14ac:dyDescent="0.25"/>
  <sheetData>
    <row r="1" spans="1:7" ht="26.25" x14ac:dyDescent="0.4">
      <c r="A1" s="24" t="s">
        <v>37</v>
      </c>
    </row>
    <row r="2" spans="1:7" x14ac:dyDescent="0.25">
      <c r="C2" t="s">
        <v>50</v>
      </c>
      <c r="D2" t="s">
        <v>51</v>
      </c>
      <c r="E2" t="s">
        <v>52</v>
      </c>
      <c r="F2" t="s">
        <v>53</v>
      </c>
      <c r="G2" t="s">
        <v>54</v>
      </c>
    </row>
    <row r="3" spans="1:7" x14ac:dyDescent="0.25">
      <c r="A3" t="s">
        <v>8</v>
      </c>
      <c r="C3">
        <v>600000</v>
      </c>
      <c r="D3">
        <v>660000</v>
      </c>
      <c r="E3">
        <v>726000</v>
      </c>
      <c r="F3">
        <v>798000</v>
      </c>
      <c r="G3">
        <v>878460</v>
      </c>
    </row>
    <row r="4" spans="1:7" x14ac:dyDescent="0.25">
      <c r="A4" t="s">
        <v>38</v>
      </c>
      <c r="C4">
        <v>180000</v>
      </c>
      <c r="D4">
        <v>198000</v>
      </c>
      <c r="E4">
        <v>217800</v>
      </c>
      <c r="F4">
        <v>239580</v>
      </c>
      <c r="G4">
        <v>263538</v>
      </c>
    </row>
    <row r="5" spans="1:7" x14ac:dyDescent="0.25">
      <c r="A5" t="s">
        <v>39</v>
      </c>
      <c r="C5">
        <v>160000</v>
      </c>
      <c r="D5">
        <v>160000</v>
      </c>
      <c r="E5">
        <v>160000</v>
      </c>
      <c r="F5">
        <v>160000</v>
      </c>
      <c r="G5">
        <v>160000</v>
      </c>
    </row>
    <row r="6" spans="1:7" x14ac:dyDescent="0.25">
      <c r="A6" t="s">
        <v>40</v>
      </c>
      <c r="C6">
        <v>12200</v>
      </c>
      <c r="D6">
        <v>12200</v>
      </c>
      <c r="E6">
        <v>12200</v>
      </c>
      <c r="F6">
        <v>12200</v>
      </c>
      <c r="G6">
        <v>12200</v>
      </c>
    </row>
    <row r="7" spans="1:7" x14ac:dyDescent="0.25">
      <c r="A7" t="s">
        <v>41</v>
      </c>
      <c r="C7">
        <f>C3-SUM(C4:C6)</f>
        <v>247800</v>
      </c>
      <c r="D7">
        <f>D3-SUM(D4:D6)</f>
        <v>289800</v>
      </c>
      <c r="E7">
        <f>E3-SUM(E4:E6)</f>
        <v>336000</v>
      </c>
      <c r="F7">
        <f t="shared" ref="F7:G7" si="0">F3-SUM(F4:F6)</f>
        <v>386220</v>
      </c>
      <c r="G7">
        <f t="shared" si="0"/>
        <v>442722</v>
      </c>
    </row>
    <row r="8" spans="1:7" x14ac:dyDescent="0.25">
      <c r="A8" t="s">
        <v>42</v>
      </c>
      <c r="C8">
        <f>C7*0.12</f>
        <v>29736</v>
      </c>
      <c r="D8">
        <f t="shared" ref="D8:G8" si="1">D7*0.12</f>
        <v>34776</v>
      </c>
      <c r="E8">
        <f t="shared" si="1"/>
        <v>40320</v>
      </c>
      <c r="F8">
        <f t="shared" si="1"/>
        <v>46346.400000000001</v>
      </c>
      <c r="G8">
        <f t="shared" si="1"/>
        <v>53126.64</v>
      </c>
    </row>
    <row r="9" spans="1:7" x14ac:dyDescent="0.25">
      <c r="A9" t="s">
        <v>56</v>
      </c>
      <c r="C9">
        <f>C7-C8</f>
        <v>218064</v>
      </c>
      <c r="D9">
        <f t="shared" ref="D9:G9" si="2">D7-D8</f>
        <v>255024</v>
      </c>
      <c r="E9">
        <f t="shared" si="2"/>
        <v>295680</v>
      </c>
      <c r="F9">
        <f t="shared" si="2"/>
        <v>339873.6</v>
      </c>
      <c r="G9">
        <f t="shared" si="2"/>
        <v>389595.36</v>
      </c>
    </row>
    <row r="10" spans="1:7" x14ac:dyDescent="0.25">
      <c r="A10" t="s">
        <v>43</v>
      </c>
      <c r="C10">
        <v>12000</v>
      </c>
      <c r="D10">
        <v>12000</v>
      </c>
      <c r="E10">
        <v>12000</v>
      </c>
      <c r="F10">
        <v>12000</v>
      </c>
      <c r="G10">
        <v>12000</v>
      </c>
    </row>
    <row r="11" spans="1:7" x14ac:dyDescent="0.25">
      <c r="A11" t="s">
        <v>44</v>
      </c>
      <c r="G11">
        <v>329091.20000000001</v>
      </c>
    </row>
    <row r="12" spans="1:7" x14ac:dyDescent="0.25">
      <c r="A12" t="s">
        <v>45</v>
      </c>
      <c r="G12">
        <v>3639.7689999999998</v>
      </c>
    </row>
    <row r="13" spans="1:7" x14ac:dyDescent="0.25">
      <c r="A13" t="s">
        <v>46</v>
      </c>
      <c r="G13">
        <v>3120</v>
      </c>
    </row>
    <row r="14" spans="1:7" x14ac:dyDescent="0.25">
      <c r="A14" t="s">
        <v>47</v>
      </c>
      <c r="C14">
        <f>(D3-C3)*(60/360)</f>
        <v>10000</v>
      </c>
      <c r="D14">
        <f t="shared" ref="D14:F14" si="3">(E3-D3)*(60/360)</f>
        <v>11000</v>
      </c>
      <c r="E14">
        <f t="shared" si="3"/>
        <v>12000</v>
      </c>
      <c r="F14">
        <f t="shared" si="3"/>
        <v>13410</v>
      </c>
    </row>
    <row r="15" spans="1:7" x14ac:dyDescent="0.25">
      <c r="A15" t="s">
        <v>48</v>
      </c>
      <c r="G15">
        <f>SUM(C14:F14)+100000</f>
        <v>146410</v>
      </c>
    </row>
    <row r="16" spans="1:7" x14ac:dyDescent="0.25">
      <c r="A16" t="s">
        <v>49</v>
      </c>
      <c r="C16">
        <f>C9+C10-C14</f>
        <v>220064</v>
      </c>
      <c r="D16">
        <f>D9+D10-D14</f>
        <v>256024</v>
      </c>
      <c r="E16">
        <f t="shared" ref="D16:F16" si="4">E9+E10-E14</f>
        <v>295680</v>
      </c>
      <c r="F16">
        <f t="shared" si="4"/>
        <v>338463.6</v>
      </c>
      <c r="G16">
        <f>G9+G10+G11-G12+G13-G15</f>
        <v>583756.79100000008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39E40-1723-4FD4-8DA2-E17EA3DDD207}">
  <dimension ref="A3:H15"/>
  <sheetViews>
    <sheetView workbookViewId="0">
      <selection activeCell="C3" sqref="C3"/>
    </sheetView>
  </sheetViews>
  <sheetFormatPr defaultRowHeight="15" x14ac:dyDescent="0.25"/>
  <cols>
    <col min="1" max="1" width="15" customWidth="1"/>
    <col min="2" max="2" width="23" customWidth="1"/>
    <col min="3" max="3" width="11.5703125" customWidth="1"/>
    <col min="7" max="7" width="38" customWidth="1"/>
    <col min="8" max="8" width="25.5703125" customWidth="1"/>
  </cols>
  <sheetData>
    <row r="3" spans="1:8" ht="21" customHeight="1" x14ac:dyDescent="0.25">
      <c r="A3" s="34" t="s">
        <v>57</v>
      </c>
    </row>
    <row r="8" spans="1:8" x14ac:dyDescent="0.25">
      <c r="B8" s="14" t="s">
        <v>58</v>
      </c>
      <c r="C8" s="35">
        <v>449000</v>
      </c>
      <c r="G8" s="30" t="s">
        <v>70</v>
      </c>
    </row>
    <row r="9" spans="1:8" x14ac:dyDescent="0.25">
      <c r="B9" s="14" t="s">
        <v>59</v>
      </c>
      <c r="C9" s="36" t="s">
        <v>66</v>
      </c>
      <c r="G9" t="s">
        <v>71</v>
      </c>
      <c r="H9" s="31">
        <f>0.98*(1.04/0.6)*(1.12)</f>
        <v>1.902506666666667</v>
      </c>
    </row>
    <row r="10" spans="1:8" x14ac:dyDescent="0.25">
      <c r="B10" s="14" t="s">
        <v>60</v>
      </c>
      <c r="C10" s="37">
        <v>0.05</v>
      </c>
    </row>
    <row r="11" spans="1:8" x14ac:dyDescent="0.25">
      <c r="B11" s="14" t="s">
        <v>61</v>
      </c>
      <c r="C11" s="37">
        <v>0.08</v>
      </c>
      <c r="G11" s="30" t="s">
        <v>72</v>
      </c>
    </row>
    <row r="12" spans="1:8" x14ac:dyDescent="0.25">
      <c r="B12" s="14" t="s">
        <v>62</v>
      </c>
      <c r="C12" s="36" t="s">
        <v>67</v>
      </c>
      <c r="G12" t="s">
        <v>73</v>
      </c>
      <c r="H12" s="32">
        <f>C10+C11*H9</f>
        <v>0.20220053333333338</v>
      </c>
    </row>
    <row r="13" spans="1:8" x14ac:dyDescent="0.25">
      <c r="B13" s="14" t="s">
        <v>63</v>
      </c>
      <c r="C13" s="37">
        <v>0.12</v>
      </c>
      <c r="H13" s="3"/>
    </row>
    <row r="14" spans="1:8" x14ac:dyDescent="0.25">
      <c r="B14" s="14" t="s">
        <v>64</v>
      </c>
      <c r="C14" s="36" t="s">
        <v>68</v>
      </c>
      <c r="G14" s="30" t="s">
        <v>74</v>
      </c>
    </row>
    <row r="15" spans="1:8" x14ac:dyDescent="0.25">
      <c r="B15" s="14" t="s">
        <v>65</v>
      </c>
      <c r="C15" s="36" t="s">
        <v>69</v>
      </c>
      <c r="G15" t="s">
        <v>57</v>
      </c>
      <c r="H15" s="33">
        <v>0.15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9908-B826-4785-B22C-1B07943BE5C2}">
  <dimension ref="B3:G27"/>
  <sheetViews>
    <sheetView topLeftCell="A6" workbookViewId="0">
      <selection activeCell="B27" sqref="B27"/>
    </sheetView>
  </sheetViews>
  <sheetFormatPr defaultRowHeight="15" x14ac:dyDescent="0.25"/>
  <cols>
    <col min="2" max="2" width="28.42578125" customWidth="1"/>
    <col min="3" max="3" width="25.85546875" customWidth="1"/>
    <col min="6" max="6" width="10.42578125" customWidth="1"/>
  </cols>
  <sheetData>
    <row r="3" spans="2:7" x14ac:dyDescent="0.25">
      <c r="C3" t="s">
        <v>75</v>
      </c>
    </row>
    <row r="6" spans="2:7" x14ac:dyDescent="0.25">
      <c r="C6" t="s">
        <v>76</v>
      </c>
    </row>
    <row r="11" spans="2:7" x14ac:dyDescent="0.25">
      <c r="B11" t="s">
        <v>58</v>
      </c>
      <c r="C11" s="29">
        <v>449000</v>
      </c>
    </row>
    <row r="12" spans="2:7" x14ac:dyDescent="0.25">
      <c r="B12" t="s">
        <v>77</v>
      </c>
      <c r="C12">
        <v>5</v>
      </c>
    </row>
    <row r="14" spans="2:7" x14ac:dyDescent="0.25">
      <c r="B14" t="s">
        <v>79</v>
      </c>
      <c r="C14">
        <v>1</v>
      </c>
      <c r="D14">
        <v>2</v>
      </c>
      <c r="E14">
        <v>3</v>
      </c>
      <c r="F14">
        <v>4</v>
      </c>
      <c r="G14">
        <v>5</v>
      </c>
    </row>
    <row r="15" spans="2:7" x14ac:dyDescent="0.25">
      <c r="B15" t="s">
        <v>78</v>
      </c>
      <c r="C15">
        <v>220064</v>
      </c>
      <c r="D15">
        <v>256024</v>
      </c>
      <c r="E15">
        <v>295680</v>
      </c>
      <c r="F15" t="s">
        <v>80</v>
      </c>
      <c r="G15" t="s">
        <v>81</v>
      </c>
    </row>
    <row r="16" spans="2:7" x14ac:dyDescent="0.25">
      <c r="B16" t="s">
        <v>82</v>
      </c>
      <c r="C16" s="3">
        <v>0.55000000000000004</v>
      </c>
    </row>
    <row r="17" spans="2:7" x14ac:dyDescent="0.25">
      <c r="C17">
        <f>C15/(1.55)</f>
        <v>141976.77419354839</v>
      </c>
      <c r="D17">
        <v>113788.44</v>
      </c>
      <c r="E17">
        <f>E15/POWER(1.55,E14)</f>
        <v>79401.161424591308</v>
      </c>
      <c r="F17" s="27">
        <v>66857.006999999998</v>
      </c>
      <c r="G17">
        <v>76873.320000000007</v>
      </c>
    </row>
    <row r="18" spans="2:7" x14ac:dyDescent="0.25">
      <c r="B18" t="s">
        <v>84</v>
      </c>
      <c r="C18">
        <f>SUM(C17:G17)</f>
        <v>478896.70261813968</v>
      </c>
    </row>
    <row r="19" spans="2:7" x14ac:dyDescent="0.25">
      <c r="C19" t="s">
        <v>83</v>
      </c>
    </row>
    <row r="21" spans="2:7" x14ac:dyDescent="0.25">
      <c r="B21" t="s">
        <v>82</v>
      </c>
      <c r="C21" s="3">
        <v>0.56999999999999995</v>
      </c>
    </row>
    <row r="22" spans="2:7" x14ac:dyDescent="0.25">
      <c r="B22" t="s">
        <v>84</v>
      </c>
      <c r="C22" s="29">
        <v>448000</v>
      </c>
    </row>
    <row r="24" spans="2:7" x14ac:dyDescent="0.25">
      <c r="B24" t="s">
        <v>85</v>
      </c>
      <c r="C24" t="s">
        <v>86</v>
      </c>
    </row>
    <row r="25" spans="2:7" x14ac:dyDescent="0.25">
      <c r="B25" t="s">
        <v>87</v>
      </c>
      <c r="C25" t="s">
        <v>88</v>
      </c>
    </row>
    <row r="26" spans="2:7" x14ac:dyDescent="0.25">
      <c r="B26" t="s">
        <v>89</v>
      </c>
    </row>
    <row r="27" spans="2:7" x14ac:dyDescent="0.25">
      <c r="B27" t="s">
        <v>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0EB48-78B9-4295-A654-6BEFD29F7D79}">
  <dimension ref="B6:G14"/>
  <sheetViews>
    <sheetView tabSelected="1" workbookViewId="0">
      <selection activeCell="C15" sqref="C15"/>
    </sheetView>
  </sheetViews>
  <sheetFormatPr defaultRowHeight="15" x14ac:dyDescent="0.25"/>
  <cols>
    <col min="2" max="2" width="25.5703125" customWidth="1"/>
  </cols>
  <sheetData>
    <row r="6" spans="2:7" x14ac:dyDescent="0.25">
      <c r="B6" t="s">
        <v>91</v>
      </c>
      <c r="C6" s="29">
        <v>449000</v>
      </c>
    </row>
    <row r="7" spans="2:7" x14ac:dyDescent="0.25">
      <c r="B7" t="s">
        <v>92</v>
      </c>
      <c r="C7">
        <v>5</v>
      </c>
    </row>
    <row r="8" spans="2:7" x14ac:dyDescent="0.25">
      <c r="B8" t="s">
        <v>57</v>
      </c>
      <c r="C8" t="s">
        <v>93</v>
      </c>
    </row>
    <row r="10" spans="2:7" x14ac:dyDescent="0.25">
      <c r="B10" t="s">
        <v>94</v>
      </c>
      <c r="C10">
        <v>1</v>
      </c>
      <c r="D10">
        <v>2</v>
      </c>
      <c r="E10">
        <v>3</v>
      </c>
      <c r="F10">
        <v>4</v>
      </c>
      <c r="G10">
        <v>5</v>
      </c>
    </row>
    <row r="11" spans="2:7" x14ac:dyDescent="0.25">
      <c r="B11" t="s">
        <v>49</v>
      </c>
      <c r="C11">
        <v>220064</v>
      </c>
      <c r="D11">
        <v>256024</v>
      </c>
      <c r="E11">
        <v>295680</v>
      </c>
      <c r="F11" t="s">
        <v>80</v>
      </c>
      <c r="G11" t="s">
        <v>81</v>
      </c>
    </row>
    <row r="13" spans="2:7" x14ac:dyDescent="0.25">
      <c r="B13" t="s">
        <v>96</v>
      </c>
      <c r="C13" s="38" t="s">
        <v>95</v>
      </c>
    </row>
    <row r="14" spans="2:7" x14ac:dyDescent="0.25">
      <c r="B14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 informations</vt:lpstr>
      <vt:lpstr>cash flow</vt:lpstr>
      <vt:lpstr>cash flow2</vt:lpstr>
      <vt:lpstr>WACC</vt:lpstr>
      <vt:lpstr>IRR</vt:lpstr>
      <vt:lpstr>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khalil khamassi</cp:lastModifiedBy>
  <dcterms:created xsi:type="dcterms:W3CDTF">2015-06-05T18:17:20Z</dcterms:created>
  <dcterms:modified xsi:type="dcterms:W3CDTF">2021-03-26T15:22:13Z</dcterms:modified>
</cp:coreProperties>
</file>