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HuntTB1\Desktop\"/>
    </mc:Choice>
  </mc:AlternateContent>
  <bookViews>
    <workbookView xWindow="0" yWindow="0" windowWidth="20490" windowHeight="7755" activeTab="3"/>
  </bookViews>
  <sheets>
    <sheet name="ISIC" sheetId="9" r:id="rId1"/>
    <sheet name="ext" sheetId="4" r:id="rId2"/>
    <sheet name="register_com" sheetId="6" r:id="rId3"/>
    <sheet name="customer_add" sheetId="21" r:id="rId4"/>
    <sheet name="loanform_add" sheetId="7" r:id="rId5"/>
    <sheet name="warrantoradd" sheetId="16" r:id="rId6"/>
    <sheet name="collateralAddLand" sheetId="17" r:id="rId7"/>
    <sheet name="collateralAddLandandBuilding" sheetId="18" r:id="rId8"/>
    <sheet name="collateralAddBuilding" sheetId="19" r:id="rId9"/>
    <sheet name="landProvince" sheetId="20" r:id="rId10"/>
  </sheets>
  <externalReferences>
    <externalReference r:id="rId11"/>
    <externalReference r:id="rId12"/>
    <externalReference r:id="rId13"/>
  </externalReferences>
  <definedNames>
    <definedName name="ccc" localSheetId="8">#REF!</definedName>
    <definedName name="ccc" localSheetId="6">#REF!</definedName>
    <definedName name="ccc" localSheetId="7">#REF!</definedName>
    <definedName name="ccc" localSheetId="3">#REF!</definedName>
    <definedName name="ccc" localSheetId="9">#REF!</definedName>
    <definedName name="ccc" localSheetId="5">#REF!</definedName>
    <definedName name="ccc">#REF!</definedName>
    <definedName name="Field" localSheetId="8">[1]!tbl_field[list_field]</definedName>
    <definedName name="Field" localSheetId="6">[1]!tbl_field[list_field]</definedName>
    <definedName name="Field" localSheetId="7">[1]!tbl_field[list_field]</definedName>
    <definedName name="Field" localSheetId="3">[2]!tbl_field[list_field]</definedName>
    <definedName name="Field" localSheetId="9">[1]!tbl_field[list_field]</definedName>
    <definedName name="Field" localSheetId="2">tbl_field[list_field]</definedName>
    <definedName name="Field" localSheetId="5">[1]!tbl_field[list_field]</definedName>
    <definedName name="Field">tbl_field[list_field]</definedName>
    <definedName name="FieldRef" localSheetId="8">[1]!tbl_fieldref[list_fieldref]</definedName>
    <definedName name="FieldRef" localSheetId="6">[1]!tbl_fieldref[list_fieldref]</definedName>
    <definedName name="FieldRef" localSheetId="7">[1]!tbl_fieldref[list_fieldref]</definedName>
    <definedName name="FieldRef" localSheetId="3">[2]!tbl_fieldref[list_fieldref]</definedName>
    <definedName name="FieldRef" localSheetId="9">[1]!tbl_fieldref[list_fieldref]</definedName>
    <definedName name="FieldRef" localSheetId="2">tbl_fieldref[list_fieldref]</definedName>
    <definedName name="FieldRef" localSheetId="5">[1]!tbl_fieldref[list_fieldref]</definedName>
    <definedName name="FieldRef">tbl_fieldref[list_fieldref]</definedName>
    <definedName name="sdasd" localSheetId="8">[1]!tbl_fieldref[list_fieldref]</definedName>
    <definedName name="sdasd" localSheetId="6">[1]!tbl_fieldref[list_fieldref]</definedName>
    <definedName name="sdasd" localSheetId="7">[1]!tbl_fieldref[list_fieldref]</definedName>
    <definedName name="sdasd" localSheetId="3">[2]!tbl_fieldref[list_fieldref]</definedName>
    <definedName name="sdasd" localSheetId="9">[1]!tbl_fieldref[list_fieldref]</definedName>
    <definedName name="sdasd" localSheetId="5">[1]!tbl_fieldref[list_fieldref]</definedName>
    <definedName name="sdasd">tbl_fieldref[list_fieldref]</definedName>
  </definedNames>
  <calcPr calcId="152511"/>
</workbook>
</file>

<file path=xl/calcChain.xml><?xml version="1.0" encoding="utf-8"?>
<calcChain xmlns="http://schemas.openxmlformats.org/spreadsheetml/2006/main">
  <c r="G131" i="21" l="1"/>
  <c r="G130" i="21"/>
  <c r="G129" i="21"/>
  <c r="F131" i="21"/>
  <c r="F130" i="21"/>
  <c r="F129" i="21"/>
  <c r="E143" i="21" l="1"/>
  <c r="E136" i="21"/>
  <c r="E135" i="21"/>
  <c r="E131" i="21"/>
  <c r="E130" i="21"/>
  <c r="E129" i="21"/>
  <c r="C131" i="21"/>
  <c r="C130" i="21"/>
  <c r="C129" i="21"/>
  <c r="E128" i="21"/>
  <c r="E53" i="21" l="1"/>
  <c r="E52" i="21"/>
  <c r="E47" i="21"/>
  <c r="E46" i="21"/>
  <c r="E45" i="21"/>
  <c r="C78" i="7" l="1"/>
  <c r="C76" i="7"/>
  <c r="C70" i="7"/>
  <c r="C68" i="7"/>
  <c r="E40" i="7"/>
  <c r="E89" i="7"/>
  <c r="E84" i="7"/>
  <c r="E81" i="7"/>
  <c r="E63" i="7"/>
  <c r="E58" i="7"/>
  <c r="I56" i="7"/>
  <c r="I55" i="7"/>
  <c r="I54" i="7"/>
  <c r="G56" i="7"/>
  <c r="G55" i="7"/>
  <c r="G54" i="7"/>
  <c r="F56" i="7"/>
  <c r="F55" i="7"/>
  <c r="F54" i="7"/>
  <c r="E56" i="7"/>
  <c r="E55" i="7"/>
  <c r="E54" i="7"/>
  <c r="C56" i="7"/>
  <c r="C55" i="7"/>
  <c r="C54" i="7"/>
  <c r="E53" i="7"/>
  <c r="E44" i="7"/>
  <c r="E43" i="7"/>
  <c r="E42" i="7"/>
  <c r="E35" i="7"/>
  <c r="E34" i="7"/>
  <c r="E6" i="21" l="1"/>
  <c r="E14" i="21"/>
  <c r="E16" i="21"/>
  <c r="E18" i="21"/>
  <c r="E32" i="21"/>
  <c r="E33" i="21"/>
  <c r="E4" i="19"/>
  <c r="E5" i="19"/>
  <c r="E7" i="19"/>
  <c r="E8" i="19"/>
  <c r="E10" i="19"/>
  <c r="E11" i="19"/>
  <c r="C12" i="19"/>
  <c r="E12" i="19"/>
  <c r="C13" i="19"/>
  <c r="E13" i="19"/>
  <c r="E4" i="18"/>
  <c r="E5" i="18"/>
  <c r="E7" i="18"/>
  <c r="E8" i="18"/>
  <c r="E10" i="18"/>
  <c r="E11" i="18"/>
  <c r="C12" i="18"/>
  <c r="E12" i="18"/>
  <c r="C13" i="18"/>
  <c r="E13" i="18"/>
  <c r="E4" i="17"/>
  <c r="E5" i="17"/>
  <c r="E7" i="17"/>
  <c r="E8" i="17"/>
  <c r="E10" i="17"/>
  <c r="E11" i="17"/>
  <c r="C12" i="17"/>
  <c r="E12" i="17"/>
  <c r="C13" i="17"/>
  <c r="E13" i="17"/>
  <c r="E3" i="16"/>
  <c r="E4" i="16"/>
  <c r="E5" i="16"/>
  <c r="E17" i="16"/>
  <c r="E15" i="6" l="1"/>
  <c r="E6" i="6" l="1"/>
  <c r="E9" i="6"/>
  <c r="E13" i="7" l="1"/>
  <c r="E14" i="7"/>
  <c r="E12" i="7"/>
  <c r="E17" i="7" l="1"/>
  <c r="E11" i="7"/>
  <c r="E10" i="7"/>
  <c r="E7" i="6"/>
</calcChain>
</file>

<file path=xl/comments1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sharedStrings.xml><?xml version="1.0" encoding="utf-8"?>
<sst xmlns="http://schemas.openxmlformats.org/spreadsheetml/2006/main" count="2824" uniqueCount="1005">
  <si>
    <t>111</t>
  </si>
  <si>
    <t>workflowCode</t>
  </si>
  <si>
    <t>newsSourceCode</t>
  </si>
  <si>
    <t>issuerPhoneMobile</t>
  </si>
  <si>
    <t>issuerPhoneOffice</t>
  </si>
  <si>
    <t>issuerPhoneOfficeExt</t>
  </si>
  <si>
    <t>CSM : สินเชื่อรายย่อย</t>
  </si>
  <si>
    <t>CSM</t>
  </si>
  <si>
    <t>06 : Event</t>
  </si>
  <si>
    <t>06</t>
  </si>
  <si>
    <t>0</t>
  </si>
  <si>
    <t>0812345678</t>
  </si>
  <si>
    <t>0212345678</t>
  </si>
  <si>
    <t>123</t>
  </si>
  <si>
    <t>Name</t>
  </si>
  <si>
    <t>Data</t>
  </si>
  <si>
    <t>Value</t>
  </si>
  <si>
    <t>Type</t>
  </si>
  <si>
    <t>1</t>
  </si>
  <si>
    <t>กลุ่มลูกค้าสินเชื่อ *</t>
  </si>
  <si>
    <t>FieldName</t>
  </si>
  <si>
    <t>ช่องทางการรับข่าวสาร</t>
  </si>
  <si>
    <t>เบอร์มือถือ</t>
  </si>
  <si>
    <t>เบอร์ที่ทำงาน</t>
  </si>
  <si>
    <t>ต่อ</t>
  </si>
  <si>
    <t>วันทีสมัครใช้บริการ</t>
  </si>
  <si>
    <t>requestedDate</t>
  </si>
  <si>
    <t>FieldName (optional)</t>
  </si>
  <si>
    <t>FieldNameType</t>
  </si>
  <si>
    <t>id</t>
  </si>
  <si>
    <t>name</t>
  </si>
  <si>
    <t>//*[@id="applicationForm"]/div[3]/div/div/div[2]/div[2]/input</t>
  </si>
  <si>
    <t>//*[@id="dropdownFixWidth"]/input</t>
  </si>
  <si>
    <t>Column1</t>
  </si>
  <si>
    <t>Index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</si>
  <si>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</si>
  <si>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</si>
  <si>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</si>
  <si>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</si>
  <si>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</si>
  <si>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</si>
  <si>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</si>
  <si>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</si>
  <si>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</si>
  <si>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</si>
  <si>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</si>
  <si>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HP : Hire Purchase</t>
  </si>
  <si>
    <t>GO2 : สินเชื่อภาครัฐ 2</t>
  </si>
  <si>
    <t>MC1 : สินเชื่อธุรกิจรายย่อย 1</t>
  </si>
  <si>
    <t>MC2 : สินเชื่อธุรกิจรายย่อย 2</t>
  </si>
  <si>
    <t>SM2 : สินเชื่อธุรกิจ SME ที่มีวงเงินรวม &lt;= 20 ล้านบาท</t>
  </si>
  <si>
    <t>HP</t>
  </si>
  <si>
    <t>GO2</t>
  </si>
  <si>
    <t>MC1</t>
  </si>
  <si>
    <t>MC2</t>
  </si>
  <si>
    <t>SM2</t>
  </si>
  <si>
    <t>Text</t>
  </si>
  <si>
    <t>Dropdown</t>
  </si>
  <si>
    <t>Date</t>
  </si>
  <si>
    <t>Radio</t>
  </si>
  <si>
    <t>xpath</t>
  </si>
  <si>
    <t>dd_Field</t>
  </si>
  <si>
    <t>dd_FieldRef</t>
  </si>
  <si>
    <t>list_field</t>
  </si>
  <si>
    <t>list_fieldref</t>
  </si>
  <si>
    <t>01 : โทรทัศน์</t>
  </si>
  <si>
    <t>02 : วิทยุ</t>
  </si>
  <si>
    <t>03 : หนังสือพิมพ์/แมกกาซีน</t>
  </si>
  <si>
    <t>04 : Internet/ E-mail</t>
  </si>
  <si>
    <t>05 : บุคคลแนะนำ</t>
  </si>
  <si>
    <t>07 : แผ่นปลิว/สื่อสิ่งพิมพ์/ป้ายโฆษณา</t>
  </si>
  <si>
    <t>01</t>
  </si>
  <si>
    <t>02</t>
  </si>
  <si>
    <t>03</t>
  </si>
  <si>
    <t>04</t>
  </si>
  <si>
    <t>05</t>
  </si>
  <si>
    <t>07</t>
  </si>
  <si>
    <t>NEWSM2 : New สินเชื่อธุรกิจ SME ที่มีวงเงินรวม &lt;= 20 ล้านบาท</t>
  </si>
  <si>
    <t>NEWSM2</t>
  </si>
  <si>
    <t>วัตถุประสงค์ของผู้ใช้งานระบบ *</t>
  </si>
  <si>
    <t>purposeLoanCode</t>
  </si>
  <si>
    <t>execute</t>
  </si>
  <si>
    <t>populatePurposeLoanByWorkFlow(this.value,'',true,false,'purposeLoanCode');getWorkflowGroup(this.value);</t>
  </si>
  <si>
    <t>//*[@id="purposeLoanCodeDiv"]/div[2]/input</t>
  </si>
  <si>
    <t>1 : เพื่อขอเปิดบัญชีสินเชื่อใหม่/เพิ่มวงเงิน</t>
  </si>
  <si>
    <t>2 : เพื่อขอเปลี่ยนแปลงเงื่อนไขวงเงินสินเชื่อเดิม</t>
  </si>
  <si>
    <t>3 : เพื่อขอทบทวนวงเงินสินเชื่อเดิมประจำปี</t>
  </si>
  <si>
    <t>หน่วยงานภายนอก *</t>
  </si>
  <si>
    <t>Omsub Sukkhee Enterprise</t>
  </si>
  <si>
    <t>หน่วยงานที่แนะนำลูกค้า</t>
  </si>
  <si>
    <t>adviserUnitType</t>
  </si>
  <si>
    <t>หน่วยงานภายใน</t>
  </si>
  <si>
    <t>hddAdviserPhoneMobile</t>
  </si>
  <si>
    <t>hddAdviserPhoneOffice</t>
  </si>
  <si>
    <t>hddAdviserPhoneOfficeExt</t>
  </si>
  <si>
    <t>hddcrmPhoneMobile</t>
  </si>
  <si>
    <t>hddcrmPhoneOffice</t>
  </si>
  <si>
    <t>hddcrmPhoneOfficeExt</t>
  </si>
  <si>
    <t>13</t>
  </si>
  <si>
    <t>14</t>
  </si>
  <si>
    <t>15</t>
  </si>
  <si>
    <t>adviserExternalUnit</t>
  </si>
  <si>
    <t>16</t>
  </si>
  <si>
    <t>ค้นหาข้อมูลลูกค้า</t>
  </si>
  <si>
    <t>วัตถุประสงค์การขอสินเชื่อ *</t>
  </si>
  <si>
    <t>creditPurposeLoan</t>
  </si>
  <si>
    <t>//*[@id="purposeLoanDiv"]/div[2]/input</t>
  </si>
  <si>
    <t>changePurposeLoanCode(this.value)</t>
  </si>
  <si>
    <t>กลุ่มผลิตภัณฑ์ *</t>
  </si>
  <si>
    <t>COM : Commercial Loans</t>
  </si>
  <si>
    <t>DDA : Demand Deposits</t>
  </si>
  <si>
    <t>COM</t>
  </si>
  <si>
    <t>DDA</t>
  </si>
  <si>
    <t>productGroupCode</t>
  </si>
  <si>
    <t>//*[@id="normalDiv"]/div[2]/input</t>
  </si>
  <si>
    <t>changeProductGroupCode(null,false)</t>
  </si>
  <si>
    <t>Product Type *</t>
  </si>
  <si>
    <t>//*[@id="showpanel"]/div[2]/input</t>
  </si>
  <si>
    <t>changeProductTypeCode(null)</t>
  </si>
  <si>
    <t>productTypeCode</t>
  </si>
  <si>
    <t>8011 : Commercial Commitment</t>
  </si>
  <si>
    <t>8100 : เงินกู้ที่มีกำหนดระยะเวลา</t>
  </si>
  <si>
    <t>8200 : ตั๋วสัญญาใช้เงิน</t>
  </si>
  <si>
    <t>8300 : ตั๋วแลกเงิน</t>
  </si>
  <si>
    <t>8400 : หนังสือค้ำประกัน</t>
  </si>
  <si>
    <t>8900 : สินเชื่อธุรกิจเพื่อสังคม</t>
  </si>
  <si>
    <t>Account Sub Type *</t>
  </si>
  <si>
    <t>//*[@id="showpanel"]/div[6]/input</t>
  </si>
  <si>
    <t>changeProductSubTypeCode(null)</t>
  </si>
  <si>
    <t>productSubTypeCode</t>
  </si>
  <si>
    <t>40001 : สินเชื่อธุรกิจทั่วไป</t>
  </si>
  <si>
    <t>40004 : สินเชื่อผู้ประกอบการธุรกิจท่องเที่ยว PSA</t>
  </si>
  <si>
    <t>Market Code *</t>
  </si>
  <si>
    <t>//*[@id="showpanel"]/div[8]/input</t>
  </si>
  <si>
    <t>changeMarketCodeCode(null)</t>
  </si>
  <si>
    <t>marketCodeCode</t>
  </si>
  <si>
    <t>1029 : โครงการให้สินเชื่อแก่เจ้าของยานยนต์ที่ใช้ก๊าชธรรมชาติ (NGV)</t>
  </si>
  <si>
    <t>1082 : สถาบันการศึกษา</t>
  </si>
  <si>
    <t>1084 : สินเชื่อธุรกิจทั่วไป</t>
  </si>
  <si>
    <t>1085 : โครงการสินเชื่อเพื่อซื้อทรัพย์สินรอการขายของธนาคารออมสิน (NPA)</t>
  </si>
  <si>
    <t>1123 : บสย. Portfolio (Portfolio Guarantee แบบปกติ)</t>
  </si>
  <si>
    <t>1124 : สำนักงานประกันสังคม เพื่อผู้ประกอบการฯ</t>
  </si>
  <si>
    <t>1134 : บสย. Portfolio (Portfolio Guarantee แบบ NPL)</t>
  </si>
  <si>
    <t>1135 : บสย. Portfolio (Portfolio Guarantee แบบไม่มีหลักประกัน)</t>
  </si>
  <si>
    <t>1155 : โครงการประกันสังคมเคียงข้างผู้ประกันตนต้านอุทกภัย วาตภัย หรือภัยพิบัติธรรมชาติ</t>
  </si>
  <si>
    <t>วงเงินกู้ *</t>
  </si>
  <si>
    <t>10,000,000.00</t>
  </si>
  <si>
    <t>creditLimit</t>
  </si>
  <si>
    <t>ระยะเวลาผ่อนชำระ</t>
  </si>
  <si>
    <t>term</t>
  </si>
  <si>
    <t>//*[@id="showpanel"]/div[15]/div[1]/input</t>
  </si>
  <si>
    <t>termUnit</t>
  </si>
  <si>
    <t>D : วัน</t>
  </si>
  <si>
    <t>M : เดือน</t>
  </si>
  <si>
    <t>Y : ปี</t>
  </si>
  <si>
    <t>D</t>
  </si>
  <si>
    <t>M</t>
  </si>
  <si>
    <t>Y</t>
  </si>
  <si>
    <t>ชื่อบัญชี 1 *</t>
  </si>
  <si>
    <t>รวมวงเงิน *</t>
  </si>
  <si>
    <t>17</t>
  </si>
  <si>
    <t>18</t>
  </si>
  <si>
    <t>19</t>
  </si>
  <si>
    <t>ระยะเวลาขอกู้</t>
  </si>
  <si>
    <t>อัตราดอกเบี้ย *</t>
  </si>
  <si>
    <t>//*[@id="creditTierList[0].creditTierInterestList[0].ddl"]/input</t>
  </si>
  <si>
    <t>creditTierList[0].creditTierInterestList[0].interestCodeRequest</t>
  </si>
  <si>
    <t>new_changeInterest(document.getElementById('creditTierList[0].creditTierInterestList[0].interestRateRequest'),this.value)</t>
  </si>
  <si>
    <t>LN0100 : MLR</t>
  </si>
  <si>
    <t>LN0200 : MOR</t>
  </si>
  <si>
    <t>LN0100</t>
  </si>
  <si>
    <t>LN0200</t>
  </si>
  <si>
    <t>ส่วนต่าง</t>
  </si>
  <si>
    <t>creditTierList[0].creditTierInterestList[0].signFlagRequest</t>
  </si>
  <si>
    <t>+</t>
  </si>
  <si>
    <t>-</t>
  </si>
  <si>
    <t>ส่วนต่าง %</t>
  </si>
  <si>
    <t>creditTierList[0].creditTierInterestList[0].spreadRequest</t>
  </si>
  <si>
    <t>0.00000</t>
  </si>
  <si>
    <t>20</t>
  </si>
  <si>
    <t>21</t>
  </si>
  <si>
    <t>22</t>
  </si>
  <si>
    <t>23</t>
  </si>
  <si>
    <t>24</t>
  </si>
  <si>
    <t>25</t>
  </si>
  <si>
    <t>ชื่อบัญชี 2</t>
  </si>
  <si>
    <t>ชื่อบัญชี 3</t>
  </si>
  <si>
    <t>ชื่อบัญชี 4</t>
  </si>
  <si>
    <t>Related Deposit</t>
  </si>
  <si>
    <t>ความถี่/ระยะเวลา (เดือนที่)</t>
  </si>
  <si>
    <t>Payment Calculation Method</t>
  </si>
  <si>
    <t>Payment Frequency</t>
  </si>
  <si>
    <t>กรณีวันที่ชำระตรงกับวันหยุด</t>
  </si>
  <si>
    <t>26</t>
  </si>
  <si>
    <t>27</t>
  </si>
  <si>
    <t>28</t>
  </si>
  <si>
    <t>ชำระทุกวันที่</t>
  </si>
  <si>
    <t>Grace Period เงินต้น</t>
  </si>
  <si>
    <t>Grace Period ดอกเบี้ย</t>
  </si>
  <si>
    <t>วันที่ประมาณการเบิกจ่าย</t>
  </si>
  <si>
    <t>First Payment Date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</si>
  <si>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</si>
  <si>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</si>
  <si>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</si>
  <si>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</si>
  <si>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</si>
  <si>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</si>
  <si>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</si>
  <si>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</si>
  <si>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</si>
  <si>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</si>
  <si>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</si>
  <si>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เงื่อนไขการชำระหนี้</t>
  </si>
  <si>
    <t>เงื่อนไขอื่นๆ</t>
  </si>
  <si>
    <t>Long Term Loan</t>
  </si>
  <si>
    <t>เงื่อนไขวงเงิน</t>
  </si>
  <si>
    <t>International Standard Industrial Classification</t>
  </si>
  <si>
    <t>FieldName (Dropdown)</t>
  </si>
  <si>
    <t>LN0201 : MRR</t>
  </si>
  <si>
    <t>LN0201</t>
  </si>
  <si>
    <t>012030 : เงินทุนหมุนเวียนเพื่อธุรกิจระหว่างประเทศ - การนำสินค้าเข้า</t>
  </si>
  <si>
    <t>iSiG Group</t>
  </si>
  <si>
    <t>ประเภทธุรกิจ 1 *</t>
  </si>
  <si>
    <t>Other Information</t>
  </si>
  <si>
    <t>SME Code</t>
  </si>
  <si>
    <t>Commit Line *</t>
  </si>
  <si>
    <t>หน่วยงานดูแลลูกค้า *</t>
  </si>
  <si>
    <t>สาขาเจ้าของบัญชี *</t>
  </si>
  <si>
    <t>พนักงานผู้ดูแลบัญชี</t>
  </si>
  <si>
    <t>Specialised Lending *</t>
  </si>
  <si>
    <t>รหัสโครงการ</t>
  </si>
  <si>
    <t>//*[@id="tabs-2"]/div[2]/div[9]/input</t>
  </si>
  <si>
    <t>changePCMAndDeleteSpecial(this.value,'paymentCalculationMethodCode')</t>
  </si>
  <si>
    <t>paymentCalculationMethodCode</t>
  </si>
  <si>
    <t>1 : P+I จ่ายเงินต้นคงที่ ดอกเบี้ยคงที่</t>
  </si>
  <si>
    <t>2 : P+I</t>
  </si>
  <si>
    <t>15 : P&amp;I</t>
  </si>
  <si>
    <t>paymentFrequencyTerm</t>
  </si>
  <si>
    <t>//*[@id="tabs-2"]/div[2]/div[13]/div/input</t>
  </si>
  <si>
    <t>changePayFreq();</t>
  </si>
  <si>
    <t>Q : ไตรมาส</t>
  </si>
  <si>
    <t>W : สัปดาห์</t>
  </si>
  <si>
    <t>Q</t>
  </si>
  <si>
    <t>W</t>
  </si>
  <si>
    <t>paymentFrequencyTermUnitCode</t>
  </si>
  <si>
    <t>กรณีวันที่ชำระตรงกับวันหยุด *</t>
  </si>
  <si>
    <t>paymentOnHolidayCaseCode</t>
  </si>
  <si>
    <t>P : Previous Business Date</t>
  </si>
  <si>
    <t>A : Actual Date</t>
  </si>
  <si>
    <t>N : Next Business Date</t>
  </si>
  <si>
    <t>P</t>
  </si>
  <si>
    <t>N</t>
  </si>
  <si>
    <t>A</t>
  </si>
  <si>
    <t>ชำระทุกวันที่ *</t>
  </si>
  <si>
    <t>E : ชำระทุกสิ้นเดือน</t>
  </si>
  <si>
    <t>1 : ชำระทุกวันที่ 1</t>
  </si>
  <si>
    <t>15 : ชำระทุกวันที่ 15</t>
  </si>
  <si>
    <t>31 : ชำระทุกวันที่ 31</t>
  </si>
  <si>
    <t>MICRO : Micro</t>
  </si>
  <si>
    <t>MICRO</t>
  </si>
  <si>
    <t>E</t>
  </si>
  <si>
    <t>paymentDateCode</t>
  </si>
  <si>
    <t>//*[@id="tabs-2"]/div[2]/div[15]/input</t>
  </si>
  <si>
    <t>//*[@id="paymentDate_normal"]/input</t>
  </si>
  <si>
    <t>การเกษตร</t>
  </si>
  <si>
    <t>การผลิต</t>
  </si>
  <si>
    <t>การค้า</t>
  </si>
  <si>
    <t>บริการ</t>
  </si>
  <si>
    <t>ก่อสร้างและอสังหาริมทรัพย์</t>
  </si>
  <si>
    <t>อื่นๆ</t>
  </si>
  <si>
    <t>Arrangement Purpose Code</t>
  </si>
  <si>
    <t>Arrangement Purpose Code *</t>
  </si>
  <si>
    <t>40</t>
  </si>
  <si>
    <t>41</t>
  </si>
  <si>
    <t>42</t>
  </si>
  <si>
    <t>43</t>
  </si>
  <si>
    <t>Personal Consumption</t>
  </si>
  <si>
    <t>GSB Purpose Code</t>
  </si>
  <si>
    <t>//*[@id="arrangementPurposeCodeDiv"]/div[3]/input</t>
  </si>
  <si>
    <t>changePurposeArrangement();</t>
  </si>
  <si>
    <t>purposeArrangementId</t>
  </si>
  <si>
    <t>012035 : เงินทุนหมุนเวียนเพื่อธุรกิจระหว่างประเทศ - การส่งสินค้าออก (รวม Re-export)</t>
  </si>
  <si>
    <t>012088 : การ Refinance</t>
  </si>
  <si>
    <t>012092 : การลงทุนในสินทรัพย์ถาวร - ที่ดินเปล่า</t>
  </si>
  <si>
    <t>012093 : การลงทุนในสินทรัพย์ถาวร - ที่ดิน และ/หรือ สิ่งปลูกสร้าง เพื่อการพัฒนา</t>
  </si>
  <si>
    <t>012097 : การลงทุนในสินทรัพย์ถาวร - เครื่องจักร และ อุปกรณ์</t>
  </si>
  <si>
    <t>012100 : การลงทุนในสินทรัพย์ถาวรอื่น ๆ</t>
  </si>
  <si>
    <t>012101 : การลงทุนในหลักทรัพย์</t>
  </si>
  <si>
    <t>012102 : การลงทุนอื่น ๆ</t>
  </si>
  <si>
    <t>012105 : เงินทุนหมุนเวียนเพื่อธุรกิจในประเทศ</t>
  </si>
  <si>
    <t>0 : Not Commit ธนาคารสามารถยกเลิกวงเงินเมื่อใดก็ได้</t>
  </si>
  <si>
    <t>1 : Commit ธนาคารต้องเตรียมเงินไว้ให้ลูกค้าเบิกใช้เสมอ</t>
  </si>
  <si>
    <t>//*[@id="notCOMandLTDiv1"]/div[4]/input</t>
  </si>
  <si>
    <t>commitLineCode</t>
  </si>
  <si>
    <t>//*[@id="notCOMandLTDiv2"]/div[2]/input</t>
  </si>
  <si>
    <t>01 : สินเชื่อโครงการ (Project finance)</t>
  </si>
  <si>
    <t>02 : สินเชื่อเพื่อจัดซื้อสังหาริมทรัพย์ขนาดใหญ่ (Object finance)</t>
  </si>
  <si>
    <t>03 : สินเชื่อเพื่อสินค้าโภคภัณฑ์ (Commodities finance)</t>
  </si>
  <si>
    <t>04 : สินเชื่อเพื่อพัฒนาอสังหาริมทรัพย์ที่ก่อรายได้ (Income-producing real estate: IPRE)</t>
  </si>
  <si>
    <t>05 : ไม่เข้าเงื่อนไข</t>
  </si>
  <si>
    <t>สถานะการเรียกเก็บ</t>
  </si>
  <si>
    <t>สถานะการเรียกเก็บ *</t>
  </si>
  <si>
    <t>specialisedLendingCode</t>
  </si>
  <si>
    <t>//*[@id="paymentMethodCodeDiv"]/div[3]/input</t>
  </si>
  <si>
    <t>paymentMethodCode</t>
  </si>
  <si>
    <t>1 : ชำระผ่านหน่วยงาน</t>
  </si>
  <si>
    <t>2 : ชำระโดยการหักบัญชีเงินฝากอัตโนมัติ</t>
  </si>
  <si>
    <t>3 : ชำระผ่านบัญชีเงินเดือนพนักงานธนาคารออมสิน</t>
  </si>
  <si>
    <t>4 : จ่ายตรงเงินเดือน</t>
  </si>
  <si>
    <t>5 : ชำระผ่านบัญชีเงินเดือนบุคคลภายนอก</t>
  </si>
  <si>
    <t>0 : ชำระด้วยตนเอง</t>
  </si>
  <si>
    <t>หน่วยงานเรียกเก็บ</t>
  </si>
  <si>
    <t>หน่วยงาน (MOU)</t>
  </si>
  <si>
    <t>Payment Source Account</t>
  </si>
  <si>
    <t>44</t>
  </si>
  <si>
    <t>45</t>
  </si>
  <si>
    <t>46</t>
  </si>
  <si>
    <t>หน่วยงาน</t>
  </si>
  <si>
    <t>47</t>
  </si>
  <si>
    <t>48</t>
  </si>
  <si>
    <t>49</t>
  </si>
  <si>
    <t>50</t>
  </si>
  <si>
    <t>51</t>
  </si>
  <si>
    <t>ประเภทหน่วยงาน</t>
  </si>
  <si>
    <t>กระทรวง/บริษัท</t>
  </si>
  <si>
    <t>กรม/สังกัดหน่วยงาน/บริษัทในเครือ</t>
  </si>
  <si>
    <t>ชื่อหน่วยงาน/สาขา</t>
  </si>
  <si>
    <t>ข้อมูลผู้ขาย/ผู้แนะนำ</t>
  </si>
  <si>
    <t>หน่วยงานที่ดูแลลูกค้า</t>
  </si>
  <si>
    <t>A02 : การป่าไม้และการทำไม้</t>
  </si>
  <si>
    <t>//*[@id="internationalStandardIndustrialClassificationDiv"]/div[3]/input</t>
  </si>
  <si>
    <t>isic1Id</t>
  </si>
  <si>
    <t>Tag</t>
  </si>
  <si>
    <t>Xpath</t>
  </si>
  <si>
    <t>Execute</t>
  </si>
  <si>
    <t xml:space="preserve">populateIsic2(this.value,'' ,'isic2Id','isic3Id'); </t>
  </si>
  <si>
    <t>2 : การทำไม้</t>
  </si>
  <si>
    <t>isic2Id</t>
  </si>
  <si>
    <t>199</t>
  </si>
  <si>
    <t xml:space="preserve">populateIsic3(this.value,'' ,'isic3Id'); </t>
  </si>
  <si>
    <t>FieldNameType2</t>
  </si>
  <si>
    <t>FieldName2</t>
  </si>
  <si>
    <t>Value2</t>
  </si>
  <si>
    <t>Xpath2</t>
  </si>
  <si>
    <t>Execute2</t>
  </si>
  <si>
    <t>Value3</t>
  </si>
  <si>
    <t>//*[@id="internationalStandardIndustrialClassificationDiv"]/div[5]/input</t>
  </si>
  <si>
    <t>Data2</t>
  </si>
  <si>
    <t>Execute3</t>
  </si>
  <si>
    <t>Data3</t>
  </si>
  <si>
    <t>FieldNameType3</t>
  </si>
  <si>
    <t>FieldName3</t>
  </si>
  <si>
    <t>Xpath3</t>
  </si>
  <si>
    <t>000 : การทำไม้</t>
  </si>
  <si>
    <t>isic3Id</t>
  </si>
  <si>
    <t>1407</t>
  </si>
  <si>
    <t>//*[@id="internationalStandardIndustrialClassificationDiv"]/div[7]/input</t>
  </si>
  <si>
    <t>C10 : การผลิตผลิตภัณฑ์อาหาร</t>
  </si>
  <si>
    <t>1 : การแปรรูปและการถนอมเนื้อสัตว์</t>
  </si>
  <si>
    <t>110 : การฆ่าสัตว์ (ยกเว้นสัตว์ปีก)</t>
  </si>
  <si>
    <t>384</t>
  </si>
  <si>
    <t>null</t>
  </si>
  <si>
    <t>ผู้สร้างใบคำขอสินเชื่อ</t>
  </si>
  <si>
    <t>default</t>
  </si>
  <si>
    <t>เพิ่มคำขอสินเชื่อ</t>
  </si>
  <si>
    <t>52</t>
  </si>
  <si>
    <t>53</t>
  </si>
  <si>
    <t>54</t>
  </si>
  <si>
    <t>55</t>
  </si>
  <si>
    <t>G46 : การขายส่ง (ยกเว้นยานยนต์และจักรยานยนต์)</t>
  </si>
  <si>
    <t>67</t>
  </si>
  <si>
    <t>ISIC</t>
  </si>
  <si>
    <t>9 : การขายส่งสินค้าทั่วไป</t>
  </si>
  <si>
    <t>284</t>
  </si>
  <si>
    <t>000 : การขายส่งสินค้าทั่วไป</t>
  </si>
  <si>
    <t>1281</t>
  </si>
  <si>
    <t>I55 : ที่พักแรม</t>
  </si>
  <si>
    <t>1 : ที่พักแรมระยะสั้น</t>
  </si>
  <si>
    <t>010 : โรงแรมและรีสอร์ท</t>
  </si>
  <si>
    <t>626</t>
  </si>
  <si>
    <t>260</t>
  </si>
  <si>
    <t>96</t>
  </si>
  <si>
    <t>L68 : กิจกรรมอสังหาริมทรัพย์</t>
  </si>
  <si>
    <t>69</t>
  </si>
  <si>
    <t>1 : กิจกรรมอสังหาริมทรัพย์ที่เป็นของตนเองหรือเช่าจากผู้อื่น</t>
  </si>
  <si>
    <t>171</t>
  </si>
  <si>
    <t>091 : ธุรกิจสนามกอล์ฟ</t>
  </si>
  <si>
    <t>1333</t>
  </si>
  <si>
    <t>P85 : การศึกษา</t>
  </si>
  <si>
    <t>80</t>
  </si>
  <si>
    <t>3 : การศึกษาระดับอุดมศึกษา</t>
  </si>
  <si>
    <t>373</t>
  </si>
  <si>
    <t>030 : การศึกษาระดับปริญญาโทขึ้นไป</t>
  </si>
  <si>
    <t>491</t>
  </si>
  <si>
    <t>ประเภทธุรกิจ 2 *</t>
  </si>
  <si>
    <t>ประเภทธุรกิจ 3 *</t>
  </si>
  <si>
    <t>false</t>
  </si>
  <si>
    <t>true</t>
  </si>
  <si>
    <t>Column2</t>
  </si>
  <si>
    <t>dropdown</t>
  </si>
  <si>
    <t>date</t>
  </si>
  <si>
    <t>radio</t>
  </si>
  <si>
    <t>button</t>
  </si>
  <si>
    <t>text</t>
  </si>
  <si>
    <t>run</t>
  </si>
  <si>
    <t>dd_run</t>
  </si>
  <si>
    <t>ลงทะเบียน</t>
  </si>
  <si>
    <t>linktext</t>
  </si>
  <si>
    <t>คลิก บันทึก</t>
  </si>
  <si>
    <t>บันทึก</t>
  </si>
  <si>
    <t>//*[@id="applicationForm"]/div[3]/div/div/div[26]/button[1]</t>
  </si>
  <si>
    <t>Run</t>
  </si>
  <si>
    <t>alert</t>
  </si>
  <si>
    <t>90000 : หน่วยงานอื่น ๆ</t>
  </si>
  <si>
    <t>80000 : หน่วยงานเอกชน</t>
  </si>
  <si>
    <t>60000 : สภากาชาดไทย</t>
  </si>
  <si>
    <t>50000 : หน่วยงานรัฐวิสาหกิจ</t>
  </si>
  <si>
    <t>00000 : หน่วยงานราชการ</t>
  </si>
  <si>
    <t>unitName</t>
  </si>
  <si>
    <t>//*[@id="unitDiv"]/div[10]/input</t>
  </si>
  <si>
    <t>ministry3Id</t>
  </si>
  <si>
    <t>//*[@id="unitDiv"]/div[7]/input</t>
  </si>
  <si>
    <t>ministry2Id</t>
  </si>
  <si>
    <t>//*[@id="unitDiv"]/div[4]/input</t>
  </si>
  <si>
    <t>ministry1Id</t>
  </si>
  <si>
    <t>pmsAccountNo</t>
  </si>
  <si>
    <t>mouUnitCode-full</t>
  </si>
  <si>
    <t>agentCode-full</t>
  </si>
  <si>
    <t>projectFinanceDesc</t>
  </si>
  <si>
    <t>accOfficer</t>
  </si>
  <si>
    <t>//*[@id="notCOMandLTDiv1"]/div[2]/input</t>
  </si>
  <si>
    <t>smeCode</t>
  </si>
  <si>
    <t>//*[@id="arrangementPurposeCodeDiv"]/div[9]/input</t>
  </si>
  <si>
    <t>purposeGsbCode</t>
  </si>
  <si>
    <t>//*[@id="arrangementPurposeCodeDiv"]/div[6]/input</t>
  </si>
  <si>
    <t>personalConsumptionId</t>
  </si>
  <si>
    <t>conditionOther</t>
  </si>
  <si>
    <t>conditionPayment</t>
  </si>
  <si>
    <t>firstPaymentDt</t>
  </si>
  <si>
    <t>disbursementDt</t>
  </si>
  <si>
    <t>gracePeriodInterest</t>
  </si>
  <si>
    <t>gracePeriodPrinciple</t>
  </si>
  <si>
    <t>creditTierList[0].creditTierInterestList[0].monthEnd</t>
  </si>
  <si>
    <t>creditTierList[0].creditTierInterestList[0].monthStart</t>
  </si>
  <si>
    <t>relatedDeposit</t>
  </si>
  <si>
    <t>//*[@id="tabs-2"]/div[2]/div[4]/table/tbody/tr[2]/td/div[2]/input</t>
  </si>
  <si>
    <t>loanTermUnitCode</t>
  </si>
  <si>
    <t>termUnitCode</t>
  </si>
  <si>
    <t>//*[@id="tabs-2"]/div[2]/div[4]/table/tbody/tr[1]/td/div[2]/input</t>
  </si>
  <si>
    <t>loanTerm</t>
  </si>
  <si>
    <t>accountName4</t>
  </si>
  <si>
    <t>accountName3</t>
  </si>
  <si>
    <t>accountName2</t>
  </si>
  <si>
    <t>accountName1</t>
  </si>
  <si>
    <t>99</t>
  </si>
  <si>
    <t>99 : อื่น ๆ</t>
  </si>
  <si>
    <t>09</t>
  </si>
  <si>
    <t>09 : เซ้ง</t>
  </si>
  <si>
    <t>08</t>
  </si>
  <si>
    <t>08 : เช่าซื้อ</t>
  </si>
  <si>
    <t>07 : เช่าอยู่อาศัย</t>
  </si>
  <si>
    <t>06 : อาศัยอยู่กับนายจ้าง</t>
  </si>
  <si>
    <t>05 : อาศัยอยู่กับผู้อื่น</t>
  </si>
  <si>
    <t>มูลค่า</t>
  </si>
  <si>
    <t>04 : อาศัยอยู่กับคนในครอบครัว</t>
  </si>
  <si>
    <t>ธนาคาร</t>
  </si>
  <si>
    <t>03 : บ้านพักสวัสดิการ</t>
  </si>
  <si>
    <t>02 : เป็นของตนเอง / คู่สมรส - อยู่ระหว่างการผ่อนชำระ</t>
  </si>
  <si>
    <t>เลขที่บัญชีเงินฝาก</t>
  </si>
  <si>
    <t>01 : เป็นของตนเอง / คู่สมรส - ปลอดภาระผูกพัน</t>
  </si>
  <si>
    <t>สถานะที่พักอาศัย *</t>
  </si>
  <si>
    <t>99 : อื่นๆ</t>
  </si>
  <si>
    <t>07 : TEST SYNC HOME</t>
  </si>
  <si>
    <t>06 : สำนักงานในบ้าน (โฮมออฟฟิศ)</t>
  </si>
  <si>
    <t>สมุดเงินฝาก</t>
  </si>
  <si>
    <t>05 : ห้องภายในบ้าน / ห้องเช่า</t>
  </si>
  <si>
    <t>04 : ห้องชุด / อพาร์ทเม้นท์ / แฟลต / คอนโดมิเนียม</t>
  </si>
  <si>
    <t>พันธบัตรออมสิน</t>
  </si>
  <si>
    <t>03 : อาคารพาณิชย์ / ตึกแถว / ห้องแถว / เรือนแถว</t>
  </si>
  <si>
    <t>02 : ทาวน์เฮ้าส์ / บ้านแฝด</t>
  </si>
  <si>
    <t>อสังหาริมทรัพย์</t>
  </si>
  <si>
    <t>01 : บ้านเดี่ยว</t>
  </si>
  <si>
    <t>ประเภทที่พักอาศัย *</t>
  </si>
  <si>
    <t>สลากออมสิน</t>
  </si>
  <si>
    <t>07 : ญาติ</t>
  </si>
  <si>
    <t>กรมธรรม์ประกันชีวิต</t>
  </si>
  <si>
    <t>06 : บุคคลอื่น เช่น เพื่อน</t>
  </si>
  <si>
    <t>05 : บิดา/มารดา</t>
  </si>
  <si>
    <t>รถยนต์</t>
  </si>
  <si>
    <t>04 : พี่น้อง</t>
  </si>
  <si>
    <t>ภาษีคู่สมรส</t>
  </si>
  <si>
    <t>03 : บุตร</t>
  </si>
  <si>
    <t>เงินเดือน/รายได้คู่สมรส</t>
  </si>
  <si>
    <t>02 : คู่สมรส</t>
  </si>
  <si>
    <t>งานพิเศษ</t>
  </si>
  <si>
    <t>01 : ไม่มีผู้กู้ร่วม/ไม่มีผู้ค้ำประกัน</t>
  </si>
  <si>
    <t>workAllExpYear</t>
  </si>
  <si>
    <t>อายุงานรวม (เดือน)</t>
  </si>
  <si>
    <t>ความสัมพันธ์ของผู้ค้ำประกันกับผู้กู้หลัก *</t>
  </si>
  <si>
    <t>อายุงานรวม (ปี)</t>
  </si>
  <si>
    <t>workCurExpMonth</t>
  </si>
  <si>
    <t>อายุงานปัจจุบัน (เดือน)</t>
  </si>
  <si>
    <t>workCurExpYear</t>
  </si>
  <si>
    <t>อายุงานปัจจุบัน (ปี)</t>
  </si>
  <si>
    <t>houseOwnershipCode</t>
  </si>
  <si>
    <t>สถานะที่พักอาศัย</t>
  </si>
  <si>
    <t>houseTypeCode</t>
  </si>
  <si>
    <t>ประเภทที่พักอาศัย</t>
  </si>
  <si>
    <t>curAddrMonth</t>
  </si>
  <si>
    <t>ระยะเวลาที่อาศัยในที่อยู่ปัจจุบัน (เดือน)</t>
  </si>
  <si>
    <t>curAddrYear</t>
  </si>
  <si>
    <t>ระยะเวลาที่อาศัยในที่อยู่ปัจจุบัน (ปี)</t>
  </si>
  <si>
    <t>childCountWork</t>
  </si>
  <si>
    <t>จำนวนบุตรที่ทำงานแล้ว</t>
  </si>
  <si>
    <t>childCountAll</t>
  </si>
  <si>
    <t>จำนวนบุตรทั้งหมด</t>
  </si>
  <si>
    <t>ความสัมพันธ์ของผู้กู้ร่วมที่มีต่อการกู้ *</t>
  </si>
  <si>
    <t>garantorRelatedTypeCode</t>
  </si>
  <si>
    <t>ความสัมพันธ์ของผู้ค้ำประกันกับผู้กู้หลัก</t>
  </si>
  <si>
    <t>coborrowerRelatedTypeCode</t>
  </si>
  <si>
    <t>ความสัมพันธ์ของผู้กู้ร่วมที่มีต่อการกู้</t>
  </si>
  <si>
    <t>4 : รายได้อื่นๆ</t>
  </si>
  <si>
    <t>incomeSourceCode</t>
  </si>
  <si>
    <t>1 : เงินเดือน</t>
  </si>
  <si>
    <t>แหล่งที่มาของรายได้</t>
  </si>
  <si>
    <t>2 : รายได้จากการประกอบอาชีพ</t>
  </si>
  <si>
    <t>ระยะเวลาในการเป็นลูกค้า (เดือน)</t>
  </si>
  <si>
    <t>custPeriodYear</t>
  </si>
  <si>
    <t>ระยะเวลาในการเป็นลูกค้า (ปี)</t>
  </si>
  <si>
    <t>แหล่งที่มาของรายได้ *</t>
  </si>
  <si>
    <t>กลุ่มลูกค้า</t>
  </si>
  <si>
    <t>extIncomeTotal</t>
  </si>
  <si>
    <t>รวมเงินได้อื่น ๆ</t>
  </si>
  <si>
    <t>ระบุรายละเอียด</t>
  </si>
  <si>
    <t>รายได้เสริมสุทธิ (ไม่มีต้นทุน)</t>
  </si>
  <si>
    <t>เงินปันผล/ดอกเบี้ยรับ</t>
  </si>
  <si>
    <t>โบนัส</t>
  </si>
  <si>
    <t>ค่า OT / ค่าเบี้ยขยัน</t>
  </si>
  <si>
    <t>ค่า Commission</t>
  </si>
  <si>
    <t>2. เงินได้อื่น ๆ ที่มีหลักฐาน</t>
  </si>
  <si>
    <t>regIncomeTotal</t>
  </si>
  <si>
    <t>รวมรายได้ประจำทั้งสิ้น (1.1 + 1.2) *</t>
  </si>
  <si>
    <t>ค่าวิชาชีพ/วิทยฐานะ</t>
  </si>
  <si>
    <t>ค่าพาหนะ /ค่าน้ำมัน</t>
  </si>
  <si>
    <t>ค่าครองชีพ/ค่าอาหาร /ค่าช่วยเหลือบุตร</t>
  </si>
  <si>
    <t>ค่ารับรอง</t>
  </si>
  <si>
    <t>เงินเบิกค่าเช่าบ้าน</t>
  </si>
  <si>
    <t>เงินประจำตำแหน่ง</t>
  </si>
  <si>
    <t>1.2  เงินได้ประจำอื่น ๆ</t>
  </si>
  <si>
    <t>regSalaryNet</t>
  </si>
  <si>
    <t>รายได้สุทธิจากเงินเดือน</t>
  </si>
  <si>
    <t>regChorOrSor</t>
  </si>
  <si>
    <t>500</t>
  </si>
  <si>
    <t>ฌอส.</t>
  </si>
  <si>
    <t>regCooperativeShare</t>
  </si>
  <si>
    <t>1000</t>
  </si>
  <si>
    <t>ค่าหุ้นสหกรณ์</t>
  </si>
  <si>
    <t>regProvidentFund</t>
  </si>
  <si>
    <t>กองทุนสำรองเลี้ยงชีพ</t>
  </si>
  <si>
    <t>regSocialSecurity</t>
  </si>
  <si>
    <t>750</t>
  </si>
  <si>
    <t>ค่าประกันสังคม</t>
  </si>
  <si>
    <t>regTax</t>
  </si>
  <si>
    <t>ค่าภาษี</t>
  </si>
  <si>
    <t>หัก รายการที่ไม่ใช่ภาระหนี้</t>
  </si>
  <si>
    <t>regSalary</t>
  </si>
  <si>
    <t>อัตราเงินเดือน</t>
  </si>
  <si>
    <t>1.1 รายได้สุทธิจากเงินเดือน</t>
  </si>
  <si>
    <t>workExpMonth</t>
  </si>
  <si>
    <t>อายุงานในปัจจุบัน(กรณีเงินเดือน) (เดือน)</t>
  </si>
  <si>
    <t>workExpYear</t>
  </si>
  <si>
    <t>อายุงานในปัจจุบัน(กรณีเงินเดือน) (ปี)</t>
  </si>
  <si>
    <t>companyEmployeeCount</t>
  </si>
  <si>
    <t>1. รายได้ประจำ</t>
  </si>
  <si>
    <t>รวมค่าใช้จ่าย</t>
  </si>
  <si>
    <t>ค่าใช้จ่ายอื่นๆ</t>
  </si>
  <si>
    <t>ต้องการกรอกค่าใช้จ่ายซื้อสินค้าและบริการเป็นเปอร์เซ็นต์</t>
  </si>
  <si>
    <t>07 : ผลิตสินค้าที่บ้าน</t>
  </si>
  <si>
    <t>ค่าใช้จ่าย</t>
  </si>
  <si>
    <t>06 : รถเข็น/หาบเร่</t>
  </si>
  <si>
    <t>05 : รถยนต์/มอเตอร์ไซค์รับจ้าง</t>
  </si>
  <si>
    <t>04 : รถยนต์เร่/มอเตอร์ไซค์เร่</t>
  </si>
  <si>
    <t>03 : แผงลอย</t>
  </si>
  <si>
    <t>02 : แผงถาวร</t>
  </si>
  <si>
    <t>01 : ร้านค้า</t>
  </si>
  <si>
    <t>ลักษณะสถานที่ประกอบการ</t>
  </si>
  <si>
    <t>00</t>
  </si>
  <si>
    <t>00 : ไม่มีลักษณะสถานที่ประกอบการ</t>
  </si>
  <si>
    <t>02 : เป็นเจ้าของ</t>
  </si>
  <si>
    <t>กรรมสิทธิ์ในสถานที่ประกอบการ</t>
  </si>
  <si>
    <t>05 : สิทธิการเช่า</t>
  </si>
  <si>
    <t>04 : เช่าซื้อ</t>
  </si>
  <si>
    <t>03 : เช่า</t>
  </si>
  <si>
    <t>01 : ไม่มีกรรมสิทธิ์ในสถานที่ประกอบการ</t>
  </si>
  <si>
    <t>expentTotal</t>
  </si>
  <si>
    <t>expenseOtherDetail</t>
  </si>
  <si>
    <t>expenseOtherValue</t>
  </si>
  <si>
    <t>expenseHousing</t>
  </si>
  <si>
    <t>ค่าใช้จ่ายที่พักอาศัย</t>
  </si>
  <si>
    <t>expenseConsumer</t>
  </si>
  <si>
    <t>20000</t>
  </si>
  <si>
    <t>ค่าใช้จ่ายอุปโภคบริโภค</t>
  </si>
  <si>
    <t>ค่าใช้จ่ายทั่วไป</t>
  </si>
  <si>
    <t>nonNcbComment</t>
  </si>
  <si>
    <t>ความเห็นเพิ่มเติม</t>
  </si>
  <si>
    <t>refinOriginalDebtRelief</t>
  </si>
  <si>
    <t>ภาระการผ่อนหนี้เดิม</t>
  </si>
  <si>
    <t>กรณีคำขอครั้งนี้เป็นการ Refinance</t>
  </si>
  <si>
    <t>unreportedDebtTotal</t>
  </si>
  <si>
    <t>รวมภาระหนี้สินทั้งหมด</t>
  </si>
  <si>
    <t>nonNcbReportedDt</t>
  </si>
  <si>
    <t>วันที่ของข้อมูล</t>
  </si>
  <si>
    <t>หนี้สินที่ไม่ได้รายงานต่อ NCB</t>
  </si>
  <si>
    <t>1stCustomers</t>
  </si>
  <si>
    <t>ลำดับที่</t>
  </si>
  <si>
    <t>C</t>
  </si>
  <si>
    <t>ผู้ขอสินเชื่อร่วม</t>
  </si>
  <si>
    <t>B</t>
  </si>
  <si>
    <t>ผู้ขอสินเชื่อหลัก</t>
  </si>
  <si>
    <t>ประเภทผู้ขอสินเชื่อ</t>
  </si>
  <si>
    <t>CIF No.</t>
  </si>
  <si>
    <t>หมายเลขผู้เสียภาษี</t>
  </si>
  <si>
    <t>หมายเลขทะเบียนการค้า</t>
  </si>
  <si>
    <t>หมายเลขหนังสือเดินทาง</t>
  </si>
  <si>
    <t>หมายเลขบัตรประจำตัวประชาชน</t>
  </si>
  <si>
    <t>ชื่อนิติบุคคลภาษาอังกฤษ</t>
  </si>
  <si>
    <t>ชื่อนิติบุคคลภาษาไทย</t>
  </si>
  <si>
    <t>selectedCIF</t>
  </si>
  <si>
    <t>ชื่อภาษาอังกฤษ</t>
  </si>
  <si>
    <t>filterCIFNo</t>
  </si>
  <si>
    <t>ชื่อภาษาไทย</t>
  </si>
  <si>
    <t>คำค้น (Search Parameter)</t>
  </si>
  <si>
    <t>นิติบุคคล หรือ อื่นๆ</t>
  </si>
  <si>
    <t>บุคคลธรรมดา</t>
  </si>
  <si>
    <t>ประเภทลูกค้า</t>
  </si>
  <si>
    <t>เพิ่มใหม่</t>
  </si>
  <si>
    <t>ค้นหาจากในระบบ </t>
  </si>
  <si>
    <t>searchType</t>
  </si>
  <si>
    <t>ไม่ต้องตรวจสอบข้อมูล NCB</t>
  </si>
  <si>
    <t>clientType</t>
  </si>
  <si>
    <t>ต้องตรวจสอบข้อมูล NCB</t>
  </si>
  <si>
    <t>addClientFlag</t>
  </si>
  <si>
    <t>การตรวจสอบ NCB</t>
  </si>
  <si>
    <t>TH : ไทย</t>
  </si>
  <si>
    <t>ประเทศ *</t>
  </si>
  <si>
    <t>5 : นส.3ข</t>
  </si>
  <si>
    <t>doSubmit('initAddNewSubCollateral')</t>
  </si>
  <si>
    <t>//*[@id="addNewCollateral"]/div[51]/button[1]</t>
  </si>
  <si>
    <t>Button</t>
  </si>
  <si>
    <t>4 : นส.3</t>
  </si>
  <si>
    <t>//*[@id="addLandSubDistrictIdDiv"]/div[2]/input</t>
  </si>
  <si>
    <t>addLandSubDistrictId</t>
  </si>
  <si>
    <t>ตำบล/แขวง *</t>
  </si>
  <si>
    <t>3 : ตราจอง</t>
  </si>
  <si>
    <t>populateLandSubDistrict(this.value,'',true ,'addLandSubDistrictId');</t>
  </si>
  <si>
    <t>//*[@id="addLandDistrictIdDiv"]/div[2]/input</t>
  </si>
  <si>
    <t>addLandDistrictId</t>
  </si>
  <si>
    <t>อำเภอ/เขต *</t>
  </si>
  <si>
    <t>2 : นส.3ก</t>
  </si>
  <si>
    <t>populateLandDistrict(this.value,'',true ,'addLandDistrictId','addLandSubDistrictId');</t>
  </si>
  <si>
    <t>//*[@id="addLandProvinceIdDiv"]/div[2]/input</t>
  </si>
  <si>
    <t>addLandProvinceId</t>
  </si>
  <si>
    <t>050 : เชียงใหม่</t>
  </si>
  <si>
    <t>จังหวัด *</t>
  </si>
  <si>
    <t>1 : โฉนด</t>
  </si>
  <si>
    <t xml:space="preserve">populateLandProvince(this.value,'',true ,'addLandProvinceId','addLandDistrictId','addLandSubDistrictId'); </t>
  </si>
  <si>
    <t>//*[@id="addLandCountryIdDiv"]/div[2]/input</t>
  </si>
  <si>
    <t>addLandCountryId</t>
  </si>
  <si>
    <t>หลักประกันย่อย *</t>
  </si>
  <si>
    <t>addLandChanote</t>
  </si>
  <si>
    <t>เลขที่เอกสารสิทธิ์ *</t>
  </si>
  <si>
    <t>showHideDivByCollSubType('add')</t>
  </si>
  <si>
    <t>//*[@id="addCollSubTypeIdDiv"]/div[2]/input</t>
  </si>
  <si>
    <t>addCollSubTypeId</t>
  </si>
  <si>
    <t>1 : ที่ดิน</t>
  </si>
  <si>
    <t>changeCollType('add')</t>
  </si>
  <si>
    <t>//*[@id="addCollTypeIdDiv"]/div[2]/input</t>
  </si>
  <si>
    <t>addCollTypeId</t>
  </si>
  <si>
    <t>ประเภทหลักประกันหลัก *</t>
  </si>
  <si>
    <t>autofill(this.value);</t>
  </si>
  <si>
    <t>addCollateralFlag</t>
  </si>
  <si>
    <t>เพิ่มหลักประกัน</t>
  </si>
  <si>
    <t>addCollateralBtn</t>
  </si>
  <si>
    <t>คลิก เพิ่ม</t>
  </si>
  <si>
    <t xml:space="preserve">ค้นหาจากในระบบ </t>
  </si>
  <si>
    <t>addBldCountConstructBuilding</t>
  </si>
  <si>
    <t>จำนวนสิ่งปลูกสร้างที่ยังสร้างไม่เสร็จ *</t>
  </si>
  <si>
    <t>addBldCountConStructBuildingCheckFlg</t>
  </si>
  <si>
    <t xml:space="preserve">สิ่งปลูกสร้างที่ยังสร้างไม่เสร็จ หรือ สร้างเสร็จแล้วแต่ยังไม่มีเลขที่ </t>
  </si>
  <si>
    <t>addNoOfBldBuilding</t>
  </si>
  <si>
    <t>อาคารที่/หลังที่ *</t>
  </si>
  <si>
    <t>addBldBuildingId</t>
  </si>
  <si>
    <t>รหัสประจำบ้าน *</t>
  </si>
  <si>
    <t>addBldBuildingNo</t>
  </si>
  <si>
    <t>เลขที่สิ่งปลูกสร้าง *</t>
  </si>
  <si>
    <t>addBldBuildingNoCheckFlg</t>
  </si>
  <si>
    <t>สิ่งปลูกสร้างที่สร้างเสร็จแล้ว</t>
  </si>
  <si>
    <t>020 : ชลบุรี</t>
  </si>
  <si>
    <t>12735</t>
  </si>
  <si>
    <t>2 : ที่ดินพร้อมสิ่งปลูกสร้าง</t>
  </si>
  <si>
    <t>060 : นครสวรรค์</t>
  </si>
  <si>
    <t>0 : ไม่มีประเภทย่อย</t>
  </si>
  <si>
    <t>3 : อาคารสิ่งปลูกสร้าง</t>
  </si>
  <si>
    <t>001 : ปากน้ำโพ</t>
  </si>
  <si>
    <t>001 : เมืองนครสวรรค์</t>
  </si>
  <si>
    <t>002 : เมืองนะ</t>
  </si>
  <si>
    <t>004 : เชียงดาว</t>
  </si>
  <si>
    <t>007 : บางพระ</t>
  </si>
  <si>
    <t>007 : ศรีราชา</t>
  </si>
  <si>
    <t>001 : ลาดยาว</t>
  </si>
  <si>
    <t>005 : บางเขน</t>
  </si>
  <si>
    <t>010 : กรุงเทพมหานคร</t>
  </si>
  <si>
    <t>001 : ประชาธิปัตย์ (คลองรังสิตฝั่งเหนือ)</t>
  </si>
  <si>
    <t>001 : ธัญบุรี (กลางเมือง)</t>
  </si>
  <si>
    <t>001 : ปทุมธานี (ธัญบุรี)</t>
  </si>
  <si>
    <t>Data1</t>
  </si>
  <si>
    <t>searchedCustType</t>
  </si>
  <si>
    <t>คลิก เพิ่มลูกค้า</t>
  </si>
  <si>
    <t>เพิ่มลูกค้า</t>
  </si>
  <si>
    <t>baseCheckNcbFlag</t>
  </si>
  <si>
    <t>แก้ไขข้อมูล NCB</t>
  </si>
  <si>
    <t>checkbox</t>
  </si>
  <si>
    <t>popup</t>
  </si>
  <si>
    <t>NCB</t>
  </si>
  <si>
    <t>//*[@id="content"]/div/div/div[11]/div[3]/button</t>
  </si>
  <si>
    <t>updateCheckNcbFlagButton</t>
  </si>
  <si>
    <t>//*[@id="tabs-1"]/div/div[1]/div[2]/button</t>
  </si>
  <si>
    <t>คลิก ค้นหา</t>
  </si>
  <si>
    <t>btnSearch</t>
  </si>
  <si>
    <t>เลือกลูกค้าลำดับที่</t>
  </si>
  <si>
    <t>//*[@id="table_search"]/div[4]/button[1]</t>
  </si>
  <si>
    <t>คลิก</t>
  </si>
  <si>
    <t>เลือก NCB</t>
  </si>
  <si>
    <t>เลือกหน้าต่าง</t>
  </si>
  <si>
    <t>หลัก</t>
  </si>
  <si>
    <t>//*[@id="dialog-modal"]/table[3]/tbody/tr/th/button[1]</t>
  </si>
  <si>
    <t>นามสกุลภาษาไทย</t>
  </si>
  <si>
    <t>นามสกุลภาษาอังกฤษ</t>
  </si>
  <si>
    <t>Tab ลงทะเบียน</t>
  </si>
  <si>
    <t>Subtab ข้อมูลอื่นๆ (แบบเต็ม)</t>
  </si>
  <si>
    <t>ข้อมูลอื่นๆ (แบบเต็ม)</t>
  </si>
  <si>
    <t>spouseSalary</t>
  </si>
  <si>
    <t>spouseTax</t>
  </si>
  <si>
    <t>50000</t>
  </si>
  <si>
    <t>ข้อมูลทั่วไป</t>
  </si>
  <si>
    <t>ข้อมูลการทำงาน</t>
  </si>
  <si>
    <t>ข้อมูลคู่สมรส</t>
  </si>
  <si>
    <t>สินทรัพย์อื่นๆ</t>
  </si>
  <si>
    <t>customerGroup</t>
  </si>
  <si>
    <t>TNFIS</t>
  </si>
  <si>
    <t>save</t>
  </si>
  <si>
    <t>btnSave</t>
  </si>
  <si>
    <t>//*[@id="tabs-2"]/div/div[1]/div[9]/div[2]/input</t>
  </si>
  <si>
    <t>//*[@id="tabs-2"]/div/div[1]/div[10]/div[2]/input</t>
  </si>
  <si>
    <t>//*[@id="tabs-2"]/div/div[1]/div[11]/div[2]/input</t>
  </si>
  <si>
    <t>custPeriodMonth</t>
  </si>
  <si>
    <t>//*[@id="tabs-2"]/div/div[1]/div[14]/div[2]/input</t>
  </si>
  <si>
    <t>//*[@id="tabs-2"]/div/div[1]/div[14]/div[4]/input</t>
  </si>
  <si>
    <t>workAllExpMonth</t>
  </si>
  <si>
    <t>Subtab รายได้จากเงินเดือน</t>
  </si>
  <si>
    <t>รายได้จากเงินเดือน</t>
  </si>
  <si>
    <t>จำนวนพนักงานในบริษัท</t>
  </si>
  <si>
    <t>regOther1Detail</t>
  </si>
  <si>
    <t>regOther1Value</t>
  </si>
  <si>
    <t>สังสรรค์</t>
  </si>
  <si>
    <t>200</t>
  </si>
  <si>
    <t>ต้องการกรอกค่าใช้จ่ายซื้อสินค้าและบริการเป็นจำนวนเงิน</t>
  </si>
  <si>
    <t>100</t>
  </si>
  <si>
    <t>Subtab ค่าใช้จ่าย</t>
  </si>
  <si>
    <t>3000</t>
  </si>
  <si>
    <t>สลากกินแบ่ง</t>
  </si>
  <si>
    <t>Non NCB</t>
  </si>
  <si>
    <t>Subtab Non NCB</t>
  </si>
  <si>
    <t>20/01/2558</t>
  </si>
  <si>
    <t>บัตรเครดิตผ่อนครบทุกงวด ตรงเวลาเลย ลูกค้าผู้น่ารัก ดีเยี่ยม เลิศ ประเสริฐศรี</t>
  </si>
  <si>
    <t>คำขอสินเชื่อ (สำหรับRM/BRO)</t>
  </si>
  <si>
    <t>Tab คำขอสินเชื่อ (สำหรับRM/BRO)</t>
  </si>
  <si>
    <t>เพิ่ม Market Code</t>
  </si>
  <si>
    <t>เพิ่ม</t>
  </si>
  <si>
    <t>//*[@id="tabs-1"]/div[1]/div[1]/div/button</t>
  </si>
  <si>
    <t>//*[@id="normalDiv"]/div[4]/button[1]</t>
  </si>
  <si>
    <t>ยืนยัน</t>
  </si>
  <si>
    <t>ok</t>
  </si>
  <si>
    <t>56</t>
  </si>
  <si>
    <t>57</t>
  </si>
  <si>
    <t>58</t>
  </si>
  <si>
    <t>59</t>
  </si>
  <si>
    <t>60</t>
  </si>
  <si>
    <t>ไม่มี ไม่มี ไม่มี</t>
  </si>
  <si>
    <t>01 : SME</t>
  </si>
  <si>
    <t>61</t>
  </si>
  <si>
    <t>62</t>
  </si>
  <si>
    <t>63</t>
  </si>
  <si>
    <t>64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</si>
  <si>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</si>
  <si>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</si>
  <si>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</si>
  <si>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</si>
  <si>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</si>
  <si>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</si>
  <si>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</si>
  <si>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</si>
  <si>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</si>
  <si>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</si>
  <si>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</si>
  <si>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</si>
  <si>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หากมีเหตุขัดข้องให้ติดต่อกับเจ้าหน้าที่ธนาคาร</t>
  </si>
  <si>
    <t>//*[@id="COMandLTDiv"]/div[4]/img[1]</t>
  </si>
  <si>
    <t>สาขาบางรัก</t>
  </si>
  <si>
    <t>searchKeyword</t>
  </si>
  <si>
    <t>/html/body/form/table[3]/tbody/tr[2]/td[1]/a</t>
  </si>
  <si>
    <t>ค้นหา</t>
  </si>
  <si>
    <t>icon ค้นหา</t>
  </si>
  <si>
    <t>ค้นหาจากในระบบ ประเภท</t>
  </si>
  <si>
    <t>เงื่อนไขการค้นหา:</t>
  </si>
  <si>
    <t>คำอธิบายหน่วยงานดูแลลูกค้า</t>
  </si>
  <si>
    <t>คำค้น:</t>
  </si>
  <si>
    <t>79</t>
  </si>
  <si>
    <t>81</t>
  </si>
  <si>
    <t>82</t>
  </si>
  <si>
    <t>83</t>
  </si>
  <si>
    <t>84</t>
  </si>
  <si>
    <t>85</t>
  </si>
  <si>
    <t>//*[@id="COMandLTDiv"]/div[6]/img[1]</t>
  </si>
  <si>
    <t>คำอธิบายสาขา</t>
  </si>
  <si>
    <t>searchWord</t>
  </si>
  <si>
    <t>//*[@id="form"]/table[3]/tbody/tr[2]/td[2]/a</t>
  </si>
  <si>
    <t>86</t>
  </si>
  <si>
    <t>87</t>
  </si>
  <si>
    <t>88</t>
  </si>
  <si>
    <t>89</t>
  </si>
  <si>
    <t>90</t>
  </si>
  <si>
    <t>91</t>
  </si>
  <si>
    <t>92</t>
  </si>
  <si>
    <t>LN0300 : เงินฝากเผื่อเรียกสูงสุด</t>
  </si>
  <si>
    <t>LN0400 : เงินฝากเผื่อเรียกพิเศษสูงสุด</t>
  </si>
  <si>
    <t>LN0500 : เงินฝากประจำ 3 เดือนสูงสุด</t>
  </si>
  <si>
    <t>LN0501 : เงินฝากประจำ 6 เดือนสูงสุด</t>
  </si>
  <si>
    <t>LN0502 : เงินฝากประจำ 12 เดือนสูงสุด</t>
  </si>
  <si>
    <t>LN0503 : เงินฝากประจำรายเดือนสูงสุด</t>
  </si>
  <si>
    <t>LN0504 : เงินฝากประจำ 8 เดือน สูงสุด</t>
  </si>
  <si>
    <t>LN0600 : อัตราคงที่</t>
  </si>
  <si>
    <t>LN0650 : Soft Loan</t>
  </si>
  <si>
    <t>SAVCOR : Saving Index:Corporate</t>
  </si>
  <si>
    <t>SAVGOV : Saving Index:Government</t>
  </si>
  <si>
    <t>SAVNON : Saving Index:Non Profit</t>
  </si>
  <si>
    <t>SAVPER : Saving Index:Personal</t>
  </si>
  <si>
    <t>SSACOR : Special Saving Index:Corporate</t>
  </si>
  <si>
    <t>SSAGOV : Special Saving Index:Government</t>
  </si>
  <si>
    <t>SSANON : Special Saving Index:Non-Profit</t>
  </si>
  <si>
    <t>SSAPER : Special Saving Index:Personal</t>
  </si>
  <si>
    <t>LN0300</t>
  </si>
  <si>
    <t>LN0400</t>
  </si>
  <si>
    <t>LN0500</t>
  </si>
  <si>
    <t>LN0501</t>
  </si>
  <si>
    <t>LN0502</t>
  </si>
  <si>
    <t>LN0503</t>
  </si>
  <si>
    <t>LN0504</t>
  </si>
  <si>
    <t>LN0600</t>
  </si>
  <si>
    <t>LN0650</t>
  </si>
  <si>
    <t>SAVCOR</t>
  </si>
  <si>
    <t>SAVGOV</t>
  </si>
  <si>
    <t>SAVNON</t>
  </si>
  <si>
    <t>SAVPER</t>
  </si>
  <si>
    <t>SSACOR</t>
  </si>
  <si>
    <t>SSAGOV</t>
  </si>
  <si>
    <t>SSANON</t>
  </si>
  <si>
    <t>SSAPER</t>
  </si>
  <si>
    <t>93</t>
  </si>
  <si>
    <t>94</t>
  </si>
  <si>
    <t>95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</si>
  <si>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</si>
  <si>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</si>
  <si>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</si>
  <si>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</si>
  <si>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</si>
  <si>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</si>
  <si>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</si>
  <si>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</si>
  <si>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</si>
  <si>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</si>
  <si>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</si>
  <si>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</si>
  <si>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</si>
  <si>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</si>
  <si>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</si>
  <si>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</si>
  <si>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</si>
  <si>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</si>
  <si>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</si>
  <si>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</si>
  <si>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</si>
  <si>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</si>
  <si>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</si>
  <si>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</si>
  <si>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</si>
  <si>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</si>
  <si>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</si>
  <si>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</si>
  <si>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</si>
  <si>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</si>
  <si>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</si>
  <si>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</si>
  <si>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</si>
  <si>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</si>
  <si>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</si>
  <si>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</si>
  <si>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</si>
  <si>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</si>
  <si>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</si>
  <si>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</si>
  <si>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</si>
  <si>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</si>
  <si>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รายได้จากการประกอบอาชีพ</t>
  </si>
  <si>
    <t>Subtab รายได้จากการประกอบอาชีพ</t>
  </si>
  <si>
    <t>//*[@id="tabs-2"]/div[1]/div/div[2]/input</t>
  </si>
  <si>
    <t>//*[@id="tabs-2"]/div[1]/div/div[4]/input</t>
  </si>
  <si>
    <t>//*[@id="tabs-2"]/div[1]/div/div[6]/input</t>
  </si>
  <si>
    <t>จำนวนพนักงาน *</t>
  </si>
  <si>
    <t>employeeCount</t>
  </si>
  <si>
    <t>ระยะเวลาในการทำธุรกิจ/อาชีพอิสระ(กรณีธุรกิจ) (ปี)</t>
  </si>
  <si>
    <t>businessExpYear</t>
  </si>
  <si>
    <t>ระยะเวลาในการทำธุรกิจ/อาชีพอิสระ(กรณีธุรกิจ) เดือน</t>
  </si>
  <si>
    <t>businessExpMonth</t>
  </si>
  <si>
    <t>businessLocationOwnershipCode</t>
  </si>
  <si>
    <t>//*[@id="tabs-2"]/div[1]/div/div[7]/div[10]/div/input</t>
  </si>
  <si>
    <t>businessLocationTypeCode</t>
  </si>
  <si>
    <t>//*[@id="tabs-2"]/div[1]/div/div[7]/div[12]/div/input</t>
  </si>
  <si>
    <t>รายได้ของกิจการ/อาชีพอิสระ</t>
  </si>
  <si>
    <t>รายได้</t>
  </si>
  <si>
    <t>30000</t>
  </si>
  <si>
    <t>income</t>
  </si>
  <si>
    <t>รายได้อื่นๆ จากธุรกิจ</t>
  </si>
  <si>
    <t>incomeOther</t>
  </si>
  <si>
    <t>เสี่ยงโชค</t>
  </si>
  <si>
    <t>incomeOtherDetail</t>
  </si>
  <si>
    <t>รวมรายได้</t>
  </si>
  <si>
    <t>incomeTotal</t>
  </si>
  <si>
    <t>ค่าใช้จ่าย (%, จำนวนเงิน)</t>
  </si>
  <si>
    <t>methodCalculateGoodsAndService</t>
  </si>
  <si>
    <t>ค่าใช้จ่ายซื้อสินค้าและบริการ * (%)</t>
  </si>
  <si>
    <t>expenseGoodsAndServicePercent</t>
  </si>
  <si>
    <t>ค่าใช้จ่ายซื้อสินค้าและบริการ *</t>
  </si>
  <si>
    <t>expenseGoodsAndService</t>
  </si>
  <si>
    <t>เงินเดือนคนงาน</t>
  </si>
  <si>
    <t>5000</t>
  </si>
  <si>
    <t>expenseEmployeeSalary</t>
  </si>
  <si>
    <t>ค่าเช่าสถานที่ประกอบการ</t>
  </si>
  <si>
    <t>expenseOfficeRent</t>
  </si>
  <si>
    <t>ค่าน้ำ ค่าไฟ ค่าโทรศัพท์</t>
  </si>
  <si>
    <t>expenseUtilityBill</t>
  </si>
  <si>
    <t>expenseOther</t>
  </si>
  <si>
    <t>expenseTotal</t>
  </si>
  <si>
    <t>กำไรสุทธิ/ขาดทุนสุทธิ</t>
  </si>
  <si>
    <t>กำไรขั้นต้น</t>
  </si>
  <si>
    <t>plBeforeInterestAndTax</t>
  </si>
  <si>
    <t>ดอกเบี้ย</t>
  </si>
  <si>
    <t>interest</t>
  </si>
  <si>
    <t>กำไรก่อนหักภาษี</t>
  </si>
  <si>
    <t>plBeforeTax</t>
  </si>
  <si>
    <t>ภาษี</t>
  </si>
  <si>
    <t>tax</t>
  </si>
  <si>
    <t>กำไรสุทธิ</t>
  </si>
  <si>
    <t>plNet</t>
  </si>
  <si>
    <t>สัดส่วนผู้ถือหุ้น(ผู้กู้) (%)</t>
  </si>
  <si>
    <t>shareholderPercent</t>
  </si>
  <si>
    <t>สัดส่วนผู้ถือหุ้น(ผู้กู้)</t>
  </si>
  <si>
    <t>shareholder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</si>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</sst>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rgb="FF222222"/>
      <name val="Consolas"/>
      <family val="3"/>
    </font>
    <font>
      <sz val="9"/>
      <name val="Arial"/>
      <family val="2"/>
    </font>
    <font>
      <sz val="10"/>
      <color rgb="FF333333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rgb="FF222222"/>
      <name val="Tahoma"/>
      <family val="2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b/>
      <sz val="9"/>
      <color rgb="FFFF0000"/>
      <name val="Tahoma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9"/>
      <color theme="0"/>
      <name val="Tahoma"/>
      <family val="2"/>
    </font>
    <font>
      <sz val="10"/>
      <color theme="0"/>
      <name val="Arial"/>
      <family val="2"/>
    </font>
    <font>
      <sz val="9"/>
      <color theme="0"/>
      <name val="Consolas"/>
      <family val="3"/>
    </font>
    <font>
      <sz val="9"/>
      <color rgb="FF92D050"/>
      <name val="Tahoma"/>
      <family val="2"/>
    </font>
    <font>
      <b/>
      <sz val="9"/>
      <color rgb="FF00B0F0"/>
      <name val="Tahoma"/>
      <family val="2"/>
    </font>
    <font>
      <b/>
      <sz val="9"/>
      <color theme="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0"/>
      <name val="Tahoma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9"/>
      <name val="Consolas"/>
      <family val="3"/>
    </font>
    <font>
      <sz val="9"/>
      <color rgb="FF00B0F0"/>
      <name val="Tahoma"/>
      <family val="2"/>
    </font>
    <font>
      <sz val="9"/>
      <color rgb="FFFFFFFF"/>
      <name val="Tahoma"/>
      <family val="2"/>
    </font>
    <font>
      <sz val="9"/>
      <color rgb="FF222222"/>
      <name val="Tahoma"/>
    </font>
    <font>
      <sz val="9"/>
      <name val="Tahoma"/>
    </font>
    <font>
      <sz val="9"/>
      <color theme="1"/>
      <name val="Tahoma"/>
    </font>
  </fonts>
  <fills count="2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theme="4"/>
      </patternFill>
    </fill>
  </fills>
  <borders count="3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5B9BD5"/>
      </bottom>
      <diagonal/>
    </border>
    <border>
      <left style="thin">
        <color rgb="FF5B9BD5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rgb="FF5B9BD5"/>
      </right>
      <top/>
      <bottom style="thin">
        <color rgb="FF5B9BD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rgb="FF5B9BD5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5B9BD5"/>
      </left>
      <right style="thin">
        <color theme="4"/>
      </right>
      <top/>
      <bottom/>
      <diagonal/>
    </border>
    <border>
      <left style="thin">
        <color theme="4"/>
      </left>
      <right style="thin">
        <color rgb="FF5B9BD5"/>
      </right>
      <top/>
      <bottom/>
      <diagonal/>
    </border>
  </borders>
  <cellStyleXfs count="3">
    <xf numFmtId="0" fontId="0" fillId="0" borderId="0"/>
    <xf numFmtId="49" fontId="7" fillId="0" borderId="0">
      <alignment vertical="center"/>
    </xf>
    <xf numFmtId="0" fontId="3" fillId="0" borderId="0"/>
  </cellStyleXfs>
  <cellXfs count="393">
    <xf numFmtId="0" fontId="0" fillId="0" borderId="0" xfId="0"/>
    <xf numFmtId="0" fontId="6" fillId="0" borderId="0" xfId="0" applyFont="1"/>
    <xf numFmtId="49" fontId="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7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49" fontId="15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vertical="center" wrapText="1"/>
    </xf>
    <xf numFmtId="49" fontId="18" fillId="4" borderId="7" xfId="0" applyNumberFormat="1" applyFont="1" applyFill="1" applyBorder="1" applyAlignment="1">
      <alignment vertical="center" wrapText="1"/>
    </xf>
    <xf numFmtId="49" fontId="18" fillId="4" borderId="7" xfId="0" applyNumberFormat="1" applyFont="1" applyFill="1" applyBorder="1" applyAlignment="1">
      <alignment vertical="center"/>
    </xf>
    <xf numFmtId="49" fontId="18" fillId="6" borderId="17" xfId="0" applyNumberFormat="1" applyFont="1" applyFill="1" applyBorder="1" applyAlignment="1">
      <alignment horizontal="center" vertical="center" wrapText="1"/>
    </xf>
    <xf numFmtId="49" fontId="18" fillId="8" borderId="17" xfId="0" applyNumberFormat="1" applyFont="1" applyFill="1" applyBorder="1" applyAlignment="1">
      <alignment horizontal="center" vertical="center" wrapText="1"/>
    </xf>
    <xf numFmtId="49" fontId="19" fillId="6" borderId="17" xfId="0" applyNumberFormat="1" applyFont="1" applyFill="1" applyBorder="1" applyAlignment="1">
      <alignment horizontal="center" vertical="center" wrapText="1"/>
    </xf>
    <xf numFmtId="49" fontId="20" fillId="6" borderId="17" xfId="0" applyNumberFormat="1" applyFont="1" applyFill="1" applyBorder="1" applyAlignment="1">
      <alignment horizontal="center" vertical="center" wrapText="1"/>
    </xf>
    <xf numFmtId="49" fontId="19" fillId="5" borderId="17" xfId="0" applyNumberFormat="1" applyFont="1" applyFill="1" applyBorder="1" applyAlignment="1">
      <alignment horizontal="center" vertical="center" wrapText="1"/>
    </xf>
    <xf numFmtId="49" fontId="20" fillId="5" borderId="17" xfId="0" applyNumberFormat="1" applyFont="1" applyFill="1" applyBorder="1" applyAlignment="1">
      <alignment horizontal="center" vertical="center" wrapText="1"/>
    </xf>
    <xf numFmtId="49" fontId="18" fillId="5" borderId="1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0" fillId="8" borderId="17" xfId="0" applyNumberFormat="1" applyFont="1" applyFill="1" applyBorder="1" applyAlignment="1">
      <alignment horizontal="center" vertical="center" wrapText="1"/>
    </xf>
    <xf numFmtId="49" fontId="19" fillId="8" borderId="1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Fill="1" applyAlignment="1">
      <alignment vertical="center" wrapText="1"/>
    </xf>
    <xf numFmtId="49" fontId="4" fillId="0" borderId="0" xfId="0" applyNumberFormat="1" applyFo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15" fillId="0" borderId="18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 wrapText="1"/>
    </xf>
    <xf numFmtId="49" fontId="12" fillId="0" borderId="0" xfId="0" applyNumberFormat="1" applyFont="1" applyAlignment="1">
      <alignment wrapText="1"/>
    </xf>
    <xf numFmtId="49" fontId="4" fillId="0" borderId="0" xfId="0" applyNumberFormat="1" applyFont="1" applyFill="1" applyAlignment="1">
      <alignment wrapText="1"/>
    </xf>
    <xf numFmtId="49" fontId="22" fillId="7" borderId="0" xfId="0" applyNumberFormat="1" applyFont="1" applyFill="1" applyAlignment="1">
      <alignment vertical="center" wrapText="1"/>
    </xf>
    <xf numFmtId="49" fontId="13" fillId="0" borderId="0" xfId="0" applyNumberFormat="1" applyFont="1"/>
    <xf numFmtId="49" fontId="18" fillId="5" borderId="0" xfId="0" applyNumberFormat="1" applyFont="1" applyFill="1" applyAlignment="1">
      <alignment vertical="center"/>
    </xf>
    <xf numFmtId="49" fontId="18" fillId="10" borderId="0" xfId="0" applyNumberFormat="1" applyFont="1" applyFill="1" applyAlignment="1">
      <alignment vertical="center"/>
    </xf>
    <xf numFmtId="49" fontId="4" fillId="0" borderId="19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3" fillId="0" borderId="0" xfId="2" applyNumberFormat="1" applyFont="1" applyAlignment="1">
      <alignment horizontal="center" vertical="center" wrapText="1"/>
    </xf>
    <xf numFmtId="0" fontId="6" fillId="0" borderId="0" xfId="2" applyFont="1"/>
    <xf numFmtId="0" fontId="15" fillId="0" borderId="0" xfId="2" applyFont="1"/>
    <xf numFmtId="49" fontId="9" fillId="4" borderId="8" xfId="2" applyNumberFormat="1" applyFont="1" applyFill="1" applyBorder="1" applyAlignment="1">
      <alignment horizontal="center" vertical="center" wrapText="1"/>
    </xf>
    <xf numFmtId="49" fontId="4" fillId="4" borderId="7" xfId="2" applyNumberFormat="1" applyFont="1" applyFill="1" applyBorder="1" applyAlignment="1">
      <alignment horizontal="center" vertical="center" wrapText="1"/>
    </xf>
    <xf numFmtId="49" fontId="9" fillId="0" borderId="8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 wrapText="1"/>
    </xf>
    <xf numFmtId="49" fontId="4" fillId="0" borderId="12" xfId="2" applyNumberFormat="1" applyFont="1" applyFill="1" applyBorder="1" applyAlignment="1">
      <alignment horizontal="center" vertical="center" wrapText="1"/>
    </xf>
    <xf numFmtId="0" fontId="9" fillId="0" borderId="8" xfId="2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wrapText="1"/>
    </xf>
    <xf numFmtId="0" fontId="3" fillId="0" borderId="0" xfId="2"/>
    <xf numFmtId="49" fontId="3" fillId="0" borderId="0" xfId="2" applyNumberFormat="1" applyFont="1" applyAlignment="1">
      <alignment horizontal="left" vertical="center" wrapText="1"/>
    </xf>
    <xf numFmtId="49" fontId="3" fillId="0" borderId="0" xfId="2" applyNumberFormat="1" applyFont="1" applyFill="1" applyAlignment="1">
      <alignment horizontal="center" vertical="center" wrapText="1"/>
    </xf>
    <xf numFmtId="49" fontId="3" fillId="0" borderId="0" xfId="2" applyNumberFormat="1" applyFont="1" applyFill="1" applyBorder="1" applyAlignment="1">
      <alignment horizontal="center" vertical="center" wrapText="1"/>
    </xf>
    <xf numFmtId="49" fontId="17" fillId="0" borderId="0" xfId="2" applyNumberFormat="1" applyFont="1" applyAlignment="1">
      <alignment vertical="center" wrapText="1"/>
    </xf>
    <xf numFmtId="49" fontId="11" fillId="4" borderId="7" xfId="2" applyNumberFormat="1" applyFont="1" applyFill="1" applyBorder="1" applyAlignment="1">
      <alignment horizontal="center" vertical="center" wrapText="1"/>
    </xf>
    <xf numFmtId="0" fontId="15" fillId="0" borderId="8" xfId="2" applyFont="1" applyBorder="1"/>
    <xf numFmtId="49" fontId="11" fillId="2" borderId="15" xfId="2" applyNumberFormat="1" applyFont="1" applyFill="1" applyBorder="1" applyAlignment="1">
      <alignment vertical="center" wrapText="1"/>
    </xf>
    <xf numFmtId="49" fontId="11" fillId="2" borderId="11" xfId="2" applyNumberFormat="1" applyFont="1" applyFill="1" applyBorder="1" applyAlignment="1">
      <alignment vertical="center" wrapText="1"/>
    </xf>
    <xf numFmtId="49" fontId="11" fillId="2" borderId="9" xfId="2" applyNumberFormat="1" applyFont="1" applyFill="1" applyBorder="1" applyAlignment="1">
      <alignment horizontal="center" vertical="center" wrapText="1"/>
    </xf>
    <xf numFmtId="49" fontId="11" fillId="2" borderId="9" xfId="2" applyNumberFormat="1" applyFont="1" applyFill="1" applyBorder="1" applyAlignment="1">
      <alignment vertical="center" wrapText="1"/>
    </xf>
    <xf numFmtId="49" fontId="11" fillId="2" borderId="14" xfId="2" applyNumberFormat="1" applyFont="1" applyFill="1" applyBorder="1" applyAlignment="1">
      <alignment horizontal="center" vertical="center" wrapText="1"/>
    </xf>
    <xf numFmtId="49" fontId="9" fillId="3" borderId="8" xfId="2" applyNumberFormat="1" applyFont="1" applyFill="1" applyBorder="1" applyAlignment="1">
      <alignment horizontal="center" vertical="center" wrapText="1"/>
    </xf>
    <xf numFmtId="49" fontId="3" fillId="0" borderId="0" xfId="2" applyNumberFormat="1"/>
    <xf numFmtId="0" fontId="3" fillId="0" borderId="0" xfId="2" applyNumberFormat="1"/>
    <xf numFmtId="49" fontId="3" fillId="0" borderId="0" xfId="2" applyNumberFormat="1" applyFont="1"/>
    <xf numFmtId="49" fontId="3" fillId="0" borderId="0" xfId="2" applyNumberFormat="1" applyBorder="1" applyAlignment="1">
      <alignment wrapText="1"/>
    </xf>
    <xf numFmtId="49" fontId="9" fillId="3" borderId="16" xfId="2" applyNumberFormat="1" applyFont="1" applyFill="1" applyBorder="1" applyAlignment="1">
      <alignment horizontal="center" vertical="center" wrapText="1"/>
    </xf>
    <xf numFmtId="0" fontId="3" fillId="0" borderId="0" xfId="2" applyNumberFormat="1" applyBorder="1" applyAlignment="1">
      <alignment wrapText="1"/>
    </xf>
    <xf numFmtId="49" fontId="4" fillId="0" borderId="7" xfId="2" applyNumberFormat="1" applyFont="1" applyFill="1" applyBorder="1" applyAlignment="1">
      <alignment vertical="center" wrapText="1"/>
    </xf>
    <xf numFmtId="49" fontId="3" fillId="0" borderId="0" xfId="2" applyNumberFormat="1" applyFont="1" applyAlignment="1">
      <alignment wrapText="1"/>
    </xf>
    <xf numFmtId="49" fontId="3" fillId="0" borderId="0" xfId="2" applyNumberFormat="1" applyAlignment="1">
      <alignment wrapText="1"/>
    </xf>
    <xf numFmtId="49" fontId="6" fillId="0" borderId="0" xfId="2" applyNumberFormat="1" applyFont="1" applyAlignment="1">
      <alignment wrapText="1"/>
    </xf>
    <xf numFmtId="0" fontId="3" fillId="0" borderId="0" xfId="2" applyNumberFormat="1" applyAlignment="1">
      <alignment wrapText="1"/>
    </xf>
    <xf numFmtId="49" fontId="8" fillId="0" borderId="0" xfId="2" applyNumberFormat="1" applyFont="1" applyAlignment="1">
      <alignment wrapText="1"/>
    </xf>
    <xf numFmtId="0" fontId="3" fillId="0" borderId="0" xfId="2" applyNumberFormat="1" applyFont="1" applyAlignment="1">
      <alignment wrapText="1"/>
    </xf>
    <xf numFmtId="0" fontId="11" fillId="2" borderId="9" xfId="2" applyNumberFormat="1" applyFont="1" applyFill="1" applyBorder="1" applyAlignment="1">
      <alignment vertical="center" wrapText="1"/>
    </xf>
    <xf numFmtId="49" fontId="25" fillId="3" borderId="8" xfId="2" applyNumberFormat="1" applyFont="1" applyFill="1" applyBorder="1" applyAlignment="1">
      <alignment wrapText="1"/>
    </xf>
    <xf numFmtId="49" fontId="9" fillId="0" borderId="7" xfId="2" applyNumberFormat="1" applyFont="1" applyBorder="1" applyAlignment="1">
      <alignment vertical="center" wrapText="1"/>
    </xf>
    <xf numFmtId="49" fontId="4" fillId="0" borderId="12" xfId="2" applyNumberFormat="1" applyFont="1" applyFill="1" applyBorder="1" applyAlignment="1">
      <alignment vertical="center" wrapText="1"/>
    </xf>
    <xf numFmtId="0" fontId="3" fillId="0" borderId="0" xfId="2" applyFont="1"/>
    <xf numFmtId="49" fontId="9" fillId="14" borderId="8" xfId="2" applyNumberFormat="1" applyFont="1" applyFill="1" applyBorder="1" applyAlignment="1">
      <alignment horizontal="center" vertical="center" wrapText="1"/>
    </xf>
    <xf numFmtId="49" fontId="11" fillId="2" borderId="0" xfId="2" applyNumberFormat="1" applyFont="1" applyFill="1" applyBorder="1" applyAlignment="1">
      <alignment wrapText="1"/>
    </xf>
    <xf numFmtId="49" fontId="6" fillId="2" borderId="0" xfId="2" applyNumberFormat="1" applyFont="1" applyFill="1" applyBorder="1" applyAlignment="1">
      <alignment vertical="center" wrapText="1"/>
    </xf>
    <xf numFmtId="49" fontId="11" fillId="4" borderId="7" xfId="2" applyNumberFormat="1" applyFont="1" applyFill="1" applyBorder="1" applyAlignment="1">
      <alignment vertical="center" wrapText="1"/>
    </xf>
    <xf numFmtId="49" fontId="26" fillId="2" borderId="0" xfId="2" applyNumberFormat="1" applyFont="1" applyFill="1" applyBorder="1" applyAlignment="1">
      <alignment wrapText="1"/>
    </xf>
    <xf numFmtId="49" fontId="26" fillId="2" borderId="8" xfId="2" applyNumberFormat="1" applyFont="1" applyFill="1" applyBorder="1" applyAlignment="1">
      <alignment wrapText="1"/>
    </xf>
    <xf numFmtId="49" fontId="11" fillId="2" borderId="8" xfId="2" applyNumberFormat="1" applyFont="1" applyFill="1" applyBorder="1" applyAlignment="1">
      <alignment wrapText="1"/>
    </xf>
    <xf numFmtId="49" fontId="3" fillId="15" borderId="0" xfId="2" applyNumberFormat="1" applyFill="1" applyAlignment="1">
      <alignment wrapText="1"/>
    </xf>
    <xf numFmtId="0" fontId="6" fillId="15" borderId="0" xfId="2" applyFont="1" applyFill="1"/>
    <xf numFmtId="49" fontId="4" fillId="15" borderId="7" xfId="2" applyNumberFormat="1" applyFont="1" applyFill="1" applyBorder="1" applyAlignment="1">
      <alignment vertical="center" wrapText="1"/>
    </xf>
    <xf numFmtId="0" fontId="26" fillId="4" borderId="0" xfId="2" applyFont="1" applyFill="1"/>
    <xf numFmtId="49" fontId="9" fillId="15" borderId="7" xfId="2" applyNumberFormat="1" applyFont="1" applyFill="1" applyBorder="1" applyAlignment="1">
      <alignment vertical="center" wrapText="1"/>
    </xf>
    <xf numFmtId="49" fontId="9" fillId="13" borderId="8" xfId="2" applyNumberFormat="1" applyFont="1" applyFill="1" applyBorder="1" applyAlignment="1">
      <alignment horizontal="center" vertical="center" wrapText="1"/>
    </xf>
    <xf numFmtId="0" fontId="27" fillId="0" borderId="0" xfId="2" applyFont="1"/>
    <xf numFmtId="0" fontId="28" fillId="0" borderId="0" xfId="2" applyFont="1"/>
    <xf numFmtId="0" fontId="15" fillId="0" borderId="0" xfId="2" applyFont="1" applyAlignment="1">
      <alignment wrapText="1"/>
    </xf>
    <xf numFmtId="0" fontId="8" fillId="0" borderId="0" xfId="2" applyFont="1" applyAlignment="1">
      <alignment wrapText="1"/>
    </xf>
    <xf numFmtId="0" fontId="29" fillId="0" borderId="0" xfId="2" applyFont="1" applyAlignment="1">
      <alignment wrapText="1"/>
    </xf>
    <xf numFmtId="49" fontId="14" fillId="0" borderId="0" xfId="2" applyNumberFormat="1" applyFont="1" applyAlignment="1">
      <alignment wrapText="1"/>
    </xf>
    <xf numFmtId="0" fontId="14" fillId="0" borderId="0" xfId="2" applyFont="1" applyAlignment="1">
      <alignment wrapText="1"/>
    </xf>
    <xf numFmtId="0" fontId="30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27" fillId="0" borderId="0" xfId="2" applyFont="1" applyAlignment="1">
      <alignment wrapText="1"/>
    </xf>
    <xf numFmtId="0" fontId="24" fillId="0" borderId="0" xfId="2" applyFont="1" applyAlignment="1">
      <alignment wrapText="1"/>
    </xf>
    <xf numFmtId="49" fontId="11" fillId="2" borderId="0" xfId="2" applyNumberFormat="1" applyFont="1" applyFill="1" applyBorder="1" applyAlignment="1">
      <alignment vertical="center" wrapText="1"/>
    </xf>
    <xf numFmtId="49" fontId="11" fillId="2" borderId="32" xfId="2" applyNumberFormat="1" applyFont="1" applyFill="1" applyBorder="1" applyAlignment="1">
      <alignment vertical="center" wrapText="1"/>
    </xf>
    <xf numFmtId="49" fontId="14" fillId="0" borderId="8" xfId="2" applyNumberFormat="1" applyFont="1" applyBorder="1" applyAlignment="1">
      <alignment wrapText="1"/>
    </xf>
    <xf numFmtId="49" fontId="14" fillId="3" borderId="8" xfId="2" applyNumberFormat="1" applyFont="1" applyFill="1" applyBorder="1" applyAlignment="1">
      <alignment wrapText="1"/>
    </xf>
    <xf numFmtId="49" fontId="20" fillId="16" borderId="24" xfId="2" applyNumberFormat="1" applyFont="1" applyFill="1" applyBorder="1" applyAlignment="1">
      <alignment horizontal="center" vertical="center" wrapText="1"/>
    </xf>
    <xf numFmtId="49" fontId="20" fillId="16" borderId="34" xfId="2" applyNumberFormat="1" applyFont="1" applyFill="1" applyBorder="1" applyAlignment="1">
      <alignment horizontal="center" vertical="center" wrapText="1"/>
    </xf>
    <xf numFmtId="49" fontId="19" fillId="16" borderId="34" xfId="2" applyNumberFormat="1" applyFont="1" applyFill="1" applyBorder="1" applyAlignment="1">
      <alignment horizontal="center" vertical="center" wrapText="1"/>
    </xf>
    <xf numFmtId="49" fontId="18" fillId="16" borderId="34" xfId="2" applyNumberFormat="1" applyFont="1" applyFill="1" applyBorder="1" applyAlignment="1">
      <alignment horizontal="center" vertical="center" wrapText="1"/>
    </xf>
    <xf numFmtId="0" fontId="20" fillId="16" borderId="34" xfId="2" applyFont="1" applyFill="1" applyBorder="1" applyAlignment="1">
      <alignment horizontal="center" vertical="center" wrapText="1"/>
    </xf>
    <xf numFmtId="0" fontId="20" fillId="16" borderId="34" xfId="2" applyFont="1" applyFill="1" applyBorder="1" applyAlignment="1">
      <alignment horizontal="center" vertical="center"/>
    </xf>
    <xf numFmtId="49" fontId="19" fillId="16" borderId="22" xfId="2" applyNumberFormat="1" applyFont="1" applyFill="1" applyBorder="1" applyAlignment="1">
      <alignment horizontal="center" vertical="center" wrapText="1"/>
    </xf>
    <xf numFmtId="49" fontId="20" fillId="16" borderId="23" xfId="2" applyNumberFormat="1" applyFont="1" applyFill="1" applyBorder="1" applyAlignment="1">
      <alignment horizontal="center" vertical="center" wrapText="1"/>
    </xf>
    <xf numFmtId="49" fontId="20" fillId="16" borderId="17" xfId="2" applyNumberFormat="1" applyFont="1" applyFill="1" applyBorder="1" applyAlignment="1">
      <alignment horizontal="center" vertical="center" wrapText="1"/>
    </xf>
    <xf numFmtId="49" fontId="19" fillId="16" borderId="17" xfId="2" applyNumberFormat="1" applyFont="1" applyFill="1" applyBorder="1" applyAlignment="1">
      <alignment horizontal="center" vertical="center" wrapText="1"/>
    </xf>
    <xf numFmtId="49" fontId="18" fillId="16" borderId="17" xfId="2" applyNumberFormat="1" applyFont="1" applyFill="1" applyBorder="1" applyAlignment="1">
      <alignment horizontal="center" vertical="center" wrapText="1"/>
    </xf>
    <xf numFmtId="0" fontId="20" fillId="16" borderId="17" xfId="2" applyFont="1" applyFill="1" applyBorder="1" applyAlignment="1">
      <alignment horizontal="center" vertical="center" wrapText="1"/>
    </xf>
    <xf numFmtId="0" fontId="20" fillId="16" borderId="17" xfId="2" applyFont="1" applyFill="1" applyBorder="1" applyAlignment="1">
      <alignment horizontal="center" vertical="center"/>
    </xf>
    <xf numFmtId="49" fontId="19" fillId="16" borderId="21" xfId="2" applyNumberFormat="1" applyFont="1" applyFill="1" applyBorder="1" applyAlignment="1">
      <alignment horizontal="center" vertical="center" wrapText="1"/>
    </xf>
    <xf numFmtId="49" fontId="16" fillId="17" borderId="25" xfId="2" applyNumberFormat="1" applyFont="1" applyFill="1" applyBorder="1" applyAlignment="1">
      <alignment horizontal="center" vertical="center" wrapText="1"/>
    </xf>
    <xf numFmtId="49" fontId="14" fillId="13" borderId="8" xfId="2" applyNumberFormat="1" applyFont="1" applyFill="1" applyBorder="1" applyAlignment="1">
      <alignment wrapText="1"/>
    </xf>
    <xf numFmtId="49" fontId="29" fillId="18" borderId="20" xfId="2" applyNumberFormat="1" applyFont="1" applyFill="1" applyBorder="1" applyAlignment="1">
      <alignment wrapText="1"/>
    </xf>
    <xf numFmtId="0" fontId="6" fillId="0" borderId="8" xfId="2" applyFont="1" applyBorder="1" applyAlignment="1">
      <alignment wrapText="1"/>
    </xf>
    <xf numFmtId="49" fontId="29" fillId="0" borderId="8" xfId="2" applyNumberFormat="1" applyFont="1" applyBorder="1" applyAlignment="1">
      <alignment wrapText="1"/>
    </xf>
    <xf numFmtId="49" fontId="12" fillId="0" borderId="8" xfId="2" applyNumberFormat="1" applyFont="1" applyBorder="1" applyAlignment="1">
      <alignment wrapText="1"/>
    </xf>
    <xf numFmtId="0" fontId="29" fillId="0" borderId="8" xfId="2" applyNumberFormat="1" applyFont="1" applyBorder="1" applyAlignment="1">
      <alignment wrapText="1"/>
    </xf>
    <xf numFmtId="0" fontId="12" fillId="0" borderId="8" xfId="2" applyFont="1" applyBorder="1"/>
    <xf numFmtId="49" fontId="9" fillId="19" borderId="26" xfId="2" applyNumberFormat="1" applyFont="1" applyFill="1" applyBorder="1" applyAlignment="1">
      <alignment wrapText="1"/>
    </xf>
    <xf numFmtId="49" fontId="29" fillId="0" borderId="0" xfId="2" applyNumberFormat="1" applyFont="1" applyFill="1" applyBorder="1" applyAlignment="1">
      <alignment wrapText="1"/>
    </xf>
    <xf numFmtId="49" fontId="3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wrapText="1"/>
    </xf>
    <xf numFmtId="49" fontId="11" fillId="20" borderId="26" xfId="2" applyNumberFormat="1" applyFont="1" applyFill="1" applyBorder="1" applyAlignment="1">
      <alignment wrapText="1"/>
    </xf>
    <xf numFmtId="49" fontId="3" fillId="16" borderId="0" xfId="2" applyNumberFormat="1" applyFont="1" applyFill="1" applyAlignment="1">
      <alignment wrapText="1"/>
    </xf>
    <xf numFmtId="0" fontId="15" fillId="3" borderId="8" xfId="2" applyFont="1" applyFill="1" applyBorder="1"/>
    <xf numFmtId="49" fontId="29" fillId="0" borderId="8" xfId="2" applyNumberFormat="1" applyFont="1" applyFill="1" applyBorder="1" applyAlignment="1">
      <alignment wrapText="1"/>
    </xf>
    <xf numFmtId="49" fontId="29" fillId="11" borderId="20" xfId="2" applyNumberFormat="1" applyFont="1" applyFill="1" applyBorder="1" applyAlignment="1">
      <alignment wrapText="1"/>
    </xf>
    <xf numFmtId="0" fontId="11" fillId="2" borderId="0" xfId="2" applyNumberFormat="1" applyFont="1" applyFill="1" applyBorder="1" applyAlignment="1">
      <alignment wrapText="1"/>
    </xf>
    <xf numFmtId="49" fontId="9" fillId="21" borderId="0" xfId="2" applyNumberFormat="1" applyFont="1" applyFill="1" applyBorder="1" applyAlignment="1">
      <alignment wrapText="1"/>
    </xf>
    <xf numFmtId="0" fontId="3" fillId="0" borderId="0" xfId="2" applyNumberFormat="1" applyFont="1" applyBorder="1" applyAlignment="1">
      <alignment wrapText="1"/>
    </xf>
    <xf numFmtId="0" fontId="24" fillId="0" borderId="0" xfId="2" applyFont="1"/>
    <xf numFmtId="49" fontId="8" fillId="0" borderId="0" xfId="2" applyNumberFormat="1" applyFont="1"/>
    <xf numFmtId="49" fontId="9" fillId="16" borderId="7" xfId="2" applyNumberFormat="1" applyFont="1" applyFill="1" applyBorder="1" applyAlignment="1">
      <alignment vertical="center" wrapText="1"/>
    </xf>
    <xf numFmtId="49" fontId="12" fillId="2" borderId="8" xfId="2" applyNumberFormat="1" applyFont="1" applyFill="1" applyBorder="1" applyAlignment="1">
      <alignment vertical="center" wrapText="1"/>
    </xf>
    <xf numFmtId="0" fontId="11" fillId="2" borderId="8" xfId="2" applyNumberFormat="1" applyFont="1" applyFill="1" applyBorder="1" applyAlignment="1">
      <alignment wrapText="1"/>
    </xf>
    <xf numFmtId="49" fontId="24" fillId="3" borderId="8" xfId="2" applyNumberFormat="1" applyFont="1" applyFill="1" applyBorder="1"/>
    <xf numFmtId="49" fontId="11" fillId="0" borderId="35" xfId="2" applyNumberFormat="1" applyFont="1" applyFill="1" applyBorder="1" applyAlignment="1">
      <alignment vertical="center" wrapText="1"/>
    </xf>
    <xf numFmtId="49" fontId="11" fillId="2" borderId="33" xfId="2" applyNumberFormat="1" applyFont="1" applyFill="1" applyBorder="1" applyAlignment="1">
      <alignment vertical="center" wrapText="1"/>
    </xf>
    <xf numFmtId="49" fontId="32" fillId="18" borderId="0" xfId="2" applyNumberFormat="1" applyFont="1" applyFill="1" applyAlignment="1">
      <alignment wrapText="1"/>
    </xf>
    <xf numFmtId="49" fontId="13" fillId="0" borderId="0" xfId="2" applyNumberFormat="1" applyFont="1" applyAlignment="1">
      <alignment wrapText="1"/>
    </xf>
    <xf numFmtId="49" fontId="32" fillId="11" borderId="0" xfId="2" applyNumberFormat="1" applyFont="1" applyFill="1" applyAlignment="1">
      <alignment wrapText="1"/>
    </xf>
    <xf numFmtId="49" fontId="32" fillId="0" borderId="0" xfId="2" applyNumberFormat="1" applyFont="1" applyBorder="1" applyAlignment="1">
      <alignment wrapText="1"/>
    </xf>
    <xf numFmtId="49" fontId="12" fillId="0" borderId="0" xfId="2" applyNumberFormat="1" applyFont="1" applyAlignment="1">
      <alignment wrapText="1"/>
    </xf>
    <xf numFmtId="0" fontId="32" fillId="0" borderId="0" xfId="2" applyNumberFormat="1" applyFont="1" applyBorder="1" applyAlignment="1">
      <alignment wrapText="1"/>
    </xf>
    <xf numFmtId="0" fontId="12" fillId="0" borderId="0" xfId="2" applyFont="1"/>
    <xf numFmtId="49" fontId="9" fillId="19" borderId="0" xfId="2" applyNumberFormat="1" applyFont="1" applyFill="1" applyBorder="1" applyAlignment="1">
      <alignment wrapText="1"/>
    </xf>
    <xf numFmtId="49" fontId="11" fillId="20" borderId="0" xfId="2" applyNumberFormat="1" applyFont="1" applyFill="1" applyBorder="1" applyAlignment="1">
      <alignment wrapText="1"/>
    </xf>
    <xf numFmtId="0" fontId="12" fillId="0" borderId="0" xfId="2" applyFont="1" applyAlignment="1">
      <alignment wrapText="1"/>
    </xf>
    <xf numFmtId="49" fontId="32" fillId="0" borderId="0" xfId="2" applyNumberFormat="1" applyFont="1" applyAlignment="1">
      <alignment wrapText="1"/>
    </xf>
    <xf numFmtId="49" fontId="32" fillId="16" borderId="0" xfId="2" applyNumberFormat="1" applyFont="1" applyFill="1" applyAlignment="1">
      <alignment wrapText="1"/>
    </xf>
    <xf numFmtId="49" fontId="32" fillId="15" borderId="0" xfId="2" applyNumberFormat="1" applyFont="1" applyFill="1" applyAlignment="1">
      <alignment wrapText="1"/>
    </xf>
    <xf numFmtId="49" fontId="12" fillId="2" borderId="0" xfId="2" applyNumberFormat="1" applyFont="1" applyFill="1" applyBorder="1" applyAlignment="1">
      <alignment vertical="center" wrapText="1"/>
    </xf>
    <xf numFmtId="0" fontId="12" fillId="15" borderId="0" xfId="2" applyFont="1" applyFill="1"/>
    <xf numFmtId="0" fontId="33" fillId="0" borderId="0" xfId="2" applyFont="1"/>
    <xf numFmtId="49" fontId="11" fillId="19" borderId="0" xfId="2" applyNumberFormat="1" applyFont="1" applyFill="1" applyBorder="1" applyAlignment="1">
      <alignment wrapText="1"/>
    </xf>
    <xf numFmtId="0" fontId="12" fillId="16" borderId="0" xfId="2" applyFont="1" applyFill="1"/>
    <xf numFmtId="0" fontId="11" fillId="19" borderId="0" xfId="2" applyNumberFormat="1" applyFont="1" applyFill="1" applyBorder="1" applyAlignment="1">
      <alignment wrapText="1"/>
    </xf>
    <xf numFmtId="49" fontId="31" fillId="19" borderId="0" xfId="2" applyNumberFormat="1" applyFont="1" applyFill="1" applyBorder="1" applyAlignment="1">
      <alignment wrapText="1"/>
    </xf>
    <xf numFmtId="49" fontId="11" fillId="0" borderId="0" xfId="2" applyNumberFormat="1" applyFont="1" applyFill="1" applyBorder="1" applyAlignment="1">
      <alignment vertical="center" wrapText="1"/>
    </xf>
    <xf numFmtId="49" fontId="31" fillId="0" borderId="8" xfId="2" applyNumberFormat="1" applyFont="1" applyFill="1" applyBorder="1" applyAlignment="1">
      <alignment wrapText="1"/>
    </xf>
    <xf numFmtId="49" fontId="11" fillId="0" borderId="8" xfId="2" applyNumberFormat="1" applyFont="1" applyFill="1" applyBorder="1" applyAlignment="1">
      <alignment wrapText="1"/>
    </xf>
    <xf numFmtId="49" fontId="9" fillId="0" borderId="7" xfId="2" applyNumberFormat="1" applyFont="1" applyFill="1" applyBorder="1" applyAlignment="1">
      <alignment vertical="center" wrapText="1"/>
    </xf>
    <xf numFmtId="0" fontId="11" fillId="0" borderId="8" xfId="2" applyNumberFormat="1" applyFont="1" applyFill="1" applyBorder="1" applyAlignment="1">
      <alignment wrapText="1"/>
    </xf>
    <xf numFmtId="0" fontId="12" fillId="0" borderId="8" xfId="2" applyFont="1" applyFill="1" applyBorder="1"/>
    <xf numFmtId="0" fontId="11" fillId="2" borderId="9" xfId="2" applyNumberFormat="1" applyFont="1" applyFill="1" applyBorder="1" applyAlignment="1">
      <alignment horizontal="center" vertical="center" wrapText="1"/>
    </xf>
    <xf numFmtId="49" fontId="11" fillId="2" borderId="11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 wrapText="1"/>
    </xf>
    <xf numFmtId="49" fontId="9" fillId="3" borderId="7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 wrapText="1"/>
    </xf>
    <xf numFmtId="49" fontId="18" fillId="4" borderId="7" xfId="2" applyNumberFormat="1" applyFont="1" applyFill="1" applyBorder="1" applyAlignment="1">
      <alignment horizontal="center" vertical="center" wrapText="1"/>
    </xf>
    <xf numFmtId="49" fontId="11" fillId="2" borderId="10" xfId="2" applyNumberFormat="1" applyFont="1" applyFill="1" applyBorder="1" applyAlignment="1">
      <alignment horizontal="center" vertical="center" wrapText="1"/>
    </xf>
    <xf numFmtId="0" fontId="11" fillId="2" borderId="7" xfId="2" applyNumberFormat="1" applyFont="1" applyFill="1" applyBorder="1" applyAlignment="1">
      <alignment horizontal="center" vertical="center" wrapText="1"/>
    </xf>
    <xf numFmtId="49" fontId="9" fillId="14" borderId="7" xfId="2" applyNumberFormat="1" applyFont="1" applyFill="1" applyBorder="1" applyAlignment="1">
      <alignment horizontal="center" vertical="center" wrapText="1"/>
    </xf>
    <xf numFmtId="0" fontId="11" fillId="0" borderId="7" xfId="2" applyNumberFormat="1" applyFont="1" applyFill="1" applyBorder="1" applyAlignment="1">
      <alignment horizontal="center" vertical="center" wrapText="1"/>
    </xf>
    <xf numFmtId="49" fontId="9" fillId="0" borderId="7" xfId="2" applyNumberFormat="1" applyFont="1" applyFill="1" applyBorder="1" applyAlignment="1">
      <alignment horizontal="center" vertical="center" wrapText="1"/>
    </xf>
    <xf numFmtId="0" fontId="9" fillId="0" borderId="7" xfId="2" applyNumberFormat="1" applyFont="1" applyFill="1" applyBorder="1" applyAlignment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0" borderId="7" xfId="2" applyNumberFormat="1" applyFont="1" applyFill="1" applyBorder="1" applyAlignment="1">
      <alignment horizontal="center" vertical="center" wrapText="1"/>
    </xf>
    <xf numFmtId="0" fontId="18" fillId="4" borderId="7" xfId="2" applyNumberFormat="1" applyFont="1" applyFill="1" applyBorder="1" applyAlignment="1">
      <alignment horizontal="center" vertical="center" wrapText="1"/>
    </xf>
    <xf numFmtId="49" fontId="18" fillId="14" borderId="7" xfId="2" applyNumberFormat="1" applyFont="1" applyFill="1" applyBorder="1" applyAlignment="1">
      <alignment horizontal="center" vertical="center" wrapText="1"/>
    </xf>
    <xf numFmtId="49" fontId="4" fillId="4" borderId="12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49" fontId="9" fillId="14" borderId="12" xfId="2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8" fillId="11" borderId="0" xfId="0" applyNumberFormat="1" applyFont="1" applyFill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18" fillId="5" borderId="0" xfId="0" applyNumberFormat="1" applyFont="1" applyFill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9" fillId="4" borderId="7" xfId="2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0" borderId="12" xfId="2" applyNumberFormat="1" applyFont="1" applyFill="1" applyBorder="1" applyAlignment="1">
      <alignment horizontal="center" vertical="center" wrapText="1"/>
    </xf>
    <xf numFmtId="49" fontId="12" fillId="4" borderId="7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Border="1" applyAlignment="1">
      <alignment horizontal="center" vertical="center" wrapText="1"/>
    </xf>
    <xf numFmtId="0" fontId="18" fillId="0" borderId="7" xfId="2" applyNumberFormat="1" applyFont="1" applyFill="1" applyBorder="1" applyAlignment="1">
      <alignment horizontal="center" vertical="center" wrapText="1"/>
    </xf>
    <xf numFmtId="0" fontId="4" fillId="0" borderId="12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35" fillId="7" borderId="0" xfId="2" applyNumberFormat="1" applyFont="1" applyFill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49" fontId="12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49" fontId="4" fillId="4" borderId="0" xfId="2" applyNumberFormat="1" applyFont="1" applyFill="1" applyAlignment="1">
      <alignment horizontal="center" vertical="center" wrapText="1"/>
    </xf>
    <xf numFmtId="49" fontId="12" fillId="4" borderId="0" xfId="2" applyNumberFormat="1" applyFont="1" applyFill="1" applyAlignment="1">
      <alignment horizontal="center" vertical="center" wrapText="1"/>
    </xf>
    <xf numFmtId="49" fontId="13" fillId="0" borderId="0" xfId="2" applyNumberFormat="1" applyFont="1" applyAlignment="1">
      <alignment horizontal="center" vertical="center" wrapText="1"/>
    </xf>
    <xf numFmtId="49" fontId="12" fillId="0" borderId="0" xfId="2" applyNumberFormat="1" applyFont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49" fontId="9" fillId="0" borderId="8" xfId="2" applyNumberFormat="1" applyFont="1" applyBorder="1" applyAlignment="1">
      <alignment horizontal="center" vertical="center"/>
    </xf>
    <xf numFmtId="49" fontId="18" fillId="4" borderId="8" xfId="2" applyNumberFormat="1" applyFont="1" applyFill="1" applyBorder="1" applyAlignment="1">
      <alignment horizontal="center" vertical="center" wrapText="1"/>
    </xf>
    <xf numFmtId="0" fontId="5" fillId="0" borderId="8" xfId="2" applyNumberFormat="1" applyFont="1" applyBorder="1" applyAlignment="1">
      <alignment horizontal="center" vertical="center"/>
    </xf>
    <xf numFmtId="49" fontId="18" fillId="4" borderId="0" xfId="2" applyNumberFormat="1" applyFont="1" applyFill="1" applyBorder="1" applyAlignment="1">
      <alignment horizontal="center" vertical="center" wrapText="1"/>
    </xf>
    <xf numFmtId="49" fontId="18" fillId="0" borderId="0" xfId="2" applyNumberFormat="1" applyFont="1" applyFill="1" applyBorder="1" applyAlignment="1">
      <alignment horizontal="center" vertical="center" wrapText="1"/>
    </xf>
    <xf numFmtId="49" fontId="4" fillId="0" borderId="8" xfId="2" applyNumberFormat="1" applyFont="1" applyFill="1" applyBorder="1" applyAlignment="1">
      <alignment horizontal="center" vertical="center" wrapText="1"/>
    </xf>
    <xf numFmtId="49" fontId="18" fillId="2" borderId="18" xfId="2" applyNumberFormat="1" applyFont="1" applyFill="1" applyBorder="1" applyAlignment="1">
      <alignment horizontal="center" vertical="center" wrapText="1"/>
    </xf>
    <xf numFmtId="49" fontId="18" fillId="2" borderId="7" xfId="2" applyNumberFormat="1" applyFont="1" applyFill="1" applyBorder="1" applyAlignment="1">
      <alignment horizontal="center" vertical="center" wrapText="1"/>
    </xf>
    <xf numFmtId="49" fontId="12" fillId="2" borderId="7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12" fillId="0" borderId="7" xfId="2" applyNumberFormat="1" applyFont="1" applyBorder="1" applyAlignment="1">
      <alignment horizontal="center" vertical="center"/>
    </xf>
    <xf numFmtId="49" fontId="18" fillId="23" borderId="7" xfId="2" applyNumberFormat="1" applyFont="1" applyFill="1" applyBorder="1" applyAlignment="1">
      <alignment horizontal="center" vertical="center" wrapText="1"/>
    </xf>
    <xf numFmtId="49" fontId="35" fillId="7" borderId="7" xfId="2" applyNumberFormat="1" applyFont="1" applyFill="1" applyBorder="1" applyAlignment="1">
      <alignment horizontal="center" vertical="center" wrapText="1"/>
    </xf>
    <xf numFmtId="49" fontId="18" fillId="9" borderId="8" xfId="2" applyNumberFormat="1" applyFont="1" applyFill="1" applyBorder="1" applyAlignment="1">
      <alignment horizontal="center" vertical="center" wrapText="1"/>
    </xf>
    <xf numFmtId="0" fontId="18" fillId="9" borderId="0" xfId="2" applyFont="1" applyFill="1" applyAlignment="1">
      <alignment horizontal="center" vertical="center" wrapText="1"/>
    </xf>
    <xf numFmtId="49" fontId="18" fillId="9" borderId="0" xfId="2" applyNumberFormat="1" applyFont="1" applyFill="1" applyAlignment="1">
      <alignment horizontal="center" vertical="center" wrapText="1"/>
    </xf>
    <xf numFmtId="49" fontId="18" fillId="9" borderId="7" xfId="2" applyNumberFormat="1" applyFont="1" applyFill="1" applyBorder="1" applyAlignment="1">
      <alignment horizontal="center" vertical="center" wrapText="1"/>
    </xf>
    <xf numFmtId="0" fontId="4" fillId="0" borderId="0" xfId="2" applyNumberFormat="1" applyFont="1" applyFill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/>
    </xf>
    <xf numFmtId="0" fontId="4" fillId="4" borderId="0" xfId="2" applyNumberFormat="1" applyFont="1" applyFill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49" fontId="18" fillId="22" borderId="3" xfId="2" applyNumberFormat="1" applyFont="1" applyFill="1" applyBorder="1" applyAlignment="1">
      <alignment horizontal="center" vertical="center" wrapText="1"/>
    </xf>
    <xf numFmtId="49" fontId="18" fillId="23" borderId="3" xfId="2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20" fillId="6" borderId="1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5" fillId="0" borderId="8" xfId="2" applyNumberFormat="1" applyFont="1" applyBorder="1" applyAlignment="1">
      <alignment horizontal="center" vertical="center" wrapText="1"/>
    </xf>
    <xf numFmtId="49" fontId="9" fillId="13" borderId="7" xfId="2" applyNumberFormat="1" applyFont="1" applyFill="1" applyBorder="1" applyAlignment="1">
      <alignment horizontal="center" vertical="center" wrapText="1"/>
    </xf>
    <xf numFmtId="49" fontId="18" fillId="22" borderId="7" xfId="2" applyNumberFormat="1" applyFont="1" applyFill="1" applyBorder="1" applyAlignment="1">
      <alignment horizontal="center" vertical="center" wrapText="1"/>
    </xf>
    <xf numFmtId="0" fontId="18" fillId="4" borderId="7" xfId="2" applyFont="1" applyFill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49" fontId="4" fillId="15" borderId="7" xfId="2" applyNumberFormat="1" applyFont="1" applyFill="1" applyBorder="1" applyAlignment="1">
      <alignment horizontal="center" vertical="center" wrapText="1"/>
    </xf>
    <xf numFmtId="49" fontId="18" fillId="2" borderId="32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18" fillId="4" borderId="7" xfId="0" applyNumberFormat="1" applyFont="1" applyFill="1" applyBorder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7" xfId="2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18" fillId="2" borderId="36" xfId="0" applyNumberFormat="1" applyFont="1" applyFill="1" applyBorder="1" applyAlignment="1">
      <alignment horizontal="center" vertical="center" wrapText="1"/>
    </xf>
    <xf numFmtId="49" fontId="18" fillId="2" borderId="37" xfId="0" applyNumberFormat="1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/>
    </xf>
    <xf numFmtId="49" fontId="12" fillId="4" borderId="7" xfId="0" applyNumberFormat="1" applyFont="1" applyFill="1" applyBorder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49" fontId="5" fillId="0" borderId="0" xfId="2" applyNumberFormat="1" applyFont="1" applyAlignment="1">
      <alignment horizontal="center" vertical="center" wrapText="1"/>
    </xf>
    <xf numFmtId="0" fontId="18" fillId="4" borderId="0" xfId="2" applyFont="1" applyFill="1" applyAlignment="1">
      <alignment horizontal="center" vertical="center"/>
    </xf>
    <xf numFmtId="49" fontId="18" fillId="4" borderId="7" xfId="2" applyNumberFormat="1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8" fillId="4" borderId="7" xfId="2" applyFont="1" applyFill="1" applyBorder="1" applyAlignment="1">
      <alignment horizontal="center" vertical="center" wrapText="1"/>
    </xf>
    <xf numFmtId="0" fontId="18" fillId="9" borderId="7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 wrapText="1"/>
    </xf>
    <xf numFmtId="0" fontId="18" fillId="9" borderId="7" xfId="2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0" fontId="5" fillId="24" borderId="7" xfId="2" applyFont="1" applyFill="1" applyBorder="1" applyAlignment="1">
      <alignment horizontal="center" vertical="center"/>
    </xf>
    <xf numFmtId="49" fontId="4" fillId="24" borderId="7" xfId="2" applyNumberFormat="1" applyFont="1" applyFill="1" applyBorder="1" applyAlignment="1">
      <alignment horizontal="center" vertical="center" wrapText="1"/>
    </xf>
    <xf numFmtId="0" fontId="4" fillId="24" borderId="7" xfId="2" applyNumberFormat="1" applyFont="1" applyFill="1" applyBorder="1" applyAlignment="1">
      <alignment horizontal="center" vertical="center" wrapText="1"/>
    </xf>
    <xf numFmtId="0" fontId="12" fillId="24" borderId="7" xfId="2" applyFont="1" applyFill="1" applyBorder="1" applyAlignment="1">
      <alignment horizontal="center" vertical="center"/>
    </xf>
    <xf numFmtId="49" fontId="9" fillId="24" borderId="7" xfId="2" applyNumberFormat="1" applyFont="1" applyFill="1" applyBorder="1" applyAlignment="1">
      <alignment horizontal="center" vertical="center" wrapText="1"/>
    </xf>
    <xf numFmtId="49" fontId="13" fillId="0" borderId="7" xfId="2" applyNumberFormat="1" applyFont="1" applyBorder="1" applyAlignment="1">
      <alignment horizontal="center" vertical="center" wrapText="1"/>
    </xf>
    <xf numFmtId="49" fontId="9" fillId="12" borderId="27" xfId="2" applyNumberFormat="1" applyFont="1" applyFill="1" applyBorder="1" applyAlignment="1">
      <alignment horizontal="center" vertical="center"/>
    </xf>
    <xf numFmtId="49" fontId="9" fillId="0" borderId="27" xfId="2" applyNumberFormat="1" applyFont="1" applyBorder="1" applyAlignment="1">
      <alignment horizontal="center" vertical="center"/>
    </xf>
    <xf numFmtId="0" fontId="38" fillId="4" borderId="7" xfId="2" applyNumberFormat="1" applyFont="1" applyFill="1" applyBorder="1" applyAlignment="1">
      <alignment horizontal="center" vertical="center" wrapText="1"/>
    </xf>
    <xf numFmtId="49" fontId="38" fillId="4" borderId="7" xfId="2" applyNumberFormat="1" applyFont="1" applyFill="1" applyBorder="1" applyAlignment="1">
      <alignment horizontal="center" vertical="center" wrapText="1"/>
    </xf>
    <xf numFmtId="49" fontId="39" fillId="14" borderId="7" xfId="2" applyNumberFormat="1" applyFont="1" applyFill="1" applyBorder="1" applyAlignment="1">
      <alignment horizontal="center" vertical="center" wrapText="1"/>
    </xf>
    <xf numFmtId="49" fontId="23" fillId="0" borderId="5" xfId="2" applyNumberFormat="1" applyFont="1" applyFill="1" applyBorder="1" applyAlignment="1">
      <alignment horizontal="center" vertical="center" wrapText="1"/>
    </xf>
    <xf numFmtId="49" fontId="11" fillId="0" borderId="0" xfId="2" applyNumberFormat="1" applyFont="1" applyFill="1" applyBorder="1" applyAlignment="1">
      <alignment horizontal="center" vertical="center" wrapText="1"/>
    </xf>
    <xf numFmtId="49" fontId="11" fillId="2" borderId="7" xfId="2" applyNumberFormat="1" applyFont="1" applyFill="1" applyBorder="1" applyAlignment="1">
      <alignment horizontal="center" vertical="center" wrapText="1"/>
    </xf>
    <xf numFmtId="49" fontId="14" fillId="0" borderId="0" xfId="2" applyNumberFormat="1" applyFont="1" applyAlignment="1">
      <alignment horizontal="center" vertical="center" wrapText="1"/>
    </xf>
    <xf numFmtId="49" fontId="5" fillId="0" borderId="0" xfId="2" applyNumberFormat="1" applyFont="1" applyAlignment="1">
      <alignment horizontal="center" vertical="center"/>
    </xf>
    <xf numFmtId="49" fontId="11" fillId="0" borderId="7" xfId="2" applyNumberFormat="1" applyFont="1" applyFill="1" applyBorder="1" applyAlignment="1">
      <alignment horizontal="center" vertical="center" wrapText="1"/>
    </xf>
    <xf numFmtId="49" fontId="15" fillId="0" borderId="7" xfId="2" applyNumberFormat="1" applyFont="1" applyFill="1" applyBorder="1" applyAlignment="1">
      <alignment horizontal="center" vertical="center" wrapText="1"/>
    </xf>
    <xf numFmtId="49" fontId="23" fillId="0" borderId="0" xfId="2" applyNumberFormat="1" applyFont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9" fillId="0" borderId="0" xfId="2" applyNumberFormat="1" applyFont="1" applyAlignment="1">
      <alignment horizontal="center" vertical="center" wrapText="1"/>
    </xf>
    <xf numFmtId="49" fontId="9" fillId="12" borderId="29" xfId="2" applyNumberFormat="1" applyFont="1" applyFill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 wrapText="1"/>
    </xf>
    <xf numFmtId="49" fontId="9" fillId="12" borderId="28" xfId="2" applyNumberFormat="1" applyFont="1" applyFill="1" applyBorder="1" applyAlignment="1">
      <alignment horizontal="center" vertical="center"/>
    </xf>
    <xf numFmtId="49" fontId="15" fillId="0" borderId="0" xfId="2" applyNumberFormat="1" applyFont="1" applyAlignment="1">
      <alignment horizontal="center" vertical="center" wrapText="1"/>
    </xf>
    <xf numFmtId="49" fontId="15" fillId="0" borderId="7" xfId="2" applyNumberFormat="1" applyFont="1" applyBorder="1" applyAlignment="1">
      <alignment horizontal="center" vertical="center" wrapText="1"/>
    </xf>
    <xf numFmtId="49" fontId="14" fillId="0" borderId="0" xfId="2" applyNumberFormat="1" applyFont="1" applyAlignment="1">
      <alignment horizontal="center" vertical="center"/>
    </xf>
    <xf numFmtId="49" fontId="13" fillId="0" borderId="7" xfId="2" applyNumberFormat="1" applyFont="1" applyBorder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49" fontId="14" fillId="4" borderId="12" xfId="2" applyNumberFormat="1" applyFont="1" applyFill="1" applyBorder="1" applyAlignment="1">
      <alignment horizontal="center" vertical="center" wrapText="1"/>
    </xf>
    <xf numFmtId="49" fontId="12" fillId="4" borderId="12" xfId="2" applyNumberFormat="1" applyFont="1" applyFill="1" applyBorder="1" applyAlignment="1">
      <alignment horizontal="center" vertical="center" wrapText="1"/>
    </xf>
    <xf numFmtId="49" fontId="18" fillId="23" borderId="1" xfId="2" applyNumberFormat="1" applyFont="1" applyFill="1" applyBorder="1" applyAlignment="1">
      <alignment horizontal="center" vertical="center" wrapText="1"/>
    </xf>
    <xf numFmtId="49" fontId="37" fillId="4" borderId="7" xfId="2" applyNumberFormat="1" applyFont="1" applyFill="1" applyBorder="1" applyAlignment="1">
      <alignment horizontal="center" vertical="center" wrapText="1"/>
    </xf>
    <xf numFmtId="49" fontId="38" fillId="4" borderId="3" xfId="2" applyNumberFormat="1" applyFont="1" applyFill="1" applyBorder="1" applyAlignment="1">
      <alignment horizontal="center" vertical="center" wrapText="1"/>
    </xf>
    <xf numFmtId="49" fontId="18" fillId="4" borderId="3" xfId="2" applyNumberFormat="1" applyFont="1" applyFill="1" applyBorder="1" applyAlignment="1">
      <alignment horizontal="center" vertical="center" wrapText="1"/>
    </xf>
    <xf numFmtId="49" fontId="18" fillId="0" borderId="7" xfId="2" applyNumberFormat="1" applyFont="1" applyFill="1" applyBorder="1" applyAlignment="1">
      <alignment horizontal="center" vertical="center" wrapText="1"/>
    </xf>
    <xf numFmtId="49" fontId="18" fillId="0" borderId="3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3" xfId="2" applyNumberFormat="1" applyFont="1" applyFill="1" applyBorder="1" applyAlignment="1">
      <alignment horizontal="center" vertical="center" wrapText="1"/>
    </xf>
    <xf numFmtId="49" fontId="5" fillId="0" borderId="7" xfId="2" applyNumberFormat="1" applyFont="1" applyFill="1" applyBorder="1" applyAlignment="1">
      <alignment horizontal="center" vertical="center"/>
    </xf>
    <xf numFmtId="49" fontId="9" fillId="0" borderId="7" xfId="2" applyNumberFormat="1" applyFont="1" applyFill="1" applyBorder="1" applyAlignment="1">
      <alignment horizontal="center" vertical="center"/>
    </xf>
    <xf numFmtId="49" fontId="4" fillId="0" borderId="12" xfId="2" applyNumberFormat="1" applyFont="1" applyFill="1" applyBorder="1" applyAlignment="1">
      <alignment horizontal="center" vertical="center"/>
    </xf>
    <xf numFmtId="49" fontId="12" fillId="0" borderId="12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13" fillId="0" borderId="7" xfId="2" applyFont="1" applyBorder="1" applyAlignment="1">
      <alignment horizontal="center" vertical="center" wrapText="1"/>
    </xf>
    <xf numFmtId="0" fontId="18" fillId="9" borderId="0" xfId="2" applyNumberFormat="1" applyFont="1" applyFill="1" applyAlignment="1">
      <alignment horizontal="center" vertical="center" wrapText="1"/>
    </xf>
    <xf numFmtId="49" fontId="18" fillId="25" borderId="0" xfId="2" applyNumberFormat="1" applyFont="1" applyFill="1" applyBorder="1" applyAlignment="1">
      <alignment horizontal="center" vertical="center" wrapText="1"/>
    </xf>
    <xf numFmtId="49" fontId="9" fillId="25" borderId="0" xfId="2" applyNumberFormat="1" applyFont="1" applyFill="1" applyBorder="1" applyAlignment="1">
      <alignment horizontal="center" vertical="center" wrapText="1"/>
    </xf>
    <xf numFmtId="0" fontId="9" fillId="4" borderId="8" xfId="2" applyNumberFormat="1" applyFont="1" applyFill="1" applyBorder="1" applyAlignment="1">
      <alignment horizontal="center" vertical="center" wrapText="1"/>
    </xf>
    <xf numFmtId="49" fontId="18" fillId="4" borderId="0" xfId="2" applyNumberFormat="1" applyFont="1" applyFill="1" applyAlignment="1">
      <alignment horizontal="center" vertical="center" wrapText="1"/>
    </xf>
    <xf numFmtId="49" fontId="14" fillId="4" borderId="7" xfId="2" applyNumberFormat="1" applyFont="1" applyFill="1" applyBorder="1" applyAlignment="1">
      <alignment horizontal="center" vertical="center" wrapText="1"/>
    </xf>
    <xf numFmtId="49" fontId="4" fillId="4" borderId="3" xfId="2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34" fillId="0" borderId="7" xfId="0" applyNumberFormat="1" applyFont="1" applyFill="1" applyBorder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49" fontId="12" fillId="4" borderId="7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Alignment="1">
      <alignment horizontal="center" vertical="center" wrapText="1"/>
    </xf>
  </cellXfs>
  <cellStyles count="3">
    <cellStyle name="Dropdown" xfId="1"/>
    <cellStyle name="Normal" xfId="0" builtinId="0"/>
    <cellStyle name="Normal 2" xfId="2"/>
  </cellStyles>
  <dxfs count="3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rgb="FF5B9BD5"/>
        </top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alignment horizontal="center" vertical="center" textRotation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center" vertical="center" textRotation="0" wrapText="1" indent="0" justifyLastLine="0" shrinkToFit="0" readingOrder="0"/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vono-x250/Desktop/excel-master/test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thanHuntTB1/Documents/GitHub/excel/testdat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register_csm"/>
      <sheetName val="register_com"/>
      <sheetName val="loan_add"/>
      <sheetName val="ISIC"/>
      <sheetName val="ext"/>
      <sheetName val="loan_config"/>
      <sheetName val="testdat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"/>
      <sheetName val="register_csm"/>
      <sheetName val="register_com"/>
      <sheetName val="login"/>
      <sheetName val="Expense"/>
      <sheetName val="test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register_csm"/>
      <sheetName val="register_com"/>
      <sheetName val="customer_add"/>
      <sheetName val="customer_otherinfo"/>
      <sheetName val="customer_incomefromsalary"/>
      <sheetName val="customer_incomefromcareer"/>
      <sheetName val="customer_expense"/>
      <sheetName val="customer_nonncb"/>
      <sheetName val="loanform_add"/>
      <sheetName val="loanform_config"/>
      <sheetName val="ISIC"/>
      <sheetName val="ext"/>
      <sheetName val="warrantoradd"/>
      <sheetName val="collateralAddLand"/>
      <sheetName val="collateralAddLandandBuilding"/>
      <sheetName val="collateralAddBuilding"/>
      <sheetName val="landProvince"/>
      <sheetName val="testdata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Table1" displayName="Table1" ref="A2:T8" totalsRowShown="0" dataDxfId="183">
  <autoFilter ref="A2:T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182"/>
    <tableColumn id="2" name="Tag" dataDxfId="181"/>
    <tableColumn id="3" name="Data" dataDxfId="180"/>
    <tableColumn id="4" name="FieldNameType" dataDxfId="179"/>
    <tableColumn id="5" name="FieldName" dataDxfId="178"/>
    <tableColumn id="6" name="Value" dataDxfId="177"/>
    <tableColumn id="7" name="Xpath" dataDxfId="176"/>
    <tableColumn id="8" name="Execute" dataDxfId="175"/>
    <tableColumn id="9" name="Data2" dataDxfId="174"/>
    <tableColumn id="10" name="FieldNameType2" dataDxfId="173"/>
    <tableColumn id="11" name="FieldName2" dataDxfId="172"/>
    <tableColumn id="14" name="Value3" dataDxfId="171"/>
    <tableColumn id="12" name="Xpath2" dataDxfId="170"/>
    <tableColumn id="13" name="Execute2" dataDxfId="169"/>
    <tableColumn id="15" name="Data3" dataDxfId="168"/>
    <tableColumn id="19" name="FieldNameType3" dataDxfId="167"/>
    <tableColumn id="18" name="FieldName3" dataDxfId="166"/>
    <tableColumn id="16" name="Value2" dataDxfId="165"/>
    <tableColumn id="17" name="Xpath3" dataDxfId="164"/>
    <tableColumn id="20" name="Execute3" dataDxfId="163"/>
  </tableColumns>
  <tableStyleInfo name="TableStyleDark4" showFirstColumn="0" showLastColumn="0" showRowStripes="1" showColumnStripes="0"/>
</table>
</file>

<file path=xl/tables/table10.xml><?xml version="1.0" encoding="utf-8"?>
<table xmlns="http://schemas.openxmlformats.org/spreadsheetml/2006/main" id="17" name="Table111518" displayName="Table111518" ref="L18:M25" totalsRowShown="0" headerRowDxfId="346" dataDxfId="345">
  <autoFilter ref="L18:M25">
    <filterColumn colId="0" hiddenButton="1"/>
    <filterColumn colId="1" hiddenButton="1"/>
  </autoFilter>
  <tableColumns count="2">
    <tableColumn id="1" name="ช่องทางการรับข่าวสาร" dataDxfId="344"/>
    <tableColumn id="2" name="Column2" dataDxfId="343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L13:M16" totalsRowShown="0" headerRowDxfId="342" dataDxfId="341">
  <autoFilter ref="L13:M16">
    <filterColumn colId="0" hiddenButton="1"/>
    <filterColumn colId="1" hiddenButton="1"/>
  </autoFilter>
  <tableColumns count="2">
    <tableColumn id="1" name="วัตถุประสงค์ของผู้ใช้งานระบบ *" dataDxfId="340"/>
    <tableColumn id="2" name="Column2" dataDxfId="339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22" name="Table22" displayName="Table22" ref="L28:M30" totalsRowShown="0" headerRowDxfId="338" dataDxfId="337">
  <autoFilter ref="L28:M30">
    <filterColumn colId="0" hiddenButton="1"/>
    <filterColumn colId="1" hiddenButton="1"/>
  </autoFilter>
  <tableColumns count="2">
    <tableColumn id="1" name="หน่วยงานที่แนะนำลูกค้า" dataDxfId="336"/>
    <tableColumn id="2" name="Column2" dataDxfId="335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85" name="Table2350" displayName="Table2350" ref="A2:J182" totalsRowShown="0" headerRowDxfId="334" dataDxfId="332" headerRowBorderDxfId="333" tableBorderDxfId="331" totalsRowBorderDxfId="330">
  <autoFilter ref="A2:J1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329"/>
    <tableColumn id="2" name="Name" dataDxfId="328"/>
    <tableColumn id="3" name="Data" dataDxfId="327"/>
    <tableColumn id="4" name="Type" dataDxfId="326"/>
    <tableColumn id="5" name="Value" dataDxfId="325">
      <calculatedColumnFormula>VLOOKUP(Table2350[[#This Row],[Data]],Table252[],2,0)</calculatedColumnFormula>
    </tableColumn>
    <tableColumn id="6" name="FieldName" dataDxfId="0"/>
    <tableColumn id="7" name="FieldNameType" dataDxfId="324"/>
    <tableColumn id="8" name="FieldName (optional)" dataDxfId="1"/>
    <tableColumn id="9" name="execute" dataDxfId="323"/>
    <tableColumn id="10" name="Run" dataDxfId="3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6" name="Table151" displayName="Table151" ref="L3:M5" totalsRowShown="0" headerRowDxfId="321" dataDxfId="320">
  <autoFilter ref="L3:M5">
    <filterColumn colId="0" hiddenButton="1"/>
    <filterColumn colId="1" hiddenButton="1"/>
  </autoFilter>
  <tableColumns count="2">
    <tableColumn id="1" name="การตรวจสอบ NCB" dataDxfId="319"/>
    <tableColumn id="2" name="Column1" dataDxfId="318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87" name="Table252" displayName="Table252" ref="L7:M9" totalsRowShown="0" headerRowDxfId="317" dataDxfId="316">
  <autoFilter ref="L7:M9">
    <filterColumn colId="0" hiddenButton="1"/>
    <filterColumn colId="1" hiddenButton="1"/>
  </autoFilter>
  <tableColumns count="2">
    <tableColumn id="1" name="ค้นหาข้อมูลลูกค้า" dataDxfId="315"/>
    <tableColumn id="2" name="Column1" dataDxfId="314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88" name="Table353" displayName="Table353" ref="L11:M13" totalsRowShown="0" headerRowDxfId="313" dataDxfId="312">
  <autoFilter ref="L11:M13">
    <filterColumn colId="0" hiddenButton="1"/>
    <filterColumn colId="1" hiddenButton="1"/>
  </autoFilter>
  <tableColumns count="2">
    <tableColumn id="1" name="ประเภทลูกค้า" dataDxfId="311"/>
    <tableColumn id="2" name="Column1" dataDxfId="310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id="89" name="Table454" displayName="Table454" ref="L15:M24" totalsRowShown="0" headerRowDxfId="309" dataDxfId="308">
  <autoFilter ref="L15:M24">
    <filterColumn colId="0" hiddenButton="1"/>
    <filterColumn colId="1" hiddenButton="1"/>
  </autoFilter>
  <tableColumns count="2">
    <tableColumn id="1" name="คำค้น (Search Parameter)" dataDxfId="307"/>
    <tableColumn id="2" name="Column1" dataDxfId="306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90" name="Table655" displayName="Table655" ref="L26:M28" totalsRowShown="0" headerRowDxfId="305" dataDxfId="304">
  <autoFilter ref="L26:M28">
    <filterColumn colId="0" hiddenButton="1"/>
    <filterColumn colId="1" hiddenButton="1"/>
  </autoFilter>
  <tableColumns count="2">
    <tableColumn id="1" name="ประเภทผู้ขอสินเชื่อ" dataDxfId="303"/>
    <tableColumn id="2" name="Column1" dataDxfId="302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id="91" name="Table1156" displayName="Table1156" ref="L30:M31" totalsRowShown="0" headerRowDxfId="301" dataDxfId="300">
  <autoFilter ref="L30:M31">
    <filterColumn colId="0" hiddenButton="1"/>
    <filterColumn colId="1" hiddenButton="1"/>
  </autoFilter>
  <tableColumns count="2">
    <tableColumn id="1" name="ลำดับที่" dataDxfId="299"/>
    <tableColumn id="2" name="Column1" dataDxfId="2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bl_field" displayName="tbl_field" ref="A4:A12" totalsRowShown="0" headerRowDxfId="162" dataDxfId="161">
  <autoFilter ref="A4:A12"/>
  <tableColumns count="1">
    <tableColumn id="1" name="list_field" dataDxfId="160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51" name="Table1935" displayName="Table1935" ref="O3:P6" totalsRowShown="0" headerRowDxfId="297" dataDxfId="296">
  <autoFilter ref="O3:P6">
    <filterColumn colId="0" hiddenButton="1"/>
    <filterColumn colId="1" hiddenButton="1"/>
  </autoFilter>
  <tableColumns count="2">
    <tableColumn id="1" name="แหล่งที่มาของรายได้ *" dataDxfId="295"/>
    <tableColumn id="2" name="Column1" dataDxfId="294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52" name="Table2036" displayName="Table2036" ref="O8:P15" totalsRowShown="0" headerRowDxfId="293" dataDxfId="292">
  <autoFilter ref="O8:P15">
    <filterColumn colId="0" hiddenButton="1"/>
    <filterColumn colId="1" hiddenButton="1"/>
  </autoFilter>
  <tableColumns count="2">
    <tableColumn id="1" name="ความสัมพันธ์ของผู้กู้ร่วมที่มีต่อการกู้ *" dataDxfId="291"/>
    <tableColumn id="2" name="Column1" dataDxfId="290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id="53" name="Table2154" displayName="Table2154" ref="O17:P24" totalsRowShown="0" headerRowDxfId="289" dataDxfId="288" tableBorderDxfId="287">
  <autoFilter ref="O17:P24">
    <filterColumn colId="0" hiddenButton="1"/>
    <filterColumn colId="1" hiddenButton="1"/>
  </autoFilter>
  <tableColumns count="2">
    <tableColumn id="1" name="ความสัมพันธ์ของผู้ค้ำประกันกับผู้กู้หลัก *" dataDxfId="286"/>
    <tableColumn id="2" name="Column1" dataDxfId="285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54" name="Table2555" displayName="Table2555" ref="O26:P34" totalsRowShown="0" headerRowDxfId="284" dataDxfId="283">
  <autoFilter ref="O26:P34">
    <filterColumn colId="0" hiddenButton="1"/>
    <filterColumn colId="1" hiddenButton="1"/>
  </autoFilter>
  <tableColumns count="2">
    <tableColumn id="1" name="ประเภทที่พักอาศัย *" dataDxfId="282"/>
    <tableColumn id="2" name="Column1" dataDxfId="281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id="55" name="Table2640" displayName="Table2640" ref="O36:P46" totalsRowShown="0" headerRowDxfId="280" dataDxfId="279">
  <autoFilter ref="O36:P46">
    <filterColumn colId="0" hiddenButton="1"/>
    <filterColumn colId="1" hiddenButton="1"/>
  </autoFilter>
  <tableColumns count="2">
    <tableColumn id="1" name="สถานะที่พักอาศัย *" dataDxfId="278"/>
    <tableColumn id="2" name="Column1" dataDxfId="277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id="58" name="Table3142" displayName="Table3142" ref="R3:S8" totalsRowShown="0" headerRowDxfId="276" dataDxfId="275">
  <autoFilter ref="R3:S8">
    <filterColumn colId="0" hiddenButton="1"/>
    <filterColumn colId="1" hiddenButton="1"/>
  </autoFilter>
  <tableColumns count="2">
    <tableColumn id="1" name="กรรมสิทธิ์ในสถานที่ประกอบการ" dataDxfId="274"/>
    <tableColumn id="2" name="Column1" dataDxfId="273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id="59" name="Table3243" displayName="Table3243" ref="R10:S18" totalsRowShown="0" headerRowDxfId="272" dataDxfId="271">
  <autoFilter ref="R10:S18">
    <filterColumn colId="0" hiddenButton="1"/>
    <filterColumn colId="1" hiddenButton="1"/>
  </autoFilter>
  <tableColumns count="2">
    <tableColumn id="1" name="ลักษณะสถานที่ประกอบการ" dataDxfId="270"/>
    <tableColumn id="2" name="Column1" dataDxfId="269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R20:S22" totalsRowShown="0" headerRowDxfId="268" dataDxfId="267">
  <autoFilter ref="R20:S22">
    <filterColumn colId="0" hiddenButton="1"/>
    <filterColumn colId="1" hiddenButton="1"/>
  </autoFilter>
  <tableColumns count="2">
    <tableColumn id="1" name="ค่าใช้จ่าย" dataDxfId="266"/>
    <tableColumn id="2" name="Column1" dataDxfId="265" dataCellStyle="Normal 2"/>
  </tableColumns>
  <tableStyleInfo name="TableStyleMedium14" showFirstColumn="0" showLastColumn="0" showRowStripes="1" showColumnStripes="0"/>
</table>
</file>

<file path=xl/tables/table28.xml><?xml version="1.0" encoding="utf-8"?>
<table xmlns="http://schemas.openxmlformats.org/spreadsheetml/2006/main" id="23" name="Table23" displayName="Table23" ref="A2:J94" totalsRowShown="0" headerRowDxfId="264" dataDxfId="263" tableBorderDxfId="262">
  <autoFilter ref="A2:J9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61"/>
    <tableColumn id="2" name="Name" dataDxfId="260"/>
    <tableColumn id="3" name="Data" dataDxfId="259"/>
    <tableColumn id="4" name="Type" dataDxfId="258"/>
    <tableColumn id="5" name="Value" dataDxfId="257">
      <calculatedColumnFormula>VLOOKUP(Table23[[#This Row],[Data]],L7:M8,2,0)</calculatedColumnFormula>
    </tableColumn>
    <tableColumn id="6" name="FieldName" dataDxfId="256"/>
    <tableColumn id="7" name="FieldNameType" dataDxfId="255"/>
    <tableColumn id="8" name="FieldName (optional)" dataDxfId="254"/>
    <tableColumn id="9" name="execute" dataDxfId="253"/>
    <tableColumn id="10" name="Run" dataDxfId="25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Table28" displayName="Table28" ref="L2:M5" totalsRowShown="0" headerRowDxfId="251" dataDxfId="250">
  <autoFilter ref="L2:M5">
    <filterColumn colId="0" hiddenButton="1"/>
    <filterColumn colId="1" hiddenButton="1"/>
  </autoFilter>
  <tableColumns count="2">
    <tableColumn id="1" name="วัตถุประสงค์การขอสินเชื่อ *" dataDxfId="249"/>
    <tableColumn id="2" name="Column1" dataDxfId="24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8" name="tbl_fieldref" displayName="tbl_fieldref" ref="C4:C8" totalsRowShown="0" headerRowDxfId="159" dataDxfId="158">
  <autoFilter ref="C4:C8"/>
  <tableColumns count="1">
    <tableColumn id="1" name="list_fieldref" dataDxfId="157"/>
  </tableColumns>
  <tableStyleInfo name="TableStyleMedium5" showFirstColumn="0" showLastColumn="0" showRowStripes="1" showColumnStripes="0"/>
</table>
</file>

<file path=xl/tables/table30.xml><?xml version="1.0" encoding="utf-8"?>
<table xmlns="http://schemas.openxmlformats.org/spreadsheetml/2006/main" id="29" name="Table29" displayName="Table29" ref="L7:M9" totalsRowShown="0" headerRowDxfId="247" dataDxfId="246">
  <autoFilter ref="L7:M9">
    <filterColumn colId="0" hiddenButton="1"/>
    <filterColumn colId="1" hiddenButton="1"/>
  </autoFilter>
  <tableColumns count="2">
    <tableColumn id="1" name="กลุ่มผลิตภัณฑ์ *" dataDxfId="245"/>
    <tableColumn id="2" name="Column1" dataDxfId="244"/>
  </tableColumns>
  <tableStyleInfo name="TableStyleMedium5" showFirstColumn="0" showLastColumn="0" showRowStripes="1" showColumnStripes="0"/>
</table>
</file>

<file path=xl/tables/table31.xml><?xml version="1.0" encoding="utf-8"?>
<table xmlns="http://schemas.openxmlformats.org/spreadsheetml/2006/main" id="30" name="Table30" displayName="Table30" ref="L11:M17" totalsRowShown="0" headerRowDxfId="243" dataDxfId="242">
  <autoFilter ref="L11:M17">
    <filterColumn colId="0" hiddenButton="1"/>
    <filterColumn colId="1" hiddenButton="1"/>
  </autoFilter>
  <tableColumns count="2">
    <tableColumn id="1" name="Product Type *" dataDxfId="241"/>
    <tableColumn id="2" name="Column1" dataDxfId="240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id="31" name="Table31" displayName="Table31" ref="L19:M21" totalsRowShown="0" headerRowDxfId="239" dataDxfId="238">
  <autoFilter ref="L19:M21">
    <filterColumn colId="0" hiddenButton="1"/>
    <filterColumn colId="1" hiddenButton="1"/>
  </autoFilter>
  <tableColumns count="2">
    <tableColumn id="1" name="Account Sub Type *" dataDxfId="237"/>
    <tableColumn id="2" name="Column1" dataDxfId="236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L23:M32" totalsRowShown="0" headerRowDxfId="235" dataDxfId="234">
  <autoFilter ref="L23:M32">
    <filterColumn colId="0" hiddenButton="1"/>
    <filterColumn colId="1" hiddenButton="1"/>
  </autoFilter>
  <tableColumns count="2">
    <tableColumn id="1" name="Market Code *" dataDxfId="233"/>
    <tableColumn id="2" name="Column1" dataDxfId="232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L34:M37" totalsRowShown="0" headerRowDxfId="231" dataDxfId="230">
  <autoFilter ref="L34:M37">
    <filterColumn colId="0" hiddenButton="1"/>
    <filterColumn colId="1" hiddenButton="1"/>
  </autoFilter>
  <tableColumns count="2">
    <tableColumn id="1" name="ระยะเวลาผ่อนชำระ" dataDxfId="229"/>
    <tableColumn id="2" name="Column1" dataDxfId="228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id="4" name="Table3444365" displayName="Table3444365" ref="L39:M59" totalsRowShown="0" headerRowDxfId="227" dataDxfId="226">
  <autoFilter ref="L39:M59">
    <filterColumn colId="0" hiddenButton="1"/>
    <filterColumn colId="1" hiddenButton="1"/>
  </autoFilter>
  <tableColumns count="2">
    <tableColumn id="1" name="อัตราดอกเบี้ย *" dataDxfId="225"/>
    <tableColumn id="2" name="Column1" dataDxfId="224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id="5" name="Table3545386" displayName="Table3545386" ref="L61:M63" totalsRowShown="0" headerRowDxfId="223" dataDxfId="222">
  <autoFilter ref="L61:M63">
    <filterColumn colId="0" hiddenButton="1"/>
    <filterColumn colId="1" hiddenButton="1"/>
  </autoFilter>
  <tableColumns count="2">
    <tableColumn id="1" name="ส่วนต่าง" dataDxfId="221"/>
    <tableColumn id="2" name="Column1" dataDxfId="220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id="6" name="Table2397" displayName="Table2397" ref="L65:M68" totalsRowShown="0" headerRowDxfId="219" dataDxfId="218">
  <autoFilter ref="L65:M68">
    <filterColumn colId="0" hiddenButton="1"/>
    <filterColumn colId="1" hiddenButton="1"/>
  </autoFilter>
  <tableColumns count="2">
    <tableColumn id="1" name="Payment Calculation Method" dataDxfId="217"/>
    <tableColumn id="2" name="Column1" dataDxfId="216"/>
  </tableColumns>
  <tableStyleInfo name="TableStyleMedium12" showFirstColumn="0" showLastColumn="0" showRowStripes="1" showColumnStripes="0"/>
</table>
</file>

<file path=xl/tables/table38.xml><?xml version="1.0" encoding="utf-8"?>
<table xmlns="http://schemas.openxmlformats.org/spreadsheetml/2006/main" id="11" name="Table34012" displayName="Table34012" ref="L70:M75" totalsRowShown="0" headerRowDxfId="215" dataDxfId="214">
  <autoFilter ref="L70:M75">
    <filterColumn colId="0" hiddenButton="1"/>
    <filterColumn colId="1" hiddenButton="1"/>
  </autoFilter>
  <tableColumns count="2">
    <tableColumn id="1" name="Payment Frequency" dataDxfId="213"/>
    <tableColumn id="2" name="Column1" dataDxfId="212"/>
  </tableColumns>
  <tableStyleInfo name="TableStyleMedium12" showFirstColumn="0" showLastColumn="0" showRowStripes="1" showColumnStripes="0"/>
</table>
</file>

<file path=xl/tables/table39.xml><?xml version="1.0" encoding="utf-8"?>
<table xmlns="http://schemas.openxmlformats.org/spreadsheetml/2006/main" id="19" name="Table44120" displayName="Table44120" ref="L77:M80" totalsRowShown="0" headerRowDxfId="211" dataDxfId="210">
  <autoFilter ref="L77:M80">
    <filterColumn colId="0" hiddenButton="1"/>
    <filterColumn colId="1" hiddenButton="1"/>
  </autoFilter>
  <tableColumns count="2">
    <tableColumn id="1" name="กรณีวันที่ชำระตรงกับวันหยุด *" dataDxfId="209"/>
    <tableColumn id="2" name="Column1" dataDxfId="208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A2" totalsRowShown="0" headerRowDxfId="156" dataDxfId="155">
  <autoFilter ref="A1:A2"/>
  <tableColumns count="1">
    <tableColumn id="1" name="dd_Field" dataDxfId="154"/>
  </tableColumns>
  <tableStyleInfo name="TableStyleMedium14" showFirstColumn="0" showLastColumn="0" showRowStripes="1" showColumnStripes="0"/>
</table>
</file>

<file path=xl/tables/table40.xml><?xml version="1.0" encoding="utf-8"?>
<table xmlns="http://schemas.openxmlformats.org/spreadsheetml/2006/main" id="20" name="Table54221" displayName="Table54221" ref="L82:M87" totalsRowShown="0" headerRowDxfId="207" dataDxfId="206">
  <autoFilter ref="L82:M87">
    <filterColumn colId="0" hiddenButton="1"/>
    <filterColumn colId="1" hiddenButton="1"/>
  </autoFilter>
  <tableColumns count="2">
    <tableColumn id="1" name="ชำระทุกวันที่ *" dataDxfId="205"/>
    <tableColumn id="2" name="Column1" dataDxfId="204"/>
  </tableColumns>
  <tableStyleInfo name="TableStyleMedium12" showFirstColumn="0" showLastColumn="0" showRowStripes="1" showColumnStripes="0"/>
</table>
</file>

<file path=xl/tables/table41.xml><?xml version="1.0" encoding="utf-8"?>
<table xmlns="http://schemas.openxmlformats.org/spreadsheetml/2006/main" id="36" name="Table64337" displayName="Table64337" ref="L89:M99" totalsRowShown="0" headerRowDxfId="203" dataDxfId="202">
  <autoFilter ref="L89:M99">
    <filterColumn colId="0" hiddenButton="1"/>
    <filterColumn colId="1" hiddenButton="1"/>
  </autoFilter>
  <tableColumns count="2">
    <tableColumn id="1" name="Arrangement Purpose Code *" dataDxfId="201"/>
    <tableColumn id="2" name="Column1" dataDxfId="200"/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id="43" name="Table114644" displayName="Table114644" ref="L101:M103" totalsRowShown="0" headerRowDxfId="199" dataDxfId="198">
  <autoFilter ref="L101:M103">
    <filterColumn colId="0" hiddenButton="1"/>
    <filterColumn colId="1" hiddenButton="1"/>
  </autoFilter>
  <tableColumns count="2">
    <tableColumn id="1" name="Commit Line *" dataDxfId="197"/>
    <tableColumn id="2" name="Column1" dataDxfId="196"/>
  </tableColumns>
  <tableStyleInfo name="TableStyleMedium12" showFirstColumn="0" showLastColumn="0" showRowStripes="1" showColumnStripes="0"/>
</table>
</file>

<file path=xl/tables/table43.xml><?xml version="1.0" encoding="utf-8"?>
<table xmlns="http://schemas.openxmlformats.org/spreadsheetml/2006/main" id="44" name="Table194745" displayName="Table194745" ref="L105:M110" totalsRowShown="0" headerRowDxfId="195" dataDxfId="194">
  <autoFilter ref="L105:M110">
    <filterColumn colId="0" hiddenButton="1"/>
    <filterColumn colId="1" hiddenButton="1"/>
  </autoFilter>
  <tableColumns count="2">
    <tableColumn id="1" name="Specialised Lending *" dataDxfId="193"/>
    <tableColumn id="2" name="Column1" dataDxfId="192"/>
  </tableColumns>
  <tableStyleInfo name="TableStyleMedium12" showFirstColumn="0" showLastColumn="0" showRowStripes="1" showColumnStripes="0"/>
</table>
</file>

<file path=xl/tables/table44.xml><?xml version="1.0" encoding="utf-8"?>
<table xmlns="http://schemas.openxmlformats.org/spreadsheetml/2006/main" id="48" name="Table204849" displayName="Table204849" ref="L112:M118" totalsRowShown="0" headerRowDxfId="191" dataDxfId="190">
  <autoFilter ref="L112:M118">
    <filterColumn colId="0" hiddenButton="1"/>
    <filterColumn colId="1" hiddenButton="1"/>
  </autoFilter>
  <tableColumns count="2">
    <tableColumn id="1" name="สถานะการเรียกเก็บ *" dataDxfId="189"/>
    <tableColumn id="2" name="Column1" dataDxfId="188"/>
  </tableColumns>
  <tableStyleInfo name="TableStyleMedium12" showFirstColumn="0" showLastColumn="0" showRowStripes="1" showColumnStripes="0"/>
</table>
</file>

<file path=xl/tables/table45.xml><?xml version="1.0" encoding="utf-8"?>
<table xmlns="http://schemas.openxmlformats.org/spreadsheetml/2006/main" id="92" name="Table6393" displayName="Table6393" ref="L120:M125" totalsRowShown="0" headerRowDxfId="187" dataDxfId="186">
  <autoFilter ref="L120:M125">
    <filterColumn colId="0" hiddenButton="1"/>
    <filterColumn colId="1" hiddenButton="1"/>
  </autoFilter>
  <tableColumns count="2">
    <tableColumn id="1" name="ประเภทหน่วยงาน" dataDxfId="185"/>
    <tableColumn id="2" name="Column1" dataDxfId="184"/>
  </tableColumns>
  <tableStyleInfo name="TableStyleMedium5" showFirstColumn="0" showLastColumn="0" showRowStripes="1" showColumnStripes="0"/>
</table>
</file>

<file path=xl/tables/table46.xml><?xml version="1.0" encoding="utf-8"?>
<table xmlns="http://schemas.openxmlformats.org/spreadsheetml/2006/main" id="62" name="Table235057" displayName="Table235057" ref="A2:J17" totalsRowShown="0" headerRowDxfId="144" dataDxfId="143" tableBorderDxfId="142">
  <autoFilter ref="A2: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141"/>
    <tableColumn id="2" name="Name" dataDxfId="140"/>
    <tableColumn id="3" name="Data" dataDxfId="139"/>
    <tableColumn id="4" name="Type" dataDxfId="138"/>
    <tableColumn id="5" name="Value" dataDxfId="137">
      <calculatedColumnFormula>VLOOKUP(Table235057[[#This Row],[Data]],Table252[],2,0)</calculatedColumnFormula>
    </tableColumn>
    <tableColumn id="6" name="FieldName" dataDxfId="136"/>
    <tableColumn id="7" name="FieldNameType" dataDxfId="135"/>
    <tableColumn id="8" name="FieldName (optional)" dataDxfId="134"/>
    <tableColumn id="9" name="execute" dataDxfId="133"/>
    <tableColumn id="10" name="Run" dataDxfId="13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3" name="Table15158" displayName="Table15158" ref="L2:M4" totalsRowShown="0" headerRowDxfId="131" dataDxfId="130">
  <autoFilter ref="L2:M4"/>
  <tableColumns count="2">
    <tableColumn id="1" name="การตรวจสอบ NCB" dataDxfId="129"/>
    <tableColumn id="2" name="Column1" dataDxfId="128"/>
  </tableColumns>
  <tableStyleInfo name="TableStyleLight10" showFirstColumn="0" showLastColumn="0" showRowStripes="1" showColumnStripes="0"/>
</table>
</file>

<file path=xl/tables/table48.xml><?xml version="1.0" encoding="utf-8"?>
<table xmlns="http://schemas.openxmlformats.org/spreadsheetml/2006/main" id="64" name="Table25259" displayName="Table25259" ref="L6:M8" totalsRowShown="0" headerRowDxfId="127" dataDxfId="126">
  <autoFilter ref="L6:M8"/>
  <tableColumns count="2">
    <tableColumn id="1" name="ค้นหาข้อมูลลูกค้า" dataDxfId="125"/>
    <tableColumn id="2" name="Column1" dataDxfId="124"/>
  </tableColumns>
  <tableStyleInfo name="TableStyleLight10" showFirstColumn="0" showLastColumn="0" showRowStripes="1" showColumnStripes="0"/>
</table>
</file>

<file path=xl/tables/table49.xml><?xml version="1.0" encoding="utf-8"?>
<table xmlns="http://schemas.openxmlformats.org/spreadsheetml/2006/main" id="65" name="Table35360" displayName="Table35360" ref="L10:M12" totalsRowShown="0" headerRowDxfId="123" dataDxfId="122">
  <autoFilter ref="L10:M12"/>
  <tableColumns count="2">
    <tableColumn id="1" name="ประเภทลูกค้า" dataDxfId="121"/>
    <tableColumn id="2" name="Column1" dataDxfId="120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C1:C2" totalsRowShown="0" headerRowDxfId="153" dataDxfId="152">
  <autoFilter ref="C1:C2"/>
  <tableColumns count="1">
    <tableColumn id="1" name="dd_FieldRef" dataDxfId="151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id="66" name="Table45461" displayName="Table45461" ref="L14:M23" totalsRowShown="0" headerRowDxfId="119" dataDxfId="118">
  <autoFilter ref="L14:M23"/>
  <tableColumns count="2">
    <tableColumn id="1" name="คำค้น (Search Parameter)" dataDxfId="117"/>
    <tableColumn id="2" name="Column1" dataDxfId="116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id="67" name="Table65562" displayName="Table65562" ref="L25:M27" totalsRowShown="0" headerRowDxfId="115" dataDxfId="114">
  <autoFilter ref="L25:M27"/>
  <tableColumns count="2">
    <tableColumn id="1" name="ประเภทผู้ขอสินเชื่อ" dataDxfId="113"/>
    <tableColumn id="2" name="Column1" dataDxfId="112"/>
  </tableColumns>
  <tableStyleInfo name="TableStyleMedium6" showFirstColumn="0" showLastColumn="0" showRowStripes="1" showColumnStripes="0"/>
</table>
</file>

<file path=xl/tables/table52.xml><?xml version="1.0" encoding="utf-8"?>
<table xmlns="http://schemas.openxmlformats.org/spreadsheetml/2006/main" id="68" name="Table115663" displayName="Table115663" ref="L29:M30" totalsRowShown="0">
  <autoFilter ref="L29:M30"/>
  <tableColumns count="2">
    <tableColumn id="1" name="ลำดับที่" dataDxfId="111"/>
    <tableColumn id="2" name="Column1" dataDxfId="11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9" name="Table236284748" displayName="Table236284748" ref="A2:I13" totalsRowShown="0" headerRowDxfId="109" dataDxfId="108" tableBorderDxfId="107">
  <autoFilter ref="A2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06"/>
    <tableColumn id="2" name="Name" dataDxfId="105"/>
    <tableColumn id="3" name="Data" dataDxfId="104"/>
    <tableColumn id="4" name="Type" dataDxfId="103"/>
    <tableColumn id="5" name="Value" dataDxfId="102">
      <calculatedColumnFormula>VLOOKUP(Table236284748[[#This Row],[Data]],Table252[#Data],2,0)</calculatedColumnFormula>
    </tableColumn>
    <tableColumn id="6" name="FieldName" dataDxfId="101"/>
    <tableColumn id="7" name="FieldNameType" dataDxfId="100"/>
    <tableColumn id="8" name="FieldName (optional)" dataDxfId="99"/>
    <tableColumn id="9" name="execute" dataDxfId="9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70" name="Table64" displayName="Table64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97"/>
  </tableColumns>
  <tableStyleInfo name="TableStyleMedium6" showFirstColumn="0" showLastColumn="0" showRowStripes="1" showColumnStripes="0"/>
</table>
</file>

<file path=xl/tables/table55.xml><?xml version="1.0" encoding="utf-8"?>
<table xmlns="http://schemas.openxmlformats.org/spreadsheetml/2006/main" id="71" name="Table65" displayName="Table65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96"/>
    <tableColumn id="2" name="Column1"/>
  </tableColumns>
  <tableStyleInfo name="TableStyleMedium6" showFirstColumn="0" showLastColumn="0" showRowStripes="1" showColumnStripes="0"/>
</table>
</file>

<file path=xl/tables/table56.xml><?xml version="1.0" encoding="utf-8"?>
<table xmlns="http://schemas.openxmlformats.org/spreadsheetml/2006/main" id="72" name="Table67" displayName="Table67" ref="L16:M17" totalsRowShown="0" dataDxfId="95">
  <autoFilter ref="L16:M17">
    <filterColumn colId="0" hiddenButton="1"/>
    <filterColumn colId="1" hiddenButton="1"/>
  </autoFilter>
  <tableColumns count="2">
    <tableColumn id="1" name="ประเทศ *" dataDxfId="94"/>
    <tableColumn id="2" name="Column1" dataDxfId="93"/>
  </tableColumns>
  <tableStyleInfo name="TableStyleMedium6" showFirstColumn="0" showLastColumn="0" showRowStripes="1" showColumnStripes="0"/>
</table>
</file>

<file path=xl/tables/table57.xml><?xml version="1.0" encoding="utf-8"?>
<table xmlns="http://schemas.openxmlformats.org/spreadsheetml/2006/main" id="73" name="Table69" displayName="Table69" ref="L9:M14" totalsRowShown="0" dataDxfId="92">
  <autoFilter ref="L9:M14">
    <filterColumn colId="0" hiddenButton="1"/>
    <filterColumn colId="1" hiddenButton="1"/>
  </autoFilter>
  <tableColumns count="2">
    <tableColumn id="1" name="หลักประกันย่อย *" dataDxfId="91"/>
    <tableColumn id="2" name="Column1" dataDxfId="90"/>
  </tableColumns>
  <tableStyleInfo name="TableStyleMedium6" showFirstColumn="0" showLastColumn="0" showRowStripes="1" showColumnStripes="0"/>
</table>
</file>

<file path=xl/tables/table58.xml><?xml version="1.0" encoding="utf-8"?>
<table xmlns="http://schemas.openxmlformats.org/spreadsheetml/2006/main" id="74" name="Table71" displayName="Table71" ref="N32:AE37" headerRowCount="0" totalsRowShown="0" headerRowDxfId="89" headerRowBorderDxfId="88" tableBorderDxfId="87" totalsRowBorderDxfId="86">
  <tableColumns count="18">
    <tableColumn id="1" name="Column1" headerRowDxfId="85" dataDxfId="84"/>
    <tableColumn id="2" name="Column2" headerRowDxfId="83" dataDxfId="82"/>
    <tableColumn id="3" name="Column3" headerRowDxfId="81" dataDxfId="80"/>
    <tableColumn id="4" name="Column4" headerRowDxfId="79" dataDxfId="78"/>
    <tableColumn id="5" name="Column5" headerRowDxfId="77" dataDxfId="76"/>
    <tableColumn id="6" name="Column6" headerRowDxfId="75" dataDxfId="74"/>
    <tableColumn id="7" name="Column7" headerRowDxfId="73" dataDxfId="72"/>
    <tableColumn id="8" name="Column8" headerRowDxfId="71" dataDxfId="70"/>
    <tableColumn id="9" name="Column9" headerRowDxfId="69" dataDxfId="68"/>
    <tableColumn id="10" name="Column10" headerRowDxfId="67" dataDxfId="66"/>
    <tableColumn id="11" name="Column11" headerRowDxfId="65" dataDxfId="64"/>
    <tableColumn id="12" name="Column12" headerRowDxfId="63" dataDxfId="62"/>
    <tableColumn id="13" name="Column13" headerRowDxfId="61" dataDxfId="60"/>
    <tableColumn id="14" name="Column14" headerRowDxfId="59" dataDxfId="58"/>
    <tableColumn id="15" name="Column15" headerRowDxfId="57" dataDxfId="56"/>
    <tableColumn id="16" name="Column16" headerRowDxfId="55" dataDxfId="54"/>
    <tableColumn id="17" name="Column17" headerRowDxfId="53" dataDxfId="52"/>
    <tableColumn id="18" name="Column18" headerRowDxfId="51" dataDxfId="50"/>
  </tableColumns>
  <tableStyleInfo name="TableStyleLight15" showFirstColumn="0" showLastColumn="0" showRowStripes="0" showColumnStripes="0"/>
</table>
</file>

<file path=xl/tables/table59.xml><?xml version="1.0" encoding="utf-8"?>
<table xmlns="http://schemas.openxmlformats.org/spreadsheetml/2006/main" id="75" name="Table23628474876" displayName="Table23628474876" ref="A2:J20" totalsRowShown="0" headerRowDxfId="49" dataDxfId="48" tableBorderDxfId="47">
  <autoFilter ref="A2:J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46"/>
    <tableColumn id="2" name="Name" dataDxfId="45"/>
    <tableColumn id="3" name="Data" dataDxfId="44"/>
    <tableColumn id="4" name="Type" dataDxfId="43"/>
    <tableColumn id="5" name="Value" dataDxfId="42">
      <calculatedColumnFormula>VLOOKUP(Table23628474876[[#This Row],[Data]],Table252[#Data],2,0)</calculatedColumnFormula>
    </tableColumn>
    <tableColumn id="6" name="FieldName" dataDxfId="41"/>
    <tableColumn id="7" name="FieldNameType" dataDxfId="40"/>
    <tableColumn id="8" name="FieldName (optional)" dataDxfId="39"/>
    <tableColumn id="9" name="execute" dataDxfId="38"/>
    <tableColumn id="10" name="Run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21" displayName="Table21" ref="E4:E6" totalsRowShown="0" headerRowDxfId="150" dataDxfId="149">
  <autoFilter ref="E4:E6"/>
  <tableColumns count="1">
    <tableColumn id="1" name="run" dataDxfId="148"/>
  </tableColumns>
  <tableStyleInfo name="TableStyleMedium5" showFirstColumn="0" showLastColumn="0" showRowStripes="1" showColumnStripes="0"/>
</table>
</file>

<file path=xl/tables/table60.xml><?xml version="1.0" encoding="utf-8"?>
<table xmlns="http://schemas.openxmlformats.org/spreadsheetml/2006/main" id="76" name="Table6477" displayName="Table6477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36"/>
  </tableColumns>
  <tableStyleInfo name="TableStyleMedium6" showFirstColumn="0" showLastColumn="0" showRowStripes="1" showColumnStripes="0"/>
</table>
</file>

<file path=xl/tables/table61.xml><?xml version="1.0" encoding="utf-8"?>
<table xmlns="http://schemas.openxmlformats.org/spreadsheetml/2006/main" id="77" name="Table6578" displayName="Table6578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/>
    <tableColumn id="2" name="Column1"/>
  </tableColumns>
  <tableStyleInfo name="TableStyleMedium6" showFirstColumn="0" showLastColumn="0" showRowStripes="1" showColumnStripes="0"/>
</table>
</file>

<file path=xl/tables/table62.xml><?xml version="1.0" encoding="utf-8"?>
<table xmlns="http://schemas.openxmlformats.org/spreadsheetml/2006/main" id="78" name="Table6979" displayName="Table6979" ref="L9:M14" totalsRowShown="0" dataDxfId="35">
  <autoFilter ref="L9:M14">
    <filterColumn colId="0" hiddenButton="1"/>
    <filterColumn colId="1" hiddenButton="1"/>
  </autoFilter>
  <tableColumns count="2">
    <tableColumn id="1" name="หลักประกันย่อย *" dataDxfId="34"/>
    <tableColumn id="2" name="Column1" dataDxfId="33"/>
  </tableColumns>
  <tableStyleInfo name="TableStyleMedium6" showFirstColumn="0" showLastColumn="0" showRowStripes="1" showColumnStripes="0"/>
</table>
</file>

<file path=xl/tables/table63.xml><?xml version="1.0" encoding="utf-8"?>
<table xmlns="http://schemas.openxmlformats.org/spreadsheetml/2006/main" id="79" name="Table2362847487680" displayName="Table2362847487680" ref="A2:J14" totalsRowShown="0" headerRowDxfId="32" dataDxfId="31" tableBorderDxfId="30">
  <autoFilter ref="A2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9"/>
    <tableColumn id="2" name="Name" dataDxfId="28"/>
    <tableColumn id="3" name="Data" dataDxfId="27"/>
    <tableColumn id="4" name="Type" dataDxfId="26"/>
    <tableColumn id="5" name="Value" dataDxfId="25">
      <calculatedColumnFormula>VLOOKUP(Table2362847487680[[#This Row],[Data]],Table252[#Data],2,0)</calculatedColumnFormula>
    </tableColumn>
    <tableColumn id="6" name="FieldName" dataDxfId="24"/>
    <tableColumn id="7" name="FieldNameType" dataDxfId="23"/>
    <tableColumn id="8" name="FieldName (optional)" dataDxfId="22"/>
    <tableColumn id="9" name="execute" dataDxfId="21"/>
    <tableColumn id="10" name="Run" dataDxfId="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80" name="Table6481" displayName="Table6481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19"/>
  </tableColumns>
  <tableStyleInfo name="TableStyleMedium6" showFirstColumn="0" showLastColumn="0" showRowStripes="1" showColumnStripes="0"/>
</table>
</file>

<file path=xl/tables/table65.xml><?xml version="1.0" encoding="utf-8"?>
<table xmlns="http://schemas.openxmlformats.org/spreadsheetml/2006/main" id="81" name="Table6582" displayName="Table6582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18"/>
    <tableColumn id="2" name="Column1"/>
  </tableColumns>
  <tableStyleInfo name="TableStyleMedium6" showFirstColumn="0" showLastColumn="0" showRowStripes="1" showColumnStripes="0"/>
</table>
</file>

<file path=xl/tables/table66.xml><?xml version="1.0" encoding="utf-8"?>
<table xmlns="http://schemas.openxmlformats.org/spreadsheetml/2006/main" id="82" name="Table6783" displayName="Table6783" ref="L12:M13" totalsRowShown="0" dataDxfId="17">
  <autoFilter ref="L12:M13">
    <filterColumn colId="0" hiddenButton="1"/>
    <filterColumn colId="1" hiddenButton="1"/>
  </autoFilter>
  <tableColumns count="2">
    <tableColumn id="1" name="ประเทศ *" dataDxfId="16"/>
    <tableColumn id="2" name="Column1" dataDxfId="15"/>
  </tableColumns>
  <tableStyleInfo name="TableStyleMedium6" showFirstColumn="0" showLastColumn="0" showRowStripes="1" showColumnStripes="0"/>
</table>
</file>

<file path=xl/tables/table67.xml><?xml version="1.0" encoding="utf-8"?>
<table xmlns="http://schemas.openxmlformats.org/spreadsheetml/2006/main" id="83" name="Table6984" displayName="Table6984" ref="L9:M10" totalsRowShown="0" dataDxfId="14">
  <autoFilter ref="L9:M10">
    <filterColumn colId="0" hiddenButton="1"/>
    <filterColumn colId="1" hiddenButton="1"/>
  </autoFilter>
  <tableColumns count="2">
    <tableColumn id="1" name="หลักประกันย่อย *" dataDxfId="13"/>
    <tableColumn id="2" name="Column1" dataDxfId="12"/>
  </tableColumns>
  <tableStyleInfo name="TableStyleMedium6" showFirstColumn="0" showLastColumn="0" showRowStripes="1" showColumnStripes="0"/>
</table>
</file>

<file path=xl/tables/table68.xml><?xml version="1.0" encoding="utf-8"?>
<table xmlns="http://schemas.openxmlformats.org/spreadsheetml/2006/main" id="84" name="Table6675" displayName="Table6675" ref="A2:I7" totalsRowShown="0" dataDxfId="11">
  <autoFilter ref="A2:I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จังหวัด *" dataDxfId="10"/>
    <tableColumn id="2" name="Value" dataDxfId="9"/>
    <tableColumn id="3" name="Data1" dataDxfId="8"/>
    <tableColumn id="7" name="Value2" dataDxfId="7"/>
    <tableColumn id="4" name="FieldName" dataDxfId="6"/>
    <tableColumn id="5" name="Execute" dataDxfId="5"/>
    <tableColumn id="8" name="Data2" dataDxfId="4"/>
    <tableColumn id="9" name="Value3" dataDxfId="3"/>
    <tableColumn id="10" name="FieldName2" dataDxfId="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25" name="Table25" displayName="Table25" ref="E1:E2" totalsRowShown="0" headerRowDxfId="147" dataDxfId="146">
  <autoFilter ref="E1:E2"/>
  <tableColumns count="1">
    <tableColumn id="1" name="dd_run" dataDxfId="14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15" name="Table31316" displayName="Table31316" ref="A2:J26" headerRowDxfId="369" dataDxfId="367" totalsRowDxfId="365" headerRowBorderDxfId="368" tableBorderDxfId="366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3:H14">
    <sortCondition ref="A2:A14"/>
  </sortState>
  <tableColumns count="10">
    <tableColumn id="1" name="Index" totalsRowLabel="Total" dataDxfId="364" totalsRowDxfId="363"/>
    <tableColumn id="2" name="Name" dataDxfId="362" totalsRowDxfId="361"/>
    <tableColumn id="3" name="Data" dataDxfId="360" totalsRowDxfId="359"/>
    <tableColumn id="4" name="Type" dataDxfId="358"/>
    <tableColumn id="5" name="Value" dataDxfId="357"/>
    <tableColumn id="6" name="FieldName" dataDxfId="356"/>
    <tableColumn id="7" name="FieldNameType" dataDxfId="355"/>
    <tableColumn id="8" name="FieldName (Dropdown)" totalsRowFunction="count" dataDxfId="354"/>
    <tableColumn id="12" name="execute" dataDxfId="353" totalsRowDxfId="352"/>
    <tableColumn id="9" name="Run" dataDxfId="351"/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id="16" name="tb_workflowcode1417" displayName="tb_workflowcode1417" ref="L3:M10" totalsRowShown="0" headerRowDxfId="350" dataDxfId="349">
  <autoFilter ref="L3:M10">
    <filterColumn colId="0" hiddenButton="1"/>
    <filterColumn colId="1" hiddenButton="1"/>
  </autoFilter>
  <tableColumns count="2">
    <tableColumn id="1" name="กลุ่มลูกค้าสินเชื่อ *" dataDxfId="348"/>
    <tableColumn id="2" name="Column2" dataDxfId="3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18" Type="http://schemas.openxmlformats.org/officeDocument/2006/relationships/table" Target="../tables/table4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17" Type="http://schemas.openxmlformats.org/officeDocument/2006/relationships/table" Target="../tables/table43.xml"/><Relationship Id="rId2" Type="http://schemas.openxmlformats.org/officeDocument/2006/relationships/table" Target="../tables/table28.xml"/><Relationship Id="rId16" Type="http://schemas.openxmlformats.org/officeDocument/2006/relationships/table" Target="../tables/table4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5" Type="http://schemas.openxmlformats.org/officeDocument/2006/relationships/table" Target="../tables/table41.xml"/><Relationship Id="rId10" Type="http://schemas.openxmlformats.org/officeDocument/2006/relationships/table" Target="../tables/table36.xml"/><Relationship Id="rId19" Type="http://schemas.openxmlformats.org/officeDocument/2006/relationships/table" Target="../tables/table45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Relationship Id="rId14" Type="http://schemas.openxmlformats.org/officeDocument/2006/relationships/table" Target="../tables/table4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7" Type="http://schemas.openxmlformats.org/officeDocument/2006/relationships/table" Target="../tables/table52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Relationship Id="rId6" Type="http://schemas.openxmlformats.org/officeDocument/2006/relationships/table" Target="../tables/table51.xml"/><Relationship Id="rId5" Type="http://schemas.openxmlformats.org/officeDocument/2006/relationships/table" Target="../tables/table50.xml"/><Relationship Id="rId4" Type="http://schemas.openxmlformats.org/officeDocument/2006/relationships/table" Target="../tables/table4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7" Type="http://schemas.openxmlformats.org/officeDocument/2006/relationships/table" Target="../tables/table58.xml"/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7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4" Type="http://schemas.openxmlformats.org/officeDocument/2006/relationships/table" Target="../tables/table6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table" Target="../tables/table63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zoomScale="85" zoomScaleNormal="85" workbookViewId="0">
      <selection activeCell="A2" sqref="A2"/>
    </sheetView>
  </sheetViews>
  <sheetFormatPr defaultRowHeight="20.100000000000001" customHeight="1" x14ac:dyDescent="0.2"/>
  <cols>
    <col min="1" max="1" width="22.28515625" bestFit="1" customWidth="1"/>
    <col min="2" max="2" width="4.42578125" bestFit="1" customWidth="1"/>
    <col min="3" max="3" width="41" bestFit="1" customWidth="1"/>
    <col min="4" max="4" width="15.42578125" bestFit="1" customWidth="1"/>
    <col min="5" max="5" width="10.85546875" bestFit="1" customWidth="1"/>
    <col min="6" max="6" width="6.28515625" bestFit="1" customWidth="1"/>
    <col min="7" max="7" width="75.28515625" bestFit="1" customWidth="1"/>
    <col min="8" max="8" width="52.42578125" bestFit="1" customWidth="1"/>
    <col min="9" max="9" width="47.140625" bestFit="1" customWidth="1"/>
    <col min="10" max="10" width="16.42578125" bestFit="1" customWidth="1"/>
    <col min="11" max="11" width="11.85546875" bestFit="1" customWidth="1"/>
    <col min="12" max="12" width="7.28515625" bestFit="1" customWidth="1"/>
    <col min="13" max="13" width="75.28515625" bestFit="1" customWidth="1"/>
    <col min="14" max="14" width="42.140625" bestFit="1" customWidth="1"/>
    <col min="15" max="15" width="30.42578125" bestFit="1" customWidth="1"/>
    <col min="16" max="16" width="16.42578125" bestFit="1" customWidth="1"/>
    <col min="17" max="17" width="11.85546875" bestFit="1" customWidth="1"/>
    <col min="18" max="18" width="7.28515625" bestFit="1" customWidth="1"/>
    <col min="19" max="19" width="75.28515625" bestFit="1" customWidth="1"/>
    <col min="20" max="20" width="9.28515625" bestFit="1" customWidth="1"/>
  </cols>
  <sheetData>
    <row r="2" spans="1:20" ht="20.100000000000001" customHeight="1" x14ac:dyDescent="0.2">
      <c r="A2" s="28" t="s">
        <v>371</v>
      </c>
      <c r="B2" s="26" t="s">
        <v>332</v>
      </c>
      <c r="C2" s="26" t="s">
        <v>15</v>
      </c>
      <c r="D2" s="26" t="s">
        <v>28</v>
      </c>
      <c r="E2" s="26" t="s">
        <v>20</v>
      </c>
      <c r="F2" s="26" t="s">
        <v>16</v>
      </c>
      <c r="G2" s="26" t="s">
        <v>333</v>
      </c>
      <c r="H2" s="26" t="s">
        <v>334</v>
      </c>
      <c r="I2" s="38" t="s">
        <v>347</v>
      </c>
      <c r="J2" s="38" t="s">
        <v>340</v>
      </c>
      <c r="K2" s="39" t="s">
        <v>341</v>
      </c>
      <c r="L2" s="38" t="s">
        <v>345</v>
      </c>
      <c r="M2" s="38" t="s">
        <v>343</v>
      </c>
      <c r="N2" s="38" t="s">
        <v>344</v>
      </c>
      <c r="O2" s="38" t="s">
        <v>349</v>
      </c>
      <c r="P2" s="38" t="s">
        <v>350</v>
      </c>
      <c r="Q2" s="38" t="s">
        <v>351</v>
      </c>
      <c r="R2" s="38" t="s">
        <v>342</v>
      </c>
      <c r="S2" s="38" t="s">
        <v>352</v>
      </c>
      <c r="T2" s="38" t="s">
        <v>348</v>
      </c>
    </row>
    <row r="3" spans="1:20" ht="20.100000000000001" customHeight="1" x14ac:dyDescent="0.2">
      <c r="A3" s="27" t="s">
        <v>264</v>
      </c>
      <c r="B3" s="26" t="s">
        <v>18</v>
      </c>
      <c r="C3" s="33" t="s">
        <v>329</v>
      </c>
      <c r="D3" s="31" t="s">
        <v>29</v>
      </c>
      <c r="E3" s="289" t="s">
        <v>331</v>
      </c>
      <c r="F3" s="289" t="s">
        <v>36</v>
      </c>
      <c r="G3" s="34" t="s">
        <v>330</v>
      </c>
      <c r="H3" s="34" t="s">
        <v>335</v>
      </c>
      <c r="I3" s="36" t="s">
        <v>336</v>
      </c>
      <c r="J3" s="37" t="s">
        <v>29</v>
      </c>
      <c r="K3" s="36" t="s">
        <v>337</v>
      </c>
      <c r="L3" s="36" t="s">
        <v>338</v>
      </c>
      <c r="M3" s="36" t="s">
        <v>346</v>
      </c>
      <c r="N3" s="36" t="s">
        <v>339</v>
      </c>
      <c r="O3" s="40" t="s">
        <v>353</v>
      </c>
      <c r="P3" s="32" t="s">
        <v>29</v>
      </c>
      <c r="Q3" s="40" t="s">
        <v>354</v>
      </c>
      <c r="R3" s="40" t="s">
        <v>355</v>
      </c>
      <c r="S3" s="40" t="s">
        <v>356</v>
      </c>
      <c r="T3" s="40" t="s">
        <v>361</v>
      </c>
    </row>
    <row r="4" spans="1:20" ht="20.100000000000001" customHeight="1" x14ac:dyDescent="0.2">
      <c r="A4" s="27" t="s">
        <v>265</v>
      </c>
      <c r="B4" s="26" t="s">
        <v>35</v>
      </c>
      <c r="C4" s="33" t="s">
        <v>357</v>
      </c>
      <c r="D4" s="31" t="s">
        <v>29</v>
      </c>
      <c r="E4" s="289" t="s">
        <v>331</v>
      </c>
      <c r="F4" s="33" t="s">
        <v>38</v>
      </c>
      <c r="G4" s="34" t="s">
        <v>330</v>
      </c>
      <c r="H4" s="34" t="s">
        <v>335</v>
      </c>
      <c r="I4" s="35" t="s">
        <v>358</v>
      </c>
      <c r="J4" s="37" t="s">
        <v>29</v>
      </c>
      <c r="K4" s="36" t="s">
        <v>337</v>
      </c>
      <c r="L4" s="35" t="s">
        <v>42</v>
      </c>
      <c r="M4" s="36" t="s">
        <v>346</v>
      </c>
      <c r="N4" s="36" t="s">
        <v>339</v>
      </c>
      <c r="O4" s="41" t="s">
        <v>359</v>
      </c>
      <c r="P4" s="32" t="s">
        <v>29</v>
      </c>
      <c r="Q4" s="40" t="s">
        <v>354</v>
      </c>
      <c r="R4" s="41" t="s">
        <v>360</v>
      </c>
      <c r="S4" s="40" t="s">
        <v>356</v>
      </c>
      <c r="T4" s="40" t="s">
        <v>361</v>
      </c>
    </row>
    <row r="5" spans="1:20" ht="20.100000000000001" customHeight="1" x14ac:dyDescent="0.2">
      <c r="A5" s="27" t="s">
        <v>266</v>
      </c>
      <c r="B5" s="26" t="s">
        <v>36</v>
      </c>
      <c r="C5" s="33" t="s">
        <v>369</v>
      </c>
      <c r="D5" s="31" t="s">
        <v>29</v>
      </c>
      <c r="E5" s="289" t="s">
        <v>331</v>
      </c>
      <c r="F5" s="33" t="s">
        <v>370</v>
      </c>
      <c r="G5" s="34" t="s">
        <v>330</v>
      </c>
      <c r="H5" s="34" t="s">
        <v>335</v>
      </c>
      <c r="I5" s="35" t="s">
        <v>372</v>
      </c>
      <c r="J5" s="37" t="s">
        <v>29</v>
      </c>
      <c r="K5" s="36" t="s">
        <v>337</v>
      </c>
      <c r="L5" s="35" t="s">
        <v>373</v>
      </c>
      <c r="M5" s="36" t="s">
        <v>346</v>
      </c>
      <c r="N5" s="36" t="s">
        <v>339</v>
      </c>
      <c r="O5" s="41" t="s">
        <v>374</v>
      </c>
      <c r="P5" s="32" t="s">
        <v>29</v>
      </c>
      <c r="Q5" s="40" t="s">
        <v>354</v>
      </c>
      <c r="R5" s="41" t="s">
        <v>375</v>
      </c>
      <c r="S5" s="40" t="s">
        <v>356</v>
      </c>
      <c r="T5" s="40" t="s">
        <v>361</v>
      </c>
    </row>
    <row r="6" spans="1:20" ht="20.100000000000001" customHeight="1" x14ac:dyDescent="0.2">
      <c r="A6" s="27" t="s">
        <v>267</v>
      </c>
      <c r="B6" s="26" t="s">
        <v>37</v>
      </c>
      <c r="C6" s="33" t="s">
        <v>376</v>
      </c>
      <c r="D6" s="31" t="s">
        <v>29</v>
      </c>
      <c r="E6" s="289" t="s">
        <v>331</v>
      </c>
      <c r="F6" s="33" t="s">
        <v>381</v>
      </c>
      <c r="G6" s="34" t="s">
        <v>330</v>
      </c>
      <c r="H6" s="34" t="s">
        <v>335</v>
      </c>
      <c r="I6" s="35" t="s">
        <v>377</v>
      </c>
      <c r="J6" s="37" t="s">
        <v>29</v>
      </c>
      <c r="K6" s="36" t="s">
        <v>337</v>
      </c>
      <c r="L6" s="35" t="s">
        <v>380</v>
      </c>
      <c r="M6" s="36" t="s">
        <v>346</v>
      </c>
      <c r="N6" s="36" t="s">
        <v>339</v>
      </c>
      <c r="O6" s="41" t="s">
        <v>378</v>
      </c>
      <c r="P6" s="32" t="s">
        <v>29</v>
      </c>
      <c r="Q6" s="40" t="s">
        <v>354</v>
      </c>
      <c r="R6" s="41" t="s">
        <v>379</v>
      </c>
      <c r="S6" s="40" t="s">
        <v>356</v>
      </c>
      <c r="T6" s="40" t="s">
        <v>361</v>
      </c>
    </row>
    <row r="7" spans="1:20" ht="20.100000000000001" customHeight="1" x14ac:dyDescent="0.2">
      <c r="A7" s="27" t="s">
        <v>268</v>
      </c>
      <c r="B7" s="26" t="s">
        <v>38</v>
      </c>
      <c r="C7" s="33" t="s">
        <v>382</v>
      </c>
      <c r="D7" s="31" t="s">
        <v>29</v>
      </c>
      <c r="E7" s="289" t="s">
        <v>331</v>
      </c>
      <c r="F7" s="33" t="s">
        <v>383</v>
      </c>
      <c r="G7" s="34" t="s">
        <v>330</v>
      </c>
      <c r="H7" s="34" t="s">
        <v>335</v>
      </c>
      <c r="I7" s="35" t="s">
        <v>384</v>
      </c>
      <c r="J7" s="37" t="s">
        <v>29</v>
      </c>
      <c r="K7" s="36" t="s">
        <v>337</v>
      </c>
      <c r="L7" s="35" t="s">
        <v>385</v>
      </c>
      <c r="M7" s="36" t="s">
        <v>346</v>
      </c>
      <c r="N7" s="36" t="s">
        <v>339</v>
      </c>
      <c r="O7" s="41" t="s">
        <v>386</v>
      </c>
      <c r="P7" s="32" t="s">
        <v>29</v>
      </c>
      <c r="Q7" s="40" t="s">
        <v>354</v>
      </c>
      <c r="R7" s="41" t="s">
        <v>387</v>
      </c>
      <c r="S7" s="40" t="s">
        <v>356</v>
      </c>
      <c r="T7" s="40" t="s">
        <v>361</v>
      </c>
    </row>
    <row r="8" spans="1:20" ht="20.100000000000001" customHeight="1" x14ac:dyDescent="0.2">
      <c r="A8" s="27" t="s">
        <v>269</v>
      </c>
      <c r="B8" s="26" t="s">
        <v>39</v>
      </c>
      <c r="C8" s="33" t="s">
        <v>388</v>
      </c>
      <c r="D8" s="31" t="s">
        <v>29</v>
      </c>
      <c r="E8" s="289" t="s">
        <v>331</v>
      </c>
      <c r="F8" s="33" t="s">
        <v>389</v>
      </c>
      <c r="G8" s="34" t="s">
        <v>330</v>
      </c>
      <c r="H8" s="34" t="s">
        <v>335</v>
      </c>
      <c r="I8" s="35" t="s">
        <v>390</v>
      </c>
      <c r="J8" s="37" t="s">
        <v>29</v>
      </c>
      <c r="K8" s="36" t="s">
        <v>337</v>
      </c>
      <c r="L8" s="35" t="s">
        <v>391</v>
      </c>
      <c r="M8" s="36" t="s">
        <v>346</v>
      </c>
      <c r="N8" s="36" t="s">
        <v>339</v>
      </c>
      <c r="O8" s="41" t="s">
        <v>392</v>
      </c>
      <c r="P8" s="32" t="s">
        <v>29</v>
      </c>
      <c r="Q8" s="40" t="s">
        <v>354</v>
      </c>
      <c r="R8" s="41" t="s">
        <v>393</v>
      </c>
      <c r="S8" s="40" t="s">
        <v>356</v>
      </c>
      <c r="T8" s="40" t="s">
        <v>361</v>
      </c>
    </row>
  </sheetData>
  <dataValidations count="1">
    <dataValidation type="list" allowBlank="1" showInputMessage="1" showErrorMessage="1" sqref="D3:D8 J3:J8 P3:P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RowHeight="20.100000000000001" customHeight="1" x14ac:dyDescent="0.2"/>
  <cols>
    <col min="1" max="1" width="19.140625" style="79" bestFit="1" customWidth="1"/>
    <col min="2" max="2" width="8.5703125" style="79" customWidth="1"/>
    <col min="3" max="3" width="20.140625" style="79" bestFit="1" customWidth="1"/>
    <col min="4" max="4" width="9.5703125" style="79" bestFit="1" customWidth="1"/>
    <col min="5" max="5" width="18.28515625" style="79" bestFit="1" customWidth="1"/>
    <col min="6" max="6" width="71.140625" style="79" bestFit="1" customWidth="1"/>
    <col min="7" max="7" width="30.28515625" style="79" bestFit="1" customWidth="1"/>
    <col min="8" max="8" width="9.5703125" style="79" bestFit="1" customWidth="1"/>
    <col min="9" max="9" width="21.42578125" style="79" bestFit="1" customWidth="1"/>
    <col min="10" max="16384" width="9.140625" style="79"/>
  </cols>
  <sheetData>
    <row r="1" spans="1:9" ht="20.100000000000001" customHeight="1" x14ac:dyDescent="0.2">
      <c r="A1" s="109"/>
    </row>
    <row r="2" spans="1:9" ht="20.100000000000001" customHeight="1" x14ac:dyDescent="0.2">
      <c r="A2" s="137" t="s">
        <v>663</v>
      </c>
      <c r="B2" s="109" t="s">
        <v>16</v>
      </c>
      <c r="C2" s="69" t="s">
        <v>715</v>
      </c>
      <c r="D2" s="109" t="s">
        <v>342</v>
      </c>
      <c r="E2" s="109" t="s">
        <v>20</v>
      </c>
      <c r="F2" s="109" t="s">
        <v>334</v>
      </c>
      <c r="G2" s="69" t="s">
        <v>347</v>
      </c>
      <c r="H2" s="109" t="s">
        <v>345</v>
      </c>
      <c r="I2" s="109" t="s">
        <v>341</v>
      </c>
    </row>
    <row r="3" spans="1:9" ht="20.100000000000001" customHeight="1" x14ac:dyDescent="0.2">
      <c r="A3" s="70" t="s">
        <v>714</v>
      </c>
      <c r="B3" s="70">
        <v>8</v>
      </c>
      <c r="C3" s="70" t="s">
        <v>713</v>
      </c>
      <c r="D3" s="70">
        <v>640</v>
      </c>
      <c r="E3" s="70" t="s">
        <v>656</v>
      </c>
      <c r="F3" s="70" t="s">
        <v>654</v>
      </c>
      <c r="G3" s="70" t="s">
        <v>712</v>
      </c>
      <c r="H3" s="70">
        <v>1</v>
      </c>
      <c r="I3" s="70" t="s">
        <v>651</v>
      </c>
    </row>
    <row r="4" spans="1:9" ht="20.100000000000001" customHeight="1" x14ac:dyDescent="0.2">
      <c r="A4" s="70" t="s">
        <v>711</v>
      </c>
      <c r="B4" s="70">
        <v>10</v>
      </c>
      <c r="C4" s="70" t="s">
        <v>710</v>
      </c>
      <c r="D4" s="70">
        <v>652</v>
      </c>
      <c r="E4" s="70" t="s">
        <v>656</v>
      </c>
      <c r="F4" s="70" t="s">
        <v>654</v>
      </c>
      <c r="G4" s="70" t="s">
        <v>709</v>
      </c>
      <c r="H4" s="70">
        <v>90</v>
      </c>
      <c r="I4" s="70" t="s">
        <v>651</v>
      </c>
    </row>
    <row r="5" spans="1:9" ht="20.100000000000001" customHeight="1" x14ac:dyDescent="0.2">
      <c r="A5" s="70" t="s">
        <v>697</v>
      </c>
      <c r="B5" s="70">
        <v>20</v>
      </c>
      <c r="C5" s="70" t="s">
        <v>708</v>
      </c>
      <c r="D5" s="70">
        <v>569</v>
      </c>
      <c r="E5" s="70" t="s">
        <v>656</v>
      </c>
      <c r="F5" s="70" t="s">
        <v>654</v>
      </c>
      <c r="G5" s="70" t="s">
        <v>707</v>
      </c>
      <c r="H5" s="70">
        <v>1686</v>
      </c>
      <c r="I5" s="70" t="s">
        <v>651</v>
      </c>
    </row>
    <row r="6" spans="1:9" ht="20.100000000000001" customHeight="1" x14ac:dyDescent="0.2">
      <c r="A6" s="70" t="s">
        <v>662</v>
      </c>
      <c r="B6" s="70">
        <v>47</v>
      </c>
      <c r="C6" s="70" t="s">
        <v>706</v>
      </c>
      <c r="D6" s="70">
        <v>333</v>
      </c>
      <c r="E6" s="70" t="s">
        <v>656</v>
      </c>
      <c r="F6" s="70" t="s">
        <v>654</v>
      </c>
      <c r="G6" s="70" t="s">
        <v>705</v>
      </c>
      <c r="H6" s="70">
        <v>5527</v>
      </c>
      <c r="I6" s="70" t="s">
        <v>651</v>
      </c>
    </row>
    <row r="7" spans="1:9" ht="20.100000000000001" customHeight="1" x14ac:dyDescent="0.2">
      <c r="A7" s="70" t="s">
        <v>700</v>
      </c>
      <c r="B7" s="70">
        <v>56</v>
      </c>
      <c r="C7" s="70" t="s">
        <v>704</v>
      </c>
      <c r="D7" s="70">
        <v>444</v>
      </c>
      <c r="E7" s="70" t="s">
        <v>656</v>
      </c>
      <c r="F7" s="70" t="s">
        <v>654</v>
      </c>
      <c r="G7" s="70" t="s">
        <v>703</v>
      </c>
      <c r="H7" s="70">
        <v>6425</v>
      </c>
      <c r="I7" s="70" t="s">
        <v>651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6" sqref="C16"/>
    </sheetView>
  </sheetViews>
  <sheetFormatPr defaultRowHeight="20.100000000000001" customHeight="1" x14ac:dyDescent="0.2"/>
  <cols>
    <col min="1" max="1" width="12.140625" style="2" customWidth="1"/>
    <col min="2" max="2" width="9.140625" style="2"/>
    <col min="3" max="3" width="11.85546875" style="2" bestFit="1" customWidth="1"/>
    <col min="4" max="4" width="9.140625" style="2"/>
    <col min="5" max="5" width="9.85546875" style="2" customWidth="1"/>
    <col min="6" max="16384" width="9.140625" style="2"/>
  </cols>
  <sheetData>
    <row r="1" spans="1:8" ht="20.100000000000001" customHeight="1" x14ac:dyDescent="0.2">
      <c r="A1" s="2" t="s">
        <v>61</v>
      </c>
      <c r="C1" s="2" t="s">
        <v>62</v>
      </c>
      <c r="E1" s="2" t="s">
        <v>405</v>
      </c>
    </row>
    <row r="2" spans="1:8" ht="20.100000000000001" customHeight="1" x14ac:dyDescent="0.2">
      <c r="A2" s="2" t="s">
        <v>403</v>
      </c>
      <c r="C2" s="2" t="s">
        <v>29</v>
      </c>
      <c r="E2" s="2" t="s">
        <v>396</v>
      </c>
    </row>
    <row r="4" spans="1:8" ht="20.100000000000001" customHeight="1" x14ac:dyDescent="0.2">
      <c r="A4" s="2" t="s">
        <v>63</v>
      </c>
      <c r="C4" s="2" t="s">
        <v>64</v>
      </c>
      <c r="E4" s="2" t="s">
        <v>404</v>
      </c>
    </row>
    <row r="5" spans="1:8" ht="20.100000000000001" customHeight="1" x14ac:dyDescent="0.2">
      <c r="A5" s="3" t="s">
        <v>403</v>
      </c>
      <c r="C5" s="2" t="s">
        <v>29</v>
      </c>
      <c r="E5" s="64" t="s">
        <v>397</v>
      </c>
    </row>
    <row r="6" spans="1:8" ht="20.100000000000001" customHeight="1" x14ac:dyDescent="0.2">
      <c r="A6" s="2" t="s">
        <v>399</v>
      </c>
      <c r="C6" s="2" t="s">
        <v>30</v>
      </c>
      <c r="E6" s="65" t="s">
        <v>396</v>
      </c>
    </row>
    <row r="7" spans="1:8" ht="20.100000000000001" customHeight="1" x14ac:dyDescent="0.2">
      <c r="A7" s="2" t="s">
        <v>400</v>
      </c>
      <c r="C7" s="2" t="s">
        <v>60</v>
      </c>
    </row>
    <row r="8" spans="1:8" ht="20.100000000000001" customHeight="1" x14ac:dyDescent="0.2">
      <c r="A8" s="2" t="s">
        <v>401</v>
      </c>
      <c r="C8" s="2" t="s">
        <v>407</v>
      </c>
    </row>
    <row r="9" spans="1:8" ht="20.100000000000001" customHeight="1" x14ac:dyDescent="0.2">
      <c r="A9" s="2" t="s">
        <v>402</v>
      </c>
    </row>
    <row r="10" spans="1:8" ht="20.100000000000001" customHeight="1" x14ac:dyDescent="0.2">
      <c r="A10" s="2" t="s">
        <v>412</v>
      </c>
      <c r="E10" s="13"/>
      <c r="F10" s="13"/>
      <c r="G10" s="13"/>
      <c r="H10" s="13"/>
    </row>
    <row r="11" spans="1:8" ht="20.100000000000001" customHeight="1" x14ac:dyDescent="0.2">
      <c r="A11" s="2" t="s">
        <v>721</v>
      </c>
      <c r="E11" s="13"/>
      <c r="F11" s="66"/>
      <c r="G11" s="13"/>
      <c r="H11" s="13"/>
    </row>
    <row r="12" spans="1:8" ht="20.100000000000001" customHeight="1" x14ac:dyDescent="0.2">
      <c r="A12" s="2" t="s">
        <v>722</v>
      </c>
      <c r="E12" s="13"/>
      <c r="F12" s="13"/>
      <c r="G12" s="13"/>
      <c r="H12" s="13"/>
    </row>
    <row r="13" spans="1:8" ht="20.100000000000001" customHeight="1" x14ac:dyDescent="0.2">
      <c r="E13" s="13"/>
      <c r="F13" s="13"/>
      <c r="G13" s="13"/>
      <c r="H13" s="13"/>
    </row>
  </sheetData>
  <dataValidations count="3">
    <dataValidation type="list" allowBlank="1" showInputMessage="1" showErrorMessage="1" sqref="C2">
      <formula1>FieldRef</formula1>
    </dataValidation>
    <dataValidation type="list" allowBlank="1" showInputMessage="1" showErrorMessage="1" sqref="A2">
      <formula1>Field</formula1>
    </dataValidation>
    <dataValidation type="list" allowBlank="1" showInputMessage="1" showErrorMessage="1" sqref="E2 F11">
      <formula1>$E$5:$E$6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C17" sqref="C17"/>
    </sheetView>
  </sheetViews>
  <sheetFormatPr defaultColWidth="23" defaultRowHeight="20.100000000000001" customHeight="1" x14ac:dyDescent="0.2"/>
  <cols>
    <col min="1" max="1" width="8.7109375" style="6" customWidth="1"/>
    <col min="2" max="2" width="40.7109375" style="6" customWidth="1"/>
    <col min="3" max="3" width="45.7109375" style="6" customWidth="1"/>
    <col min="4" max="4" width="15.7109375" style="7" customWidth="1"/>
    <col min="5" max="5" width="10.7109375" style="228" customWidth="1"/>
    <col min="6" max="6" width="20.7109375" style="7" customWidth="1"/>
    <col min="7" max="9" width="10.7109375" style="7" customWidth="1"/>
    <col min="10" max="10" width="10.7109375" style="233" customWidth="1"/>
    <col min="11" max="11" width="9.28515625" style="42" customWidth="1"/>
    <col min="12" max="12" width="29" style="6" customWidth="1"/>
    <col min="13" max="13" width="7.7109375" style="6" customWidth="1"/>
    <col min="14" max="14" width="23" style="6" customWidth="1"/>
    <col min="15" max="16384" width="23" style="6"/>
  </cols>
  <sheetData>
    <row r="1" spans="1:14" ht="20.100000000000001" customHeight="1" x14ac:dyDescent="0.2">
      <c r="A1" s="51"/>
      <c r="B1" s="5"/>
      <c r="C1" s="5"/>
      <c r="D1" s="67"/>
      <c r="E1" s="226"/>
      <c r="F1" s="67"/>
      <c r="G1" s="67"/>
      <c r="L1" s="5"/>
    </row>
    <row r="2" spans="1:14" ht="20.100000000000001" customHeight="1" x14ac:dyDescent="0.15">
      <c r="A2" s="16" t="s">
        <v>34</v>
      </c>
      <c r="B2" s="17" t="s">
        <v>14</v>
      </c>
      <c r="C2" s="17" t="s">
        <v>15</v>
      </c>
      <c r="D2" s="17" t="s">
        <v>17</v>
      </c>
      <c r="E2" s="227" t="s">
        <v>16</v>
      </c>
      <c r="F2" s="17" t="s">
        <v>20</v>
      </c>
      <c r="G2" s="17" t="s">
        <v>28</v>
      </c>
      <c r="H2" s="234" t="s">
        <v>217</v>
      </c>
      <c r="I2" s="235" t="s">
        <v>81</v>
      </c>
      <c r="J2" s="235" t="s">
        <v>411</v>
      </c>
      <c r="K2" s="57"/>
      <c r="L2" s="56"/>
      <c r="M2" s="44"/>
    </row>
    <row r="3" spans="1:14" ht="20.100000000000001" customHeight="1" x14ac:dyDescent="0.15">
      <c r="A3" s="10" t="s">
        <v>18</v>
      </c>
      <c r="B3" s="29" t="s">
        <v>406</v>
      </c>
      <c r="C3" s="22"/>
      <c r="D3" s="23"/>
      <c r="E3" s="52"/>
      <c r="F3" s="229"/>
      <c r="G3" s="24"/>
      <c r="H3" s="236"/>
      <c r="I3" s="236"/>
      <c r="J3" s="237" t="s">
        <v>396</v>
      </c>
      <c r="K3" s="43"/>
      <c r="L3" s="6" t="s">
        <v>19</v>
      </c>
      <c r="M3" s="60" t="s">
        <v>398</v>
      </c>
    </row>
    <row r="4" spans="1:14" ht="20.100000000000001" customHeight="1" x14ac:dyDescent="0.2">
      <c r="A4" s="10" t="s">
        <v>35</v>
      </c>
      <c r="B4" s="14" t="s">
        <v>731</v>
      </c>
      <c r="C4" s="14" t="s">
        <v>738</v>
      </c>
      <c r="D4" s="15" t="s">
        <v>402</v>
      </c>
      <c r="E4" s="50"/>
      <c r="F4" s="230" t="s">
        <v>406</v>
      </c>
      <c r="G4" s="20" t="s">
        <v>407</v>
      </c>
      <c r="H4" s="238"/>
      <c r="I4" s="238"/>
      <c r="J4" s="239" t="s">
        <v>397</v>
      </c>
      <c r="K4" s="43"/>
      <c r="L4" s="6" t="s">
        <v>46</v>
      </c>
      <c r="M4" s="8" t="s">
        <v>51</v>
      </c>
      <c r="N4" s="2"/>
    </row>
    <row r="5" spans="1:14" ht="20.100000000000001" customHeight="1" x14ac:dyDescent="0.2">
      <c r="A5" s="10" t="s">
        <v>36</v>
      </c>
      <c r="B5" s="29" t="s">
        <v>327</v>
      </c>
      <c r="C5" s="22"/>
      <c r="D5" s="23"/>
      <c r="E5" s="52"/>
      <c r="F5" s="229"/>
      <c r="G5" s="24"/>
      <c r="H5" s="236"/>
      <c r="I5" s="236"/>
      <c r="J5" s="237" t="s">
        <v>396</v>
      </c>
      <c r="K5" s="43"/>
      <c r="L5" s="6" t="s">
        <v>6</v>
      </c>
      <c r="M5" s="8" t="s">
        <v>7</v>
      </c>
    </row>
    <row r="6" spans="1:14" ht="20.100000000000001" customHeight="1" x14ac:dyDescent="0.2">
      <c r="A6" s="10" t="s">
        <v>37</v>
      </c>
      <c r="B6" s="11" t="s">
        <v>19</v>
      </c>
      <c r="C6" s="12" t="s">
        <v>77</v>
      </c>
      <c r="D6" s="68" t="s">
        <v>399</v>
      </c>
      <c r="E6" s="49" t="str">
        <f>VLOOKUP(Table31316[[#This Row],[Data]],tb_workflowcode1417[],2,0)</f>
        <v>NEWSM2</v>
      </c>
      <c r="F6" s="15" t="s">
        <v>1</v>
      </c>
      <c r="G6" s="4" t="s">
        <v>29</v>
      </c>
      <c r="H6" s="230" t="s">
        <v>31</v>
      </c>
      <c r="I6" s="240" t="s">
        <v>82</v>
      </c>
      <c r="J6" s="239" t="s">
        <v>397</v>
      </c>
      <c r="K6" s="43"/>
      <c r="L6" s="6" t="s">
        <v>47</v>
      </c>
      <c r="M6" s="8" t="s">
        <v>52</v>
      </c>
    </row>
    <row r="7" spans="1:14" ht="20.100000000000001" customHeight="1" x14ac:dyDescent="0.2">
      <c r="A7" s="10" t="s">
        <v>38</v>
      </c>
      <c r="B7" s="11" t="s">
        <v>79</v>
      </c>
      <c r="C7" s="14" t="s">
        <v>84</v>
      </c>
      <c r="D7" s="15" t="s">
        <v>399</v>
      </c>
      <c r="E7" s="50" t="str">
        <f>VLOOKUP(Table31316[[#This Row],[Data]],Table18[#All],2,0)</f>
        <v>1</v>
      </c>
      <c r="F7" s="15" t="s">
        <v>80</v>
      </c>
      <c r="G7" s="4" t="s">
        <v>29</v>
      </c>
      <c r="H7" s="230" t="s">
        <v>83</v>
      </c>
      <c r="I7" s="238" t="s">
        <v>361</v>
      </c>
      <c r="J7" s="239" t="s">
        <v>397</v>
      </c>
      <c r="K7" s="43"/>
      <c r="L7" s="6" t="s">
        <v>48</v>
      </c>
      <c r="M7" s="8" t="s">
        <v>53</v>
      </c>
    </row>
    <row r="8" spans="1:14" ht="20.100000000000001" customHeight="1" x14ac:dyDescent="0.2">
      <c r="A8" s="10" t="s">
        <v>39</v>
      </c>
      <c r="B8" s="14" t="s">
        <v>25</v>
      </c>
      <c r="C8" s="62" t="s">
        <v>363</v>
      </c>
      <c r="D8" s="68" t="s">
        <v>58</v>
      </c>
      <c r="E8" s="50"/>
      <c r="F8" s="231" t="s">
        <v>26</v>
      </c>
      <c r="G8" s="4" t="s">
        <v>30</v>
      </c>
      <c r="H8" s="230"/>
      <c r="I8" s="238"/>
      <c r="J8" s="237" t="s">
        <v>396</v>
      </c>
      <c r="K8" s="43"/>
      <c r="L8" s="6" t="s">
        <v>49</v>
      </c>
      <c r="M8" s="8" t="s">
        <v>54</v>
      </c>
    </row>
    <row r="9" spans="1:14" ht="20.100000000000001" customHeight="1" x14ac:dyDescent="0.2">
      <c r="A9" s="10" t="s">
        <v>40</v>
      </c>
      <c r="B9" s="14" t="s">
        <v>21</v>
      </c>
      <c r="C9" s="14" t="s">
        <v>69</v>
      </c>
      <c r="D9" s="68" t="s">
        <v>399</v>
      </c>
      <c r="E9" s="50" t="str">
        <f>VLOOKUP(Table31316[[#This Row],[Data]],Table111518[#All],2,0)</f>
        <v>05</v>
      </c>
      <c r="F9" s="15" t="s">
        <v>2</v>
      </c>
      <c r="G9" s="4" t="s">
        <v>29</v>
      </c>
      <c r="H9" s="230" t="s">
        <v>32</v>
      </c>
      <c r="I9" s="238" t="s">
        <v>361</v>
      </c>
      <c r="J9" s="239" t="s">
        <v>397</v>
      </c>
      <c r="K9" s="43"/>
      <c r="L9" s="6" t="s">
        <v>50</v>
      </c>
      <c r="M9" s="8" t="s">
        <v>55</v>
      </c>
    </row>
    <row r="10" spans="1:14" ht="20.100000000000001" customHeight="1" x14ac:dyDescent="0.2">
      <c r="A10" s="10" t="s">
        <v>41</v>
      </c>
      <c r="B10" s="30" t="s">
        <v>362</v>
      </c>
      <c r="C10" s="22"/>
      <c r="D10" s="23"/>
      <c r="E10" s="52"/>
      <c r="F10" s="229"/>
      <c r="G10" s="24"/>
      <c r="H10" s="236"/>
      <c r="I10" s="236"/>
      <c r="J10" s="237" t="s">
        <v>396</v>
      </c>
      <c r="K10" s="43"/>
      <c r="L10" s="6" t="s">
        <v>77</v>
      </c>
      <c r="M10" s="45" t="s">
        <v>78</v>
      </c>
    </row>
    <row r="11" spans="1:14" ht="20.100000000000001" customHeight="1" x14ac:dyDescent="0.2">
      <c r="A11" s="10" t="s">
        <v>42</v>
      </c>
      <c r="B11" s="14" t="s">
        <v>22</v>
      </c>
      <c r="C11" s="14" t="s">
        <v>11</v>
      </c>
      <c r="D11" s="68" t="s">
        <v>403</v>
      </c>
      <c r="E11" s="50"/>
      <c r="F11" s="15" t="s">
        <v>3</v>
      </c>
      <c r="G11" s="4" t="s">
        <v>30</v>
      </c>
      <c r="H11" s="230"/>
      <c r="I11" s="238"/>
      <c r="J11" s="239" t="s">
        <v>397</v>
      </c>
      <c r="K11" s="43"/>
      <c r="L11" s="5"/>
    </row>
    <row r="12" spans="1:14" ht="20.100000000000001" customHeight="1" x14ac:dyDescent="0.2">
      <c r="A12" s="10" t="s">
        <v>43</v>
      </c>
      <c r="B12" s="14" t="s">
        <v>23</v>
      </c>
      <c r="C12" s="14" t="s">
        <v>12</v>
      </c>
      <c r="D12" s="68" t="s">
        <v>403</v>
      </c>
      <c r="E12" s="50"/>
      <c r="F12" s="15" t="s">
        <v>4</v>
      </c>
      <c r="G12" s="4" t="s">
        <v>30</v>
      </c>
      <c r="H12" s="230"/>
      <c r="I12" s="238"/>
      <c r="J12" s="239" t="s">
        <v>397</v>
      </c>
      <c r="K12" s="55"/>
      <c r="L12" s="54"/>
    </row>
    <row r="13" spans="1:14" ht="20.100000000000001" customHeight="1" x14ac:dyDescent="0.15">
      <c r="A13" s="10" t="s">
        <v>44</v>
      </c>
      <c r="B13" s="14" t="s">
        <v>24</v>
      </c>
      <c r="C13" s="14" t="s">
        <v>13</v>
      </c>
      <c r="D13" s="68" t="s">
        <v>403</v>
      </c>
      <c r="E13" s="50"/>
      <c r="F13" s="15" t="s">
        <v>5</v>
      </c>
      <c r="G13" s="4" t="s">
        <v>30</v>
      </c>
      <c r="H13" s="230"/>
      <c r="I13" s="238"/>
      <c r="J13" s="239" t="s">
        <v>397</v>
      </c>
      <c r="K13" s="43"/>
      <c r="L13" s="61" t="s">
        <v>79</v>
      </c>
      <c r="M13" s="6" t="s">
        <v>398</v>
      </c>
    </row>
    <row r="14" spans="1:14" ht="20.100000000000001" customHeight="1" x14ac:dyDescent="0.15">
      <c r="A14" s="10" t="s">
        <v>45</v>
      </c>
      <c r="B14" s="29" t="s">
        <v>89</v>
      </c>
      <c r="C14" s="22"/>
      <c r="D14" s="23"/>
      <c r="E14" s="52"/>
      <c r="F14" s="229"/>
      <c r="G14" s="24"/>
      <c r="H14" s="236"/>
      <c r="I14" s="236"/>
      <c r="J14" s="237" t="s">
        <v>396</v>
      </c>
      <c r="K14" s="43"/>
      <c r="L14" s="60" t="s">
        <v>84</v>
      </c>
      <c r="M14" s="6" t="s">
        <v>18</v>
      </c>
    </row>
    <row r="15" spans="1:14" ht="20.100000000000001" customHeight="1" x14ac:dyDescent="0.15">
      <c r="A15" s="10" t="s">
        <v>98</v>
      </c>
      <c r="B15" s="46" t="s">
        <v>89</v>
      </c>
      <c r="C15" s="14" t="s">
        <v>91</v>
      </c>
      <c r="D15" s="15" t="s">
        <v>401</v>
      </c>
      <c r="E15" s="50" t="str">
        <f>VLOOKUP(Table31316[[#This Row],[Data]],Table22[],2,0)</f>
        <v>1</v>
      </c>
      <c r="F15" s="232" t="s">
        <v>90</v>
      </c>
      <c r="G15" s="20" t="s">
        <v>30</v>
      </c>
      <c r="H15" s="238"/>
      <c r="I15" s="238"/>
      <c r="J15" s="239" t="s">
        <v>397</v>
      </c>
      <c r="K15" s="43"/>
      <c r="L15" s="60" t="s">
        <v>85</v>
      </c>
      <c r="M15" s="6" t="s">
        <v>35</v>
      </c>
    </row>
    <row r="16" spans="1:14" ht="20.100000000000001" customHeight="1" x14ac:dyDescent="0.15">
      <c r="A16" s="10" t="s">
        <v>99</v>
      </c>
      <c r="B16" s="21" t="s">
        <v>87</v>
      </c>
      <c r="C16" s="14" t="s">
        <v>88</v>
      </c>
      <c r="D16" s="15" t="s">
        <v>403</v>
      </c>
      <c r="E16" s="50"/>
      <c r="F16" s="232" t="s">
        <v>101</v>
      </c>
      <c r="G16" s="20" t="s">
        <v>29</v>
      </c>
      <c r="H16" s="238"/>
      <c r="I16" s="238"/>
      <c r="J16" s="237" t="s">
        <v>396</v>
      </c>
      <c r="K16" s="43"/>
      <c r="L16" s="60" t="s">
        <v>86</v>
      </c>
      <c r="M16" s="6" t="s">
        <v>36</v>
      </c>
    </row>
    <row r="17" spans="1:13" ht="20.100000000000001" customHeight="1" x14ac:dyDescent="0.15">
      <c r="A17" s="10" t="s">
        <v>100</v>
      </c>
      <c r="B17" s="63" t="s">
        <v>91</v>
      </c>
      <c r="C17" s="62" t="s">
        <v>363</v>
      </c>
      <c r="D17" s="15" t="s">
        <v>403</v>
      </c>
      <c r="E17" s="50"/>
      <c r="F17" s="230"/>
      <c r="G17" s="20"/>
      <c r="H17" s="238"/>
      <c r="I17" s="238"/>
      <c r="J17" s="237" t="s">
        <v>396</v>
      </c>
      <c r="K17" s="43"/>
      <c r="L17" s="5"/>
    </row>
    <row r="18" spans="1:13" ht="20.100000000000001" customHeight="1" x14ac:dyDescent="0.2">
      <c r="A18" s="10" t="s">
        <v>102</v>
      </c>
      <c r="B18" s="14" t="s">
        <v>22</v>
      </c>
      <c r="C18" s="14" t="s">
        <v>11</v>
      </c>
      <c r="D18" s="15" t="s">
        <v>403</v>
      </c>
      <c r="E18" s="50"/>
      <c r="F18" s="15" t="s">
        <v>92</v>
      </c>
      <c r="G18" s="4" t="s">
        <v>29</v>
      </c>
      <c r="H18" s="230"/>
      <c r="I18" s="238"/>
      <c r="J18" s="239" t="s">
        <v>397</v>
      </c>
      <c r="K18" s="55"/>
      <c r="L18" s="58" t="s">
        <v>21</v>
      </c>
      <c r="M18" s="9" t="s">
        <v>398</v>
      </c>
    </row>
    <row r="19" spans="1:13" ht="20.100000000000001" customHeight="1" x14ac:dyDescent="0.2">
      <c r="A19" s="10" t="s">
        <v>160</v>
      </c>
      <c r="B19" s="14" t="s">
        <v>23</v>
      </c>
      <c r="C19" s="14" t="s">
        <v>12</v>
      </c>
      <c r="D19" s="15" t="s">
        <v>403</v>
      </c>
      <c r="E19" s="50"/>
      <c r="F19" s="15" t="s">
        <v>93</v>
      </c>
      <c r="G19" s="4" t="s">
        <v>29</v>
      </c>
      <c r="H19" s="230"/>
      <c r="I19" s="238"/>
      <c r="J19" s="239" t="s">
        <v>397</v>
      </c>
      <c r="K19" s="43"/>
      <c r="L19" s="47" t="s">
        <v>65</v>
      </c>
      <c r="M19" s="9" t="s">
        <v>71</v>
      </c>
    </row>
    <row r="20" spans="1:13" ht="20.100000000000001" customHeight="1" x14ac:dyDescent="0.2">
      <c r="A20" s="10" t="s">
        <v>161</v>
      </c>
      <c r="B20" s="18" t="s">
        <v>24</v>
      </c>
      <c r="C20" s="18" t="s">
        <v>13</v>
      </c>
      <c r="D20" s="15" t="s">
        <v>403</v>
      </c>
      <c r="E20" s="53"/>
      <c r="F20" s="19" t="s">
        <v>94</v>
      </c>
      <c r="G20" s="4" t="s">
        <v>29</v>
      </c>
      <c r="H20" s="241"/>
      <c r="I20" s="242"/>
      <c r="J20" s="239" t="s">
        <v>397</v>
      </c>
      <c r="K20" s="43"/>
      <c r="L20" s="47" t="s">
        <v>66</v>
      </c>
      <c r="M20" s="9" t="s">
        <v>72</v>
      </c>
    </row>
    <row r="21" spans="1:13" ht="20.100000000000001" customHeight="1" x14ac:dyDescent="0.2">
      <c r="A21" s="10" t="s">
        <v>162</v>
      </c>
      <c r="B21" s="29" t="s">
        <v>328</v>
      </c>
      <c r="C21" s="22"/>
      <c r="D21" s="23"/>
      <c r="E21" s="52"/>
      <c r="F21" s="229"/>
      <c r="G21" s="24"/>
      <c r="H21" s="236"/>
      <c r="I21" s="236"/>
      <c r="J21" s="237" t="s">
        <v>396</v>
      </c>
      <c r="K21" s="43"/>
      <c r="L21" s="47" t="s">
        <v>67</v>
      </c>
      <c r="M21" s="9" t="s">
        <v>73</v>
      </c>
    </row>
    <row r="22" spans="1:13" ht="20.100000000000001" customHeight="1" x14ac:dyDescent="0.15">
      <c r="A22" s="10" t="s">
        <v>179</v>
      </c>
      <c r="B22" s="14" t="s">
        <v>22</v>
      </c>
      <c r="C22" s="14" t="s">
        <v>11</v>
      </c>
      <c r="D22" s="68" t="s">
        <v>403</v>
      </c>
      <c r="E22" s="50"/>
      <c r="F22" s="232" t="s">
        <v>95</v>
      </c>
      <c r="G22" s="20" t="s">
        <v>29</v>
      </c>
      <c r="H22" s="238"/>
      <c r="I22" s="238"/>
      <c r="J22" s="239" t="s">
        <v>397</v>
      </c>
      <c r="K22" s="43"/>
      <c r="L22" s="47" t="s">
        <v>68</v>
      </c>
      <c r="M22" s="9" t="s">
        <v>74</v>
      </c>
    </row>
    <row r="23" spans="1:13" ht="20.100000000000001" customHeight="1" x14ac:dyDescent="0.15">
      <c r="A23" s="10" t="s">
        <v>180</v>
      </c>
      <c r="B23" s="14" t="s">
        <v>23</v>
      </c>
      <c r="C23" s="14" t="s">
        <v>12</v>
      </c>
      <c r="D23" s="68" t="s">
        <v>403</v>
      </c>
      <c r="E23" s="50"/>
      <c r="F23" s="232" t="s">
        <v>96</v>
      </c>
      <c r="G23" s="20" t="s">
        <v>29</v>
      </c>
      <c r="H23" s="238"/>
      <c r="I23" s="238"/>
      <c r="J23" s="239" t="s">
        <v>397</v>
      </c>
      <c r="K23" s="43"/>
      <c r="L23" s="47" t="s">
        <v>69</v>
      </c>
      <c r="M23" s="9" t="s">
        <v>75</v>
      </c>
    </row>
    <row r="24" spans="1:13" ht="20.100000000000001" customHeight="1" x14ac:dyDescent="0.15">
      <c r="A24" s="10" t="s">
        <v>181</v>
      </c>
      <c r="B24" s="18" t="s">
        <v>24</v>
      </c>
      <c r="C24" s="18" t="s">
        <v>13</v>
      </c>
      <c r="D24" s="68" t="s">
        <v>403</v>
      </c>
      <c r="E24" s="50"/>
      <c r="F24" s="232" t="s">
        <v>97</v>
      </c>
      <c r="G24" s="20" t="s">
        <v>29</v>
      </c>
      <c r="H24" s="238"/>
      <c r="I24" s="238"/>
      <c r="J24" s="239" t="s">
        <v>397</v>
      </c>
      <c r="L24" s="47" t="s">
        <v>8</v>
      </c>
      <c r="M24" s="9" t="s">
        <v>9</v>
      </c>
    </row>
    <row r="25" spans="1:13" ht="20.100000000000001" customHeight="1" x14ac:dyDescent="0.2">
      <c r="A25" s="10" t="s">
        <v>182</v>
      </c>
      <c r="B25" s="14" t="s">
        <v>731</v>
      </c>
      <c r="C25" s="14" t="s">
        <v>409</v>
      </c>
      <c r="D25" s="15" t="s">
        <v>402</v>
      </c>
      <c r="E25" s="50"/>
      <c r="F25" s="230" t="s">
        <v>410</v>
      </c>
      <c r="G25" s="20" t="s">
        <v>60</v>
      </c>
      <c r="H25" s="238"/>
      <c r="I25" s="238"/>
      <c r="J25" s="239" t="s">
        <v>397</v>
      </c>
      <c r="L25" s="47" t="s">
        <v>70</v>
      </c>
      <c r="M25" s="9" t="s">
        <v>76</v>
      </c>
    </row>
    <row r="26" spans="1:13" ht="20.100000000000001" customHeight="1" x14ac:dyDescent="0.2">
      <c r="A26" s="10" t="s">
        <v>183</v>
      </c>
      <c r="B26" s="22"/>
      <c r="C26" s="22"/>
      <c r="D26" s="23"/>
      <c r="E26" s="52"/>
      <c r="F26" s="229"/>
      <c r="G26" s="24"/>
      <c r="H26" s="236"/>
      <c r="I26" s="236"/>
      <c r="J26" s="237" t="s">
        <v>396</v>
      </c>
    </row>
    <row r="27" spans="1:13" ht="20.100000000000001" customHeight="1" x14ac:dyDescent="0.2">
      <c r="L27" s="48"/>
    </row>
    <row r="28" spans="1:13" ht="20.100000000000001" customHeight="1" x14ac:dyDescent="0.15">
      <c r="L28" s="25" t="s">
        <v>89</v>
      </c>
      <c r="M28" s="44" t="s">
        <v>398</v>
      </c>
    </row>
    <row r="29" spans="1:13" ht="20.100000000000001" customHeight="1" x14ac:dyDescent="0.15">
      <c r="L29" s="25" t="s">
        <v>87</v>
      </c>
      <c r="M29" s="59" t="s">
        <v>10</v>
      </c>
    </row>
    <row r="30" spans="1:13" ht="20.100000000000001" customHeight="1" x14ac:dyDescent="0.15">
      <c r="L30" s="63" t="s">
        <v>91</v>
      </c>
      <c r="M30" s="9" t="s">
        <v>18</v>
      </c>
    </row>
  </sheetData>
  <dataValidations count="7">
    <dataValidation type="list" allowBlank="1" showInputMessage="1" showErrorMessage="1" sqref="B40">
      <formula1>ccc</formula1>
    </dataValidation>
    <dataValidation type="list" allowBlank="1" showInputMessage="1" showErrorMessage="1" sqref="C6">
      <formula1>$L$4:$L$10</formula1>
    </dataValidation>
    <dataValidation type="list" allowBlank="1" showInputMessage="1" showErrorMessage="1" sqref="C7">
      <formula1>$L$14:$L$16</formula1>
    </dataValidation>
    <dataValidation type="list" allowBlank="1" showInputMessage="1" showErrorMessage="1" sqref="C9:C10">
      <formula1>$L$19:$L$25</formula1>
    </dataValidation>
    <dataValidation type="list" allowBlank="1" showInputMessage="1" showErrorMessage="1" sqref="C15">
      <formula1>$L$29:$L$30</formula1>
    </dataValidation>
    <dataValidation type="list" allowBlank="1" showInputMessage="1" showErrorMessage="1" sqref="D4 D6:D26">
      <formula1>Field</formula1>
    </dataValidation>
    <dataValidation type="list" allowBlank="1" showInputMessage="1" showErrorMessage="1" sqref="G3:G26">
      <formula1>FieldRef</formula1>
    </dataValidation>
  </dataValidation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ext!$E$5:$E$6</xm:f>
          </x14:formula1>
          <xm:sqref>J3:J26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2"/>
  <sheetViews>
    <sheetView tabSelected="1" zoomScaleNormal="100" workbookViewId="0">
      <selection activeCell="C24" sqref="C24"/>
    </sheetView>
  </sheetViews>
  <sheetFormatPr defaultRowHeight="20.100000000000001" customHeight="1" x14ac:dyDescent="0.2"/>
  <cols>
    <col min="1" max="1" width="8.7109375" style="208" customWidth="1"/>
    <col min="2" max="2" width="40.7109375" style="208" customWidth="1"/>
    <col min="3" max="3" width="45.7109375" style="208" customWidth="1"/>
    <col min="4" max="4" width="15.7109375" style="208" customWidth="1"/>
    <col min="5" max="5" width="10.7109375" style="210" customWidth="1"/>
    <col min="6" max="6" width="20.7109375" style="208" customWidth="1"/>
    <col min="7" max="10" width="10.7109375" style="208" customWidth="1"/>
    <col min="11" max="11" width="9.140625" style="208"/>
    <col min="12" max="12" width="24.140625" style="208" customWidth="1"/>
    <col min="13" max="13" width="10.42578125" style="208" customWidth="1"/>
    <col min="14" max="14" width="9.140625" style="208"/>
    <col min="15" max="15" width="40.140625" style="208" bestFit="1" customWidth="1"/>
    <col min="16" max="16" width="11" style="208" bestFit="1" customWidth="1"/>
    <col min="17" max="17" width="9.140625" style="208"/>
    <col min="18" max="18" width="40.7109375" style="208" bestFit="1" customWidth="1"/>
    <col min="19" max="19" width="13.28515625" style="208" bestFit="1" customWidth="1"/>
    <col min="20" max="16384" width="9.140625" style="208"/>
  </cols>
  <sheetData>
    <row r="1" spans="1:19" ht="20.100000000000001" customHeight="1" x14ac:dyDescent="0.2">
      <c r="O1" s="254"/>
      <c r="P1" s="254"/>
    </row>
    <row r="2" spans="1:19" ht="20.100000000000001" customHeight="1" x14ac:dyDescent="0.2">
      <c r="A2" s="212" t="s">
        <v>34</v>
      </c>
      <c r="B2" s="88" t="s">
        <v>14</v>
      </c>
      <c r="C2" s="88" t="s">
        <v>15</v>
      </c>
      <c r="D2" s="88" t="s">
        <v>17</v>
      </c>
      <c r="E2" s="206" t="s">
        <v>16</v>
      </c>
      <c r="F2" s="88" t="s">
        <v>20</v>
      </c>
      <c r="G2" s="88" t="s">
        <v>28</v>
      </c>
      <c r="H2" s="88" t="s">
        <v>27</v>
      </c>
      <c r="I2" s="88" t="s">
        <v>81</v>
      </c>
      <c r="J2" s="207" t="s">
        <v>411</v>
      </c>
      <c r="K2" s="343"/>
    </row>
    <row r="3" spans="1:19" ht="20.100000000000001" customHeight="1" x14ac:dyDescent="0.2">
      <c r="A3" s="342" t="s">
        <v>18</v>
      </c>
      <c r="B3" s="344" t="s">
        <v>723</v>
      </c>
      <c r="C3" s="344"/>
      <c r="D3" s="84"/>
      <c r="E3" s="213"/>
      <c r="F3" s="271"/>
      <c r="G3" s="214"/>
      <c r="H3" s="344"/>
      <c r="I3" s="344"/>
      <c r="J3" s="287" t="s">
        <v>396</v>
      </c>
      <c r="L3" s="345" t="s">
        <v>642</v>
      </c>
      <c r="M3" s="208" t="s">
        <v>33</v>
      </c>
      <c r="O3" s="346" t="s">
        <v>529</v>
      </c>
      <c r="P3" s="254" t="s">
        <v>33</v>
      </c>
      <c r="R3" s="265" t="s">
        <v>589</v>
      </c>
      <c r="S3" s="254" t="s">
        <v>33</v>
      </c>
    </row>
    <row r="4" spans="1:19" ht="20.100000000000001" customHeight="1" x14ac:dyDescent="0.2">
      <c r="A4" s="342" t="s">
        <v>35</v>
      </c>
      <c r="B4" s="308" t="s">
        <v>731</v>
      </c>
      <c r="C4" s="75" t="s">
        <v>732</v>
      </c>
      <c r="D4" s="75" t="s">
        <v>402</v>
      </c>
      <c r="E4" s="215"/>
      <c r="F4" s="247" t="s">
        <v>724</v>
      </c>
      <c r="G4" s="216" t="s">
        <v>60</v>
      </c>
      <c r="H4" s="347"/>
      <c r="I4" s="347"/>
      <c r="J4" s="286" t="s">
        <v>397</v>
      </c>
      <c r="L4" s="259" t="s">
        <v>640</v>
      </c>
      <c r="M4" s="208" t="s">
        <v>10</v>
      </c>
      <c r="O4" s="254" t="s">
        <v>523</v>
      </c>
      <c r="P4" s="254" t="s">
        <v>18</v>
      </c>
      <c r="R4" s="251" t="s">
        <v>593</v>
      </c>
      <c r="S4" s="254" t="s">
        <v>71</v>
      </c>
    </row>
    <row r="5" spans="1:19" ht="20.100000000000001" customHeight="1" x14ac:dyDescent="0.2">
      <c r="A5" s="342" t="s">
        <v>36</v>
      </c>
      <c r="B5" s="308" t="s">
        <v>733</v>
      </c>
      <c r="C5" s="75" t="s">
        <v>720</v>
      </c>
      <c r="D5" s="75" t="s">
        <v>722</v>
      </c>
      <c r="E5" s="217" t="s">
        <v>35</v>
      </c>
      <c r="F5" s="247" t="s">
        <v>719</v>
      </c>
      <c r="G5" s="216" t="s">
        <v>30</v>
      </c>
      <c r="H5" s="347"/>
      <c r="I5" s="347"/>
      <c r="J5" s="286" t="s">
        <v>397</v>
      </c>
      <c r="L5" s="259" t="s">
        <v>638</v>
      </c>
      <c r="M5" s="208" t="s">
        <v>18</v>
      </c>
      <c r="O5" s="254" t="s">
        <v>525</v>
      </c>
      <c r="P5" s="254" t="s">
        <v>35</v>
      </c>
      <c r="R5" s="251" t="s">
        <v>588</v>
      </c>
      <c r="S5" s="254" t="s">
        <v>72</v>
      </c>
    </row>
    <row r="6" spans="1:19" ht="20.100000000000001" customHeight="1" x14ac:dyDescent="0.2">
      <c r="A6" s="342" t="s">
        <v>37</v>
      </c>
      <c r="B6" s="348" t="s">
        <v>720</v>
      </c>
      <c r="C6" s="75" t="s">
        <v>640</v>
      </c>
      <c r="D6" s="75" t="s">
        <v>401</v>
      </c>
      <c r="E6" s="218" t="str">
        <f>VLOOKUP(Table2350[[#This Row],[Data]],Table151[],2,0)</f>
        <v>0</v>
      </c>
      <c r="F6" s="247" t="s">
        <v>719</v>
      </c>
      <c r="G6" s="216" t="s">
        <v>30</v>
      </c>
      <c r="H6" s="75"/>
      <c r="I6" s="75"/>
      <c r="J6" s="286" t="s">
        <v>397</v>
      </c>
      <c r="O6" s="254" t="s">
        <v>521</v>
      </c>
      <c r="P6" s="254" t="s">
        <v>36</v>
      </c>
      <c r="R6" s="251" t="s">
        <v>592</v>
      </c>
      <c r="S6" s="254" t="s">
        <v>73</v>
      </c>
    </row>
    <row r="7" spans="1:19" ht="20.100000000000001" customHeight="1" x14ac:dyDescent="0.2">
      <c r="A7" s="342" t="s">
        <v>38</v>
      </c>
      <c r="B7" s="308" t="s">
        <v>731</v>
      </c>
      <c r="C7" s="75" t="s">
        <v>409</v>
      </c>
      <c r="D7" s="75" t="s">
        <v>402</v>
      </c>
      <c r="E7" s="218"/>
      <c r="F7" s="247" t="s">
        <v>725</v>
      </c>
      <c r="G7" s="209" t="s">
        <v>29</v>
      </c>
      <c r="H7" s="75"/>
      <c r="I7" s="75"/>
      <c r="J7" s="286" t="s">
        <v>397</v>
      </c>
      <c r="L7" s="349" t="s">
        <v>103</v>
      </c>
      <c r="M7" s="208" t="s">
        <v>33</v>
      </c>
      <c r="O7" s="254"/>
      <c r="P7" s="254"/>
      <c r="R7" s="251" t="s">
        <v>591</v>
      </c>
      <c r="S7" s="254" t="s">
        <v>74</v>
      </c>
    </row>
    <row r="8" spans="1:19" ht="20.100000000000001" customHeight="1" x14ac:dyDescent="0.2">
      <c r="A8" s="342" t="s">
        <v>39</v>
      </c>
      <c r="B8" s="308" t="s">
        <v>733</v>
      </c>
      <c r="C8" s="75" t="s">
        <v>734</v>
      </c>
      <c r="D8" s="75" t="s">
        <v>722</v>
      </c>
      <c r="E8" s="75" t="s">
        <v>18</v>
      </c>
      <c r="F8" s="350" t="s">
        <v>726</v>
      </c>
      <c r="G8" s="216" t="s">
        <v>60</v>
      </c>
      <c r="H8" s="75"/>
      <c r="I8" s="75"/>
      <c r="J8" s="286" t="s">
        <v>397</v>
      </c>
      <c r="L8" s="259" t="s">
        <v>636</v>
      </c>
      <c r="M8" s="208" t="s">
        <v>10</v>
      </c>
      <c r="O8" s="346" t="s">
        <v>516</v>
      </c>
      <c r="P8" s="254" t="s">
        <v>33</v>
      </c>
      <c r="R8" s="251" t="s">
        <v>590</v>
      </c>
      <c r="S8" s="254" t="s">
        <v>75</v>
      </c>
    </row>
    <row r="9" spans="1:19" ht="20.100000000000001" customHeight="1" x14ac:dyDescent="0.2">
      <c r="A9" s="342" t="s">
        <v>40</v>
      </c>
      <c r="B9" s="73"/>
      <c r="C9" s="73"/>
      <c r="D9" s="73"/>
      <c r="E9" s="73"/>
      <c r="F9" s="73"/>
      <c r="G9" s="73"/>
      <c r="H9" s="73"/>
      <c r="I9" s="73"/>
      <c r="J9" s="287" t="s">
        <v>396</v>
      </c>
      <c r="L9" s="259" t="s">
        <v>635</v>
      </c>
      <c r="M9" s="208" t="s">
        <v>18</v>
      </c>
      <c r="O9" s="254" t="s">
        <v>495</v>
      </c>
      <c r="P9" s="254" t="s">
        <v>71</v>
      </c>
      <c r="R9" s="252"/>
      <c r="S9" s="254"/>
    </row>
    <row r="10" spans="1:19" ht="20.100000000000001" customHeight="1" x14ac:dyDescent="0.2">
      <c r="A10" s="342" t="s">
        <v>41</v>
      </c>
      <c r="B10" s="84" t="s">
        <v>718</v>
      </c>
      <c r="C10" s="73"/>
      <c r="D10" s="73"/>
      <c r="E10" s="73"/>
      <c r="F10" s="73"/>
      <c r="G10" s="73"/>
      <c r="H10" s="73"/>
      <c r="I10" s="73"/>
      <c r="J10" s="287" t="s">
        <v>396</v>
      </c>
      <c r="O10" s="254" t="s">
        <v>493</v>
      </c>
      <c r="P10" s="254" t="s">
        <v>72</v>
      </c>
      <c r="R10" s="256" t="s">
        <v>585</v>
      </c>
      <c r="S10" s="254" t="s">
        <v>33</v>
      </c>
    </row>
    <row r="11" spans="1:19" ht="20.100000000000001" customHeight="1" x14ac:dyDescent="0.2">
      <c r="A11" s="342" t="s">
        <v>42</v>
      </c>
      <c r="B11" s="386"/>
      <c r="C11" s="387"/>
      <c r="D11" s="387"/>
      <c r="E11" s="387"/>
      <c r="F11" s="387"/>
      <c r="G11" s="387"/>
      <c r="H11" s="387"/>
      <c r="I11" s="387"/>
      <c r="J11" s="287" t="s">
        <v>396</v>
      </c>
      <c r="L11" s="345" t="s">
        <v>634</v>
      </c>
      <c r="M11" s="208" t="s">
        <v>33</v>
      </c>
      <c r="O11" s="254" t="s">
        <v>491</v>
      </c>
      <c r="P11" s="254" t="s">
        <v>73</v>
      </c>
      <c r="R11" s="252" t="s">
        <v>587</v>
      </c>
      <c r="S11" s="254" t="s">
        <v>586</v>
      </c>
    </row>
    <row r="12" spans="1:19" ht="20.100000000000001" customHeight="1" x14ac:dyDescent="0.2">
      <c r="A12" s="342" t="s">
        <v>43</v>
      </c>
      <c r="B12" s="308" t="s">
        <v>717</v>
      </c>
      <c r="C12" s="75"/>
      <c r="D12" s="75" t="s">
        <v>402</v>
      </c>
      <c r="E12" s="220"/>
      <c r="F12" s="350" t="s">
        <v>726</v>
      </c>
      <c r="G12" s="216" t="s">
        <v>60</v>
      </c>
      <c r="H12" s="75"/>
      <c r="I12" s="75"/>
      <c r="J12" s="286" t="s">
        <v>397</v>
      </c>
      <c r="L12" s="259" t="s">
        <v>633</v>
      </c>
      <c r="M12" s="208" t="s">
        <v>10</v>
      </c>
      <c r="O12" s="254" t="s">
        <v>489</v>
      </c>
      <c r="P12" s="254" t="s">
        <v>74</v>
      </c>
      <c r="R12" s="252" t="s">
        <v>584</v>
      </c>
      <c r="S12" s="282" t="s">
        <v>71</v>
      </c>
    </row>
    <row r="13" spans="1:19" ht="20.100000000000001" customHeight="1" x14ac:dyDescent="0.2">
      <c r="A13" s="342" t="s">
        <v>44</v>
      </c>
      <c r="B13" s="308" t="s">
        <v>733</v>
      </c>
      <c r="C13" s="75" t="s">
        <v>103</v>
      </c>
      <c r="D13" s="75" t="s">
        <v>722</v>
      </c>
      <c r="E13" s="75" t="s">
        <v>35</v>
      </c>
      <c r="F13" s="247" t="s">
        <v>641</v>
      </c>
      <c r="G13" s="216" t="s">
        <v>30</v>
      </c>
      <c r="H13" s="75"/>
      <c r="I13" s="75"/>
      <c r="J13" s="286" t="s">
        <v>397</v>
      </c>
      <c r="L13" s="259" t="s">
        <v>632</v>
      </c>
      <c r="M13" s="208" t="s">
        <v>18</v>
      </c>
      <c r="O13" s="254" t="s">
        <v>487</v>
      </c>
      <c r="P13" s="254" t="s">
        <v>75</v>
      </c>
      <c r="R13" s="252" t="s">
        <v>583</v>
      </c>
      <c r="S13" s="282" t="s">
        <v>72</v>
      </c>
    </row>
    <row r="14" spans="1:19" ht="20.100000000000001" customHeight="1" x14ac:dyDescent="0.2">
      <c r="A14" s="342" t="s">
        <v>45</v>
      </c>
      <c r="B14" s="348" t="s">
        <v>103</v>
      </c>
      <c r="C14" s="75" t="s">
        <v>636</v>
      </c>
      <c r="D14" s="75" t="s">
        <v>401</v>
      </c>
      <c r="E14" s="220" t="str">
        <f>VLOOKUP(Table2350[[#This Row],[Data]],Table252[],2,0)</f>
        <v>0</v>
      </c>
      <c r="F14" s="247" t="s">
        <v>641</v>
      </c>
      <c r="G14" s="216" t="s">
        <v>30</v>
      </c>
      <c r="H14" s="75"/>
      <c r="I14" s="75"/>
      <c r="J14" s="286" t="s">
        <v>397</v>
      </c>
      <c r="O14" s="254" t="s">
        <v>486</v>
      </c>
      <c r="P14" s="254" t="s">
        <v>9</v>
      </c>
      <c r="R14" s="252" t="s">
        <v>582</v>
      </c>
      <c r="S14" s="282" t="s">
        <v>73</v>
      </c>
    </row>
    <row r="15" spans="1:19" ht="20.100000000000001" customHeight="1" x14ac:dyDescent="0.2">
      <c r="A15" s="342" t="s">
        <v>98</v>
      </c>
      <c r="B15" s="84" t="s">
        <v>634</v>
      </c>
      <c r="C15" s="211"/>
      <c r="D15" s="211"/>
      <c r="E15" s="221"/>
      <c r="F15" s="211"/>
      <c r="G15" s="222"/>
      <c r="H15" s="211"/>
      <c r="I15" s="211"/>
      <c r="J15" s="287" t="s">
        <v>396</v>
      </c>
      <c r="L15" s="208" t="s">
        <v>631</v>
      </c>
      <c r="M15" s="208" t="s">
        <v>33</v>
      </c>
      <c r="O15" s="254" t="s">
        <v>484</v>
      </c>
      <c r="P15" s="254" t="s">
        <v>76</v>
      </c>
      <c r="R15" s="252" t="s">
        <v>581</v>
      </c>
      <c r="S15" s="282" t="s">
        <v>74</v>
      </c>
    </row>
    <row r="16" spans="1:19" ht="20.100000000000001" customHeight="1" x14ac:dyDescent="0.2">
      <c r="A16" s="342" t="s">
        <v>99</v>
      </c>
      <c r="B16" s="348" t="s">
        <v>634</v>
      </c>
      <c r="C16" s="308" t="s">
        <v>633</v>
      </c>
      <c r="D16" s="75" t="s">
        <v>401</v>
      </c>
      <c r="E16" s="220" t="str">
        <f>VLOOKUP(Table2350[[#This Row],[Data]],Table353[],2,0)</f>
        <v>0</v>
      </c>
      <c r="F16" s="247" t="s">
        <v>639</v>
      </c>
      <c r="G16" s="216" t="s">
        <v>30</v>
      </c>
      <c r="H16" s="75"/>
      <c r="I16" s="75"/>
      <c r="J16" s="286" t="s">
        <v>397</v>
      </c>
      <c r="L16" s="259" t="s">
        <v>630</v>
      </c>
      <c r="M16" s="208" t="s">
        <v>10</v>
      </c>
      <c r="O16" s="254"/>
      <c r="P16" s="254"/>
      <c r="R16" s="252" t="s">
        <v>580</v>
      </c>
      <c r="S16" s="284" t="s">
        <v>75</v>
      </c>
    </row>
    <row r="17" spans="1:19" ht="20.100000000000001" customHeight="1" x14ac:dyDescent="0.2">
      <c r="A17" s="342" t="s">
        <v>100</v>
      </c>
      <c r="B17" s="84" t="s">
        <v>631</v>
      </c>
      <c r="C17" s="211"/>
      <c r="D17" s="211"/>
      <c r="E17" s="221"/>
      <c r="F17" s="211"/>
      <c r="G17" s="222"/>
      <c r="H17" s="211"/>
      <c r="I17" s="211"/>
      <c r="J17" s="287" t="s">
        <v>396</v>
      </c>
      <c r="L17" s="352" t="s">
        <v>628</v>
      </c>
      <c r="M17" s="208" t="s">
        <v>18</v>
      </c>
      <c r="O17" s="346" t="s">
        <v>498</v>
      </c>
      <c r="P17" s="254" t="s">
        <v>33</v>
      </c>
      <c r="R17" s="252" t="s">
        <v>579</v>
      </c>
      <c r="S17" s="284" t="s">
        <v>9</v>
      </c>
    </row>
    <row r="18" spans="1:19" ht="20.100000000000001" customHeight="1" x14ac:dyDescent="0.2">
      <c r="A18" s="342" t="s">
        <v>102</v>
      </c>
      <c r="B18" s="308" t="s">
        <v>631</v>
      </c>
      <c r="C18" s="308" t="s">
        <v>620</v>
      </c>
      <c r="D18" s="75" t="s">
        <v>401</v>
      </c>
      <c r="E18" s="220" t="str">
        <f>VLOOKUP(Table2350[[#This Row],[Data]],Table454[],2,0)</f>
        <v>8</v>
      </c>
      <c r="F18" s="247" t="s">
        <v>637</v>
      </c>
      <c r="G18" s="216" t="s">
        <v>30</v>
      </c>
      <c r="H18" s="75"/>
      <c r="I18" s="75"/>
      <c r="J18" s="286" t="s">
        <v>397</v>
      </c>
      <c r="L18" s="259" t="s">
        <v>626</v>
      </c>
      <c r="M18" s="208" t="s">
        <v>35</v>
      </c>
      <c r="O18" s="353" t="s">
        <v>495</v>
      </c>
      <c r="P18" s="254" t="s">
        <v>71</v>
      </c>
      <c r="R18" s="252" t="s">
        <v>577</v>
      </c>
      <c r="S18" s="284" t="s">
        <v>76</v>
      </c>
    </row>
    <row r="19" spans="1:19" ht="20.100000000000001" customHeight="1" x14ac:dyDescent="0.2">
      <c r="A19" s="342" t="s">
        <v>160</v>
      </c>
      <c r="B19" s="351" t="s">
        <v>630</v>
      </c>
      <c r="C19" s="75"/>
      <c r="D19" s="75" t="s">
        <v>403</v>
      </c>
      <c r="E19" s="220"/>
      <c r="F19" s="247"/>
      <c r="G19" s="216"/>
      <c r="H19" s="75"/>
      <c r="I19" s="75"/>
      <c r="J19" s="287" t="s">
        <v>396</v>
      </c>
      <c r="L19" s="259" t="s">
        <v>625</v>
      </c>
      <c r="M19" s="208" t="s">
        <v>36</v>
      </c>
      <c r="O19" s="354" t="s">
        <v>493</v>
      </c>
      <c r="P19" s="254" t="s">
        <v>72</v>
      </c>
      <c r="R19" s="252"/>
      <c r="S19" s="254"/>
    </row>
    <row r="20" spans="1:19" ht="20.100000000000001" customHeight="1" x14ac:dyDescent="0.2">
      <c r="A20" s="342" t="s">
        <v>161</v>
      </c>
      <c r="B20" s="351" t="s">
        <v>736</v>
      </c>
      <c r="C20" s="75"/>
      <c r="D20" s="75" t="s">
        <v>403</v>
      </c>
      <c r="E20" s="220"/>
      <c r="F20" s="247"/>
      <c r="G20" s="216"/>
      <c r="H20" s="75"/>
      <c r="I20" s="75"/>
      <c r="J20" s="287" t="s">
        <v>396</v>
      </c>
      <c r="L20" s="259" t="s">
        <v>624</v>
      </c>
      <c r="M20" s="208" t="s">
        <v>37</v>
      </c>
      <c r="O20" s="353" t="s">
        <v>491</v>
      </c>
      <c r="P20" s="254" t="s">
        <v>73</v>
      </c>
      <c r="R20" s="288" t="s">
        <v>578</v>
      </c>
      <c r="S20" s="254" t="s">
        <v>33</v>
      </c>
    </row>
    <row r="21" spans="1:19" ht="20.100000000000001" customHeight="1" x14ac:dyDescent="0.2">
      <c r="A21" s="342" t="s">
        <v>162</v>
      </c>
      <c r="B21" s="351" t="s">
        <v>628</v>
      </c>
      <c r="C21" s="75"/>
      <c r="D21" s="75" t="s">
        <v>403</v>
      </c>
      <c r="E21" s="220"/>
      <c r="F21" s="247"/>
      <c r="G21" s="216"/>
      <c r="H21" s="75"/>
      <c r="I21" s="75"/>
      <c r="J21" s="287" t="s">
        <v>396</v>
      </c>
      <c r="L21" s="259" t="s">
        <v>623</v>
      </c>
      <c r="M21" s="208" t="s">
        <v>38</v>
      </c>
      <c r="O21" s="354" t="s">
        <v>489</v>
      </c>
      <c r="P21" s="254" t="s">
        <v>74</v>
      </c>
      <c r="R21" s="263" t="s">
        <v>576</v>
      </c>
      <c r="S21" s="254" t="s">
        <v>10</v>
      </c>
    </row>
    <row r="22" spans="1:19" ht="20.100000000000001" customHeight="1" x14ac:dyDescent="0.2">
      <c r="A22" s="342" t="s">
        <v>179</v>
      </c>
      <c r="B22" s="351" t="s">
        <v>737</v>
      </c>
      <c r="C22" s="75"/>
      <c r="D22" s="75" t="s">
        <v>403</v>
      </c>
      <c r="E22" s="220"/>
      <c r="F22" s="247"/>
      <c r="G22" s="216"/>
      <c r="H22" s="75"/>
      <c r="I22" s="75"/>
      <c r="J22" s="287" t="s">
        <v>396</v>
      </c>
      <c r="L22" s="259" t="s">
        <v>622</v>
      </c>
      <c r="M22" s="208" t="s">
        <v>39</v>
      </c>
      <c r="O22" s="353" t="s">
        <v>487</v>
      </c>
      <c r="P22" s="254" t="s">
        <v>75</v>
      </c>
      <c r="R22" s="285" t="s">
        <v>766</v>
      </c>
      <c r="S22" s="254" t="s">
        <v>18</v>
      </c>
    </row>
    <row r="23" spans="1:19" ht="20.100000000000001" customHeight="1" x14ac:dyDescent="0.2">
      <c r="A23" s="342" t="s">
        <v>180</v>
      </c>
      <c r="B23" s="355" t="s">
        <v>626</v>
      </c>
      <c r="C23" s="75"/>
      <c r="D23" s="75" t="s">
        <v>403</v>
      </c>
      <c r="E23" s="220"/>
      <c r="F23" s="247"/>
      <c r="G23" s="216"/>
      <c r="H23" s="75"/>
      <c r="I23" s="75"/>
      <c r="J23" s="287" t="s">
        <v>396</v>
      </c>
      <c r="L23" s="259" t="s">
        <v>621</v>
      </c>
      <c r="M23" s="208" t="s">
        <v>40</v>
      </c>
      <c r="O23" s="354" t="s">
        <v>486</v>
      </c>
      <c r="P23" s="254" t="s">
        <v>9</v>
      </c>
    </row>
    <row r="24" spans="1:19" ht="20.100000000000001" customHeight="1" x14ac:dyDescent="0.2">
      <c r="A24" s="342" t="s">
        <v>181</v>
      </c>
      <c r="B24" s="355" t="s">
        <v>625</v>
      </c>
      <c r="C24" s="75"/>
      <c r="D24" s="75" t="s">
        <v>403</v>
      </c>
      <c r="E24" s="220"/>
      <c r="F24" s="247"/>
      <c r="G24" s="216"/>
      <c r="H24" s="75"/>
      <c r="I24" s="75"/>
      <c r="J24" s="287" t="s">
        <v>396</v>
      </c>
      <c r="L24" s="259" t="s">
        <v>620</v>
      </c>
      <c r="M24" s="208" t="s">
        <v>41</v>
      </c>
      <c r="O24" s="356" t="s">
        <v>484</v>
      </c>
      <c r="P24" s="254" t="s">
        <v>76</v>
      </c>
    </row>
    <row r="25" spans="1:19" ht="20.100000000000001" customHeight="1" x14ac:dyDescent="0.2">
      <c r="A25" s="342" t="s">
        <v>182</v>
      </c>
      <c r="B25" s="355" t="s">
        <v>624</v>
      </c>
      <c r="C25" s="75"/>
      <c r="D25" s="75" t="s">
        <v>403</v>
      </c>
      <c r="E25" s="220"/>
      <c r="F25" s="247"/>
      <c r="G25" s="216"/>
      <c r="H25" s="75"/>
      <c r="I25" s="75"/>
      <c r="J25" s="287" t="s">
        <v>396</v>
      </c>
      <c r="O25" s="254"/>
      <c r="P25" s="254"/>
    </row>
    <row r="26" spans="1:19" ht="20.100000000000001" customHeight="1" x14ac:dyDescent="0.2">
      <c r="A26" s="342" t="s">
        <v>183</v>
      </c>
      <c r="B26" s="355" t="s">
        <v>623</v>
      </c>
      <c r="C26" s="75"/>
      <c r="D26" s="75" t="s">
        <v>403</v>
      </c>
      <c r="E26" s="220"/>
      <c r="F26" s="247"/>
      <c r="G26" s="216"/>
      <c r="H26" s="75"/>
      <c r="I26" s="75"/>
      <c r="J26" s="287" t="s">
        <v>396</v>
      </c>
      <c r="L26" s="357" t="s">
        <v>619</v>
      </c>
      <c r="M26" s="208" t="s">
        <v>33</v>
      </c>
      <c r="O26" s="346" t="s">
        <v>482</v>
      </c>
      <c r="P26" s="254" t="s">
        <v>33</v>
      </c>
    </row>
    <row r="27" spans="1:19" ht="20.100000000000001" customHeight="1" x14ac:dyDescent="0.2">
      <c r="A27" s="342" t="s">
        <v>184</v>
      </c>
      <c r="B27" s="351" t="s">
        <v>622</v>
      </c>
      <c r="C27" s="75"/>
      <c r="D27" s="75" t="s">
        <v>403</v>
      </c>
      <c r="E27" s="220"/>
      <c r="F27" s="247"/>
      <c r="G27" s="216"/>
      <c r="H27" s="75"/>
      <c r="I27" s="75"/>
      <c r="J27" s="287" t="s">
        <v>396</v>
      </c>
      <c r="L27" s="91" t="s">
        <v>618</v>
      </c>
      <c r="M27" s="255" t="s">
        <v>617</v>
      </c>
      <c r="O27" s="254" t="s">
        <v>481</v>
      </c>
      <c r="P27" s="337" t="s">
        <v>71</v>
      </c>
    </row>
    <row r="28" spans="1:19" ht="20.100000000000001" customHeight="1" x14ac:dyDescent="0.2">
      <c r="A28" s="342" t="s">
        <v>193</v>
      </c>
      <c r="B28" s="351" t="s">
        <v>621</v>
      </c>
      <c r="C28" s="272"/>
      <c r="D28" s="75" t="s">
        <v>403</v>
      </c>
      <c r="E28" s="218"/>
      <c r="F28" s="247"/>
      <c r="G28" s="216"/>
      <c r="H28" s="75"/>
      <c r="I28" s="75"/>
      <c r="J28" s="287" t="s">
        <v>396</v>
      </c>
      <c r="L28" s="255" t="s">
        <v>616</v>
      </c>
      <c r="M28" s="255" t="s">
        <v>615</v>
      </c>
      <c r="O28" s="254" t="s">
        <v>479</v>
      </c>
      <c r="P28" s="338" t="s">
        <v>72</v>
      </c>
    </row>
    <row r="29" spans="1:19" ht="20.100000000000001" customHeight="1" x14ac:dyDescent="0.2">
      <c r="A29" s="342" t="s">
        <v>194</v>
      </c>
      <c r="B29" s="336" t="s">
        <v>620</v>
      </c>
      <c r="C29" s="336" t="s">
        <v>36</v>
      </c>
      <c r="D29" s="75" t="s">
        <v>403</v>
      </c>
      <c r="E29" s="218"/>
      <c r="F29" s="247" t="s">
        <v>629</v>
      </c>
      <c r="G29" s="216" t="s">
        <v>29</v>
      </c>
      <c r="H29" s="75"/>
      <c r="I29" s="75"/>
      <c r="J29" s="286" t="s">
        <v>397</v>
      </c>
      <c r="O29" s="254" t="s">
        <v>478</v>
      </c>
      <c r="P29" s="337" t="s">
        <v>73</v>
      </c>
    </row>
    <row r="30" spans="1:19" ht="20.100000000000001" customHeight="1" x14ac:dyDescent="0.2">
      <c r="A30" s="342" t="s">
        <v>195</v>
      </c>
      <c r="B30" s="336" t="s">
        <v>727</v>
      </c>
      <c r="C30" s="336"/>
      <c r="D30" s="75" t="s">
        <v>402</v>
      </c>
      <c r="E30" s="218"/>
      <c r="F30" s="247" t="s">
        <v>728</v>
      </c>
      <c r="G30" s="216" t="s">
        <v>30</v>
      </c>
      <c r="H30" s="75"/>
      <c r="I30" s="75"/>
      <c r="J30" s="286" t="s">
        <v>397</v>
      </c>
      <c r="L30" s="359" t="s">
        <v>614</v>
      </c>
      <c r="M30" s="208" t="s">
        <v>33</v>
      </c>
      <c r="O30" s="254" t="s">
        <v>476</v>
      </c>
      <c r="P30" s="338" t="s">
        <v>74</v>
      </c>
    </row>
    <row r="31" spans="1:19" ht="20.100000000000001" customHeight="1" x14ac:dyDescent="0.2">
      <c r="A31" s="342" t="s">
        <v>201</v>
      </c>
      <c r="B31" s="84" t="s">
        <v>619</v>
      </c>
      <c r="C31" s="211"/>
      <c r="D31" s="211"/>
      <c r="E31" s="221"/>
      <c r="F31" s="211"/>
      <c r="G31" s="222"/>
      <c r="H31" s="211"/>
      <c r="I31" s="211"/>
      <c r="J31" s="287" t="s">
        <v>396</v>
      </c>
      <c r="L31" s="361" t="s">
        <v>613</v>
      </c>
      <c r="M31" s="208" t="s">
        <v>10</v>
      </c>
      <c r="O31" s="254" t="s">
        <v>475</v>
      </c>
      <c r="P31" s="337" t="s">
        <v>75</v>
      </c>
    </row>
    <row r="32" spans="1:19" ht="20.100000000000001" customHeight="1" x14ac:dyDescent="0.2">
      <c r="A32" s="342" t="s">
        <v>202</v>
      </c>
      <c r="B32" s="358" t="s">
        <v>619</v>
      </c>
      <c r="C32" s="272" t="s">
        <v>618</v>
      </c>
      <c r="D32" s="75" t="s">
        <v>399</v>
      </c>
      <c r="E32" s="218" t="str">
        <f>VLOOKUP(Table2350[[#This Row],[Data]],Table655[],2,0)</f>
        <v>B</v>
      </c>
      <c r="F32" s="247" t="s">
        <v>716</v>
      </c>
      <c r="G32" s="216" t="s">
        <v>29</v>
      </c>
      <c r="H32" s="75" t="s">
        <v>32</v>
      </c>
      <c r="I32" s="75"/>
      <c r="J32" s="286" t="s">
        <v>397</v>
      </c>
      <c r="O32" s="254" t="s">
        <v>473</v>
      </c>
      <c r="P32" s="338" t="s">
        <v>9</v>
      </c>
    </row>
    <row r="33" spans="1:16" ht="20.100000000000001" customHeight="1" x14ac:dyDescent="0.2">
      <c r="A33" s="342" t="s">
        <v>203</v>
      </c>
      <c r="B33" s="360" t="s">
        <v>729</v>
      </c>
      <c r="C33" s="274" t="s">
        <v>613</v>
      </c>
      <c r="D33" s="75" t="s">
        <v>401</v>
      </c>
      <c r="E33" s="218" t="str">
        <f>VLOOKUP(Table2350[[#This Row],[Data]],Table1156[],2,0)</f>
        <v>0</v>
      </c>
      <c r="F33" s="350" t="s">
        <v>627</v>
      </c>
      <c r="G33" s="216" t="s">
        <v>30</v>
      </c>
      <c r="H33" s="75"/>
      <c r="I33" s="75"/>
      <c r="J33" s="286" t="s">
        <v>397</v>
      </c>
      <c r="O33" s="254" t="s">
        <v>472</v>
      </c>
      <c r="P33" s="337" t="s">
        <v>76</v>
      </c>
    </row>
    <row r="34" spans="1:16" ht="20.100000000000001" customHeight="1" x14ac:dyDescent="0.2">
      <c r="A34" s="342" t="s">
        <v>204</v>
      </c>
      <c r="B34" s="336" t="s">
        <v>731</v>
      </c>
      <c r="C34" s="248" t="s">
        <v>409</v>
      </c>
      <c r="D34" s="75" t="s">
        <v>402</v>
      </c>
      <c r="E34" s="218"/>
      <c r="F34" s="247" t="s">
        <v>730</v>
      </c>
      <c r="G34" s="216" t="s">
        <v>60</v>
      </c>
      <c r="H34" s="75"/>
      <c r="I34" s="75"/>
      <c r="J34" s="286" t="s">
        <v>397</v>
      </c>
      <c r="O34" s="254" t="s">
        <v>471</v>
      </c>
      <c r="P34" s="254" t="s">
        <v>454</v>
      </c>
    </row>
    <row r="35" spans="1:16" ht="20.100000000000001" customHeight="1" x14ac:dyDescent="0.2">
      <c r="A35" s="342" t="s">
        <v>205</v>
      </c>
      <c r="B35" s="336" t="s">
        <v>731</v>
      </c>
      <c r="C35" s="248" t="s">
        <v>409</v>
      </c>
      <c r="D35" s="75" t="s">
        <v>402</v>
      </c>
      <c r="E35" s="218"/>
      <c r="F35" s="247" t="s">
        <v>735</v>
      </c>
      <c r="G35" s="216" t="s">
        <v>60</v>
      </c>
      <c r="H35" s="75"/>
      <c r="I35" s="75"/>
      <c r="J35" s="286" t="s">
        <v>397</v>
      </c>
      <c r="O35" s="254"/>
      <c r="P35" s="254"/>
    </row>
    <row r="36" spans="1:16" ht="20.100000000000001" customHeight="1" x14ac:dyDescent="0.2">
      <c r="A36" s="342" t="s">
        <v>206</v>
      </c>
      <c r="B36" s="308" t="s">
        <v>733</v>
      </c>
      <c r="C36" s="75" t="s">
        <v>734</v>
      </c>
      <c r="D36" s="75" t="s">
        <v>722</v>
      </c>
      <c r="E36" s="75" t="s">
        <v>18</v>
      </c>
      <c r="F36" s="350" t="s">
        <v>726</v>
      </c>
      <c r="G36" s="216" t="s">
        <v>60</v>
      </c>
      <c r="H36" s="75"/>
      <c r="I36" s="75"/>
      <c r="J36" s="286" t="s">
        <v>397</v>
      </c>
      <c r="O36" s="346" t="s">
        <v>470</v>
      </c>
      <c r="P36" s="254" t="s">
        <v>33</v>
      </c>
    </row>
    <row r="37" spans="1:16" ht="20.100000000000001" customHeight="1" x14ac:dyDescent="0.2">
      <c r="A37" s="342" t="s">
        <v>207</v>
      </c>
      <c r="B37" s="362"/>
      <c r="C37" s="363"/>
      <c r="D37" s="223"/>
      <c r="E37" s="224"/>
      <c r="F37" s="363"/>
      <c r="G37" s="225"/>
      <c r="H37" s="223"/>
      <c r="I37" s="223"/>
      <c r="J37" s="364" t="s">
        <v>396</v>
      </c>
      <c r="O37" s="254" t="s">
        <v>469</v>
      </c>
      <c r="P37" s="337" t="s">
        <v>71</v>
      </c>
    </row>
    <row r="38" spans="1:16" ht="20.100000000000001" customHeight="1" x14ac:dyDescent="0.2">
      <c r="A38" s="342" t="s">
        <v>208</v>
      </c>
      <c r="B38" s="211" t="s">
        <v>740</v>
      </c>
      <c r="C38" s="365"/>
      <c r="D38" s="340"/>
      <c r="E38" s="339"/>
      <c r="F38" s="365"/>
      <c r="G38" s="341"/>
      <c r="H38" s="340"/>
      <c r="I38" s="366"/>
      <c r="J38" s="364" t="s">
        <v>396</v>
      </c>
      <c r="O38" s="254" t="s">
        <v>467</v>
      </c>
      <c r="P38" s="338" t="s">
        <v>72</v>
      </c>
    </row>
    <row r="39" spans="1:16" ht="20.100000000000001" customHeight="1" x14ac:dyDescent="0.2">
      <c r="A39" s="342" t="s">
        <v>209</v>
      </c>
      <c r="B39" s="365"/>
      <c r="C39" s="211"/>
      <c r="D39" s="211"/>
      <c r="E39" s="221"/>
      <c r="F39" s="246"/>
      <c r="G39" s="243"/>
      <c r="H39" s="211"/>
      <c r="I39" s="367"/>
      <c r="J39" s="287" t="s">
        <v>396</v>
      </c>
      <c r="O39" s="254" t="s">
        <v>466</v>
      </c>
      <c r="P39" s="337" t="s">
        <v>73</v>
      </c>
    </row>
    <row r="40" spans="1:16" ht="20.100000000000001" customHeight="1" x14ac:dyDescent="0.2">
      <c r="A40" s="342" t="s">
        <v>210</v>
      </c>
      <c r="B40" s="308" t="s">
        <v>731</v>
      </c>
      <c r="C40" s="75" t="s">
        <v>739</v>
      </c>
      <c r="D40" s="368" t="s">
        <v>402</v>
      </c>
      <c r="E40" s="249"/>
      <c r="F40" s="247" t="s">
        <v>740</v>
      </c>
      <c r="G40" s="216" t="s">
        <v>407</v>
      </c>
      <c r="H40" s="368"/>
      <c r="I40" s="369"/>
      <c r="J40" s="286" t="s">
        <v>397</v>
      </c>
      <c r="O40" s="254" t="s">
        <v>464</v>
      </c>
      <c r="P40" s="338" t="s">
        <v>74</v>
      </c>
    </row>
    <row r="41" spans="1:16" ht="20.100000000000001" customHeight="1" x14ac:dyDescent="0.2">
      <c r="A41" s="342" t="s">
        <v>211</v>
      </c>
      <c r="B41" s="211" t="s">
        <v>744</v>
      </c>
      <c r="C41" s="73"/>
      <c r="D41" s="211"/>
      <c r="E41" s="221"/>
      <c r="F41" s="246"/>
      <c r="G41" s="243"/>
      <c r="H41" s="211"/>
      <c r="I41" s="367"/>
      <c r="J41" s="287" t="s">
        <v>396</v>
      </c>
      <c r="O41" s="254" t="s">
        <v>462</v>
      </c>
      <c r="P41" s="337" t="s">
        <v>75</v>
      </c>
    </row>
    <row r="42" spans="1:16" ht="20.100000000000001" customHeight="1" x14ac:dyDescent="0.2">
      <c r="A42" s="342" t="s">
        <v>272</v>
      </c>
      <c r="B42" s="370" t="s">
        <v>530</v>
      </c>
      <c r="C42" s="75" t="s">
        <v>749</v>
      </c>
      <c r="D42" s="75" t="s">
        <v>403</v>
      </c>
      <c r="E42" s="220"/>
      <c r="F42" s="388" t="s">
        <v>748</v>
      </c>
      <c r="G42" s="216" t="s">
        <v>29</v>
      </c>
      <c r="H42" s="75"/>
      <c r="I42" s="371"/>
      <c r="J42" s="286" t="s">
        <v>397</v>
      </c>
      <c r="O42" s="254" t="s">
        <v>461</v>
      </c>
      <c r="P42" s="338" t="s">
        <v>9</v>
      </c>
    </row>
    <row r="43" spans="1:16" ht="20.100000000000001" customHeight="1" x14ac:dyDescent="0.2">
      <c r="A43" s="342" t="s">
        <v>273</v>
      </c>
      <c r="B43" s="372" t="s">
        <v>528</v>
      </c>
      <c r="C43" s="75" t="s">
        <v>38</v>
      </c>
      <c r="D43" s="75" t="s">
        <v>403</v>
      </c>
      <c r="E43" s="220"/>
      <c r="F43" s="247" t="s">
        <v>527</v>
      </c>
      <c r="G43" s="216" t="s">
        <v>29</v>
      </c>
      <c r="H43" s="75"/>
      <c r="I43" s="371"/>
      <c r="J43" s="286" t="s">
        <v>397</v>
      </c>
      <c r="O43" s="254" t="s">
        <v>460</v>
      </c>
      <c r="P43" s="337" t="s">
        <v>76</v>
      </c>
    </row>
    <row r="44" spans="1:16" ht="20.100000000000001" customHeight="1" x14ac:dyDescent="0.2">
      <c r="A44" s="342" t="s">
        <v>274</v>
      </c>
      <c r="B44" s="372" t="s">
        <v>526</v>
      </c>
      <c r="C44" s="75" t="s">
        <v>40</v>
      </c>
      <c r="D44" s="75" t="s">
        <v>403</v>
      </c>
      <c r="E44" s="220"/>
      <c r="F44" s="388" t="s">
        <v>755</v>
      </c>
      <c r="G44" s="216" t="s">
        <v>29</v>
      </c>
      <c r="H44" s="75"/>
      <c r="I44" s="371"/>
      <c r="J44" s="286" t="s">
        <v>397</v>
      </c>
      <c r="O44" s="254" t="s">
        <v>459</v>
      </c>
      <c r="P44" s="338" t="s">
        <v>458</v>
      </c>
    </row>
    <row r="45" spans="1:16" ht="20.100000000000001" customHeight="1" x14ac:dyDescent="0.2">
      <c r="A45" s="342" t="s">
        <v>275</v>
      </c>
      <c r="B45" s="372" t="s">
        <v>524</v>
      </c>
      <c r="C45" s="308" t="s">
        <v>523</v>
      </c>
      <c r="D45" s="75" t="s">
        <v>399</v>
      </c>
      <c r="E45" s="220" t="str">
        <f>VLOOKUP(Table2350[[#This Row],[Data]],Table1935[],2,0)</f>
        <v>1</v>
      </c>
      <c r="F45" s="247" t="s">
        <v>522</v>
      </c>
      <c r="G45" s="216" t="s">
        <v>29</v>
      </c>
      <c r="H45" s="75" t="s">
        <v>752</v>
      </c>
      <c r="I45" s="371" t="s">
        <v>361</v>
      </c>
      <c r="J45" s="286" t="s">
        <v>397</v>
      </c>
      <c r="O45" s="254" t="s">
        <v>457</v>
      </c>
      <c r="P45" s="337" t="s">
        <v>456</v>
      </c>
    </row>
    <row r="46" spans="1:16" ht="20.100000000000001" customHeight="1" x14ac:dyDescent="0.2">
      <c r="A46" s="342" t="s">
        <v>314</v>
      </c>
      <c r="B46" s="372" t="s">
        <v>520</v>
      </c>
      <c r="C46" s="308" t="s">
        <v>495</v>
      </c>
      <c r="D46" s="75" t="s">
        <v>399</v>
      </c>
      <c r="E46" s="220" t="str">
        <f>VLOOKUP(Table2350[[#This Row],[Data]],Table2036[],2,0)</f>
        <v>01</v>
      </c>
      <c r="F46" s="247" t="s">
        <v>519</v>
      </c>
      <c r="G46" s="216" t="s">
        <v>29</v>
      </c>
      <c r="H46" s="75" t="s">
        <v>753</v>
      </c>
      <c r="I46" s="371" t="s">
        <v>361</v>
      </c>
      <c r="J46" s="286" t="s">
        <v>397</v>
      </c>
      <c r="O46" s="254" t="s">
        <v>455</v>
      </c>
      <c r="P46" s="254" t="s">
        <v>454</v>
      </c>
    </row>
    <row r="47" spans="1:16" ht="20.100000000000001" customHeight="1" x14ac:dyDescent="0.2">
      <c r="A47" s="342" t="s">
        <v>315</v>
      </c>
      <c r="B47" s="372" t="s">
        <v>518</v>
      </c>
      <c r="C47" s="75" t="s">
        <v>495</v>
      </c>
      <c r="D47" s="75" t="s">
        <v>399</v>
      </c>
      <c r="E47" s="220" t="str">
        <f>VLOOKUP(Table2350[[#This Row],[Data]],Table2154[],2,0)</f>
        <v>01</v>
      </c>
      <c r="F47" s="247" t="s">
        <v>517</v>
      </c>
      <c r="G47" s="216" t="s">
        <v>29</v>
      </c>
      <c r="H47" s="75" t="s">
        <v>754</v>
      </c>
      <c r="I47" s="371" t="s">
        <v>361</v>
      </c>
      <c r="J47" s="286" t="s">
        <v>397</v>
      </c>
    </row>
    <row r="48" spans="1:16" ht="20.100000000000001" customHeight="1" x14ac:dyDescent="0.2">
      <c r="A48" s="342" t="s">
        <v>316</v>
      </c>
      <c r="B48" s="372" t="s">
        <v>515</v>
      </c>
      <c r="C48" s="75" t="s">
        <v>35</v>
      </c>
      <c r="D48" s="75" t="s">
        <v>403</v>
      </c>
      <c r="E48" s="220"/>
      <c r="F48" s="247" t="s">
        <v>514</v>
      </c>
      <c r="G48" s="216" t="s">
        <v>29</v>
      </c>
      <c r="H48" s="75"/>
      <c r="I48" s="371"/>
      <c r="J48" s="286" t="s">
        <v>397</v>
      </c>
    </row>
    <row r="49" spans="1:10" ht="20.100000000000001" customHeight="1" x14ac:dyDescent="0.2">
      <c r="A49" s="342" t="s">
        <v>318</v>
      </c>
      <c r="B49" s="373" t="s">
        <v>513</v>
      </c>
      <c r="C49" s="75" t="s">
        <v>18</v>
      </c>
      <c r="D49" s="75" t="s">
        <v>403</v>
      </c>
      <c r="E49" s="220"/>
      <c r="F49" s="247" t="s">
        <v>512</v>
      </c>
      <c r="G49" s="216" t="s">
        <v>29</v>
      </c>
      <c r="H49" s="75"/>
      <c r="I49" s="371"/>
      <c r="J49" s="286" t="s">
        <v>397</v>
      </c>
    </row>
    <row r="50" spans="1:10" ht="20.100000000000001" customHeight="1" x14ac:dyDescent="0.2">
      <c r="A50" s="342" t="s">
        <v>319</v>
      </c>
      <c r="B50" s="372" t="s">
        <v>511</v>
      </c>
      <c r="C50" s="75" t="s">
        <v>36</v>
      </c>
      <c r="D50" s="75" t="s">
        <v>403</v>
      </c>
      <c r="E50" s="220"/>
      <c r="F50" s="247" t="s">
        <v>510</v>
      </c>
      <c r="G50" s="216" t="s">
        <v>29</v>
      </c>
      <c r="H50" s="75"/>
      <c r="I50" s="371"/>
      <c r="J50" s="286" t="s">
        <v>397</v>
      </c>
    </row>
    <row r="51" spans="1:10" ht="20.100000000000001" customHeight="1" x14ac:dyDescent="0.2">
      <c r="A51" s="342" t="s">
        <v>320</v>
      </c>
      <c r="B51" s="373" t="s">
        <v>509</v>
      </c>
      <c r="C51" s="75" t="s">
        <v>35</v>
      </c>
      <c r="D51" s="75" t="s">
        <v>403</v>
      </c>
      <c r="E51" s="220"/>
      <c r="F51" s="247" t="s">
        <v>508</v>
      </c>
      <c r="G51" s="216" t="s">
        <v>29</v>
      </c>
      <c r="H51" s="75"/>
      <c r="I51" s="371"/>
      <c r="J51" s="286" t="s">
        <v>397</v>
      </c>
    </row>
    <row r="52" spans="1:10" ht="20.100000000000001" customHeight="1" x14ac:dyDescent="0.2">
      <c r="A52" s="342" t="s">
        <v>321</v>
      </c>
      <c r="B52" s="372" t="s">
        <v>507</v>
      </c>
      <c r="C52" s="75" t="s">
        <v>481</v>
      </c>
      <c r="D52" s="75" t="s">
        <v>399</v>
      </c>
      <c r="E52" s="220" t="str">
        <f>VLOOKUP(Table2350[[#This Row],[Data]],Table2555[],2,0)</f>
        <v>01</v>
      </c>
      <c r="F52" s="247" t="s">
        <v>506</v>
      </c>
      <c r="G52" s="216" t="s">
        <v>29</v>
      </c>
      <c r="H52" s="75" t="s">
        <v>756</v>
      </c>
      <c r="I52" s="371" t="s">
        <v>361</v>
      </c>
      <c r="J52" s="286" t="s">
        <v>397</v>
      </c>
    </row>
    <row r="53" spans="1:10" ht="20.100000000000001" customHeight="1" x14ac:dyDescent="0.2">
      <c r="A53" s="342" t="s">
        <v>322</v>
      </c>
      <c r="B53" s="372" t="s">
        <v>505</v>
      </c>
      <c r="C53" s="75" t="s">
        <v>469</v>
      </c>
      <c r="D53" s="75" t="s">
        <v>399</v>
      </c>
      <c r="E53" s="220" t="str">
        <f>VLOOKUP(Table2350[[#This Row],[Data]],Table2640[],2,0)</f>
        <v>01</v>
      </c>
      <c r="F53" s="247" t="s">
        <v>504</v>
      </c>
      <c r="G53" s="216" t="s">
        <v>29</v>
      </c>
      <c r="H53" s="75" t="s">
        <v>757</v>
      </c>
      <c r="I53" s="371" t="s">
        <v>361</v>
      </c>
      <c r="J53" s="286" t="s">
        <v>397</v>
      </c>
    </row>
    <row r="54" spans="1:10" ht="20.100000000000001" customHeight="1" x14ac:dyDescent="0.2">
      <c r="A54" s="342" t="s">
        <v>365</v>
      </c>
      <c r="B54" s="211" t="s">
        <v>745</v>
      </c>
      <c r="C54" s="211"/>
      <c r="D54" s="211"/>
      <c r="E54" s="221"/>
      <c r="F54" s="211"/>
      <c r="G54" s="211"/>
      <c r="H54" s="211"/>
      <c r="I54" s="367"/>
      <c r="J54" s="287" t="s">
        <v>396</v>
      </c>
    </row>
    <row r="55" spans="1:10" ht="20.100000000000001" customHeight="1" x14ac:dyDescent="0.2">
      <c r="A55" s="342" t="s">
        <v>366</v>
      </c>
      <c r="B55" s="372" t="s">
        <v>503</v>
      </c>
      <c r="C55" s="75" t="s">
        <v>35</v>
      </c>
      <c r="D55" s="75" t="s">
        <v>403</v>
      </c>
      <c r="E55" s="220"/>
      <c r="F55" s="247" t="s">
        <v>502</v>
      </c>
      <c r="G55" s="216" t="s">
        <v>29</v>
      </c>
      <c r="H55" s="75"/>
      <c r="I55" s="371"/>
      <c r="J55" s="286" t="s">
        <v>397</v>
      </c>
    </row>
    <row r="56" spans="1:10" ht="20.100000000000001" customHeight="1" x14ac:dyDescent="0.2">
      <c r="A56" s="342" t="s">
        <v>367</v>
      </c>
      <c r="B56" s="372" t="s">
        <v>501</v>
      </c>
      <c r="C56" s="75" t="s">
        <v>18</v>
      </c>
      <c r="D56" s="75" t="s">
        <v>403</v>
      </c>
      <c r="E56" s="220"/>
      <c r="F56" s="247" t="s">
        <v>500</v>
      </c>
      <c r="G56" s="216" t="s">
        <v>29</v>
      </c>
      <c r="H56" s="75"/>
      <c r="I56" s="371"/>
      <c r="J56" s="286" t="s">
        <v>397</v>
      </c>
    </row>
    <row r="57" spans="1:10" ht="20.100000000000001" customHeight="1" x14ac:dyDescent="0.2">
      <c r="A57" s="342" t="s">
        <v>368</v>
      </c>
      <c r="B57" s="372" t="s">
        <v>499</v>
      </c>
      <c r="C57" s="75" t="s">
        <v>43</v>
      </c>
      <c r="D57" s="75" t="s">
        <v>403</v>
      </c>
      <c r="E57" s="220"/>
      <c r="F57" s="247" t="s">
        <v>496</v>
      </c>
      <c r="G57" s="216" t="s">
        <v>29</v>
      </c>
      <c r="H57" s="75"/>
      <c r="I57" s="371"/>
      <c r="J57" s="286" t="s">
        <v>397</v>
      </c>
    </row>
    <row r="58" spans="1:10" ht="20.100000000000001" customHeight="1" x14ac:dyDescent="0.2">
      <c r="A58" s="342" t="s">
        <v>783</v>
      </c>
      <c r="B58" s="372" t="s">
        <v>497</v>
      </c>
      <c r="C58" s="75" t="s">
        <v>44</v>
      </c>
      <c r="D58" s="75" t="s">
        <v>403</v>
      </c>
      <c r="E58" s="220"/>
      <c r="F58" s="247" t="s">
        <v>758</v>
      </c>
      <c r="G58" s="216" t="s">
        <v>29</v>
      </c>
      <c r="H58" s="75"/>
      <c r="I58" s="371"/>
      <c r="J58" s="286" t="s">
        <v>397</v>
      </c>
    </row>
    <row r="59" spans="1:10" ht="20.100000000000001" customHeight="1" x14ac:dyDescent="0.2">
      <c r="A59" s="342" t="s">
        <v>784</v>
      </c>
      <c r="B59" s="370" t="s">
        <v>494</v>
      </c>
      <c r="C59" s="75"/>
      <c r="D59" s="75" t="s">
        <v>399</v>
      </c>
      <c r="E59" s="220"/>
      <c r="F59" s="247"/>
      <c r="G59" s="216"/>
      <c r="H59" s="75"/>
      <c r="I59" s="371"/>
      <c r="J59" s="287" t="s">
        <v>396</v>
      </c>
    </row>
    <row r="60" spans="1:10" ht="20.100000000000001" customHeight="1" x14ac:dyDescent="0.2">
      <c r="A60" s="342" t="s">
        <v>785</v>
      </c>
      <c r="B60" s="211" t="s">
        <v>746</v>
      </c>
      <c r="C60" s="211"/>
      <c r="D60" s="211"/>
      <c r="E60" s="221"/>
      <c r="F60" s="211"/>
      <c r="G60" s="211"/>
      <c r="H60" s="211"/>
      <c r="I60" s="367"/>
      <c r="J60" s="287" t="s">
        <v>396</v>
      </c>
    </row>
    <row r="61" spans="1:10" ht="20.100000000000001" customHeight="1" x14ac:dyDescent="0.2">
      <c r="A61" s="342" t="s">
        <v>786</v>
      </c>
      <c r="B61" s="372" t="s">
        <v>492</v>
      </c>
      <c r="C61" s="308" t="s">
        <v>743</v>
      </c>
      <c r="D61" s="75" t="s">
        <v>403</v>
      </c>
      <c r="E61" s="220"/>
      <c r="F61" s="306" t="s">
        <v>741</v>
      </c>
      <c r="G61" s="216" t="s">
        <v>29</v>
      </c>
      <c r="H61" s="75"/>
      <c r="I61" s="371"/>
      <c r="J61" s="286" t="s">
        <v>397</v>
      </c>
    </row>
    <row r="62" spans="1:10" ht="20.100000000000001" customHeight="1" x14ac:dyDescent="0.2">
      <c r="A62" s="342" t="s">
        <v>787</v>
      </c>
      <c r="B62" s="372" t="s">
        <v>490</v>
      </c>
      <c r="C62" s="75" t="s">
        <v>552</v>
      </c>
      <c r="D62" s="75" t="s">
        <v>403</v>
      </c>
      <c r="E62" s="220"/>
      <c r="F62" s="306" t="s">
        <v>742</v>
      </c>
      <c r="G62" s="216" t="s">
        <v>29</v>
      </c>
      <c r="H62" s="75"/>
      <c r="I62" s="371"/>
      <c r="J62" s="286" t="s">
        <v>397</v>
      </c>
    </row>
    <row r="63" spans="1:10" ht="20.100000000000001" customHeight="1" x14ac:dyDescent="0.2">
      <c r="A63" s="342" t="s">
        <v>790</v>
      </c>
      <c r="B63" s="211" t="s">
        <v>747</v>
      </c>
      <c r="C63" s="211"/>
      <c r="D63" s="211"/>
      <c r="E63" s="221"/>
      <c r="F63" s="304"/>
      <c r="G63" s="211"/>
      <c r="H63" s="211"/>
      <c r="I63" s="367"/>
      <c r="J63" s="287" t="s">
        <v>396</v>
      </c>
    </row>
    <row r="64" spans="1:10" ht="20.100000000000001" customHeight="1" x14ac:dyDescent="0.2">
      <c r="A64" s="342" t="s">
        <v>791</v>
      </c>
      <c r="B64" s="370" t="s">
        <v>488</v>
      </c>
      <c r="C64" s="350"/>
      <c r="D64" s="75" t="s">
        <v>399</v>
      </c>
      <c r="E64" s="220"/>
      <c r="F64" s="350"/>
      <c r="G64" s="216"/>
      <c r="H64" s="75"/>
      <c r="I64" s="371"/>
      <c r="J64" s="287" t="s">
        <v>396</v>
      </c>
    </row>
    <row r="65" spans="1:10" ht="20.100000000000001" customHeight="1" x14ac:dyDescent="0.2">
      <c r="A65" s="342" t="s">
        <v>792</v>
      </c>
      <c r="B65" s="370" t="s">
        <v>463</v>
      </c>
      <c r="C65" s="247"/>
      <c r="D65" s="75" t="s">
        <v>403</v>
      </c>
      <c r="E65" s="220"/>
      <c r="F65" s="247"/>
      <c r="G65" s="216"/>
      <c r="H65" s="75"/>
      <c r="I65" s="371"/>
      <c r="J65" s="287" t="s">
        <v>396</v>
      </c>
    </row>
    <row r="66" spans="1:10" ht="20.100000000000001" customHeight="1" x14ac:dyDescent="0.2">
      <c r="A66" s="342" t="s">
        <v>793</v>
      </c>
      <c r="B66" s="370" t="s">
        <v>485</v>
      </c>
      <c r="C66" s="75"/>
      <c r="D66" s="75" t="s">
        <v>399</v>
      </c>
      <c r="E66" s="220"/>
      <c r="F66" s="247"/>
      <c r="G66" s="216"/>
      <c r="H66" s="75"/>
      <c r="I66" s="371"/>
      <c r="J66" s="287" t="s">
        <v>396</v>
      </c>
    </row>
    <row r="67" spans="1:10" ht="20.100000000000001" customHeight="1" x14ac:dyDescent="0.2">
      <c r="A67" s="342" t="s">
        <v>794</v>
      </c>
      <c r="B67" s="370" t="s">
        <v>463</v>
      </c>
      <c r="C67" s="75"/>
      <c r="D67" s="75" t="s">
        <v>403</v>
      </c>
      <c r="E67" s="220"/>
      <c r="F67" s="247"/>
      <c r="G67" s="216"/>
      <c r="H67" s="75"/>
      <c r="I67" s="371"/>
      <c r="J67" s="287" t="s">
        <v>396</v>
      </c>
    </row>
    <row r="68" spans="1:10" ht="20.100000000000001" customHeight="1" x14ac:dyDescent="0.2">
      <c r="A68" s="342" t="s">
        <v>795</v>
      </c>
      <c r="B68" s="370" t="s">
        <v>483</v>
      </c>
      <c r="C68" s="75"/>
      <c r="D68" s="75" t="s">
        <v>399</v>
      </c>
      <c r="E68" s="220"/>
      <c r="F68" s="247"/>
      <c r="G68" s="216"/>
      <c r="H68" s="75"/>
      <c r="I68" s="371"/>
      <c r="J68" s="287" t="s">
        <v>396</v>
      </c>
    </row>
    <row r="69" spans="1:10" ht="20.100000000000001" customHeight="1" x14ac:dyDescent="0.2">
      <c r="A69" s="342" t="s">
        <v>370</v>
      </c>
      <c r="B69" s="370" t="s">
        <v>463</v>
      </c>
      <c r="C69" s="75"/>
      <c r="D69" s="75" t="s">
        <v>403</v>
      </c>
      <c r="E69" s="220"/>
      <c r="F69" s="247"/>
      <c r="G69" s="216"/>
      <c r="H69" s="75"/>
      <c r="I69" s="371"/>
      <c r="J69" s="287" t="s">
        <v>396</v>
      </c>
    </row>
    <row r="70" spans="1:10" ht="20.100000000000001" customHeight="1" x14ac:dyDescent="0.2">
      <c r="A70" s="342" t="s">
        <v>796</v>
      </c>
      <c r="B70" s="370" t="s">
        <v>480</v>
      </c>
      <c r="C70" s="75"/>
      <c r="D70" s="75" t="s">
        <v>399</v>
      </c>
      <c r="E70" s="220"/>
      <c r="F70" s="247"/>
      <c r="G70" s="216"/>
      <c r="H70" s="75"/>
      <c r="I70" s="371"/>
      <c r="J70" s="287" t="s">
        <v>396</v>
      </c>
    </row>
    <row r="71" spans="1:10" ht="20.100000000000001" customHeight="1" x14ac:dyDescent="0.2">
      <c r="A71" s="342" t="s">
        <v>383</v>
      </c>
      <c r="B71" s="370" t="s">
        <v>463</v>
      </c>
      <c r="C71" s="75"/>
      <c r="D71" s="75" t="s">
        <v>403</v>
      </c>
      <c r="E71" s="220"/>
      <c r="F71" s="247"/>
      <c r="G71" s="216"/>
      <c r="H71" s="75"/>
      <c r="I71" s="371"/>
      <c r="J71" s="287" t="s">
        <v>396</v>
      </c>
    </row>
    <row r="72" spans="1:10" ht="20.100000000000001" customHeight="1" x14ac:dyDescent="0.2">
      <c r="A72" s="342" t="s">
        <v>797</v>
      </c>
      <c r="B72" s="370" t="s">
        <v>477</v>
      </c>
      <c r="C72" s="75"/>
      <c r="D72" s="75" t="s">
        <v>399</v>
      </c>
      <c r="E72" s="220"/>
      <c r="F72" s="247"/>
      <c r="G72" s="216"/>
      <c r="H72" s="75"/>
      <c r="I72" s="371"/>
      <c r="J72" s="287" t="s">
        <v>396</v>
      </c>
    </row>
    <row r="73" spans="1:10" ht="20.100000000000001" customHeight="1" x14ac:dyDescent="0.2">
      <c r="A73" s="342" t="s">
        <v>798</v>
      </c>
      <c r="B73" s="370" t="s">
        <v>463</v>
      </c>
      <c r="C73" s="75"/>
      <c r="D73" s="75" t="s">
        <v>403</v>
      </c>
      <c r="E73" s="220"/>
      <c r="F73" s="247"/>
      <c r="G73" s="216"/>
      <c r="H73" s="75"/>
      <c r="I73" s="371"/>
      <c r="J73" s="287" t="s">
        <v>396</v>
      </c>
    </row>
    <row r="74" spans="1:10" ht="20.100000000000001" customHeight="1" x14ac:dyDescent="0.2">
      <c r="A74" s="342" t="s">
        <v>799</v>
      </c>
      <c r="B74" s="370" t="s">
        <v>474</v>
      </c>
      <c r="C74" s="75"/>
      <c r="D74" s="75" t="s">
        <v>399</v>
      </c>
      <c r="E74" s="220"/>
      <c r="F74" s="247"/>
      <c r="G74" s="216"/>
      <c r="H74" s="75"/>
      <c r="I74" s="371"/>
      <c r="J74" s="287" t="s">
        <v>396</v>
      </c>
    </row>
    <row r="75" spans="1:10" ht="20.100000000000001" customHeight="1" x14ac:dyDescent="0.2">
      <c r="A75" s="342" t="s">
        <v>800</v>
      </c>
      <c r="B75" s="370" t="s">
        <v>463</v>
      </c>
      <c r="C75" s="75"/>
      <c r="D75" s="75" t="s">
        <v>403</v>
      </c>
      <c r="E75" s="220"/>
      <c r="F75" s="247"/>
      <c r="G75" s="216"/>
      <c r="H75" s="75"/>
      <c r="I75" s="371"/>
      <c r="J75" s="287" t="s">
        <v>396</v>
      </c>
    </row>
    <row r="76" spans="1:10" ht="20.100000000000001" customHeight="1" x14ac:dyDescent="0.2">
      <c r="A76" s="342" t="s">
        <v>801</v>
      </c>
      <c r="B76" s="370" t="s">
        <v>468</v>
      </c>
      <c r="C76" s="75"/>
      <c r="D76" s="75" t="s">
        <v>399</v>
      </c>
      <c r="E76" s="220"/>
      <c r="F76" s="247"/>
      <c r="G76" s="216"/>
      <c r="H76" s="75"/>
      <c r="I76" s="371"/>
      <c r="J76" s="287" t="s">
        <v>396</v>
      </c>
    </row>
    <row r="77" spans="1:10" ht="20.100000000000001" customHeight="1" x14ac:dyDescent="0.2">
      <c r="A77" s="342" t="s">
        <v>802</v>
      </c>
      <c r="B77" s="370" t="s">
        <v>463</v>
      </c>
      <c r="C77" s="75"/>
      <c r="D77" s="75" t="s">
        <v>403</v>
      </c>
      <c r="E77" s="220"/>
      <c r="F77" s="247"/>
      <c r="G77" s="216"/>
      <c r="H77" s="75"/>
      <c r="I77" s="371"/>
      <c r="J77" s="287" t="s">
        <v>396</v>
      </c>
    </row>
    <row r="78" spans="1:10" ht="20.100000000000001" customHeight="1" x14ac:dyDescent="0.2">
      <c r="A78" s="342" t="s">
        <v>803</v>
      </c>
      <c r="B78" s="370" t="s">
        <v>465</v>
      </c>
      <c r="C78" s="75"/>
      <c r="D78" s="75" t="s">
        <v>399</v>
      </c>
      <c r="E78" s="220"/>
      <c r="F78" s="247"/>
      <c r="G78" s="216"/>
      <c r="H78" s="75"/>
      <c r="I78" s="371"/>
      <c r="J78" s="287" t="s">
        <v>396</v>
      </c>
    </row>
    <row r="79" spans="1:10" ht="20.100000000000001" customHeight="1" x14ac:dyDescent="0.2">
      <c r="A79" s="342" t="s">
        <v>804</v>
      </c>
      <c r="B79" s="370" t="s">
        <v>463</v>
      </c>
      <c r="C79" s="75"/>
      <c r="D79" s="75" t="s">
        <v>403</v>
      </c>
      <c r="E79" s="220"/>
      <c r="F79" s="247"/>
      <c r="G79" s="216"/>
      <c r="H79" s="75"/>
      <c r="I79" s="371"/>
      <c r="J79" s="287" t="s">
        <v>396</v>
      </c>
    </row>
    <row r="80" spans="1:10" ht="20.100000000000001" customHeight="1" x14ac:dyDescent="0.2">
      <c r="A80" s="342" t="s">
        <v>805</v>
      </c>
      <c r="B80" s="370" t="s">
        <v>468</v>
      </c>
      <c r="C80" s="75"/>
      <c r="D80" s="75" t="s">
        <v>399</v>
      </c>
      <c r="E80" s="220"/>
      <c r="F80" s="247"/>
      <c r="G80" s="216"/>
      <c r="H80" s="75"/>
      <c r="I80" s="371"/>
      <c r="J80" s="287" t="s">
        <v>396</v>
      </c>
    </row>
    <row r="81" spans="1:10" ht="20.100000000000001" customHeight="1" x14ac:dyDescent="0.2">
      <c r="A81" s="342" t="s">
        <v>817</v>
      </c>
      <c r="B81" s="370" t="s">
        <v>463</v>
      </c>
      <c r="C81" s="75"/>
      <c r="D81" s="75" t="s">
        <v>403</v>
      </c>
      <c r="E81" s="220"/>
      <c r="F81" s="247"/>
      <c r="G81" s="216"/>
      <c r="H81" s="75"/>
      <c r="I81" s="371"/>
      <c r="J81" s="287" t="s">
        <v>396</v>
      </c>
    </row>
    <row r="82" spans="1:10" ht="20.100000000000001" customHeight="1" x14ac:dyDescent="0.2">
      <c r="A82" s="342" t="s">
        <v>389</v>
      </c>
      <c r="B82" s="370" t="s">
        <v>465</v>
      </c>
      <c r="C82" s="75"/>
      <c r="D82" s="75" t="s">
        <v>399</v>
      </c>
      <c r="E82" s="220"/>
      <c r="F82" s="247"/>
      <c r="G82" s="216"/>
      <c r="H82" s="75"/>
      <c r="I82" s="371"/>
      <c r="J82" s="287" t="s">
        <v>396</v>
      </c>
    </row>
    <row r="83" spans="1:10" ht="20.100000000000001" customHeight="1" x14ac:dyDescent="0.2">
      <c r="A83" s="342" t="s">
        <v>818</v>
      </c>
      <c r="B83" s="374" t="s">
        <v>463</v>
      </c>
      <c r="C83" s="76"/>
      <c r="D83" s="76" t="s">
        <v>403</v>
      </c>
      <c r="E83" s="250"/>
      <c r="F83" s="375"/>
      <c r="G83" s="245"/>
      <c r="H83" s="76"/>
      <c r="I83" s="376"/>
      <c r="J83" s="287" t="s">
        <v>396</v>
      </c>
    </row>
    <row r="84" spans="1:10" ht="20.100000000000001" customHeight="1" x14ac:dyDescent="0.2">
      <c r="A84" s="342" t="s">
        <v>819</v>
      </c>
      <c r="B84" s="75" t="s">
        <v>731</v>
      </c>
      <c r="C84" s="75" t="s">
        <v>750</v>
      </c>
      <c r="D84" s="75" t="s">
        <v>402</v>
      </c>
      <c r="E84" s="220"/>
      <c r="F84" s="15" t="s">
        <v>751</v>
      </c>
      <c r="G84" s="75" t="s">
        <v>29</v>
      </c>
      <c r="H84" s="75"/>
      <c r="I84" s="371"/>
      <c r="J84" s="286" t="s">
        <v>397</v>
      </c>
    </row>
    <row r="85" spans="1:10" ht="20.100000000000001" customHeight="1" x14ac:dyDescent="0.2">
      <c r="A85" s="342" t="s">
        <v>820</v>
      </c>
      <c r="B85" s="211"/>
      <c r="C85" s="211"/>
      <c r="D85" s="211"/>
      <c r="E85" s="221"/>
      <c r="F85" s="304"/>
      <c r="G85" s="211"/>
      <c r="H85" s="211"/>
      <c r="I85" s="367"/>
      <c r="J85" s="287" t="s">
        <v>396</v>
      </c>
    </row>
    <row r="86" spans="1:10" ht="20.100000000000001" customHeight="1" x14ac:dyDescent="0.2">
      <c r="A86" s="342" t="s">
        <v>821</v>
      </c>
      <c r="B86" s="270" t="s">
        <v>760</v>
      </c>
      <c r="C86" s="340"/>
      <c r="D86" s="340"/>
      <c r="E86" s="339"/>
      <c r="F86" s="365"/>
      <c r="G86" s="341"/>
      <c r="H86" s="340"/>
      <c r="I86" s="366"/>
      <c r="J86" s="287" t="s">
        <v>396</v>
      </c>
    </row>
    <row r="87" spans="1:10" ht="20.100000000000001" customHeight="1" x14ac:dyDescent="0.2">
      <c r="A87" s="342" t="s">
        <v>822</v>
      </c>
      <c r="B87" s="270"/>
      <c r="C87" s="270"/>
      <c r="D87" s="211"/>
      <c r="E87" s="270"/>
      <c r="F87" s="271"/>
      <c r="G87" s="214"/>
      <c r="H87" s="270"/>
      <c r="I87" s="270"/>
      <c r="J87" s="287" t="s">
        <v>396</v>
      </c>
    </row>
    <row r="88" spans="1:10" ht="20.100000000000001" customHeight="1" x14ac:dyDescent="0.2">
      <c r="A88" s="342" t="s">
        <v>827</v>
      </c>
      <c r="B88" s="75" t="s">
        <v>731</v>
      </c>
      <c r="C88" s="75" t="s">
        <v>759</v>
      </c>
      <c r="D88" s="20" t="s">
        <v>402</v>
      </c>
      <c r="E88" s="75"/>
      <c r="F88" s="389" t="s">
        <v>760</v>
      </c>
      <c r="G88" s="75" t="s">
        <v>407</v>
      </c>
      <c r="H88" s="75"/>
      <c r="I88" s="75"/>
      <c r="J88" s="286" t="s">
        <v>397</v>
      </c>
    </row>
    <row r="89" spans="1:10" ht="20.100000000000001" customHeight="1" x14ac:dyDescent="0.2">
      <c r="A89" s="342" t="s">
        <v>828</v>
      </c>
      <c r="B89" s="270" t="s">
        <v>573</v>
      </c>
      <c r="C89" s="270"/>
      <c r="D89" s="211"/>
      <c r="E89" s="270"/>
      <c r="F89" s="271"/>
      <c r="G89" s="214"/>
      <c r="H89" s="270"/>
      <c r="I89" s="270"/>
      <c r="J89" s="287" t="s">
        <v>396</v>
      </c>
    </row>
    <row r="90" spans="1:10" ht="20.100000000000001" customHeight="1" x14ac:dyDescent="0.2">
      <c r="A90" s="342" t="s">
        <v>829</v>
      </c>
      <c r="B90" s="370" t="s">
        <v>761</v>
      </c>
      <c r="C90" s="75" t="s">
        <v>552</v>
      </c>
      <c r="D90" s="20" t="s">
        <v>403</v>
      </c>
      <c r="E90" s="75"/>
      <c r="F90" s="75" t="s">
        <v>572</v>
      </c>
      <c r="G90" s="75" t="s">
        <v>29</v>
      </c>
      <c r="H90" s="75"/>
      <c r="I90" s="75"/>
      <c r="J90" s="286" t="s">
        <v>397</v>
      </c>
    </row>
    <row r="91" spans="1:10" ht="20.100000000000001" customHeight="1" x14ac:dyDescent="0.2">
      <c r="A91" s="342" t="s">
        <v>830</v>
      </c>
      <c r="B91" s="377" t="s">
        <v>571</v>
      </c>
      <c r="C91" s="75" t="s">
        <v>38</v>
      </c>
      <c r="D91" s="20" t="s">
        <v>403</v>
      </c>
      <c r="E91" s="75"/>
      <c r="F91" s="75" t="s">
        <v>570</v>
      </c>
      <c r="G91" s="75" t="s">
        <v>29</v>
      </c>
      <c r="H91" s="75"/>
      <c r="I91" s="75"/>
      <c r="J91" s="286" t="s">
        <v>397</v>
      </c>
    </row>
    <row r="92" spans="1:10" ht="20.100000000000001" customHeight="1" x14ac:dyDescent="0.2">
      <c r="A92" s="342" t="s">
        <v>831</v>
      </c>
      <c r="B92" s="377" t="s">
        <v>569</v>
      </c>
      <c r="C92" s="75" t="s">
        <v>43</v>
      </c>
      <c r="D92" s="20" t="s">
        <v>403</v>
      </c>
      <c r="E92" s="75"/>
      <c r="F92" s="75" t="s">
        <v>568</v>
      </c>
      <c r="G92" s="75" t="s">
        <v>29</v>
      </c>
      <c r="H92" s="75"/>
      <c r="I92" s="75"/>
      <c r="J92" s="286" t="s">
        <v>397</v>
      </c>
    </row>
    <row r="93" spans="1:10" ht="20.100000000000001" customHeight="1" x14ac:dyDescent="0.2">
      <c r="A93" s="342" t="s">
        <v>832</v>
      </c>
      <c r="B93" s="211" t="s">
        <v>567</v>
      </c>
      <c r="C93" s="73"/>
      <c r="D93" s="73"/>
      <c r="E93" s="73"/>
      <c r="F93" s="246"/>
      <c r="G93" s="243"/>
      <c r="H93" s="73"/>
      <c r="I93" s="73"/>
      <c r="J93" s="287" t="s">
        <v>396</v>
      </c>
    </row>
    <row r="94" spans="1:10" ht="20.100000000000001" customHeight="1" x14ac:dyDescent="0.2">
      <c r="A94" s="342" t="s">
        <v>833</v>
      </c>
      <c r="B94" s="321" t="s">
        <v>566</v>
      </c>
      <c r="C94" s="272" t="s">
        <v>743</v>
      </c>
      <c r="D94" s="273" t="s">
        <v>403</v>
      </c>
      <c r="E94" s="272"/>
      <c r="F94" s="248" t="s">
        <v>565</v>
      </c>
      <c r="G94" s="75" t="s">
        <v>29</v>
      </c>
      <c r="H94" s="272"/>
      <c r="I94" s="272"/>
      <c r="J94" s="286" t="s">
        <v>397</v>
      </c>
    </row>
    <row r="95" spans="1:10" ht="20.100000000000001" customHeight="1" x14ac:dyDescent="0.2">
      <c r="A95" s="342" t="s">
        <v>868</v>
      </c>
      <c r="B95" s="211" t="s">
        <v>564</v>
      </c>
      <c r="C95" s="73"/>
      <c r="D95" s="73"/>
      <c r="E95" s="73"/>
      <c r="F95" s="246"/>
      <c r="G95" s="243"/>
      <c r="H95" s="73"/>
      <c r="I95" s="73"/>
      <c r="J95" s="287" t="s">
        <v>396</v>
      </c>
    </row>
    <row r="96" spans="1:10" ht="20.100000000000001" customHeight="1" x14ac:dyDescent="0.2">
      <c r="A96" s="342" t="s">
        <v>869</v>
      </c>
      <c r="B96" s="321" t="s">
        <v>563</v>
      </c>
      <c r="C96" s="336" t="s">
        <v>552</v>
      </c>
      <c r="D96" s="273" t="s">
        <v>403</v>
      </c>
      <c r="E96" s="272"/>
      <c r="F96" s="248" t="s">
        <v>562</v>
      </c>
      <c r="G96" s="75" t="s">
        <v>29</v>
      </c>
      <c r="H96" s="272"/>
      <c r="I96" s="272"/>
      <c r="J96" s="286" t="s">
        <v>397</v>
      </c>
    </row>
    <row r="97" spans="1:10" ht="20.100000000000001" customHeight="1" x14ac:dyDescent="0.2">
      <c r="A97" s="342" t="s">
        <v>870</v>
      </c>
      <c r="B97" s="321" t="s">
        <v>561</v>
      </c>
      <c r="C97" s="336" t="s">
        <v>560</v>
      </c>
      <c r="D97" s="273" t="s">
        <v>403</v>
      </c>
      <c r="E97" s="272"/>
      <c r="F97" s="248" t="s">
        <v>559</v>
      </c>
      <c r="G97" s="75" t="s">
        <v>29</v>
      </c>
      <c r="H97" s="272"/>
      <c r="I97" s="272"/>
      <c r="J97" s="286" t="s">
        <v>397</v>
      </c>
    </row>
    <row r="98" spans="1:10" ht="20.100000000000001" customHeight="1" x14ac:dyDescent="0.2">
      <c r="A98" s="342" t="s">
        <v>381</v>
      </c>
      <c r="B98" s="321" t="s">
        <v>558</v>
      </c>
      <c r="C98" s="272" t="s">
        <v>555</v>
      </c>
      <c r="D98" s="273" t="s">
        <v>403</v>
      </c>
      <c r="E98" s="272"/>
      <c r="F98" s="248" t="s">
        <v>557</v>
      </c>
      <c r="G98" s="75" t="s">
        <v>29</v>
      </c>
      <c r="H98" s="272"/>
      <c r="I98" s="272"/>
      <c r="J98" s="286" t="s">
        <v>397</v>
      </c>
    </row>
    <row r="99" spans="1:10" ht="20.100000000000001" customHeight="1" x14ac:dyDescent="0.2">
      <c r="A99" s="342" t="s">
        <v>871</v>
      </c>
      <c r="B99" s="321" t="s">
        <v>556</v>
      </c>
      <c r="C99" s="272" t="s">
        <v>555</v>
      </c>
      <c r="D99" s="273" t="s">
        <v>403</v>
      </c>
      <c r="E99" s="272"/>
      <c r="F99" s="248" t="s">
        <v>554</v>
      </c>
      <c r="G99" s="75" t="s">
        <v>29</v>
      </c>
      <c r="H99" s="272"/>
      <c r="I99" s="272"/>
      <c r="J99" s="286" t="s">
        <v>397</v>
      </c>
    </row>
    <row r="100" spans="1:10" ht="20.100000000000001" customHeight="1" x14ac:dyDescent="0.2">
      <c r="A100" s="342" t="s">
        <v>872</v>
      </c>
      <c r="B100" s="321" t="s">
        <v>553</v>
      </c>
      <c r="C100" s="272" t="s">
        <v>552</v>
      </c>
      <c r="D100" s="273" t="s">
        <v>403</v>
      </c>
      <c r="E100" s="272"/>
      <c r="F100" s="248" t="s">
        <v>551</v>
      </c>
      <c r="G100" s="75" t="s">
        <v>29</v>
      </c>
      <c r="H100" s="272"/>
      <c r="I100" s="272"/>
      <c r="J100" s="286" t="s">
        <v>397</v>
      </c>
    </row>
    <row r="101" spans="1:10" ht="20.100000000000001" customHeight="1" x14ac:dyDescent="0.2">
      <c r="A101" s="342" t="s">
        <v>454</v>
      </c>
      <c r="B101" s="378" t="s">
        <v>269</v>
      </c>
      <c r="C101" s="272" t="s">
        <v>765</v>
      </c>
      <c r="D101" s="273" t="s">
        <v>403</v>
      </c>
      <c r="E101" s="272"/>
      <c r="F101" s="248" t="s">
        <v>763</v>
      </c>
      <c r="G101" s="75" t="s">
        <v>29</v>
      </c>
      <c r="H101" s="272"/>
      <c r="I101" s="272"/>
      <c r="J101" s="286" t="s">
        <v>397</v>
      </c>
    </row>
    <row r="102" spans="1:10" ht="20.100000000000001" customHeight="1" x14ac:dyDescent="0.2">
      <c r="A102" s="342" t="s">
        <v>767</v>
      </c>
      <c r="B102" s="378" t="s">
        <v>533</v>
      </c>
      <c r="C102" s="272" t="s">
        <v>764</v>
      </c>
      <c r="D102" s="273" t="s">
        <v>403</v>
      </c>
      <c r="E102" s="272"/>
      <c r="F102" s="248" t="s">
        <v>762</v>
      </c>
      <c r="G102" s="75" t="s">
        <v>29</v>
      </c>
      <c r="H102" s="272"/>
      <c r="I102" s="272"/>
      <c r="J102" s="286" t="s">
        <v>397</v>
      </c>
    </row>
    <row r="103" spans="1:10" ht="20.100000000000001" customHeight="1" x14ac:dyDescent="0.2">
      <c r="A103" s="342" t="s">
        <v>873</v>
      </c>
      <c r="B103" s="321" t="s">
        <v>550</v>
      </c>
      <c r="C103" s="276" t="s">
        <v>363</v>
      </c>
      <c r="D103" s="273" t="s">
        <v>403</v>
      </c>
      <c r="E103" s="272"/>
      <c r="F103" s="248" t="s">
        <v>549</v>
      </c>
      <c r="G103" s="75" t="s">
        <v>29</v>
      </c>
      <c r="H103" s="272"/>
      <c r="I103" s="272"/>
      <c r="J103" s="287" t="s">
        <v>396</v>
      </c>
    </row>
    <row r="104" spans="1:10" ht="20.100000000000001" customHeight="1" x14ac:dyDescent="0.2">
      <c r="A104" s="342" t="s">
        <v>874</v>
      </c>
      <c r="B104" s="211" t="s">
        <v>548</v>
      </c>
      <c r="C104" s="73"/>
      <c r="D104" s="73"/>
      <c r="E104" s="73"/>
      <c r="F104" s="246"/>
      <c r="G104" s="243"/>
      <c r="H104" s="73"/>
      <c r="I104" s="73"/>
      <c r="J104" s="287" t="s">
        <v>396</v>
      </c>
    </row>
    <row r="105" spans="1:10" ht="20.100000000000001" customHeight="1" x14ac:dyDescent="0.2">
      <c r="A105" s="342" t="s">
        <v>875</v>
      </c>
      <c r="B105" s="378" t="s">
        <v>547</v>
      </c>
      <c r="C105" s="272"/>
      <c r="D105" s="273" t="s">
        <v>403</v>
      </c>
      <c r="E105" s="272"/>
      <c r="F105" s="248"/>
      <c r="G105" s="216"/>
      <c r="H105" s="272"/>
      <c r="I105" s="272"/>
      <c r="J105" s="287" t="s">
        <v>396</v>
      </c>
    </row>
    <row r="106" spans="1:10" ht="20.100000000000001" customHeight="1" x14ac:dyDescent="0.2">
      <c r="A106" s="342" t="s">
        <v>876</v>
      </c>
      <c r="B106" s="378" t="s">
        <v>546</v>
      </c>
      <c r="C106" s="272"/>
      <c r="D106" s="273" t="s">
        <v>403</v>
      </c>
      <c r="E106" s="272"/>
      <c r="F106" s="248"/>
      <c r="G106" s="216"/>
      <c r="H106" s="272"/>
      <c r="I106" s="272"/>
      <c r="J106" s="287" t="s">
        <v>396</v>
      </c>
    </row>
    <row r="107" spans="1:10" ht="20.100000000000001" customHeight="1" x14ac:dyDescent="0.2">
      <c r="A107" s="342" t="s">
        <v>877</v>
      </c>
      <c r="B107" s="378" t="s">
        <v>545</v>
      </c>
      <c r="C107" s="272"/>
      <c r="D107" s="273" t="s">
        <v>403</v>
      </c>
      <c r="E107" s="272"/>
      <c r="F107" s="248"/>
      <c r="G107" s="216"/>
      <c r="H107" s="272"/>
      <c r="I107" s="272"/>
      <c r="J107" s="287" t="s">
        <v>396</v>
      </c>
    </row>
    <row r="108" spans="1:10" ht="20.100000000000001" customHeight="1" x14ac:dyDescent="0.2">
      <c r="A108" s="342" t="s">
        <v>878</v>
      </c>
      <c r="B108" s="378" t="s">
        <v>544</v>
      </c>
      <c r="C108" s="272"/>
      <c r="D108" s="273" t="s">
        <v>403</v>
      </c>
      <c r="E108" s="272"/>
      <c r="F108" s="248"/>
      <c r="G108" s="216"/>
      <c r="H108" s="272"/>
      <c r="I108" s="272"/>
      <c r="J108" s="287" t="s">
        <v>396</v>
      </c>
    </row>
    <row r="109" spans="1:10" ht="20.100000000000001" customHeight="1" x14ac:dyDescent="0.2">
      <c r="A109" s="342" t="s">
        <v>879</v>
      </c>
      <c r="B109" s="378" t="s">
        <v>543</v>
      </c>
      <c r="C109" s="272"/>
      <c r="D109" s="273" t="s">
        <v>403</v>
      </c>
      <c r="E109" s="272"/>
      <c r="F109" s="248"/>
      <c r="G109" s="216"/>
      <c r="H109" s="272"/>
      <c r="I109" s="272"/>
      <c r="J109" s="287" t="s">
        <v>396</v>
      </c>
    </row>
    <row r="110" spans="1:10" ht="20.100000000000001" customHeight="1" x14ac:dyDescent="0.2">
      <c r="A110" s="342" t="s">
        <v>880</v>
      </c>
      <c r="B110" s="378" t="s">
        <v>542</v>
      </c>
      <c r="C110" s="272"/>
      <c r="D110" s="273" t="s">
        <v>403</v>
      </c>
      <c r="E110" s="272"/>
      <c r="F110" s="248"/>
      <c r="G110" s="216"/>
      <c r="H110" s="272"/>
      <c r="I110" s="272"/>
      <c r="J110" s="287" t="s">
        <v>396</v>
      </c>
    </row>
    <row r="111" spans="1:10" ht="20.100000000000001" customHeight="1" x14ac:dyDescent="0.2">
      <c r="A111" s="342" t="s">
        <v>881</v>
      </c>
      <c r="B111" s="378" t="s">
        <v>269</v>
      </c>
      <c r="C111" s="336"/>
      <c r="D111" s="273" t="s">
        <v>403</v>
      </c>
      <c r="E111" s="272"/>
      <c r="F111" s="248"/>
      <c r="G111" s="216"/>
      <c r="H111" s="272"/>
      <c r="I111" s="272"/>
      <c r="J111" s="287" t="s">
        <v>396</v>
      </c>
    </row>
    <row r="112" spans="1:10" ht="20.100000000000001" customHeight="1" x14ac:dyDescent="0.2">
      <c r="A112" s="342" t="s">
        <v>882</v>
      </c>
      <c r="B112" s="378" t="s">
        <v>533</v>
      </c>
      <c r="C112" s="272"/>
      <c r="D112" s="273" t="s">
        <v>403</v>
      </c>
      <c r="E112" s="272"/>
      <c r="F112" s="248"/>
      <c r="G112" s="216"/>
      <c r="H112" s="272"/>
      <c r="I112" s="272"/>
      <c r="J112" s="287" t="s">
        <v>396</v>
      </c>
    </row>
    <row r="113" spans="1:10" ht="20.100000000000001" customHeight="1" x14ac:dyDescent="0.2">
      <c r="A113" s="342" t="s">
        <v>0</v>
      </c>
      <c r="B113" s="321" t="s">
        <v>541</v>
      </c>
      <c r="C113" s="276" t="s">
        <v>363</v>
      </c>
      <c r="D113" s="273" t="s">
        <v>403</v>
      </c>
      <c r="E113" s="272"/>
      <c r="F113" s="274" t="s">
        <v>540</v>
      </c>
      <c r="G113" s="216" t="s">
        <v>29</v>
      </c>
      <c r="H113" s="272"/>
      <c r="I113" s="272"/>
      <c r="J113" s="287" t="s">
        <v>396</v>
      </c>
    </row>
    <row r="114" spans="1:10" ht="20.100000000000001" customHeight="1" x14ac:dyDescent="0.2">
      <c r="A114" s="342" t="s">
        <v>883</v>
      </c>
      <c r="B114" s="211" t="s">
        <v>539</v>
      </c>
      <c r="C114" s="246"/>
      <c r="D114" s="73"/>
      <c r="E114" s="73"/>
      <c r="F114" s="246"/>
      <c r="G114" s="243"/>
      <c r="H114" s="73"/>
      <c r="I114" s="73"/>
      <c r="J114" s="287" t="s">
        <v>396</v>
      </c>
    </row>
    <row r="115" spans="1:10" ht="20.100000000000001" customHeight="1" x14ac:dyDescent="0.2">
      <c r="A115" s="342" t="s">
        <v>884</v>
      </c>
      <c r="B115" s="378" t="s">
        <v>538</v>
      </c>
      <c r="C115" s="248"/>
      <c r="D115" s="273" t="s">
        <v>403</v>
      </c>
      <c r="E115" s="272"/>
      <c r="F115" s="248"/>
      <c r="G115" s="216"/>
      <c r="H115" s="272"/>
      <c r="I115" s="272"/>
      <c r="J115" s="287" t="s">
        <v>396</v>
      </c>
    </row>
    <row r="116" spans="1:10" ht="20.100000000000001" customHeight="1" x14ac:dyDescent="0.2">
      <c r="A116" s="342" t="s">
        <v>885</v>
      </c>
      <c r="B116" s="378" t="s">
        <v>537</v>
      </c>
      <c r="C116" s="272"/>
      <c r="D116" s="273" t="s">
        <v>403</v>
      </c>
      <c r="E116" s="272"/>
      <c r="F116" s="248"/>
      <c r="G116" s="216"/>
      <c r="H116" s="272"/>
      <c r="I116" s="272"/>
      <c r="J116" s="287" t="s">
        <v>396</v>
      </c>
    </row>
    <row r="117" spans="1:10" ht="20.100000000000001" customHeight="1" x14ac:dyDescent="0.2">
      <c r="A117" s="342" t="s">
        <v>886</v>
      </c>
      <c r="B117" s="378" t="s">
        <v>536</v>
      </c>
      <c r="C117" s="272"/>
      <c r="D117" s="273" t="s">
        <v>403</v>
      </c>
      <c r="E117" s="272"/>
      <c r="F117" s="248"/>
      <c r="G117" s="216"/>
      <c r="H117" s="272"/>
      <c r="I117" s="272"/>
      <c r="J117" s="287" t="s">
        <v>396</v>
      </c>
    </row>
    <row r="118" spans="1:10" ht="20.100000000000001" customHeight="1" x14ac:dyDescent="0.2">
      <c r="A118" s="342" t="s">
        <v>887</v>
      </c>
      <c r="B118" s="378" t="s">
        <v>535</v>
      </c>
      <c r="C118" s="272"/>
      <c r="D118" s="273" t="s">
        <v>403</v>
      </c>
      <c r="E118" s="272"/>
      <c r="F118" s="248"/>
      <c r="G118" s="216"/>
      <c r="H118" s="272"/>
      <c r="I118" s="272"/>
      <c r="J118" s="287" t="s">
        <v>396</v>
      </c>
    </row>
    <row r="119" spans="1:10" ht="20.100000000000001" customHeight="1" x14ac:dyDescent="0.2">
      <c r="A119" s="342" t="s">
        <v>888</v>
      </c>
      <c r="B119" s="378" t="s">
        <v>534</v>
      </c>
      <c r="C119" s="272"/>
      <c r="D119" s="273" t="s">
        <v>403</v>
      </c>
      <c r="E119" s="272"/>
      <c r="F119" s="248"/>
      <c r="G119" s="216"/>
      <c r="H119" s="272"/>
      <c r="I119" s="272"/>
      <c r="J119" s="287" t="s">
        <v>396</v>
      </c>
    </row>
    <row r="120" spans="1:10" ht="20.100000000000001" customHeight="1" x14ac:dyDescent="0.2">
      <c r="A120" s="342" t="s">
        <v>889</v>
      </c>
      <c r="B120" s="378" t="s">
        <v>269</v>
      </c>
      <c r="C120" s="272"/>
      <c r="D120" s="273" t="s">
        <v>403</v>
      </c>
      <c r="E120" s="272"/>
      <c r="F120" s="248"/>
      <c r="G120" s="216"/>
      <c r="H120" s="272"/>
      <c r="I120" s="272"/>
      <c r="J120" s="287" t="s">
        <v>396</v>
      </c>
    </row>
    <row r="121" spans="1:10" ht="20.100000000000001" customHeight="1" x14ac:dyDescent="0.2">
      <c r="A121" s="342" t="s">
        <v>890</v>
      </c>
      <c r="B121" s="378" t="s">
        <v>533</v>
      </c>
      <c r="C121" s="272"/>
      <c r="D121" s="273" t="s">
        <v>403</v>
      </c>
      <c r="E121" s="272"/>
      <c r="F121" s="248"/>
      <c r="G121" s="216"/>
      <c r="H121" s="272"/>
      <c r="I121" s="272"/>
      <c r="J121" s="287" t="s">
        <v>396</v>
      </c>
    </row>
    <row r="122" spans="1:10" ht="20.100000000000001" customHeight="1" x14ac:dyDescent="0.2">
      <c r="A122" s="342" t="s">
        <v>891</v>
      </c>
      <c r="B122" s="378" t="s">
        <v>532</v>
      </c>
      <c r="C122" s="276" t="s">
        <v>363</v>
      </c>
      <c r="D122" s="273" t="s">
        <v>403</v>
      </c>
      <c r="E122" s="272"/>
      <c r="F122" s="248" t="s">
        <v>531</v>
      </c>
      <c r="G122" s="216" t="s">
        <v>29</v>
      </c>
      <c r="H122" s="272"/>
      <c r="I122" s="272"/>
      <c r="J122" s="287" t="s">
        <v>396</v>
      </c>
    </row>
    <row r="123" spans="1:10" ht="20.100000000000001" customHeight="1" x14ac:dyDescent="0.2">
      <c r="A123" s="342" t="s">
        <v>892</v>
      </c>
      <c r="B123" s="75" t="s">
        <v>731</v>
      </c>
      <c r="C123" s="75" t="s">
        <v>750</v>
      </c>
      <c r="D123" s="75" t="s">
        <v>402</v>
      </c>
      <c r="E123" s="220"/>
      <c r="F123" s="15" t="s">
        <v>751</v>
      </c>
      <c r="G123" s="75" t="s">
        <v>29</v>
      </c>
      <c r="H123" s="75"/>
      <c r="I123" s="371"/>
      <c r="J123" s="286" t="s">
        <v>397</v>
      </c>
    </row>
    <row r="124" spans="1:10" ht="20.100000000000001" customHeight="1" x14ac:dyDescent="0.2">
      <c r="A124" s="342" t="s">
        <v>893</v>
      </c>
      <c r="B124" s="211"/>
      <c r="C124" s="246"/>
      <c r="D124" s="73"/>
      <c r="E124" s="73"/>
      <c r="F124" s="246"/>
      <c r="G124" s="243"/>
      <c r="H124" s="73"/>
      <c r="I124" s="73"/>
      <c r="J124" s="287" t="s">
        <v>396</v>
      </c>
    </row>
    <row r="125" spans="1:10" ht="20.100000000000001" customHeight="1" x14ac:dyDescent="0.2">
      <c r="A125" s="342" t="s">
        <v>13</v>
      </c>
      <c r="B125" s="270" t="s">
        <v>913</v>
      </c>
      <c r="C125" s="246"/>
      <c r="D125" s="73"/>
      <c r="E125" s="73"/>
      <c r="F125" s="246"/>
      <c r="G125" s="243"/>
      <c r="H125" s="73"/>
      <c r="I125" s="366"/>
      <c r="J125" s="287" t="s">
        <v>396</v>
      </c>
    </row>
    <row r="126" spans="1:10" ht="20.100000000000001" customHeight="1" x14ac:dyDescent="0.2">
      <c r="A126" s="342" t="s">
        <v>894</v>
      </c>
      <c r="B126" s="365"/>
      <c r="C126" s="270"/>
      <c r="D126" s="211"/>
      <c r="E126" s="270"/>
      <c r="F126" s="271"/>
      <c r="G126" s="214"/>
      <c r="H126" s="270"/>
      <c r="I126" s="270"/>
      <c r="J126" s="287" t="s">
        <v>396</v>
      </c>
    </row>
    <row r="127" spans="1:10" ht="20.100000000000001" customHeight="1" x14ac:dyDescent="0.2">
      <c r="A127" s="342" t="s">
        <v>895</v>
      </c>
      <c r="B127" s="75" t="s">
        <v>731</v>
      </c>
      <c r="C127" s="75" t="s">
        <v>914</v>
      </c>
      <c r="D127" s="75" t="s">
        <v>402</v>
      </c>
      <c r="E127" s="75"/>
      <c r="F127" s="389" t="s">
        <v>913</v>
      </c>
      <c r="G127" s="75" t="s">
        <v>407</v>
      </c>
      <c r="H127" s="75"/>
      <c r="I127" s="75"/>
      <c r="J127" s="286" t="s">
        <v>397</v>
      </c>
    </row>
    <row r="128" spans="1:10" ht="20.100000000000001" customHeight="1" x14ac:dyDescent="0.2">
      <c r="A128" s="342" t="s">
        <v>896</v>
      </c>
      <c r="B128" s="278" t="s">
        <v>221</v>
      </c>
      <c r="C128" s="279" t="s">
        <v>264</v>
      </c>
      <c r="D128" s="280" t="s">
        <v>399</v>
      </c>
      <c r="E128" s="381" t="str">
        <f>VLOOKUP(Table2350[[#This Row],[Data]],Table1[],2,0)</f>
        <v>1</v>
      </c>
      <c r="F128" s="279"/>
      <c r="G128" s="277"/>
      <c r="H128" s="382"/>
      <c r="I128" s="383" t="s">
        <v>361</v>
      </c>
      <c r="J128" s="287" t="s">
        <v>396</v>
      </c>
    </row>
    <row r="129" spans="1:10" ht="20.100000000000001" customHeight="1" x14ac:dyDescent="0.2">
      <c r="A129" s="342" t="s">
        <v>897</v>
      </c>
      <c r="B129" s="256" t="s">
        <v>222</v>
      </c>
      <c r="C129" s="281" t="str">
        <f>VLOOKUP(C128,Table1[],3,0)</f>
        <v>A02 : การป่าไม้และการทำไม้</v>
      </c>
      <c r="D129" s="75" t="s">
        <v>399</v>
      </c>
      <c r="E129" s="281" t="str">
        <f>VLOOKUP(C128,Table1[],6,0)</f>
        <v>3</v>
      </c>
      <c r="F129" s="392" t="str">
        <f>VLOOKUP(C128,Table1[],5,0)</f>
        <v>isic1Id</v>
      </c>
      <c r="G129" s="77" t="str">
        <f>VLOOKUP(C128,Table1[],4,0)</f>
        <v>id</v>
      </c>
      <c r="H129" s="208" t="s">
        <v>915</v>
      </c>
      <c r="I129" s="208" t="s">
        <v>335</v>
      </c>
      <c r="J129" s="286" t="s">
        <v>397</v>
      </c>
    </row>
    <row r="130" spans="1:10" ht="20.100000000000001" customHeight="1" x14ac:dyDescent="0.2">
      <c r="A130" s="342" t="s">
        <v>898</v>
      </c>
      <c r="B130" s="256" t="s">
        <v>394</v>
      </c>
      <c r="C130" s="281" t="str">
        <f>VLOOKUP(C128,Table1[],9,0)</f>
        <v>2 : การทำไม้</v>
      </c>
      <c r="D130" s="75" t="s">
        <v>399</v>
      </c>
      <c r="E130" s="281" t="str">
        <f>VLOOKUP(C128,Table1[],12,0)</f>
        <v>199</v>
      </c>
      <c r="F130" s="392" t="str">
        <f>VLOOKUP(C128,Table1[],11,0)</f>
        <v>isic2Id</v>
      </c>
      <c r="G130" s="77" t="str">
        <f>VLOOKUP(C128,Table1[],10,0)</f>
        <v>id</v>
      </c>
      <c r="H130" s="208" t="s">
        <v>916</v>
      </c>
      <c r="I130" s="208" t="s">
        <v>339</v>
      </c>
      <c r="J130" s="286" t="s">
        <v>397</v>
      </c>
    </row>
    <row r="131" spans="1:10" ht="20.100000000000001" customHeight="1" x14ac:dyDescent="0.2">
      <c r="A131" s="342" t="s">
        <v>899</v>
      </c>
      <c r="B131" s="256" t="s">
        <v>395</v>
      </c>
      <c r="C131" s="281" t="str">
        <f>VLOOKUP(C128,Table1[],15,0)</f>
        <v>000 : การทำไม้</v>
      </c>
      <c r="D131" s="75" t="s">
        <v>399</v>
      </c>
      <c r="E131" s="281" t="str">
        <f>VLOOKUP(C128,Table1[],18,0)</f>
        <v>1407</v>
      </c>
      <c r="F131" s="392" t="str">
        <f>VLOOKUP(C128,Table1[],17,0)</f>
        <v>isic3Id</v>
      </c>
      <c r="G131" s="77" t="str">
        <f>VLOOKUP(C128,Table1[],16,0)</f>
        <v>id</v>
      </c>
      <c r="H131" s="208" t="s">
        <v>917</v>
      </c>
      <c r="I131" s="208" t="s">
        <v>361</v>
      </c>
      <c r="J131" s="286" t="s">
        <v>397</v>
      </c>
    </row>
    <row r="132" spans="1:10" ht="20.100000000000001" customHeight="1" x14ac:dyDescent="0.2">
      <c r="A132" s="342" t="s">
        <v>900</v>
      </c>
      <c r="B132" s="256" t="s">
        <v>918</v>
      </c>
      <c r="C132" s="208" t="s">
        <v>36</v>
      </c>
      <c r="D132" s="75" t="s">
        <v>403</v>
      </c>
      <c r="F132" s="255" t="s">
        <v>919</v>
      </c>
      <c r="G132" s="77" t="s">
        <v>29</v>
      </c>
      <c r="J132" s="286" t="s">
        <v>397</v>
      </c>
    </row>
    <row r="133" spans="1:10" ht="20.100000000000001" customHeight="1" x14ac:dyDescent="0.2">
      <c r="A133" s="342" t="s">
        <v>901</v>
      </c>
      <c r="B133" s="256" t="s">
        <v>920</v>
      </c>
      <c r="C133" s="259" t="s">
        <v>38</v>
      </c>
      <c r="D133" s="75" t="s">
        <v>403</v>
      </c>
      <c r="F133" s="255" t="s">
        <v>921</v>
      </c>
      <c r="G133" s="77" t="s">
        <v>29</v>
      </c>
      <c r="J133" s="286" t="s">
        <v>397</v>
      </c>
    </row>
    <row r="134" spans="1:10" ht="20.100000000000001" customHeight="1" x14ac:dyDescent="0.2">
      <c r="A134" s="342" t="s">
        <v>902</v>
      </c>
      <c r="B134" s="256" t="s">
        <v>922</v>
      </c>
      <c r="C134" s="259" t="s">
        <v>36</v>
      </c>
      <c r="D134" s="75" t="s">
        <v>403</v>
      </c>
      <c r="F134" s="255" t="s">
        <v>923</v>
      </c>
      <c r="G134" s="77" t="s">
        <v>29</v>
      </c>
      <c r="J134" s="286" t="s">
        <v>397</v>
      </c>
    </row>
    <row r="135" spans="1:10" ht="20.100000000000001" customHeight="1" x14ac:dyDescent="0.2">
      <c r="A135" s="342" t="s">
        <v>903</v>
      </c>
      <c r="B135" s="256" t="s">
        <v>589</v>
      </c>
      <c r="C135" s="208" t="s">
        <v>588</v>
      </c>
      <c r="D135" s="75" t="s">
        <v>399</v>
      </c>
      <c r="E135" s="210" t="str">
        <f>VLOOKUP(Table2350[[#This Row],[Data]],Table3142[],2,0)</f>
        <v>02</v>
      </c>
      <c r="F135" s="255" t="s">
        <v>924</v>
      </c>
      <c r="G135" s="77" t="s">
        <v>29</v>
      </c>
      <c r="H135" s="208" t="s">
        <v>925</v>
      </c>
      <c r="I135" s="208" t="s">
        <v>361</v>
      </c>
      <c r="J135" s="286" t="s">
        <v>397</v>
      </c>
    </row>
    <row r="136" spans="1:10" ht="20.100000000000001" customHeight="1" x14ac:dyDescent="0.2">
      <c r="A136" s="342" t="s">
        <v>904</v>
      </c>
      <c r="B136" s="256" t="s">
        <v>585</v>
      </c>
      <c r="C136" s="208" t="s">
        <v>584</v>
      </c>
      <c r="D136" s="75" t="s">
        <v>399</v>
      </c>
      <c r="E136" s="210" t="str">
        <f>VLOOKUP(Table2350[[#This Row],[Data]],Table3243[],2,0)</f>
        <v>01</v>
      </c>
      <c r="F136" s="255" t="s">
        <v>926</v>
      </c>
      <c r="G136" s="77" t="s">
        <v>29</v>
      </c>
      <c r="H136" s="208" t="s">
        <v>927</v>
      </c>
      <c r="I136" s="208" t="s">
        <v>361</v>
      </c>
      <c r="J136" s="286" t="s">
        <v>397</v>
      </c>
    </row>
    <row r="137" spans="1:10" ht="20.100000000000001" customHeight="1" x14ac:dyDescent="0.2">
      <c r="A137" s="342" t="s">
        <v>905</v>
      </c>
      <c r="B137" s="385" t="s">
        <v>928</v>
      </c>
      <c r="C137" s="257"/>
      <c r="D137" s="73"/>
      <c r="E137" s="283"/>
      <c r="F137" s="258"/>
      <c r="G137" s="384"/>
      <c r="H137" s="257"/>
      <c r="I137" s="257"/>
      <c r="J137" s="287" t="s">
        <v>396</v>
      </c>
    </row>
    <row r="138" spans="1:10" ht="20.100000000000001" customHeight="1" x14ac:dyDescent="0.2">
      <c r="A138" s="342" t="s">
        <v>906</v>
      </c>
      <c r="B138" s="252" t="s">
        <v>929</v>
      </c>
      <c r="C138" s="208" t="s">
        <v>930</v>
      </c>
      <c r="D138" s="75" t="s">
        <v>403</v>
      </c>
      <c r="F138" s="255" t="s">
        <v>931</v>
      </c>
      <c r="G138" s="77" t="s">
        <v>29</v>
      </c>
      <c r="J138" s="286" t="s">
        <v>397</v>
      </c>
    </row>
    <row r="139" spans="1:10" ht="20.100000000000001" customHeight="1" x14ac:dyDescent="0.2">
      <c r="A139" s="342" t="s">
        <v>907</v>
      </c>
      <c r="B139" s="252" t="s">
        <v>932</v>
      </c>
      <c r="C139" s="208" t="s">
        <v>600</v>
      </c>
      <c r="D139" s="75" t="s">
        <v>403</v>
      </c>
      <c r="F139" s="255" t="s">
        <v>933</v>
      </c>
      <c r="G139" s="77" t="s">
        <v>29</v>
      </c>
      <c r="J139" s="286" t="s">
        <v>397</v>
      </c>
    </row>
    <row r="140" spans="1:10" ht="20.100000000000001" customHeight="1" x14ac:dyDescent="0.2">
      <c r="A140" s="342" t="s">
        <v>908</v>
      </c>
      <c r="B140" s="252" t="s">
        <v>533</v>
      </c>
      <c r="C140" s="208" t="s">
        <v>934</v>
      </c>
      <c r="D140" s="75" t="s">
        <v>403</v>
      </c>
      <c r="F140" s="255" t="s">
        <v>935</v>
      </c>
      <c r="G140" s="77" t="s">
        <v>29</v>
      </c>
      <c r="J140" s="286" t="s">
        <v>397</v>
      </c>
    </row>
    <row r="141" spans="1:10" ht="20.100000000000001" customHeight="1" x14ac:dyDescent="0.2">
      <c r="A141" s="342" t="s">
        <v>909</v>
      </c>
      <c r="B141" s="256" t="s">
        <v>936</v>
      </c>
      <c r="C141" s="253" t="s">
        <v>363</v>
      </c>
      <c r="D141" s="75" t="s">
        <v>403</v>
      </c>
      <c r="F141" s="255" t="s">
        <v>937</v>
      </c>
      <c r="G141" s="77" t="s">
        <v>29</v>
      </c>
      <c r="J141" s="287" t="s">
        <v>396</v>
      </c>
    </row>
    <row r="142" spans="1:10" ht="20.100000000000001" customHeight="1" x14ac:dyDescent="0.2">
      <c r="A142" s="342" t="s">
        <v>910</v>
      </c>
      <c r="B142" s="385" t="s">
        <v>578</v>
      </c>
      <c r="C142" s="257"/>
      <c r="D142" s="73"/>
      <c r="E142" s="283"/>
      <c r="F142" s="258"/>
      <c r="G142" s="110"/>
      <c r="H142" s="257"/>
      <c r="I142" s="257"/>
      <c r="J142" s="287" t="s">
        <v>396</v>
      </c>
    </row>
    <row r="143" spans="1:10" ht="20.100000000000001" customHeight="1" x14ac:dyDescent="0.2">
      <c r="A143" s="342" t="s">
        <v>911</v>
      </c>
      <c r="B143" s="252" t="s">
        <v>938</v>
      </c>
      <c r="C143" s="208" t="s">
        <v>576</v>
      </c>
      <c r="D143" s="75" t="s">
        <v>401</v>
      </c>
      <c r="E143" s="210" t="str">
        <f>VLOOKUP(Table2350[[#This Row],[Data]],Table3[],2,0)</f>
        <v>0</v>
      </c>
      <c r="F143" s="255" t="s">
        <v>939</v>
      </c>
      <c r="G143" s="77" t="s">
        <v>30</v>
      </c>
      <c r="J143" s="286" t="s">
        <v>397</v>
      </c>
    </row>
    <row r="144" spans="1:10" ht="20.100000000000001" customHeight="1" x14ac:dyDescent="0.2">
      <c r="A144" s="342" t="s">
        <v>912</v>
      </c>
      <c r="B144" s="256" t="s">
        <v>940</v>
      </c>
      <c r="C144" s="208" t="s">
        <v>43</v>
      </c>
      <c r="D144" s="75" t="s">
        <v>403</v>
      </c>
      <c r="F144" s="302" t="s">
        <v>941</v>
      </c>
      <c r="G144" s="77" t="s">
        <v>29</v>
      </c>
      <c r="J144" s="286" t="s">
        <v>397</v>
      </c>
    </row>
    <row r="145" spans="1:10" ht="20.100000000000001" customHeight="1" x14ac:dyDescent="0.2">
      <c r="A145" s="342" t="s">
        <v>968</v>
      </c>
      <c r="B145" s="256" t="s">
        <v>942</v>
      </c>
      <c r="D145" s="75" t="s">
        <v>403</v>
      </c>
      <c r="F145" s="306" t="s">
        <v>943</v>
      </c>
      <c r="G145" s="77" t="s">
        <v>29</v>
      </c>
      <c r="J145" s="287" t="s">
        <v>396</v>
      </c>
    </row>
    <row r="146" spans="1:10" ht="20.100000000000001" customHeight="1" x14ac:dyDescent="0.2">
      <c r="A146" s="342" t="s">
        <v>969</v>
      </c>
      <c r="B146" s="252" t="s">
        <v>944</v>
      </c>
      <c r="C146" s="208" t="s">
        <v>945</v>
      </c>
      <c r="D146" s="75" t="s">
        <v>403</v>
      </c>
      <c r="F146" s="255" t="s">
        <v>946</v>
      </c>
      <c r="G146" s="77" t="s">
        <v>29</v>
      </c>
      <c r="J146" s="286" t="s">
        <v>397</v>
      </c>
    </row>
    <row r="147" spans="1:10" ht="20.100000000000001" customHeight="1" x14ac:dyDescent="0.2">
      <c r="A147" s="342" t="s">
        <v>970</v>
      </c>
      <c r="B147" s="252" t="s">
        <v>947</v>
      </c>
      <c r="C147" s="208" t="s">
        <v>555</v>
      </c>
      <c r="D147" s="75" t="s">
        <v>403</v>
      </c>
      <c r="F147" s="255" t="s">
        <v>948</v>
      </c>
      <c r="G147" s="77" t="s">
        <v>29</v>
      </c>
      <c r="J147" s="286" t="s">
        <v>397</v>
      </c>
    </row>
    <row r="148" spans="1:10" ht="20.100000000000001" customHeight="1" x14ac:dyDescent="0.2">
      <c r="A148" s="342" t="s">
        <v>971</v>
      </c>
      <c r="B148" s="252" t="s">
        <v>949</v>
      </c>
      <c r="C148" s="259" t="s">
        <v>552</v>
      </c>
      <c r="D148" s="75" t="s">
        <v>403</v>
      </c>
      <c r="F148" s="255" t="s">
        <v>950</v>
      </c>
      <c r="G148" s="77" t="s">
        <v>29</v>
      </c>
      <c r="J148" s="286" t="s">
        <v>397</v>
      </c>
    </row>
    <row r="149" spans="1:10" ht="20.100000000000001" customHeight="1" x14ac:dyDescent="0.2">
      <c r="A149" s="342" t="s">
        <v>972</v>
      </c>
      <c r="B149" s="252" t="s">
        <v>575</v>
      </c>
      <c r="C149" s="208" t="s">
        <v>767</v>
      </c>
      <c r="D149" s="75" t="s">
        <v>403</v>
      </c>
      <c r="F149" s="255" t="s">
        <v>951</v>
      </c>
      <c r="G149" s="77" t="s">
        <v>29</v>
      </c>
      <c r="J149" s="286" t="s">
        <v>397</v>
      </c>
    </row>
    <row r="150" spans="1:10" ht="20.100000000000001" customHeight="1" x14ac:dyDescent="0.2">
      <c r="A150" s="342" t="s">
        <v>973</v>
      </c>
      <c r="B150" s="256" t="s">
        <v>574</v>
      </c>
      <c r="C150" s="253" t="s">
        <v>363</v>
      </c>
      <c r="D150" s="75" t="s">
        <v>403</v>
      </c>
      <c r="F150" s="260" t="s">
        <v>952</v>
      </c>
      <c r="G150" s="77" t="s">
        <v>29</v>
      </c>
      <c r="J150" s="287" t="s">
        <v>396</v>
      </c>
    </row>
    <row r="151" spans="1:10" ht="20.100000000000001" customHeight="1" x14ac:dyDescent="0.2">
      <c r="A151" s="342" t="s">
        <v>974</v>
      </c>
      <c r="B151" s="385" t="s">
        <v>953</v>
      </c>
      <c r="C151" s="258"/>
      <c r="D151" s="73"/>
      <c r="E151" s="283"/>
      <c r="F151" s="258"/>
      <c r="G151" s="110"/>
      <c r="H151" s="257"/>
      <c r="I151" s="257"/>
      <c r="J151" s="287" t="s">
        <v>396</v>
      </c>
    </row>
    <row r="152" spans="1:10" ht="20.100000000000001" customHeight="1" x14ac:dyDescent="0.2">
      <c r="A152" s="342" t="s">
        <v>975</v>
      </c>
      <c r="B152" s="252" t="s">
        <v>954</v>
      </c>
      <c r="C152" s="253" t="s">
        <v>363</v>
      </c>
      <c r="D152" s="75" t="s">
        <v>403</v>
      </c>
      <c r="F152" s="255" t="s">
        <v>955</v>
      </c>
      <c r="G152" s="77" t="s">
        <v>29</v>
      </c>
      <c r="J152" s="287" t="s">
        <v>396</v>
      </c>
    </row>
    <row r="153" spans="1:10" ht="20.100000000000001" customHeight="1" x14ac:dyDescent="0.2">
      <c r="A153" s="342" t="s">
        <v>976</v>
      </c>
      <c r="B153" s="252" t="s">
        <v>956</v>
      </c>
      <c r="C153" s="208" t="s">
        <v>18</v>
      </c>
      <c r="D153" s="75" t="s">
        <v>403</v>
      </c>
      <c r="F153" s="255" t="s">
        <v>957</v>
      </c>
      <c r="G153" s="77" t="s">
        <v>29</v>
      </c>
      <c r="J153" s="286" t="s">
        <v>397</v>
      </c>
    </row>
    <row r="154" spans="1:10" ht="20.100000000000001" customHeight="1" x14ac:dyDescent="0.2">
      <c r="A154" s="342" t="s">
        <v>977</v>
      </c>
      <c r="B154" s="252" t="s">
        <v>958</v>
      </c>
      <c r="C154" s="253" t="s">
        <v>363</v>
      </c>
      <c r="D154" s="75" t="s">
        <v>403</v>
      </c>
      <c r="F154" s="255" t="s">
        <v>959</v>
      </c>
      <c r="G154" s="77" t="s">
        <v>29</v>
      </c>
      <c r="J154" s="287" t="s">
        <v>396</v>
      </c>
    </row>
    <row r="155" spans="1:10" ht="20.100000000000001" customHeight="1" x14ac:dyDescent="0.2">
      <c r="A155" s="342" t="s">
        <v>978</v>
      </c>
      <c r="B155" s="252" t="s">
        <v>960</v>
      </c>
      <c r="C155" s="208" t="s">
        <v>767</v>
      </c>
      <c r="D155" s="75" t="s">
        <v>403</v>
      </c>
      <c r="F155" s="255" t="s">
        <v>961</v>
      </c>
      <c r="G155" s="77" t="s">
        <v>29</v>
      </c>
      <c r="J155" s="286" t="s">
        <v>397</v>
      </c>
    </row>
    <row r="156" spans="1:10" ht="20.100000000000001" customHeight="1" x14ac:dyDescent="0.2">
      <c r="A156" s="342" t="s">
        <v>979</v>
      </c>
      <c r="B156" s="252" t="s">
        <v>962</v>
      </c>
      <c r="C156" s="253" t="s">
        <v>363</v>
      </c>
      <c r="D156" s="75" t="s">
        <v>403</v>
      </c>
      <c r="F156" s="255" t="s">
        <v>963</v>
      </c>
      <c r="G156" s="77" t="s">
        <v>29</v>
      </c>
      <c r="J156" s="287" t="s">
        <v>396</v>
      </c>
    </row>
    <row r="157" spans="1:10" ht="20.100000000000001" customHeight="1" x14ac:dyDescent="0.2">
      <c r="A157" s="342" t="s">
        <v>980</v>
      </c>
      <c r="B157" s="256" t="s">
        <v>964</v>
      </c>
      <c r="C157" s="208" t="s">
        <v>767</v>
      </c>
      <c r="D157" s="75" t="s">
        <v>403</v>
      </c>
      <c r="F157" s="255" t="s">
        <v>965</v>
      </c>
      <c r="G157" s="77" t="s">
        <v>29</v>
      </c>
      <c r="J157" s="286" t="s">
        <v>397</v>
      </c>
    </row>
    <row r="158" spans="1:10" ht="20.100000000000001" customHeight="1" x14ac:dyDescent="0.2">
      <c r="A158" s="342" t="s">
        <v>981</v>
      </c>
      <c r="B158" s="256" t="s">
        <v>966</v>
      </c>
      <c r="C158" s="253" t="s">
        <v>363</v>
      </c>
      <c r="D158" s="75" t="s">
        <v>403</v>
      </c>
      <c r="F158" s="255" t="s">
        <v>967</v>
      </c>
      <c r="G158" s="77" t="s">
        <v>29</v>
      </c>
      <c r="J158" s="287" t="s">
        <v>396</v>
      </c>
    </row>
    <row r="159" spans="1:10" ht="20.100000000000001" customHeight="1" x14ac:dyDescent="0.2">
      <c r="A159" s="342" t="s">
        <v>982</v>
      </c>
      <c r="B159" s="75" t="s">
        <v>731</v>
      </c>
      <c r="C159" s="75" t="s">
        <v>750</v>
      </c>
      <c r="D159" s="75" t="s">
        <v>402</v>
      </c>
      <c r="E159" s="220"/>
      <c r="F159" s="15" t="s">
        <v>751</v>
      </c>
      <c r="G159" s="75" t="s">
        <v>29</v>
      </c>
      <c r="H159" s="75"/>
      <c r="I159" s="371"/>
      <c r="J159" s="286" t="s">
        <v>397</v>
      </c>
    </row>
    <row r="160" spans="1:10" ht="20.100000000000001" customHeight="1" x14ac:dyDescent="0.2">
      <c r="A160" s="342" t="s">
        <v>983</v>
      </c>
      <c r="B160" s="211"/>
      <c r="C160" s="246"/>
      <c r="D160" s="73"/>
      <c r="E160" s="73"/>
      <c r="F160" s="246"/>
      <c r="G160" s="243"/>
      <c r="H160" s="73"/>
      <c r="I160" s="73"/>
      <c r="J160" s="287" t="s">
        <v>396</v>
      </c>
    </row>
    <row r="161" spans="1:10" ht="20.100000000000001" customHeight="1" x14ac:dyDescent="0.2">
      <c r="A161" s="342" t="s">
        <v>984</v>
      </c>
      <c r="B161" s="211" t="s">
        <v>578</v>
      </c>
      <c r="C161" s="246"/>
      <c r="D161" s="73"/>
      <c r="E161" s="73"/>
      <c r="F161" s="246"/>
      <c r="G161" s="243"/>
      <c r="H161" s="73"/>
      <c r="I161" s="73"/>
      <c r="J161" s="287" t="s">
        <v>396</v>
      </c>
    </row>
    <row r="162" spans="1:10" ht="20.100000000000001" customHeight="1" x14ac:dyDescent="0.2">
      <c r="A162" s="342" t="s">
        <v>985</v>
      </c>
      <c r="B162" s="246"/>
      <c r="C162" s="73"/>
      <c r="D162" s="73"/>
      <c r="E162" s="73"/>
      <c r="F162" s="73"/>
      <c r="G162" s="73"/>
      <c r="H162" s="73"/>
      <c r="I162" s="73"/>
      <c r="J162" s="287" t="s">
        <v>396</v>
      </c>
    </row>
    <row r="163" spans="1:10" ht="20.100000000000001" customHeight="1" x14ac:dyDescent="0.2">
      <c r="A163" s="342" t="s">
        <v>986</v>
      </c>
      <c r="B163" s="75" t="s">
        <v>731</v>
      </c>
      <c r="C163" s="75" t="s">
        <v>768</v>
      </c>
      <c r="D163" s="20" t="s">
        <v>402</v>
      </c>
      <c r="E163" s="75"/>
      <c r="F163" s="20" t="s">
        <v>578</v>
      </c>
      <c r="G163" s="75" t="s">
        <v>407</v>
      </c>
      <c r="H163" s="75"/>
      <c r="I163" s="75"/>
      <c r="J163" s="286" t="s">
        <v>397</v>
      </c>
    </row>
    <row r="164" spans="1:10" ht="20.100000000000001" customHeight="1" x14ac:dyDescent="0.2">
      <c r="A164" s="342" t="s">
        <v>987</v>
      </c>
      <c r="B164" s="319" t="s">
        <v>602</v>
      </c>
      <c r="C164" s="266"/>
      <c r="D164" s="211"/>
      <c r="E164" s="266"/>
      <c r="F164" s="266"/>
      <c r="G164" s="264"/>
      <c r="H164" s="266"/>
      <c r="I164" s="266"/>
      <c r="J164" s="287" t="s">
        <v>396</v>
      </c>
    </row>
    <row r="165" spans="1:10" ht="20.100000000000001" customHeight="1" x14ac:dyDescent="0.2">
      <c r="A165" s="342" t="s">
        <v>988</v>
      </c>
      <c r="B165" s="379" t="s">
        <v>601</v>
      </c>
      <c r="C165" s="261" t="s">
        <v>600</v>
      </c>
      <c r="D165" s="75" t="s">
        <v>403</v>
      </c>
      <c r="E165" s="261"/>
      <c r="F165" s="390" t="s">
        <v>599</v>
      </c>
      <c r="G165" s="268" t="s">
        <v>29</v>
      </c>
      <c r="H165" s="261"/>
      <c r="I165" s="261"/>
      <c r="J165" s="286" t="s">
        <v>397</v>
      </c>
    </row>
    <row r="166" spans="1:10" ht="20.100000000000001" customHeight="1" x14ac:dyDescent="0.2">
      <c r="A166" s="342" t="s">
        <v>989</v>
      </c>
      <c r="B166" s="262" t="s">
        <v>598</v>
      </c>
      <c r="C166" s="261" t="s">
        <v>769</v>
      </c>
      <c r="D166" s="75" t="s">
        <v>403</v>
      </c>
      <c r="E166" s="261"/>
      <c r="F166" s="390" t="s">
        <v>597</v>
      </c>
      <c r="G166" s="268" t="s">
        <v>29</v>
      </c>
      <c r="H166" s="261"/>
      <c r="I166" s="261"/>
      <c r="J166" s="286" t="s">
        <v>397</v>
      </c>
    </row>
    <row r="167" spans="1:10" ht="20.100000000000001" customHeight="1" x14ac:dyDescent="0.2">
      <c r="A167" s="342" t="s">
        <v>990</v>
      </c>
      <c r="B167" s="262" t="s">
        <v>575</v>
      </c>
      <c r="C167" s="261" t="s">
        <v>765</v>
      </c>
      <c r="D167" s="75" t="s">
        <v>403</v>
      </c>
      <c r="E167" s="261"/>
      <c r="F167" s="390" t="s">
        <v>596</v>
      </c>
      <c r="G167" s="268" t="s">
        <v>29</v>
      </c>
      <c r="H167" s="261"/>
      <c r="I167" s="261"/>
      <c r="J167" s="286" t="s">
        <v>397</v>
      </c>
    </row>
    <row r="168" spans="1:10" ht="20.100000000000001" customHeight="1" x14ac:dyDescent="0.2">
      <c r="A168" s="342" t="s">
        <v>991</v>
      </c>
      <c r="B168" s="281" t="s">
        <v>533</v>
      </c>
      <c r="C168" s="261" t="s">
        <v>770</v>
      </c>
      <c r="D168" s="75" t="s">
        <v>403</v>
      </c>
      <c r="E168" s="261"/>
      <c r="F168" s="390" t="s">
        <v>595</v>
      </c>
      <c r="G168" s="268" t="s">
        <v>29</v>
      </c>
      <c r="H168" s="261"/>
      <c r="I168" s="261"/>
      <c r="J168" s="286" t="s">
        <v>397</v>
      </c>
    </row>
    <row r="169" spans="1:10" ht="20.100000000000001" customHeight="1" x14ac:dyDescent="0.2">
      <c r="A169" s="342" t="s">
        <v>992</v>
      </c>
      <c r="B169" s="262" t="s">
        <v>574</v>
      </c>
      <c r="C169" s="253" t="s">
        <v>363</v>
      </c>
      <c r="D169" s="75" t="s">
        <v>403</v>
      </c>
      <c r="E169" s="261"/>
      <c r="F169" s="390" t="s">
        <v>594</v>
      </c>
      <c r="G169" s="268" t="s">
        <v>29</v>
      </c>
      <c r="H169" s="261"/>
      <c r="I169" s="261"/>
      <c r="J169" s="287" t="s">
        <v>396</v>
      </c>
    </row>
    <row r="170" spans="1:10" ht="20.100000000000001" customHeight="1" x14ac:dyDescent="0.2">
      <c r="A170" s="342" t="s">
        <v>993</v>
      </c>
      <c r="B170" s="75" t="s">
        <v>731</v>
      </c>
      <c r="C170" s="75" t="s">
        <v>750</v>
      </c>
      <c r="D170" s="75" t="s">
        <v>402</v>
      </c>
      <c r="E170" s="220"/>
      <c r="F170" s="15" t="s">
        <v>751</v>
      </c>
      <c r="G170" s="75" t="s">
        <v>29</v>
      </c>
      <c r="H170" s="75"/>
      <c r="I170" s="371"/>
      <c r="J170" s="286" t="s">
        <v>397</v>
      </c>
    </row>
    <row r="171" spans="1:10" ht="20.100000000000001" customHeight="1" x14ac:dyDescent="0.2">
      <c r="A171" s="342" t="s">
        <v>994</v>
      </c>
      <c r="B171" s="211"/>
      <c r="C171" s="246"/>
      <c r="D171" s="73"/>
      <c r="E171" s="73"/>
      <c r="F171" s="246"/>
      <c r="G171" s="243"/>
      <c r="H171" s="73"/>
      <c r="I171" s="73"/>
      <c r="J171" s="287" t="s">
        <v>396</v>
      </c>
    </row>
    <row r="172" spans="1:10" ht="20.100000000000001" customHeight="1" x14ac:dyDescent="0.2">
      <c r="A172" s="342" t="s">
        <v>995</v>
      </c>
      <c r="B172" s="211" t="s">
        <v>771</v>
      </c>
      <c r="C172" s="246"/>
      <c r="D172" s="73"/>
      <c r="E172" s="73"/>
      <c r="F172" s="246"/>
      <c r="G172" s="243"/>
      <c r="H172" s="73"/>
      <c r="I172" s="73"/>
      <c r="J172" s="287" t="s">
        <v>396</v>
      </c>
    </row>
    <row r="173" spans="1:10" ht="20.100000000000001" customHeight="1" x14ac:dyDescent="0.2">
      <c r="A173" s="342" t="s">
        <v>385</v>
      </c>
      <c r="B173" s="211"/>
      <c r="C173" s="73"/>
      <c r="D173" s="73"/>
      <c r="E173" s="73"/>
      <c r="F173" s="73"/>
      <c r="G173" s="73"/>
      <c r="H173" s="73"/>
      <c r="I173" s="73"/>
      <c r="J173" s="275" t="s">
        <v>396</v>
      </c>
    </row>
    <row r="174" spans="1:10" ht="20.100000000000001" customHeight="1" x14ac:dyDescent="0.2">
      <c r="A174" s="342" t="s">
        <v>996</v>
      </c>
      <c r="B174" s="75" t="s">
        <v>731</v>
      </c>
      <c r="C174" s="75" t="s">
        <v>772</v>
      </c>
      <c r="D174" s="20" t="s">
        <v>402</v>
      </c>
      <c r="E174" s="75"/>
      <c r="F174" s="20" t="s">
        <v>771</v>
      </c>
      <c r="G174" s="75" t="s">
        <v>407</v>
      </c>
      <c r="H174" s="75"/>
      <c r="I174" s="75"/>
      <c r="J174" s="294" t="s">
        <v>397</v>
      </c>
    </row>
    <row r="175" spans="1:10" ht="20.100000000000001" customHeight="1" x14ac:dyDescent="0.2">
      <c r="A175" s="342" t="s">
        <v>997</v>
      </c>
      <c r="B175" s="295" t="s">
        <v>612</v>
      </c>
      <c r="C175" s="270"/>
      <c r="D175" s="211"/>
      <c r="E175" s="270"/>
      <c r="F175" s="271"/>
      <c r="G175" s="214"/>
      <c r="H175" s="270"/>
      <c r="I175" s="270"/>
      <c r="J175" s="275" t="s">
        <v>396</v>
      </c>
    </row>
    <row r="176" spans="1:10" ht="20.100000000000001" customHeight="1" x14ac:dyDescent="0.2">
      <c r="A176" s="342" t="s">
        <v>998</v>
      </c>
      <c r="B176" s="296" t="s">
        <v>611</v>
      </c>
      <c r="C176" s="272" t="s">
        <v>773</v>
      </c>
      <c r="D176" s="75" t="s">
        <v>400</v>
      </c>
      <c r="E176" s="272"/>
      <c r="F176" s="274" t="s">
        <v>610</v>
      </c>
      <c r="G176" s="293" t="s">
        <v>29</v>
      </c>
      <c r="H176" s="272"/>
      <c r="I176" s="272"/>
      <c r="J176" s="294" t="s">
        <v>397</v>
      </c>
    </row>
    <row r="177" spans="1:10" ht="20.100000000000001" customHeight="1" x14ac:dyDescent="0.2">
      <c r="A177" s="342" t="s">
        <v>999</v>
      </c>
      <c r="B177" s="296" t="s">
        <v>609</v>
      </c>
      <c r="C177" s="272" t="s">
        <v>10</v>
      </c>
      <c r="D177" s="75" t="s">
        <v>403</v>
      </c>
      <c r="E177" s="272"/>
      <c r="F177" s="274" t="s">
        <v>608</v>
      </c>
      <c r="G177" s="216" t="s">
        <v>29</v>
      </c>
      <c r="H177" s="272"/>
      <c r="I177" s="272"/>
      <c r="J177" s="294" t="s">
        <v>397</v>
      </c>
    </row>
    <row r="178" spans="1:10" ht="20.100000000000001" customHeight="1" x14ac:dyDescent="0.2">
      <c r="A178" s="342" t="s">
        <v>1000</v>
      </c>
      <c r="B178" s="295" t="s">
        <v>607</v>
      </c>
      <c r="C178" s="73"/>
      <c r="D178" s="73"/>
      <c r="E178" s="73"/>
      <c r="F178" s="391"/>
      <c r="G178" s="214"/>
      <c r="H178" s="73"/>
      <c r="I178" s="73"/>
      <c r="J178" s="275" t="s">
        <v>396</v>
      </c>
    </row>
    <row r="179" spans="1:10" ht="20.100000000000001" customHeight="1" x14ac:dyDescent="0.2">
      <c r="A179" s="342" t="s">
        <v>1001</v>
      </c>
      <c r="B179" s="380" t="s">
        <v>606</v>
      </c>
      <c r="C179" s="272" t="s">
        <v>10</v>
      </c>
      <c r="D179" s="75" t="s">
        <v>403</v>
      </c>
      <c r="E179" s="298"/>
      <c r="F179" s="274" t="s">
        <v>605</v>
      </c>
      <c r="G179" s="216" t="s">
        <v>29</v>
      </c>
      <c r="H179" s="298"/>
      <c r="I179" s="298"/>
      <c r="J179" s="294" t="s">
        <v>397</v>
      </c>
    </row>
    <row r="180" spans="1:10" ht="20.100000000000001" customHeight="1" x14ac:dyDescent="0.2">
      <c r="A180" s="342" t="s">
        <v>1002</v>
      </c>
      <c r="B180" s="296" t="s">
        <v>604</v>
      </c>
      <c r="C180" s="75" t="s">
        <v>774</v>
      </c>
      <c r="D180" s="75" t="s">
        <v>403</v>
      </c>
      <c r="E180" s="272"/>
      <c r="F180" s="274" t="s">
        <v>603</v>
      </c>
      <c r="G180" s="293" t="s">
        <v>29</v>
      </c>
      <c r="H180" s="272"/>
      <c r="I180" s="272"/>
      <c r="J180" s="294" t="s">
        <v>397</v>
      </c>
    </row>
    <row r="181" spans="1:10" ht="20.100000000000001" customHeight="1" x14ac:dyDescent="0.2">
      <c r="A181" s="342" t="s">
        <v>1003</v>
      </c>
      <c r="B181" s="75" t="s">
        <v>731</v>
      </c>
      <c r="C181" s="75" t="s">
        <v>750</v>
      </c>
      <c r="D181" s="75" t="s">
        <v>402</v>
      </c>
      <c r="E181" s="220"/>
      <c r="F181" s="15" t="s">
        <v>751</v>
      </c>
      <c r="G181" s="75" t="s">
        <v>29</v>
      </c>
      <c r="H181" s="75"/>
      <c r="I181" s="75"/>
      <c r="J181" s="294" t="s">
        <v>397</v>
      </c>
    </row>
    <row r="182" spans="1:10" ht="20.100000000000001" customHeight="1" x14ac:dyDescent="0.2">
      <c r="A182" s="342" t="s">
        <v>1004</v>
      </c>
      <c r="B182" s="211"/>
      <c r="C182" s="246"/>
      <c r="D182" s="73"/>
      <c r="E182" s="73"/>
      <c r="F182" s="246"/>
      <c r="G182" s="243"/>
      <c r="H182" s="73"/>
      <c r="I182" s="73"/>
      <c r="J182" s="275" t="s">
        <v>396</v>
      </c>
    </row>
  </sheetData>
  <dataValidations count="23">
    <dataValidation type="list" allowBlank="1" showInputMessage="1" showErrorMessage="1" sqref="C14">
      <formula1>$L$8:$L$9</formula1>
    </dataValidation>
    <dataValidation type="list" allowBlank="1" showInputMessage="1" showErrorMessage="1" sqref="C16">
      <formula1>$L$12:$L$13</formula1>
    </dataValidation>
    <dataValidation type="list" allowBlank="1" showInputMessage="1" showErrorMessage="1" sqref="C32">
      <formula1>$L$27:$L$28</formula1>
    </dataValidation>
    <dataValidation type="list" allowBlank="1" showInputMessage="1" showErrorMessage="1" sqref="C18">
      <formula1>$L$16:$L$24</formula1>
    </dataValidation>
    <dataValidation type="list" allowBlank="1" showInputMessage="1" showErrorMessage="1" sqref="C33">
      <formula1>$L$31</formula1>
    </dataValidation>
    <dataValidation type="list" allowBlank="1" showInputMessage="1" showErrorMessage="1" sqref="C53">
      <formula1>$O$37:$O$46</formula1>
    </dataValidation>
    <dataValidation type="list" allowBlank="1" showInputMessage="1" showErrorMessage="1" sqref="C52">
      <formula1>$O$27:$O$34</formula1>
    </dataValidation>
    <dataValidation type="list" allowBlank="1" showInputMessage="1" showErrorMessage="1" sqref="C47">
      <formula1>$O$18:$O$24</formula1>
    </dataValidation>
    <dataValidation type="list" allowBlank="1" showInputMessage="1" showErrorMessage="1" sqref="C45">
      <formula1>$O$4:$O$6</formula1>
    </dataValidation>
    <dataValidation type="list" allowBlank="1" showInputMessage="1" showErrorMessage="1" sqref="C46">
      <formula1>$O$9:$O$15</formula1>
    </dataValidation>
    <dataValidation type="list" allowBlank="1" showInputMessage="1" showErrorMessage="1" sqref="C64:C65">
      <formula1>$O$32</formula1>
    </dataValidation>
    <dataValidation type="list" allowBlank="1" showInputMessage="1" showErrorMessage="1" sqref="G59:G60 G64:G65 G93 G95 G104:G122 G171:G172 G178 G182 G128">
      <formula1>FieldRef</formula1>
    </dataValidation>
    <dataValidation type="list" allowBlank="1" showInputMessage="1" showErrorMessage="1" sqref="D93 D95 D104 D114 D89 D87 D164 D171:D173 D175 D182 D142 D137 D151 D126">
      <formula1>Field</formula1>
    </dataValidation>
    <dataValidation type="list" allowBlank="1" showInputMessage="1" showErrorMessage="1" sqref="C114:C115 C171:C172 B162 C182">
      <formula1>$K$32</formula1>
    </dataValidation>
    <dataValidation type="list" allowBlank="1" showInputMessage="1" showErrorMessage="1" sqref="C112">
      <formula1>$K$28:$K$29</formula1>
    </dataValidation>
    <dataValidation type="list" allowBlank="1" showInputMessage="1" showErrorMessage="1" sqref="C104">
      <formula1>$K$27:$K$34</formula1>
    </dataValidation>
    <dataValidation type="list" allowBlank="1" showInputMessage="1" showErrorMessage="1" sqref="C105">
      <formula1>$K$37:$K$46</formula1>
    </dataValidation>
    <dataValidation type="list" allowBlank="1" showInputMessage="1" showErrorMessage="1" sqref="C136">
      <formula1>$R$11:$R$18</formula1>
    </dataValidation>
    <dataValidation type="list" allowBlank="1" showInputMessage="1" showErrorMessage="1" sqref="C135">
      <formula1>$R$4:$R$8</formula1>
    </dataValidation>
    <dataValidation type="list" allowBlank="1" showInputMessage="1" showErrorMessage="1" sqref="C143">
      <formula1>$R$21:$R$22</formula1>
    </dataValidation>
    <dataValidation type="list" allowBlank="1" showInputMessage="1" showErrorMessage="1" sqref="C142">
      <formula1>$L$25:$L$32</formula1>
    </dataValidation>
    <dataValidation type="list" allowBlank="1" showInputMessage="1" showErrorMessage="1" sqref="C151">
      <formula1>$L$30</formula1>
    </dataValidation>
    <dataValidation type="list" allowBlank="1" showInputMessage="1" showErrorMessage="1" sqref="C12">
      <formula1>$L$4:$L$5</formula1>
    </dataValidation>
  </dataValidations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ext!$A$5:$A$12</xm:f>
          </x14:formula1>
          <xm:sqref>D12:D36 D94 D96:D103 D105:D113 D88 D90:D92 D115:D122 D163 D165:D169 D176:D177 D174 D179:D180 D4:D8</xm:sqref>
        </x14:dataValidation>
        <x14:dataValidation type="list" allowBlank="1" showInputMessage="1" showErrorMessage="1">
          <x14:formula1>
            <xm:f>ext!$C$5:$C$8</xm:f>
          </x14:formula1>
          <xm:sqref>G12:G36 G40:G58 G61:G63 G84:G85 G90:G92 G88 G94 G96:G103 G163 G165:G170 G176:G177 G174 G179:G181 G123 G4:G8</xm:sqref>
        </x14:dataValidation>
        <x14:dataValidation type="list" allowBlank="1" showInputMessage="1" showErrorMessage="1">
          <x14:formula1>
            <xm:f>ext!$A$5:$A$11</xm:f>
          </x14:formula1>
          <xm:sqref>D39:D85 D170 D181 D123 D127:D136 D138:D141 D143:D150 D152:D159</xm:sqref>
        </x14:dataValidation>
        <x14:dataValidation type="list" allowBlank="1" showInputMessage="1" showErrorMessage="1">
          <x14:formula1>
            <xm:f>[3]ext!#REF!</xm:f>
          </x14:formula1>
          <xm:sqref>G127 G143:G150 G152:G159 G132:G141</xm:sqref>
        </x14:dataValidation>
        <x14:dataValidation type="list" allowBlank="1" showInputMessage="1" showErrorMessage="1">
          <x14:formula1>
            <xm:f>ISIC!$A$3:$A$8</xm:f>
          </x14:formula1>
          <xm:sqref>C128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Normal="100" workbookViewId="0">
      <selection activeCell="C79" sqref="C79"/>
    </sheetView>
  </sheetViews>
  <sheetFormatPr defaultRowHeight="20.100000000000001" customHeight="1" x14ac:dyDescent="0.2"/>
  <cols>
    <col min="1" max="1" width="8.7109375" style="7" customWidth="1"/>
    <col min="2" max="2" width="40.7109375" style="7" customWidth="1"/>
    <col min="3" max="3" width="45.7109375" style="7" customWidth="1"/>
    <col min="4" max="4" width="15.7109375" style="7" customWidth="1"/>
    <col min="5" max="5" width="10.7109375" style="7" customWidth="1"/>
    <col min="6" max="6" width="20.7109375" style="7" customWidth="1"/>
    <col min="7" max="10" width="10.7109375" style="7" customWidth="1"/>
    <col min="11" max="11" width="9.140625" style="7" customWidth="1"/>
    <col min="12" max="12" width="36.28515625" style="7" customWidth="1"/>
    <col min="13" max="13" width="10.42578125" style="7" customWidth="1"/>
    <col min="14" max="16" width="9.140625" style="7" customWidth="1"/>
    <col min="17" max="16384" width="9.140625" style="7"/>
  </cols>
  <sheetData>
    <row r="1" spans="1:13" ht="20.100000000000001" customHeight="1" x14ac:dyDescent="0.2">
      <c r="A1" s="228"/>
    </row>
    <row r="2" spans="1:13" ht="20.100000000000001" customHeight="1" x14ac:dyDescent="0.2">
      <c r="A2" s="310" t="s">
        <v>34</v>
      </c>
      <c r="B2" s="299" t="s">
        <v>14</v>
      </c>
      <c r="C2" s="299" t="s">
        <v>15</v>
      </c>
      <c r="D2" s="299" t="s">
        <v>17</v>
      </c>
      <c r="E2" s="299" t="s">
        <v>16</v>
      </c>
      <c r="F2" s="299" t="s">
        <v>20</v>
      </c>
      <c r="G2" s="299" t="s">
        <v>28</v>
      </c>
      <c r="H2" s="269" t="s">
        <v>27</v>
      </c>
      <c r="I2" s="311" t="s">
        <v>81</v>
      </c>
      <c r="J2" s="299" t="s">
        <v>411</v>
      </c>
      <c r="K2" s="300"/>
      <c r="L2" s="301" t="s">
        <v>104</v>
      </c>
      <c r="M2" s="7" t="s">
        <v>33</v>
      </c>
    </row>
    <row r="3" spans="1:13" ht="20.100000000000001" customHeight="1" x14ac:dyDescent="0.2">
      <c r="A3" s="15" t="s">
        <v>18</v>
      </c>
      <c r="B3" s="211" t="s">
        <v>775</v>
      </c>
      <c r="C3" s="73"/>
      <c r="D3" s="73"/>
      <c r="E3" s="73"/>
      <c r="F3" s="73"/>
      <c r="G3" s="73"/>
      <c r="H3" s="73"/>
      <c r="I3" s="73"/>
      <c r="J3" s="275" t="s">
        <v>396</v>
      </c>
      <c r="K3" s="267"/>
      <c r="L3" s="302" t="s">
        <v>84</v>
      </c>
      <c r="M3" s="7" t="s">
        <v>18</v>
      </c>
    </row>
    <row r="4" spans="1:13" ht="20.100000000000001" customHeight="1" x14ac:dyDescent="0.2">
      <c r="A4" s="15" t="s">
        <v>35</v>
      </c>
      <c r="B4" s="75" t="s">
        <v>731</v>
      </c>
      <c r="C4" s="75" t="s">
        <v>776</v>
      </c>
      <c r="D4" s="20" t="s">
        <v>402</v>
      </c>
      <c r="E4" s="75"/>
      <c r="F4" s="309" t="s">
        <v>775</v>
      </c>
      <c r="G4" s="75" t="s">
        <v>407</v>
      </c>
      <c r="H4" s="75"/>
      <c r="I4" s="75"/>
      <c r="J4" s="294" t="s">
        <v>397</v>
      </c>
      <c r="K4" s="267"/>
      <c r="L4" s="302" t="s">
        <v>85</v>
      </c>
      <c r="M4" s="7" t="s">
        <v>35</v>
      </c>
    </row>
    <row r="5" spans="1:13" ht="20.100000000000001" customHeight="1" x14ac:dyDescent="0.2">
      <c r="A5" s="15" t="s">
        <v>36</v>
      </c>
      <c r="B5" s="308" t="s">
        <v>781</v>
      </c>
      <c r="C5" s="75" t="s">
        <v>782</v>
      </c>
      <c r="D5" s="15" t="s">
        <v>412</v>
      </c>
      <c r="E5" s="75"/>
      <c r="F5" s="231"/>
      <c r="G5" s="216"/>
      <c r="H5" s="75"/>
      <c r="I5" s="75"/>
      <c r="J5" s="294" t="s">
        <v>397</v>
      </c>
      <c r="K5" s="267"/>
      <c r="L5" s="302" t="s">
        <v>86</v>
      </c>
      <c r="M5" s="7" t="s">
        <v>36</v>
      </c>
    </row>
    <row r="6" spans="1:13" ht="20.100000000000001" customHeight="1" x14ac:dyDescent="0.2">
      <c r="A6" s="15" t="s">
        <v>37</v>
      </c>
      <c r="B6" s="312" t="s">
        <v>777</v>
      </c>
      <c r="C6" s="73"/>
      <c r="D6" s="23"/>
      <c r="E6" s="73"/>
      <c r="F6" s="313"/>
      <c r="G6" s="243"/>
      <c r="H6" s="73"/>
      <c r="I6" s="73"/>
      <c r="J6" s="275" t="s">
        <v>396</v>
      </c>
      <c r="K6" s="303"/>
    </row>
    <row r="7" spans="1:13" ht="20.100000000000001" customHeight="1" x14ac:dyDescent="0.2">
      <c r="A7" s="15" t="s">
        <v>38</v>
      </c>
      <c r="B7" s="314" t="s">
        <v>731</v>
      </c>
      <c r="C7" s="75" t="s">
        <v>778</v>
      </c>
      <c r="D7" s="15" t="s">
        <v>402</v>
      </c>
      <c r="E7" s="75"/>
      <c r="F7" s="231" t="s">
        <v>779</v>
      </c>
      <c r="G7" s="216" t="s">
        <v>60</v>
      </c>
      <c r="H7" s="75"/>
      <c r="I7" s="75"/>
      <c r="J7" s="294" t="s">
        <v>397</v>
      </c>
      <c r="K7" s="303"/>
      <c r="L7" s="301" t="s">
        <v>108</v>
      </c>
      <c r="M7" s="7" t="s">
        <v>33</v>
      </c>
    </row>
    <row r="8" spans="1:13" ht="20.100000000000001" customHeight="1" x14ac:dyDescent="0.2">
      <c r="A8" s="15" t="s">
        <v>39</v>
      </c>
      <c r="B8" s="308" t="s">
        <v>733</v>
      </c>
      <c r="C8" s="75" t="s">
        <v>364</v>
      </c>
      <c r="D8" s="75" t="s">
        <v>722</v>
      </c>
      <c r="E8" s="75" t="s">
        <v>35</v>
      </c>
      <c r="F8" s="15" t="s">
        <v>106</v>
      </c>
      <c r="G8" s="216" t="s">
        <v>60</v>
      </c>
      <c r="H8" s="75"/>
      <c r="I8" s="75"/>
      <c r="J8" s="294" t="s">
        <v>397</v>
      </c>
      <c r="K8" s="303"/>
      <c r="L8" s="302" t="s">
        <v>109</v>
      </c>
      <c r="M8" s="306" t="s">
        <v>111</v>
      </c>
    </row>
    <row r="9" spans="1:13" ht="20.100000000000001" customHeight="1" x14ac:dyDescent="0.2">
      <c r="A9" s="15" t="s">
        <v>40</v>
      </c>
      <c r="B9" s="304" t="s">
        <v>364</v>
      </c>
      <c r="C9" s="304"/>
      <c r="D9" s="304"/>
      <c r="E9" s="304"/>
      <c r="F9" s="313"/>
      <c r="G9" s="244"/>
      <c r="H9" s="304"/>
      <c r="I9" s="304"/>
      <c r="J9" s="275" t="s">
        <v>396</v>
      </c>
      <c r="K9" s="303"/>
      <c r="L9" s="302" t="s">
        <v>110</v>
      </c>
      <c r="M9" s="306" t="s">
        <v>112</v>
      </c>
    </row>
    <row r="10" spans="1:13" ht="20.100000000000001" customHeight="1" x14ac:dyDescent="0.2">
      <c r="A10" s="15" t="s">
        <v>41</v>
      </c>
      <c r="B10" s="315" t="s">
        <v>104</v>
      </c>
      <c r="C10" s="15" t="s">
        <v>84</v>
      </c>
      <c r="D10" s="15" t="s">
        <v>399</v>
      </c>
      <c r="E10" s="15" t="str">
        <f>VLOOKUP(Table23[[#This Row],[Data]],Table28[],2,0)</f>
        <v>1</v>
      </c>
      <c r="F10" s="231" t="s">
        <v>105</v>
      </c>
      <c r="G10" s="316" t="s">
        <v>29</v>
      </c>
      <c r="H10" s="15" t="s">
        <v>106</v>
      </c>
      <c r="I10" s="231" t="s">
        <v>107</v>
      </c>
      <c r="J10" s="294" t="s">
        <v>397</v>
      </c>
      <c r="K10" s="303"/>
    </row>
    <row r="11" spans="1:13" ht="20.100000000000001" customHeight="1" x14ac:dyDescent="0.2">
      <c r="A11" s="15" t="s">
        <v>42</v>
      </c>
      <c r="B11" s="290" t="s">
        <v>108</v>
      </c>
      <c r="C11" s="15" t="s">
        <v>109</v>
      </c>
      <c r="D11" s="15" t="s">
        <v>399</v>
      </c>
      <c r="E11" s="15" t="str">
        <f>VLOOKUP(Table23[[#This Row],[Data]],L8:M9,2,0)</f>
        <v>COM</v>
      </c>
      <c r="F11" s="317" t="s">
        <v>113</v>
      </c>
      <c r="G11" s="316" t="s">
        <v>29</v>
      </c>
      <c r="H11" s="15" t="s">
        <v>114</v>
      </c>
      <c r="I11" s="317" t="s">
        <v>115</v>
      </c>
      <c r="J11" s="294" t="s">
        <v>397</v>
      </c>
      <c r="K11" s="303"/>
      <c r="L11" s="330" t="s">
        <v>116</v>
      </c>
      <c r="M11" s="7" t="s">
        <v>33</v>
      </c>
    </row>
    <row r="12" spans="1:13" ht="20.100000000000001" customHeight="1" x14ac:dyDescent="0.2">
      <c r="A12" s="15" t="s">
        <v>43</v>
      </c>
      <c r="B12" s="290" t="s">
        <v>116</v>
      </c>
      <c r="C12" s="15" t="s">
        <v>121</v>
      </c>
      <c r="D12" s="15" t="s">
        <v>399</v>
      </c>
      <c r="E12" s="15" t="str">
        <f>MID(Table23[[#This Row],[Data]],1,4)</f>
        <v>8100</v>
      </c>
      <c r="F12" s="317" t="s">
        <v>119</v>
      </c>
      <c r="G12" s="316" t="s">
        <v>29</v>
      </c>
      <c r="H12" s="15" t="s">
        <v>117</v>
      </c>
      <c r="I12" s="317" t="s">
        <v>118</v>
      </c>
      <c r="J12" s="294" t="s">
        <v>397</v>
      </c>
      <c r="K12" s="303"/>
      <c r="L12" s="302" t="s">
        <v>120</v>
      </c>
      <c r="M12" s="306">
        <v>8011</v>
      </c>
    </row>
    <row r="13" spans="1:13" ht="20.100000000000001" customHeight="1" x14ac:dyDescent="0.2">
      <c r="A13" s="15" t="s">
        <v>44</v>
      </c>
      <c r="B13" s="290" t="s">
        <v>126</v>
      </c>
      <c r="C13" s="15" t="s">
        <v>130</v>
      </c>
      <c r="D13" s="15" t="s">
        <v>399</v>
      </c>
      <c r="E13" s="15" t="str">
        <f>MID(Table23[[#This Row],[Data]],1,5)</f>
        <v>40001</v>
      </c>
      <c r="F13" s="317" t="s">
        <v>129</v>
      </c>
      <c r="G13" s="316" t="s">
        <v>29</v>
      </c>
      <c r="H13" s="15" t="s">
        <v>127</v>
      </c>
      <c r="I13" s="317" t="s">
        <v>128</v>
      </c>
      <c r="J13" s="294" t="s">
        <v>397</v>
      </c>
      <c r="K13" s="303"/>
      <c r="L13" s="302" t="s">
        <v>121</v>
      </c>
      <c r="M13" s="306">
        <v>8100</v>
      </c>
    </row>
    <row r="14" spans="1:13" ht="20.100000000000001" customHeight="1" x14ac:dyDescent="0.2">
      <c r="A14" s="15" t="s">
        <v>45</v>
      </c>
      <c r="B14" s="290" t="s">
        <v>132</v>
      </c>
      <c r="C14" s="15" t="s">
        <v>137</v>
      </c>
      <c r="D14" s="15" t="s">
        <v>399</v>
      </c>
      <c r="E14" s="15" t="str">
        <f>MID(Table23[[#This Row],[Data]],1,4)</f>
        <v>1082</v>
      </c>
      <c r="F14" s="317" t="s">
        <v>135</v>
      </c>
      <c r="G14" s="316" t="s">
        <v>29</v>
      </c>
      <c r="H14" s="15" t="s">
        <v>133</v>
      </c>
      <c r="I14" s="317" t="s">
        <v>134</v>
      </c>
      <c r="J14" s="294" t="s">
        <v>397</v>
      </c>
      <c r="K14" s="303"/>
      <c r="L14" s="302" t="s">
        <v>122</v>
      </c>
      <c r="M14" s="306">
        <v>8200</v>
      </c>
    </row>
    <row r="15" spans="1:13" ht="20.100000000000001" customHeight="1" x14ac:dyDescent="0.2">
      <c r="A15" s="15" t="s">
        <v>98</v>
      </c>
      <c r="B15" s="290" t="s">
        <v>145</v>
      </c>
      <c r="C15" s="15" t="s">
        <v>146</v>
      </c>
      <c r="D15" s="15" t="s">
        <v>403</v>
      </c>
      <c r="E15" s="15"/>
      <c r="F15" s="317" t="s">
        <v>147</v>
      </c>
      <c r="G15" s="316" t="s">
        <v>29</v>
      </c>
      <c r="H15" s="15"/>
      <c r="I15" s="15"/>
      <c r="J15" s="294" t="s">
        <v>397</v>
      </c>
      <c r="K15" s="303"/>
      <c r="L15" s="302" t="s">
        <v>123</v>
      </c>
      <c r="M15" s="306">
        <v>8300</v>
      </c>
    </row>
    <row r="16" spans="1:13" ht="20.100000000000001" customHeight="1" x14ac:dyDescent="0.2">
      <c r="A16" s="15" t="s">
        <v>99</v>
      </c>
      <c r="B16" s="290" t="s">
        <v>148</v>
      </c>
      <c r="C16" s="15" t="s">
        <v>43</v>
      </c>
      <c r="D16" s="15" t="s">
        <v>403</v>
      </c>
      <c r="E16" s="15"/>
      <c r="F16" s="317" t="s">
        <v>149</v>
      </c>
      <c r="G16" s="316" t="s">
        <v>29</v>
      </c>
      <c r="H16" s="15"/>
      <c r="I16" s="15"/>
      <c r="J16" s="294" t="s">
        <v>397</v>
      </c>
      <c r="L16" s="302" t="s">
        <v>124</v>
      </c>
      <c r="M16" s="306">
        <v>8400</v>
      </c>
    </row>
    <row r="17" spans="1:13" ht="20.100000000000001" customHeight="1" x14ac:dyDescent="0.2">
      <c r="A17" s="15" t="s">
        <v>100</v>
      </c>
      <c r="B17" s="290" t="s">
        <v>148</v>
      </c>
      <c r="C17" s="15" t="s">
        <v>154</v>
      </c>
      <c r="D17" s="15" t="s">
        <v>399</v>
      </c>
      <c r="E17" s="15" t="str">
        <f>VLOOKUP(Table23[[#This Row],[Data]],Table33[],2,0)</f>
        <v>Y</v>
      </c>
      <c r="F17" s="317" t="s">
        <v>151</v>
      </c>
      <c r="G17" s="316" t="s">
        <v>29</v>
      </c>
      <c r="H17" s="15" t="s">
        <v>150</v>
      </c>
      <c r="I17" s="15" t="s">
        <v>361</v>
      </c>
      <c r="J17" s="294" t="s">
        <v>397</v>
      </c>
      <c r="L17" s="302" t="s">
        <v>125</v>
      </c>
      <c r="M17" s="306">
        <v>8900</v>
      </c>
    </row>
    <row r="18" spans="1:13" ht="20.100000000000001" customHeight="1" x14ac:dyDescent="0.2">
      <c r="A18" s="15" t="s">
        <v>102</v>
      </c>
      <c r="B18" s="75" t="s">
        <v>731</v>
      </c>
      <c r="C18" s="75" t="s">
        <v>750</v>
      </c>
      <c r="D18" s="75" t="s">
        <v>402</v>
      </c>
      <c r="E18" s="220"/>
      <c r="F18" s="15" t="s">
        <v>780</v>
      </c>
      <c r="G18" s="75" t="s">
        <v>60</v>
      </c>
      <c r="H18" s="75"/>
      <c r="I18" s="75"/>
      <c r="J18" s="294" t="s">
        <v>397</v>
      </c>
    </row>
    <row r="19" spans="1:13" ht="20.100000000000001" customHeight="1" x14ac:dyDescent="0.2">
      <c r="A19" s="15" t="s">
        <v>160</v>
      </c>
      <c r="B19" s="308" t="s">
        <v>733</v>
      </c>
      <c r="C19" s="75" t="s">
        <v>734</v>
      </c>
      <c r="D19" s="75" t="s">
        <v>722</v>
      </c>
      <c r="E19" s="75" t="s">
        <v>18</v>
      </c>
      <c r="F19" s="231" t="s">
        <v>779</v>
      </c>
      <c r="G19" s="216" t="s">
        <v>60</v>
      </c>
      <c r="H19" s="75"/>
      <c r="I19" s="75"/>
      <c r="J19" s="294" t="s">
        <v>397</v>
      </c>
      <c r="L19" s="301" t="s">
        <v>126</v>
      </c>
      <c r="M19" s="7" t="s">
        <v>33</v>
      </c>
    </row>
    <row r="20" spans="1:13" ht="20.100000000000001" customHeight="1" x14ac:dyDescent="0.2">
      <c r="A20" s="15" t="s">
        <v>161</v>
      </c>
      <c r="B20" s="211"/>
      <c r="C20" s="246"/>
      <c r="D20" s="73"/>
      <c r="E20" s="73"/>
      <c r="F20" s="246"/>
      <c r="G20" s="243"/>
      <c r="H20" s="73"/>
      <c r="I20" s="73"/>
      <c r="J20" s="275" t="s">
        <v>396</v>
      </c>
      <c r="L20" s="302" t="s">
        <v>130</v>
      </c>
      <c r="M20" s="306">
        <v>40001</v>
      </c>
    </row>
    <row r="21" spans="1:13" ht="20.100000000000001" customHeight="1" x14ac:dyDescent="0.2">
      <c r="A21" s="15" t="s">
        <v>162</v>
      </c>
      <c r="B21" s="320" t="s">
        <v>214</v>
      </c>
      <c r="C21" s="211"/>
      <c r="D21" s="211"/>
      <c r="E21" s="221"/>
      <c r="F21" s="246"/>
      <c r="G21" s="243"/>
      <c r="H21" s="211"/>
      <c r="I21" s="211"/>
      <c r="J21" s="275" t="s">
        <v>396</v>
      </c>
      <c r="L21" s="302" t="s">
        <v>131</v>
      </c>
      <c r="M21" s="306">
        <v>40004</v>
      </c>
    </row>
    <row r="22" spans="1:13" ht="20.100000000000001" customHeight="1" x14ac:dyDescent="0.2">
      <c r="A22" s="15" t="s">
        <v>179</v>
      </c>
      <c r="B22" s="320"/>
      <c r="C22" s="211"/>
      <c r="D22" s="211"/>
      <c r="E22" s="221"/>
      <c r="F22" s="246"/>
      <c r="G22" s="243"/>
      <c r="H22" s="211"/>
      <c r="I22" s="211"/>
      <c r="J22" s="275" t="s">
        <v>396</v>
      </c>
    </row>
    <row r="23" spans="1:13" ht="20.100000000000001" customHeight="1" x14ac:dyDescent="0.2">
      <c r="A23" s="15" t="s">
        <v>180</v>
      </c>
      <c r="B23" s="321" t="s">
        <v>158</v>
      </c>
      <c r="C23" s="276" t="s">
        <v>363</v>
      </c>
      <c r="D23" s="75" t="s">
        <v>56</v>
      </c>
      <c r="E23" s="220"/>
      <c r="F23" s="297" t="s">
        <v>453</v>
      </c>
      <c r="G23" s="216" t="s">
        <v>29</v>
      </c>
      <c r="H23" s="75"/>
      <c r="I23" s="75"/>
      <c r="J23" s="275" t="s">
        <v>396</v>
      </c>
      <c r="L23" s="301" t="s">
        <v>132</v>
      </c>
      <c r="M23" s="7" t="s">
        <v>33</v>
      </c>
    </row>
    <row r="24" spans="1:13" ht="20.100000000000001" customHeight="1" x14ac:dyDescent="0.2">
      <c r="A24" s="15" t="s">
        <v>181</v>
      </c>
      <c r="B24" s="296" t="s">
        <v>185</v>
      </c>
      <c r="C24" s="276" t="s">
        <v>363</v>
      </c>
      <c r="D24" s="75" t="s">
        <v>56</v>
      </c>
      <c r="E24" s="220"/>
      <c r="F24" s="297" t="s">
        <v>452</v>
      </c>
      <c r="G24" s="216" t="s">
        <v>29</v>
      </c>
      <c r="H24" s="75"/>
      <c r="I24" s="75"/>
      <c r="J24" s="275" t="s">
        <v>396</v>
      </c>
      <c r="L24" s="302" t="s">
        <v>136</v>
      </c>
      <c r="M24" s="306">
        <v>1029</v>
      </c>
    </row>
    <row r="25" spans="1:13" ht="20.100000000000001" customHeight="1" x14ac:dyDescent="0.2">
      <c r="A25" s="15" t="s">
        <v>182</v>
      </c>
      <c r="B25" s="296" t="s">
        <v>186</v>
      </c>
      <c r="C25" s="276" t="s">
        <v>363</v>
      </c>
      <c r="D25" s="75" t="s">
        <v>56</v>
      </c>
      <c r="E25" s="220"/>
      <c r="F25" s="297" t="s">
        <v>451</v>
      </c>
      <c r="G25" s="216" t="s">
        <v>29</v>
      </c>
      <c r="H25" s="75"/>
      <c r="I25" s="75"/>
      <c r="J25" s="275" t="s">
        <v>396</v>
      </c>
      <c r="L25" s="302" t="s">
        <v>137</v>
      </c>
      <c r="M25" s="306">
        <v>1082</v>
      </c>
    </row>
    <row r="26" spans="1:13" ht="20.100000000000001" customHeight="1" x14ac:dyDescent="0.2">
      <c r="A26" s="15" t="s">
        <v>183</v>
      </c>
      <c r="B26" s="296" t="s">
        <v>187</v>
      </c>
      <c r="C26" s="276" t="s">
        <v>363</v>
      </c>
      <c r="D26" s="75" t="s">
        <v>56</v>
      </c>
      <c r="E26" s="220"/>
      <c r="F26" s="297" t="s">
        <v>450</v>
      </c>
      <c r="G26" s="216" t="s">
        <v>29</v>
      </c>
      <c r="H26" s="75"/>
      <c r="I26" s="75"/>
      <c r="J26" s="275" t="s">
        <v>396</v>
      </c>
      <c r="L26" s="302" t="s">
        <v>138</v>
      </c>
      <c r="M26" s="306">
        <v>1084</v>
      </c>
    </row>
    <row r="27" spans="1:13" ht="20.100000000000001" customHeight="1" x14ac:dyDescent="0.2">
      <c r="A27" s="15" t="s">
        <v>184</v>
      </c>
      <c r="B27" s="295" t="s">
        <v>215</v>
      </c>
      <c r="C27" s="73"/>
      <c r="D27" s="73"/>
      <c r="E27" s="219"/>
      <c r="F27" s="322"/>
      <c r="G27" s="243"/>
      <c r="H27" s="73"/>
      <c r="I27" s="73"/>
      <c r="J27" s="275" t="s">
        <v>396</v>
      </c>
      <c r="L27" s="302" t="s">
        <v>139</v>
      </c>
      <c r="M27" s="306">
        <v>1085</v>
      </c>
    </row>
    <row r="28" spans="1:13" ht="20.100000000000001" customHeight="1" x14ac:dyDescent="0.2">
      <c r="A28" s="15" t="s">
        <v>193</v>
      </c>
      <c r="B28" s="321" t="s">
        <v>159</v>
      </c>
      <c r="C28" s="276" t="s">
        <v>363</v>
      </c>
      <c r="D28" s="75" t="s">
        <v>56</v>
      </c>
      <c r="E28" s="220"/>
      <c r="F28" s="297" t="s">
        <v>147</v>
      </c>
      <c r="G28" s="216" t="s">
        <v>29</v>
      </c>
      <c r="H28" s="75"/>
      <c r="I28" s="75"/>
      <c r="J28" s="275" t="s">
        <v>396</v>
      </c>
      <c r="L28" s="302" t="s">
        <v>140</v>
      </c>
      <c r="M28" s="306">
        <v>1123</v>
      </c>
    </row>
    <row r="29" spans="1:13" ht="20.100000000000001" customHeight="1" x14ac:dyDescent="0.2">
      <c r="A29" s="15" t="s">
        <v>194</v>
      </c>
      <c r="B29" s="296" t="s">
        <v>148</v>
      </c>
      <c r="C29" s="276" t="s">
        <v>363</v>
      </c>
      <c r="D29" s="75" t="s">
        <v>56</v>
      </c>
      <c r="E29" s="220"/>
      <c r="F29" s="297" t="s">
        <v>149</v>
      </c>
      <c r="G29" s="216" t="s">
        <v>29</v>
      </c>
      <c r="H29" s="75"/>
      <c r="I29" s="75"/>
      <c r="J29" s="275" t="s">
        <v>396</v>
      </c>
      <c r="L29" s="302" t="s">
        <v>141</v>
      </c>
      <c r="M29" s="306">
        <v>1124</v>
      </c>
    </row>
    <row r="30" spans="1:13" ht="20.100000000000001" customHeight="1" x14ac:dyDescent="0.2">
      <c r="A30" s="15" t="s">
        <v>195</v>
      </c>
      <c r="B30" s="296" t="s">
        <v>148</v>
      </c>
      <c r="C30" s="276" t="s">
        <v>363</v>
      </c>
      <c r="D30" s="75" t="s">
        <v>399</v>
      </c>
      <c r="E30" s="220"/>
      <c r="F30" s="297" t="s">
        <v>449</v>
      </c>
      <c r="G30" s="216" t="s">
        <v>29</v>
      </c>
      <c r="H30" s="75" t="s">
        <v>448</v>
      </c>
      <c r="I30" s="75"/>
      <c r="J30" s="275" t="s">
        <v>396</v>
      </c>
      <c r="L30" s="302" t="s">
        <v>142</v>
      </c>
      <c r="M30" s="306">
        <v>1134</v>
      </c>
    </row>
    <row r="31" spans="1:13" ht="20.100000000000001" customHeight="1" x14ac:dyDescent="0.2">
      <c r="A31" s="15" t="s">
        <v>201</v>
      </c>
      <c r="B31" s="296" t="s">
        <v>163</v>
      </c>
      <c r="C31" s="276" t="s">
        <v>363</v>
      </c>
      <c r="D31" s="75" t="s">
        <v>56</v>
      </c>
      <c r="E31" s="220"/>
      <c r="F31" s="297" t="s">
        <v>447</v>
      </c>
      <c r="G31" s="216" t="s">
        <v>29</v>
      </c>
      <c r="H31" s="75"/>
      <c r="I31" s="75"/>
      <c r="J31" s="275" t="s">
        <v>396</v>
      </c>
      <c r="L31" s="302" t="s">
        <v>143</v>
      </c>
      <c r="M31" s="306">
        <v>1135</v>
      </c>
    </row>
    <row r="32" spans="1:13" ht="20.100000000000001" customHeight="1" x14ac:dyDescent="0.2">
      <c r="A32" s="15" t="s">
        <v>202</v>
      </c>
      <c r="B32" s="296" t="s">
        <v>163</v>
      </c>
      <c r="C32" s="276" t="s">
        <v>363</v>
      </c>
      <c r="D32" s="75" t="s">
        <v>399</v>
      </c>
      <c r="E32" s="220"/>
      <c r="F32" s="297" t="s">
        <v>446</v>
      </c>
      <c r="G32" s="216" t="s">
        <v>29</v>
      </c>
      <c r="H32" s="75" t="s">
        <v>445</v>
      </c>
      <c r="I32" s="75"/>
      <c r="J32" s="275" t="s">
        <v>396</v>
      </c>
      <c r="L32" s="302" t="s">
        <v>144</v>
      </c>
      <c r="M32" s="306">
        <v>1155</v>
      </c>
    </row>
    <row r="33" spans="1:13" ht="20.100000000000001" customHeight="1" x14ac:dyDescent="0.2">
      <c r="A33" s="15" t="s">
        <v>203</v>
      </c>
      <c r="B33" s="296" t="s">
        <v>188</v>
      </c>
      <c r="C33" s="276" t="s">
        <v>363</v>
      </c>
      <c r="D33" s="75" t="s">
        <v>403</v>
      </c>
      <c r="E33" s="220"/>
      <c r="F33" s="297" t="s">
        <v>444</v>
      </c>
      <c r="G33" s="216" t="s">
        <v>29</v>
      </c>
      <c r="H33" s="75"/>
      <c r="I33" s="75"/>
      <c r="J33" s="275" t="s">
        <v>396</v>
      </c>
    </row>
    <row r="34" spans="1:13" ht="20.100000000000001" customHeight="1" x14ac:dyDescent="0.2">
      <c r="A34" s="15" t="s">
        <v>204</v>
      </c>
      <c r="B34" s="321" t="s">
        <v>164</v>
      </c>
      <c r="C34" s="75" t="s">
        <v>168</v>
      </c>
      <c r="D34" s="75" t="s">
        <v>399</v>
      </c>
      <c r="E34" s="220" t="str">
        <f>VLOOKUP(Table23[[#This Row],[Data]],Table3444365[],2,0)</f>
        <v>LN0100</v>
      </c>
      <c r="F34" s="323" t="s">
        <v>166</v>
      </c>
      <c r="G34" s="216" t="s">
        <v>29</v>
      </c>
      <c r="H34" s="75" t="s">
        <v>165</v>
      </c>
      <c r="I34" s="323" t="s">
        <v>167</v>
      </c>
      <c r="J34" s="294" t="s">
        <v>397</v>
      </c>
      <c r="L34" s="307" t="s">
        <v>148</v>
      </c>
      <c r="M34" s="7" t="s">
        <v>33</v>
      </c>
    </row>
    <row r="35" spans="1:13" ht="20.100000000000001" customHeight="1" x14ac:dyDescent="0.2">
      <c r="A35" s="15" t="s">
        <v>205</v>
      </c>
      <c r="B35" s="296" t="s">
        <v>172</v>
      </c>
      <c r="C35" s="75" t="s">
        <v>174</v>
      </c>
      <c r="D35" s="75" t="s">
        <v>401</v>
      </c>
      <c r="E35" s="220" t="str">
        <f>VLOOKUP(Table23[[#This Row],[Data]],Table3545386[],2,0)</f>
        <v>0</v>
      </c>
      <c r="F35" s="323" t="s">
        <v>173</v>
      </c>
      <c r="G35" s="216" t="s">
        <v>29</v>
      </c>
      <c r="H35" s="75"/>
      <c r="I35" s="75"/>
      <c r="J35" s="294" t="s">
        <v>397</v>
      </c>
      <c r="L35" s="302" t="s">
        <v>152</v>
      </c>
      <c r="M35" s="7" t="s">
        <v>155</v>
      </c>
    </row>
    <row r="36" spans="1:13" ht="20.100000000000001" customHeight="1" x14ac:dyDescent="0.2">
      <c r="A36" s="15" t="s">
        <v>206</v>
      </c>
      <c r="B36" s="296" t="s">
        <v>176</v>
      </c>
      <c r="C36" s="75" t="s">
        <v>178</v>
      </c>
      <c r="D36" s="75" t="s">
        <v>403</v>
      </c>
      <c r="E36" s="220"/>
      <c r="F36" s="323" t="s">
        <v>177</v>
      </c>
      <c r="G36" s="216" t="s">
        <v>30</v>
      </c>
      <c r="H36" s="323"/>
      <c r="I36" s="75"/>
      <c r="J36" s="294" t="s">
        <v>397</v>
      </c>
      <c r="L36" s="302" t="s">
        <v>153</v>
      </c>
      <c r="M36" s="7" t="s">
        <v>156</v>
      </c>
    </row>
    <row r="37" spans="1:13" ht="20.100000000000001" customHeight="1" x14ac:dyDescent="0.2">
      <c r="A37" s="15" t="s">
        <v>207</v>
      </c>
      <c r="B37" s="296" t="s">
        <v>189</v>
      </c>
      <c r="C37" s="276" t="s">
        <v>363</v>
      </c>
      <c r="D37" s="75" t="s">
        <v>403</v>
      </c>
      <c r="E37" s="220"/>
      <c r="F37" s="323" t="s">
        <v>443</v>
      </c>
      <c r="G37" s="216" t="s">
        <v>30</v>
      </c>
      <c r="H37" s="75"/>
      <c r="I37" s="75"/>
      <c r="J37" s="275" t="s">
        <v>396</v>
      </c>
      <c r="L37" s="302" t="s">
        <v>154</v>
      </c>
      <c r="M37" s="7" t="s">
        <v>157</v>
      </c>
    </row>
    <row r="38" spans="1:13" ht="20.100000000000001" customHeight="1" x14ac:dyDescent="0.2">
      <c r="A38" s="15" t="s">
        <v>208</v>
      </c>
      <c r="B38" s="296" t="s">
        <v>189</v>
      </c>
      <c r="C38" s="276" t="s">
        <v>363</v>
      </c>
      <c r="D38" s="75" t="s">
        <v>403</v>
      </c>
      <c r="E38" s="220"/>
      <c r="F38" s="323" t="s">
        <v>442</v>
      </c>
      <c r="G38" s="216" t="s">
        <v>30</v>
      </c>
      <c r="H38" s="75"/>
      <c r="I38" s="75"/>
      <c r="J38" s="275" t="s">
        <v>396</v>
      </c>
    </row>
    <row r="39" spans="1:13" ht="20.100000000000001" customHeight="1" x14ac:dyDescent="0.2">
      <c r="A39" s="15" t="s">
        <v>209</v>
      </c>
      <c r="B39" s="324" t="s">
        <v>215</v>
      </c>
      <c r="C39" s="73"/>
      <c r="D39" s="73"/>
      <c r="E39" s="219"/>
      <c r="F39" s="322"/>
      <c r="G39" s="243"/>
      <c r="H39" s="73"/>
      <c r="I39" s="73"/>
      <c r="J39" s="275" t="s">
        <v>396</v>
      </c>
      <c r="L39" s="292" t="s">
        <v>164</v>
      </c>
      <c r="M39" s="208" t="s">
        <v>33</v>
      </c>
    </row>
    <row r="40" spans="1:13" ht="20.100000000000001" customHeight="1" x14ac:dyDescent="0.2">
      <c r="A40" s="15" t="s">
        <v>210</v>
      </c>
      <c r="B40" s="321" t="s">
        <v>190</v>
      </c>
      <c r="C40" s="75" t="s">
        <v>234</v>
      </c>
      <c r="D40" s="75" t="s">
        <v>399</v>
      </c>
      <c r="E40" s="220" t="str">
        <f>VLOOKUP(Table23[[#This Row],[Data]],Table2397[],2,0)</f>
        <v>1</v>
      </c>
      <c r="F40" s="323" t="s">
        <v>233</v>
      </c>
      <c r="G40" s="216" t="s">
        <v>29</v>
      </c>
      <c r="H40" s="75" t="s">
        <v>231</v>
      </c>
      <c r="I40" s="323" t="s">
        <v>232</v>
      </c>
      <c r="J40" s="294" t="s">
        <v>397</v>
      </c>
      <c r="L40" s="255" t="s">
        <v>168</v>
      </c>
      <c r="M40" s="260" t="s">
        <v>170</v>
      </c>
    </row>
    <row r="41" spans="1:13" ht="20.100000000000001" customHeight="1" x14ac:dyDescent="0.2">
      <c r="A41" s="15" t="s">
        <v>211</v>
      </c>
      <c r="B41" s="321" t="s">
        <v>191</v>
      </c>
      <c r="C41" s="75" t="s">
        <v>18</v>
      </c>
      <c r="D41" s="75" t="s">
        <v>403</v>
      </c>
      <c r="E41" s="220"/>
      <c r="F41" s="297" t="s">
        <v>237</v>
      </c>
      <c r="G41" s="216" t="s">
        <v>29</v>
      </c>
      <c r="H41" s="75"/>
      <c r="I41" s="75"/>
      <c r="J41" s="294" t="s">
        <v>397</v>
      </c>
      <c r="L41" s="255" t="s">
        <v>169</v>
      </c>
      <c r="M41" s="260" t="s">
        <v>171</v>
      </c>
    </row>
    <row r="42" spans="1:13" ht="20.100000000000001" customHeight="1" x14ac:dyDescent="0.2">
      <c r="A42" s="15" t="s">
        <v>272</v>
      </c>
      <c r="B42" s="321" t="s">
        <v>191</v>
      </c>
      <c r="C42" s="75" t="s">
        <v>153</v>
      </c>
      <c r="D42" s="75" t="s">
        <v>399</v>
      </c>
      <c r="E42" s="220" t="str">
        <f>VLOOKUP(Table23[[#This Row],[Data]],Table34012[],2,0)</f>
        <v>M</v>
      </c>
      <c r="F42" s="297" t="s">
        <v>244</v>
      </c>
      <c r="G42" s="216" t="s">
        <v>29</v>
      </c>
      <c r="H42" s="75" t="s">
        <v>238</v>
      </c>
      <c r="I42" s="297" t="s">
        <v>239</v>
      </c>
      <c r="J42" s="294" t="s">
        <v>397</v>
      </c>
      <c r="L42" s="255" t="s">
        <v>218</v>
      </c>
      <c r="M42" s="260" t="s">
        <v>219</v>
      </c>
    </row>
    <row r="43" spans="1:13" ht="20.100000000000001" customHeight="1" x14ac:dyDescent="0.2">
      <c r="A43" s="15" t="s">
        <v>273</v>
      </c>
      <c r="B43" s="321" t="s">
        <v>192</v>
      </c>
      <c r="C43" s="75" t="s">
        <v>249</v>
      </c>
      <c r="D43" s="75" t="s">
        <v>399</v>
      </c>
      <c r="E43" s="220" t="str">
        <f>VLOOKUP(Table23[[#This Row],[Data]],Table44120[],2,0)</f>
        <v>N</v>
      </c>
      <c r="F43" s="297" t="s">
        <v>246</v>
      </c>
      <c r="G43" s="216" t="s">
        <v>30</v>
      </c>
      <c r="H43" s="75" t="s">
        <v>262</v>
      </c>
      <c r="I43" s="75" t="s">
        <v>361</v>
      </c>
      <c r="J43" s="294" t="s">
        <v>397</v>
      </c>
      <c r="L43" s="255" t="s">
        <v>834</v>
      </c>
      <c r="M43" s="260" t="s">
        <v>851</v>
      </c>
    </row>
    <row r="44" spans="1:13" ht="20.100000000000001" customHeight="1" x14ac:dyDescent="0.2">
      <c r="A44" s="15" t="s">
        <v>274</v>
      </c>
      <c r="B44" s="321" t="s">
        <v>196</v>
      </c>
      <c r="C44" s="75" t="s">
        <v>254</v>
      </c>
      <c r="D44" s="75" t="s">
        <v>399</v>
      </c>
      <c r="E44" s="220" t="str">
        <f>VLOOKUP(Table23[[#This Row],[Data]],Table54221[],2,0)</f>
        <v>E</v>
      </c>
      <c r="F44" s="297" t="s">
        <v>261</v>
      </c>
      <c r="G44" s="216" t="s">
        <v>30</v>
      </c>
      <c r="H44" s="75" t="s">
        <v>263</v>
      </c>
      <c r="I44" s="75" t="s">
        <v>361</v>
      </c>
      <c r="J44" s="294" t="s">
        <v>397</v>
      </c>
      <c r="L44" s="255" t="s">
        <v>835</v>
      </c>
      <c r="M44" s="260" t="s">
        <v>852</v>
      </c>
    </row>
    <row r="45" spans="1:13" ht="20.100000000000001" customHeight="1" x14ac:dyDescent="0.2">
      <c r="A45" s="15" t="s">
        <v>275</v>
      </c>
      <c r="B45" s="296" t="s">
        <v>197</v>
      </c>
      <c r="C45" s="276" t="s">
        <v>363</v>
      </c>
      <c r="D45" s="75" t="s">
        <v>403</v>
      </c>
      <c r="E45" s="220"/>
      <c r="F45" s="297" t="s">
        <v>441</v>
      </c>
      <c r="G45" s="216" t="s">
        <v>29</v>
      </c>
      <c r="H45" s="75"/>
      <c r="I45" s="75"/>
      <c r="J45" s="275" t="s">
        <v>396</v>
      </c>
      <c r="L45" s="255" t="s">
        <v>836</v>
      </c>
      <c r="M45" s="260" t="s">
        <v>853</v>
      </c>
    </row>
    <row r="46" spans="1:13" ht="20.100000000000001" customHeight="1" x14ac:dyDescent="0.2">
      <c r="A46" s="15" t="s">
        <v>314</v>
      </c>
      <c r="B46" s="296" t="s">
        <v>198</v>
      </c>
      <c r="C46" s="276" t="s">
        <v>363</v>
      </c>
      <c r="D46" s="75" t="s">
        <v>403</v>
      </c>
      <c r="E46" s="220"/>
      <c r="F46" s="297" t="s">
        <v>440</v>
      </c>
      <c r="G46" s="216" t="s">
        <v>29</v>
      </c>
      <c r="H46" s="75"/>
      <c r="I46" s="75"/>
      <c r="J46" s="275" t="s">
        <v>396</v>
      </c>
      <c r="L46" s="255" t="s">
        <v>837</v>
      </c>
      <c r="M46" s="260" t="s">
        <v>854</v>
      </c>
    </row>
    <row r="47" spans="1:13" ht="20.100000000000001" customHeight="1" x14ac:dyDescent="0.2">
      <c r="A47" s="15" t="s">
        <v>315</v>
      </c>
      <c r="B47" s="296" t="s">
        <v>199</v>
      </c>
      <c r="C47" s="276" t="s">
        <v>363</v>
      </c>
      <c r="D47" s="75" t="s">
        <v>400</v>
      </c>
      <c r="E47" s="220"/>
      <c r="F47" s="297" t="s">
        <v>439</v>
      </c>
      <c r="G47" s="216" t="s">
        <v>29</v>
      </c>
      <c r="H47" s="75"/>
      <c r="I47" s="75"/>
      <c r="J47" s="275" t="s">
        <v>396</v>
      </c>
      <c r="L47" s="255" t="s">
        <v>838</v>
      </c>
      <c r="M47" s="260" t="s">
        <v>855</v>
      </c>
    </row>
    <row r="48" spans="1:13" ht="20.100000000000001" customHeight="1" x14ac:dyDescent="0.2">
      <c r="A48" s="15" t="s">
        <v>316</v>
      </c>
      <c r="B48" s="296" t="s">
        <v>200</v>
      </c>
      <c r="C48" s="276" t="s">
        <v>363</v>
      </c>
      <c r="D48" s="75" t="s">
        <v>400</v>
      </c>
      <c r="E48" s="220"/>
      <c r="F48" s="297" t="s">
        <v>438</v>
      </c>
      <c r="G48" s="216" t="s">
        <v>30</v>
      </c>
      <c r="H48" s="75"/>
      <c r="I48" s="75"/>
      <c r="J48" s="275" t="s">
        <v>396</v>
      </c>
      <c r="L48" s="255" t="s">
        <v>839</v>
      </c>
      <c r="M48" s="260" t="s">
        <v>856</v>
      </c>
    </row>
    <row r="49" spans="1:13" ht="20.100000000000001" customHeight="1" x14ac:dyDescent="0.2">
      <c r="A49" s="15" t="s">
        <v>318</v>
      </c>
      <c r="B49" s="295" t="s">
        <v>213</v>
      </c>
      <c r="C49" s="73"/>
      <c r="D49" s="73"/>
      <c r="E49" s="219"/>
      <c r="F49" s="322"/>
      <c r="G49" s="243"/>
      <c r="H49" s="73"/>
      <c r="I49" s="73"/>
      <c r="J49" s="275" t="s">
        <v>396</v>
      </c>
      <c r="L49" s="255" t="s">
        <v>840</v>
      </c>
      <c r="M49" s="260" t="s">
        <v>857</v>
      </c>
    </row>
    <row r="50" spans="1:13" ht="20.100000000000001" customHeight="1" x14ac:dyDescent="0.2">
      <c r="A50" s="15" t="s">
        <v>319</v>
      </c>
      <c r="B50" s="296" t="s">
        <v>212</v>
      </c>
      <c r="C50" s="75" t="s">
        <v>806</v>
      </c>
      <c r="D50" s="75" t="s">
        <v>403</v>
      </c>
      <c r="E50" s="220"/>
      <c r="F50" s="297" t="s">
        <v>437</v>
      </c>
      <c r="G50" s="216" t="s">
        <v>30</v>
      </c>
      <c r="H50" s="75"/>
      <c r="I50" s="75"/>
      <c r="J50" s="294" t="s">
        <v>397</v>
      </c>
      <c r="L50" s="255" t="s">
        <v>841</v>
      </c>
      <c r="M50" s="260" t="s">
        <v>858</v>
      </c>
    </row>
    <row r="51" spans="1:13" ht="20.100000000000001" customHeight="1" x14ac:dyDescent="0.2">
      <c r="A51" s="15" t="s">
        <v>320</v>
      </c>
      <c r="B51" s="296" t="s">
        <v>213</v>
      </c>
      <c r="C51" s="75" t="s">
        <v>788</v>
      </c>
      <c r="D51" s="75" t="s">
        <v>403</v>
      </c>
      <c r="E51" s="220"/>
      <c r="F51" s="297" t="s">
        <v>436</v>
      </c>
      <c r="G51" s="216" t="s">
        <v>29</v>
      </c>
      <c r="H51" s="75"/>
      <c r="I51" s="75"/>
      <c r="J51" s="294" t="s">
        <v>397</v>
      </c>
      <c r="L51" s="255" t="s">
        <v>842</v>
      </c>
      <c r="M51" s="260" t="s">
        <v>859</v>
      </c>
    </row>
    <row r="52" spans="1:13" ht="20.100000000000001" customHeight="1" x14ac:dyDescent="0.2">
      <c r="A52" s="15" t="s">
        <v>321</v>
      </c>
      <c r="B52" s="295" t="s">
        <v>216</v>
      </c>
      <c r="C52" s="73"/>
      <c r="D52" s="73"/>
      <c r="E52" s="219"/>
      <c r="F52" s="322"/>
      <c r="G52" s="243"/>
      <c r="H52" s="73"/>
      <c r="I52" s="73"/>
      <c r="J52" s="275" t="s">
        <v>396</v>
      </c>
      <c r="L52" s="255" t="s">
        <v>843</v>
      </c>
      <c r="M52" s="260" t="s">
        <v>860</v>
      </c>
    </row>
    <row r="53" spans="1:13" ht="20.100000000000001" customHeight="1" x14ac:dyDescent="0.2">
      <c r="A53" s="15" t="s">
        <v>322</v>
      </c>
      <c r="B53" s="325" t="s">
        <v>221</v>
      </c>
      <c r="C53" s="280" t="s">
        <v>264</v>
      </c>
      <c r="D53" s="280" t="s">
        <v>57</v>
      </c>
      <c r="E53" s="329" t="str">
        <f>VLOOKUP(Table23[[#This Row],[Data]],Table1[],2,0)</f>
        <v>1</v>
      </c>
      <c r="F53" s="325"/>
      <c r="G53" s="280"/>
      <c r="H53" s="280"/>
      <c r="I53" s="280"/>
      <c r="J53" s="275" t="s">
        <v>396</v>
      </c>
      <c r="L53" s="255" t="s">
        <v>844</v>
      </c>
      <c r="M53" s="260" t="s">
        <v>861</v>
      </c>
    </row>
    <row r="54" spans="1:13" ht="20.100000000000001" customHeight="1" x14ac:dyDescent="0.2">
      <c r="A54" s="15" t="s">
        <v>365</v>
      </c>
      <c r="B54" s="321" t="s">
        <v>222</v>
      </c>
      <c r="C54" s="220" t="str">
        <f>VLOOKUP(C53,Table1[],3,0)</f>
        <v>A02 : การป่าไม้และการทำไม้</v>
      </c>
      <c r="D54" s="75" t="s">
        <v>399</v>
      </c>
      <c r="E54" s="220" t="str">
        <f>VLOOKUP(C53,Table1[],6,0)</f>
        <v>3</v>
      </c>
      <c r="F54" s="326" t="str">
        <f>VLOOKUP(C53,Table1[],5,0)</f>
        <v>isic1Id</v>
      </c>
      <c r="G54" s="217" t="str">
        <f>VLOOKUP(C53,Table1[],4,0)</f>
        <v>id</v>
      </c>
      <c r="H54" s="220" t="s">
        <v>330</v>
      </c>
      <c r="I54" s="220" t="str">
        <f>VLOOKUP(C53,Table1[],8,0)</f>
        <v xml:space="preserve">populateIsic2(this.value,'' ,'isic2Id','isic3Id'); </v>
      </c>
      <c r="J54" s="294" t="s">
        <v>397</v>
      </c>
      <c r="L54" s="255" t="s">
        <v>845</v>
      </c>
      <c r="M54" s="260" t="s">
        <v>862</v>
      </c>
    </row>
    <row r="55" spans="1:13" ht="20.100000000000001" customHeight="1" x14ac:dyDescent="0.2">
      <c r="A55" s="15" t="s">
        <v>366</v>
      </c>
      <c r="B55" s="321" t="s">
        <v>394</v>
      </c>
      <c r="C55" s="220" t="str">
        <f>VLOOKUP(C53,Table1[],9,0)</f>
        <v>2 : การทำไม้</v>
      </c>
      <c r="D55" s="75" t="s">
        <v>399</v>
      </c>
      <c r="E55" s="220" t="str">
        <f>VLOOKUP(C53,Table1[],12,0)</f>
        <v>199</v>
      </c>
      <c r="F55" s="326" t="str">
        <f>VLOOKUP(C53,Table1[],11,0)</f>
        <v>isic2Id</v>
      </c>
      <c r="G55" s="217" t="str">
        <f>VLOOKUP(C53,Table1[],10,0)</f>
        <v>id</v>
      </c>
      <c r="H55" s="220" t="s">
        <v>346</v>
      </c>
      <c r="I55" s="220" t="str">
        <f>VLOOKUP(C53,Table1[],14,0)</f>
        <v xml:space="preserve">populateIsic3(this.value,'' ,'isic3Id'); </v>
      </c>
      <c r="J55" s="294" t="s">
        <v>397</v>
      </c>
      <c r="L55" s="255" t="s">
        <v>846</v>
      </c>
      <c r="M55" s="260" t="s">
        <v>863</v>
      </c>
    </row>
    <row r="56" spans="1:13" ht="20.100000000000001" customHeight="1" x14ac:dyDescent="0.2">
      <c r="A56" s="15" t="s">
        <v>367</v>
      </c>
      <c r="B56" s="321" t="s">
        <v>395</v>
      </c>
      <c r="C56" s="220" t="str">
        <f>VLOOKUP(C53,Table1[],15,0)</f>
        <v>000 : การทำไม้</v>
      </c>
      <c r="D56" s="75" t="s">
        <v>399</v>
      </c>
      <c r="E56" s="220" t="str">
        <f>VLOOKUP(C53,Table1[],18,0)</f>
        <v>1407</v>
      </c>
      <c r="F56" s="326" t="str">
        <f>VLOOKUP(C53,Table1[],17,0)</f>
        <v>isic3Id</v>
      </c>
      <c r="G56" s="217" t="str">
        <f>VLOOKUP(C53,Table1[],16,0)</f>
        <v>id</v>
      </c>
      <c r="H56" s="220" t="s">
        <v>356</v>
      </c>
      <c r="I56" s="220" t="str">
        <f>VLOOKUP(C53,Table1[],20,0)</f>
        <v>null</v>
      </c>
      <c r="J56" s="294" t="s">
        <v>397</v>
      </c>
      <c r="L56" s="255" t="s">
        <v>847</v>
      </c>
      <c r="M56" s="260" t="s">
        <v>864</v>
      </c>
    </row>
    <row r="57" spans="1:13" ht="20.100000000000001" customHeight="1" x14ac:dyDescent="0.2">
      <c r="A57" s="15" t="s">
        <v>368</v>
      </c>
      <c r="B57" s="295" t="s">
        <v>270</v>
      </c>
      <c r="C57" s="73"/>
      <c r="D57" s="73"/>
      <c r="E57" s="219"/>
      <c r="F57" s="322"/>
      <c r="G57" s="243"/>
      <c r="H57" s="73"/>
      <c r="I57" s="73"/>
      <c r="J57" s="275" t="s">
        <v>396</v>
      </c>
      <c r="L57" s="255" t="s">
        <v>848</v>
      </c>
      <c r="M57" s="260" t="s">
        <v>865</v>
      </c>
    </row>
    <row r="58" spans="1:13" ht="20.100000000000001" customHeight="1" x14ac:dyDescent="0.2">
      <c r="A58" s="15" t="s">
        <v>783</v>
      </c>
      <c r="B58" s="321" t="s">
        <v>271</v>
      </c>
      <c r="C58" s="75" t="s">
        <v>288</v>
      </c>
      <c r="D58" s="75" t="s">
        <v>399</v>
      </c>
      <c r="E58" s="220" t="str">
        <f>VLOOKUP(Table23[[#This Row],[Data]],Table64337[],2,0)</f>
        <v>9</v>
      </c>
      <c r="F58" s="297" t="s">
        <v>280</v>
      </c>
      <c r="G58" s="216" t="s">
        <v>29</v>
      </c>
      <c r="H58" s="75" t="s">
        <v>278</v>
      </c>
      <c r="I58" s="297" t="s">
        <v>279</v>
      </c>
      <c r="J58" s="294" t="s">
        <v>397</v>
      </c>
      <c r="L58" s="255" t="s">
        <v>849</v>
      </c>
      <c r="M58" s="260" t="s">
        <v>866</v>
      </c>
    </row>
    <row r="59" spans="1:13" ht="20.100000000000001" customHeight="1" x14ac:dyDescent="0.2">
      <c r="A59" s="15" t="s">
        <v>784</v>
      </c>
      <c r="B59" s="296" t="s">
        <v>276</v>
      </c>
      <c r="C59" s="276" t="s">
        <v>363</v>
      </c>
      <c r="D59" s="75" t="s">
        <v>399</v>
      </c>
      <c r="E59" s="220"/>
      <c r="F59" s="297" t="s">
        <v>435</v>
      </c>
      <c r="G59" s="216" t="s">
        <v>29</v>
      </c>
      <c r="H59" s="75" t="s">
        <v>434</v>
      </c>
      <c r="I59" s="75"/>
      <c r="J59" s="275" t="s">
        <v>396</v>
      </c>
      <c r="L59" s="255" t="s">
        <v>850</v>
      </c>
      <c r="M59" s="260" t="s">
        <v>867</v>
      </c>
    </row>
    <row r="60" spans="1:13" ht="20.100000000000001" customHeight="1" x14ac:dyDescent="0.2">
      <c r="A60" s="15" t="s">
        <v>785</v>
      </c>
      <c r="B60" s="296" t="s">
        <v>277</v>
      </c>
      <c r="C60" s="276" t="s">
        <v>363</v>
      </c>
      <c r="D60" s="75" t="s">
        <v>399</v>
      </c>
      <c r="E60" s="220"/>
      <c r="F60" s="297" t="s">
        <v>433</v>
      </c>
      <c r="G60" s="216" t="s">
        <v>29</v>
      </c>
      <c r="H60" s="75" t="s">
        <v>432</v>
      </c>
      <c r="I60" s="75"/>
      <c r="J60" s="275" t="s">
        <v>396</v>
      </c>
      <c r="L60" s="208"/>
      <c r="M60" s="208"/>
    </row>
    <row r="61" spans="1:13" ht="20.100000000000001" customHeight="1" x14ac:dyDescent="0.2">
      <c r="A61" s="15" t="s">
        <v>786</v>
      </c>
      <c r="B61" s="295" t="s">
        <v>223</v>
      </c>
      <c r="C61" s="327"/>
      <c r="D61" s="73"/>
      <c r="E61" s="219"/>
      <c r="F61" s="322"/>
      <c r="G61" s="243"/>
      <c r="H61" s="73"/>
      <c r="I61" s="73"/>
      <c r="J61" s="275" t="s">
        <v>396</v>
      </c>
      <c r="L61" s="259" t="s">
        <v>172</v>
      </c>
      <c r="M61" s="208" t="s">
        <v>33</v>
      </c>
    </row>
    <row r="62" spans="1:13" ht="20.100000000000001" customHeight="1" x14ac:dyDescent="0.2">
      <c r="A62" s="15" t="s">
        <v>787</v>
      </c>
      <c r="B62" s="296" t="s">
        <v>224</v>
      </c>
      <c r="C62" s="75" t="s">
        <v>789</v>
      </c>
      <c r="D62" s="75" t="s">
        <v>399</v>
      </c>
      <c r="E62" s="75" t="s">
        <v>71</v>
      </c>
      <c r="F62" s="297" t="s">
        <v>431</v>
      </c>
      <c r="G62" s="216" t="s">
        <v>30</v>
      </c>
      <c r="H62" s="75" t="s">
        <v>430</v>
      </c>
      <c r="I62" s="75"/>
      <c r="J62" s="294" t="s">
        <v>397</v>
      </c>
      <c r="L62" s="208" t="s">
        <v>174</v>
      </c>
      <c r="M62" s="208" t="s">
        <v>10</v>
      </c>
    </row>
    <row r="63" spans="1:13" ht="20.100000000000001" customHeight="1" x14ac:dyDescent="0.2">
      <c r="A63" s="15" t="s">
        <v>790</v>
      </c>
      <c r="B63" s="321" t="s">
        <v>225</v>
      </c>
      <c r="C63" s="75" t="s">
        <v>290</v>
      </c>
      <c r="D63" s="75" t="s">
        <v>399</v>
      </c>
      <c r="E63" s="220" t="str">
        <f>VLOOKUP(Table23[[#This Row],[Data]],Table114644[],2,0)</f>
        <v>0</v>
      </c>
      <c r="F63" s="297" t="s">
        <v>293</v>
      </c>
      <c r="G63" s="216" t="s">
        <v>30</v>
      </c>
      <c r="H63" s="75" t="s">
        <v>292</v>
      </c>
      <c r="I63" s="75" t="s">
        <v>361</v>
      </c>
      <c r="J63" s="294" t="s">
        <v>397</v>
      </c>
      <c r="L63" s="208" t="s">
        <v>175</v>
      </c>
      <c r="M63" s="208" t="s">
        <v>18</v>
      </c>
    </row>
    <row r="64" spans="1:13" ht="20.100000000000001" customHeight="1" x14ac:dyDescent="0.2">
      <c r="A64" s="15" t="s">
        <v>791</v>
      </c>
      <c r="B64" s="331" t="s">
        <v>226</v>
      </c>
      <c r="C64" s="332" t="s">
        <v>808</v>
      </c>
      <c r="D64" s="332" t="s">
        <v>403</v>
      </c>
      <c r="E64" s="333"/>
      <c r="F64" s="334"/>
      <c r="G64" s="335"/>
      <c r="H64" s="332"/>
      <c r="I64" s="332"/>
      <c r="J64" s="275" t="s">
        <v>396</v>
      </c>
      <c r="L64" s="255"/>
      <c r="M64" s="260"/>
    </row>
    <row r="65" spans="1:13" ht="20.100000000000001" customHeight="1" x14ac:dyDescent="0.2">
      <c r="A65" s="15" t="s">
        <v>792</v>
      </c>
      <c r="B65" s="308" t="s">
        <v>731</v>
      </c>
      <c r="C65" s="75" t="s">
        <v>812</v>
      </c>
      <c r="D65" s="75" t="s">
        <v>402</v>
      </c>
      <c r="E65" s="75"/>
      <c r="F65" s="247" t="s">
        <v>807</v>
      </c>
      <c r="G65" s="216" t="s">
        <v>60</v>
      </c>
      <c r="H65" s="75"/>
      <c r="I65" s="75"/>
      <c r="J65" s="294" t="s">
        <v>397</v>
      </c>
      <c r="L65" s="291" t="s">
        <v>190</v>
      </c>
      <c r="M65" s="260" t="s">
        <v>33</v>
      </c>
    </row>
    <row r="66" spans="1:13" ht="20.100000000000001" customHeight="1" x14ac:dyDescent="0.2">
      <c r="A66" s="15" t="s">
        <v>793</v>
      </c>
      <c r="B66" s="308" t="s">
        <v>733</v>
      </c>
      <c r="C66" s="75" t="s">
        <v>813</v>
      </c>
      <c r="D66" s="75" t="s">
        <v>722</v>
      </c>
      <c r="E66" s="75" t="s">
        <v>35</v>
      </c>
      <c r="F66" s="1" t="s">
        <v>637</v>
      </c>
      <c r="G66" s="216" t="s">
        <v>30</v>
      </c>
      <c r="H66" s="75"/>
      <c r="I66" s="75"/>
      <c r="J66" s="294" t="s">
        <v>397</v>
      </c>
      <c r="L66" s="255" t="s">
        <v>234</v>
      </c>
      <c r="M66" s="260" t="s">
        <v>18</v>
      </c>
    </row>
    <row r="67" spans="1:13" ht="20.100000000000001" customHeight="1" x14ac:dyDescent="0.2">
      <c r="A67" s="15" t="s">
        <v>794</v>
      </c>
      <c r="B67" s="308" t="s">
        <v>814</v>
      </c>
      <c r="C67" s="75" t="s">
        <v>815</v>
      </c>
      <c r="D67" s="75" t="s">
        <v>401</v>
      </c>
      <c r="E67" s="75" t="s">
        <v>18</v>
      </c>
      <c r="F67" s="1" t="s">
        <v>637</v>
      </c>
      <c r="G67" s="216" t="s">
        <v>30</v>
      </c>
      <c r="H67" s="75"/>
      <c r="I67" s="75"/>
      <c r="J67" s="294" t="s">
        <v>397</v>
      </c>
      <c r="L67" s="255" t="s">
        <v>235</v>
      </c>
      <c r="M67" s="260" t="s">
        <v>35</v>
      </c>
    </row>
    <row r="68" spans="1:13" ht="20.100000000000001" customHeight="1" x14ac:dyDescent="0.2">
      <c r="A68" s="15" t="s">
        <v>795</v>
      </c>
      <c r="B68" s="308" t="s">
        <v>816</v>
      </c>
      <c r="C68" s="75" t="str">
        <f>C64</f>
        <v>สาขาบางรัก</v>
      </c>
      <c r="D68" s="75" t="s">
        <v>403</v>
      </c>
      <c r="E68" s="75"/>
      <c r="F68" s="1" t="s">
        <v>809</v>
      </c>
      <c r="G68" s="216" t="s">
        <v>29</v>
      </c>
      <c r="H68" s="75"/>
      <c r="I68" s="75"/>
      <c r="J68" s="294" t="s">
        <v>397</v>
      </c>
      <c r="L68" s="255" t="s">
        <v>236</v>
      </c>
      <c r="M68" s="260" t="s">
        <v>100</v>
      </c>
    </row>
    <row r="69" spans="1:13" ht="20.100000000000001" customHeight="1" x14ac:dyDescent="0.2">
      <c r="A69" s="15" t="s">
        <v>370</v>
      </c>
      <c r="B69" s="308" t="s">
        <v>731</v>
      </c>
      <c r="C69" s="75" t="s">
        <v>811</v>
      </c>
      <c r="D69" s="75" t="s">
        <v>402</v>
      </c>
      <c r="E69" s="75"/>
      <c r="F69" s="1" t="s">
        <v>728</v>
      </c>
      <c r="G69" s="216" t="s">
        <v>30</v>
      </c>
      <c r="H69" s="75"/>
      <c r="I69" s="75"/>
      <c r="J69" s="294" t="s">
        <v>397</v>
      </c>
      <c r="L69" s="255"/>
      <c r="M69" s="260"/>
    </row>
    <row r="70" spans="1:13" ht="20.100000000000001" customHeight="1" x14ac:dyDescent="0.2">
      <c r="A70" s="15" t="s">
        <v>796</v>
      </c>
      <c r="B70" s="308" t="s">
        <v>731</v>
      </c>
      <c r="C70" s="75" t="str">
        <f>C64</f>
        <v>สาขาบางรัก</v>
      </c>
      <c r="D70" s="75" t="s">
        <v>402</v>
      </c>
      <c r="E70" s="75"/>
      <c r="F70" s="231" t="s">
        <v>810</v>
      </c>
      <c r="G70" s="216" t="s">
        <v>60</v>
      </c>
      <c r="H70" s="75"/>
      <c r="I70" s="75"/>
      <c r="J70" s="294" t="s">
        <v>397</v>
      </c>
      <c r="L70" s="291" t="s">
        <v>191</v>
      </c>
      <c r="M70" s="260" t="s">
        <v>33</v>
      </c>
    </row>
    <row r="71" spans="1:13" ht="20.100000000000001" customHeight="1" x14ac:dyDescent="0.2">
      <c r="A71" s="15" t="s">
        <v>383</v>
      </c>
      <c r="B71" s="308" t="s">
        <v>733</v>
      </c>
      <c r="C71" s="75" t="s">
        <v>734</v>
      </c>
      <c r="D71" s="75" t="s">
        <v>722</v>
      </c>
      <c r="E71" s="75" t="s">
        <v>18</v>
      </c>
      <c r="F71" s="247" t="s">
        <v>807</v>
      </c>
      <c r="G71" s="216" t="s">
        <v>60</v>
      </c>
      <c r="H71" s="75"/>
      <c r="I71" s="75"/>
      <c r="J71" s="294" t="s">
        <v>397</v>
      </c>
      <c r="L71" s="255" t="s">
        <v>152</v>
      </c>
      <c r="M71" s="260" t="s">
        <v>155</v>
      </c>
    </row>
    <row r="72" spans="1:13" ht="20.100000000000001" customHeight="1" x14ac:dyDescent="0.2">
      <c r="A72" s="15" t="s">
        <v>797</v>
      </c>
      <c r="B72" s="331" t="s">
        <v>227</v>
      </c>
      <c r="C72" s="332" t="s">
        <v>808</v>
      </c>
      <c r="D72" s="332" t="s">
        <v>403</v>
      </c>
      <c r="E72" s="333"/>
      <c r="F72" s="334"/>
      <c r="G72" s="335"/>
      <c r="H72" s="332"/>
      <c r="I72" s="332"/>
      <c r="J72" s="275" t="s">
        <v>396</v>
      </c>
      <c r="L72" s="255" t="s">
        <v>153</v>
      </c>
      <c r="M72" s="260" t="s">
        <v>156</v>
      </c>
    </row>
    <row r="73" spans="1:13" ht="20.100000000000001" customHeight="1" x14ac:dyDescent="0.2">
      <c r="A73" s="15" t="s">
        <v>798</v>
      </c>
      <c r="B73" s="308" t="s">
        <v>731</v>
      </c>
      <c r="C73" s="75" t="s">
        <v>812</v>
      </c>
      <c r="D73" s="75" t="s">
        <v>402</v>
      </c>
      <c r="E73" s="75"/>
      <c r="F73" s="247" t="s">
        <v>823</v>
      </c>
      <c r="G73" s="216" t="s">
        <v>60</v>
      </c>
      <c r="H73" s="75"/>
      <c r="I73" s="75"/>
      <c r="J73" s="294" t="s">
        <v>397</v>
      </c>
      <c r="L73" s="255" t="s">
        <v>240</v>
      </c>
      <c r="M73" s="260" t="s">
        <v>242</v>
      </c>
    </row>
    <row r="74" spans="1:13" ht="20.100000000000001" customHeight="1" x14ac:dyDescent="0.2">
      <c r="A74" s="15" t="s">
        <v>799</v>
      </c>
      <c r="B74" s="308" t="s">
        <v>733</v>
      </c>
      <c r="C74" s="75" t="s">
        <v>813</v>
      </c>
      <c r="D74" s="75" t="s">
        <v>722</v>
      </c>
      <c r="E74" s="75" t="s">
        <v>35</v>
      </c>
      <c r="F74" s="1" t="s">
        <v>637</v>
      </c>
      <c r="G74" s="216" t="s">
        <v>30</v>
      </c>
      <c r="H74" s="75"/>
      <c r="I74" s="75"/>
      <c r="J74" s="294" t="s">
        <v>397</v>
      </c>
      <c r="L74" s="255" t="s">
        <v>241</v>
      </c>
      <c r="M74" s="208" t="s">
        <v>243</v>
      </c>
    </row>
    <row r="75" spans="1:13" ht="20.100000000000001" customHeight="1" x14ac:dyDescent="0.2">
      <c r="A75" s="15" t="s">
        <v>800</v>
      </c>
      <c r="B75" s="308" t="s">
        <v>814</v>
      </c>
      <c r="C75" s="75" t="s">
        <v>824</v>
      </c>
      <c r="D75" s="75" t="s">
        <v>401</v>
      </c>
      <c r="E75" s="75" t="s">
        <v>18</v>
      </c>
      <c r="F75" s="1" t="s">
        <v>637</v>
      </c>
      <c r="G75" s="216" t="s">
        <v>30</v>
      </c>
      <c r="H75" s="75"/>
      <c r="I75" s="75"/>
      <c r="J75" s="294" t="s">
        <v>397</v>
      </c>
      <c r="L75" s="255" t="s">
        <v>154</v>
      </c>
      <c r="M75" s="208" t="s">
        <v>157</v>
      </c>
    </row>
    <row r="76" spans="1:13" ht="20.100000000000001" customHeight="1" x14ac:dyDescent="0.2">
      <c r="A76" s="15" t="s">
        <v>801</v>
      </c>
      <c r="B76" s="308" t="s">
        <v>816</v>
      </c>
      <c r="C76" s="75" t="str">
        <f>C72</f>
        <v>สาขาบางรัก</v>
      </c>
      <c r="D76" s="75" t="s">
        <v>403</v>
      </c>
      <c r="E76" s="75"/>
      <c r="F76" s="1" t="s">
        <v>825</v>
      </c>
      <c r="G76" s="216" t="s">
        <v>30</v>
      </c>
      <c r="H76" s="75"/>
      <c r="I76" s="75"/>
      <c r="J76" s="294" t="s">
        <v>397</v>
      </c>
      <c r="L76" s="208"/>
      <c r="M76" s="208"/>
    </row>
    <row r="77" spans="1:13" ht="20.100000000000001" customHeight="1" x14ac:dyDescent="0.2">
      <c r="A77" s="15" t="s">
        <v>802</v>
      </c>
      <c r="B77" s="308" t="s">
        <v>731</v>
      </c>
      <c r="C77" s="75" t="s">
        <v>811</v>
      </c>
      <c r="D77" s="75" t="s">
        <v>402</v>
      </c>
      <c r="E77" s="75"/>
      <c r="F77" s="1" t="s">
        <v>728</v>
      </c>
      <c r="G77" s="216" t="s">
        <v>30</v>
      </c>
      <c r="H77" s="75"/>
      <c r="I77" s="75"/>
      <c r="J77" s="294" t="s">
        <v>397</v>
      </c>
      <c r="L77" s="318" t="s">
        <v>245</v>
      </c>
      <c r="M77" s="208" t="s">
        <v>33</v>
      </c>
    </row>
    <row r="78" spans="1:13" ht="20.100000000000001" customHeight="1" x14ac:dyDescent="0.2">
      <c r="A78" s="15" t="s">
        <v>803</v>
      </c>
      <c r="B78" s="308" t="s">
        <v>731</v>
      </c>
      <c r="C78" s="75" t="str">
        <f>C72</f>
        <v>สาขาบางรัก</v>
      </c>
      <c r="D78" s="75" t="s">
        <v>402</v>
      </c>
      <c r="E78" s="75"/>
      <c r="F78" s="231" t="s">
        <v>826</v>
      </c>
      <c r="G78" s="216" t="s">
        <v>60</v>
      </c>
      <c r="H78" s="75"/>
      <c r="I78" s="75"/>
      <c r="J78" s="294" t="s">
        <v>397</v>
      </c>
      <c r="L78" s="255" t="s">
        <v>247</v>
      </c>
      <c r="M78" s="208" t="s">
        <v>250</v>
      </c>
    </row>
    <row r="79" spans="1:13" ht="20.100000000000001" customHeight="1" x14ac:dyDescent="0.2">
      <c r="A79" s="15" t="s">
        <v>804</v>
      </c>
      <c r="B79" s="308" t="s">
        <v>733</v>
      </c>
      <c r="C79" s="75" t="s">
        <v>734</v>
      </c>
      <c r="D79" s="75" t="s">
        <v>722</v>
      </c>
      <c r="E79" s="75" t="s">
        <v>18</v>
      </c>
      <c r="F79" s="247" t="s">
        <v>823</v>
      </c>
      <c r="G79" s="216" t="s">
        <v>60</v>
      </c>
      <c r="H79" s="75"/>
      <c r="I79" s="75"/>
      <c r="J79" s="294" t="s">
        <v>397</v>
      </c>
      <c r="L79" s="255" t="s">
        <v>248</v>
      </c>
      <c r="M79" s="208" t="s">
        <v>252</v>
      </c>
    </row>
    <row r="80" spans="1:13" ht="20.100000000000001" customHeight="1" x14ac:dyDescent="0.2">
      <c r="A80" s="15" t="s">
        <v>805</v>
      </c>
      <c r="B80" s="296" t="s">
        <v>228</v>
      </c>
      <c r="C80" s="276" t="s">
        <v>363</v>
      </c>
      <c r="D80" s="75" t="s">
        <v>403</v>
      </c>
      <c r="E80" s="220"/>
      <c r="F80" s="297" t="s">
        <v>429</v>
      </c>
      <c r="G80" s="216" t="s">
        <v>29</v>
      </c>
      <c r="H80" s="75"/>
      <c r="I80" s="75"/>
      <c r="J80" s="275" t="s">
        <v>396</v>
      </c>
      <c r="L80" s="255" t="s">
        <v>249</v>
      </c>
      <c r="M80" s="208" t="s">
        <v>251</v>
      </c>
    </row>
    <row r="81" spans="1:13" ht="20.100000000000001" customHeight="1" x14ac:dyDescent="0.2">
      <c r="A81" s="15" t="s">
        <v>817</v>
      </c>
      <c r="B81" s="321" t="s">
        <v>229</v>
      </c>
      <c r="C81" s="75" t="s">
        <v>299</v>
      </c>
      <c r="D81" s="75" t="s">
        <v>399</v>
      </c>
      <c r="E81" s="220" t="str">
        <f>VLOOKUP(Table23[[#This Row],[Data]],Table194745[],2,0)</f>
        <v>05</v>
      </c>
      <c r="F81" s="297" t="s">
        <v>302</v>
      </c>
      <c r="G81" s="216" t="s">
        <v>30</v>
      </c>
      <c r="H81" s="75" t="s">
        <v>294</v>
      </c>
      <c r="I81" s="75" t="s">
        <v>361</v>
      </c>
      <c r="J81" s="294" t="s">
        <v>397</v>
      </c>
      <c r="L81" s="208"/>
      <c r="M81" s="208"/>
    </row>
    <row r="82" spans="1:13" ht="20.100000000000001" customHeight="1" x14ac:dyDescent="0.2">
      <c r="A82" s="15" t="s">
        <v>389</v>
      </c>
      <c r="B82" s="296" t="s">
        <v>230</v>
      </c>
      <c r="C82" s="276" t="s">
        <v>363</v>
      </c>
      <c r="D82" s="75" t="s">
        <v>403</v>
      </c>
      <c r="E82" s="220"/>
      <c r="F82" s="297" t="s">
        <v>428</v>
      </c>
      <c r="G82" s="216" t="s">
        <v>29</v>
      </c>
      <c r="H82" s="75"/>
      <c r="I82" s="75"/>
      <c r="J82" s="275" t="s">
        <v>396</v>
      </c>
      <c r="L82" s="318" t="s">
        <v>253</v>
      </c>
      <c r="M82" s="208" t="s">
        <v>33</v>
      </c>
    </row>
    <row r="83" spans="1:13" ht="20.100000000000001" customHeight="1" x14ac:dyDescent="0.2">
      <c r="A83" s="15" t="s">
        <v>818</v>
      </c>
      <c r="B83" s="295" t="s">
        <v>300</v>
      </c>
      <c r="C83" s="73"/>
      <c r="D83" s="73"/>
      <c r="E83" s="219"/>
      <c r="F83" s="322"/>
      <c r="G83" s="243"/>
      <c r="H83" s="73"/>
      <c r="I83" s="73"/>
      <c r="J83" s="275" t="s">
        <v>396</v>
      </c>
      <c r="L83" s="255" t="s">
        <v>254</v>
      </c>
      <c r="M83" s="208" t="s">
        <v>260</v>
      </c>
    </row>
    <row r="84" spans="1:13" ht="20.100000000000001" customHeight="1" x14ac:dyDescent="0.2">
      <c r="A84" s="15" t="s">
        <v>819</v>
      </c>
      <c r="B84" s="321" t="s">
        <v>301</v>
      </c>
      <c r="C84" s="75" t="s">
        <v>310</v>
      </c>
      <c r="D84" s="75" t="s">
        <v>399</v>
      </c>
      <c r="E84" s="220" t="str">
        <f>VLOOKUP(Table23[[#This Row],[Data]],Table204849[],2,0)</f>
        <v>0</v>
      </c>
      <c r="F84" s="297" t="s">
        <v>304</v>
      </c>
      <c r="G84" s="216" t="s">
        <v>29</v>
      </c>
      <c r="H84" s="75" t="s">
        <v>303</v>
      </c>
      <c r="I84" s="75" t="s">
        <v>361</v>
      </c>
      <c r="J84" s="294" t="s">
        <v>397</v>
      </c>
      <c r="L84" s="255" t="s">
        <v>255</v>
      </c>
      <c r="M84" s="208" t="s">
        <v>18</v>
      </c>
    </row>
    <row r="85" spans="1:13" ht="20.100000000000001" customHeight="1" x14ac:dyDescent="0.2">
      <c r="A85" s="15" t="s">
        <v>820</v>
      </c>
      <c r="B85" s="328" t="s">
        <v>311</v>
      </c>
      <c r="C85" s="276" t="s">
        <v>363</v>
      </c>
      <c r="D85" s="75" t="s">
        <v>403</v>
      </c>
      <c r="E85" s="220"/>
      <c r="F85" s="297" t="s">
        <v>427</v>
      </c>
      <c r="G85" s="216" t="s">
        <v>29</v>
      </c>
      <c r="H85" s="75"/>
      <c r="I85" s="75"/>
      <c r="J85" s="275" t="s">
        <v>396</v>
      </c>
      <c r="L85" s="255" t="s">
        <v>256</v>
      </c>
      <c r="M85" s="208" t="s">
        <v>100</v>
      </c>
    </row>
    <row r="86" spans="1:13" ht="20.100000000000001" customHeight="1" x14ac:dyDescent="0.2">
      <c r="A86" s="15" t="s">
        <v>821</v>
      </c>
      <c r="B86" s="328" t="s">
        <v>312</v>
      </c>
      <c r="C86" s="276" t="s">
        <v>363</v>
      </c>
      <c r="D86" s="75" t="s">
        <v>403</v>
      </c>
      <c r="E86" s="220"/>
      <c r="F86" s="297" t="s">
        <v>426</v>
      </c>
      <c r="G86" s="216" t="s">
        <v>29</v>
      </c>
      <c r="H86" s="75"/>
      <c r="I86" s="75"/>
      <c r="J86" s="275" t="s">
        <v>396</v>
      </c>
      <c r="L86" s="255" t="s">
        <v>257</v>
      </c>
      <c r="M86" s="208" t="s">
        <v>203</v>
      </c>
    </row>
    <row r="87" spans="1:13" ht="20.100000000000001" customHeight="1" x14ac:dyDescent="0.2">
      <c r="A87" s="15" t="s">
        <v>822</v>
      </c>
      <c r="B87" s="328" t="s">
        <v>313</v>
      </c>
      <c r="C87" s="276" t="s">
        <v>363</v>
      </c>
      <c r="D87" s="75" t="s">
        <v>403</v>
      </c>
      <c r="E87" s="220"/>
      <c r="F87" s="297" t="s">
        <v>425</v>
      </c>
      <c r="G87" s="216" t="s">
        <v>29</v>
      </c>
      <c r="H87" s="75"/>
      <c r="I87" s="75"/>
      <c r="J87" s="275" t="s">
        <v>396</v>
      </c>
      <c r="L87" s="255" t="s">
        <v>258</v>
      </c>
      <c r="M87" s="260" t="s">
        <v>259</v>
      </c>
    </row>
    <row r="88" spans="1:13" ht="20.100000000000001" customHeight="1" x14ac:dyDescent="0.2">
      <c r="A88" s="15" t="s">
        <v>827</v>
      </c>
      <c r="B88" s="295" t="s">
        <v>317</v>
      </c>
      <c r="C88" s="73"/>
      <c r="D88" s="73"/>
      <c r="E88" s="219"/>
      <c r="F88" s="246"/>
      <c r="G88" s="243"/>
      <c r="H88" s="73"/>
      <c r="I88" s="73"/>
      <c r="J88" s="275" t="s">
        <v>396</v>
      </c>
      <c r="L88" s="208"/>
      <c r="M88" s="208"/>
    </row>
    <row r="89" spans="1:13" ht="20.100000000000001" customHeight="1" x14ac:dyDescent="0.2">
      <c r="A89" s="15" t="s">
        <v>828</v>
      </c>
      <c r="B89" s="296" t="s">
        <v>323</v>
      </c>
      <c r="C89" s="75" t="s">
        <v>417</v>
      </c>
      <c r="D89" s="75" t="s">
        <v>399</v>
      </c>
      <c r="E89" s="220" t="str">
        <f>VLOOKUP(Table23[[#This Row],[Data]],Table6393[],2,0)</f>
        <v>5</v>
      </c>
      <c r="F89" s="297" t="s">
        <v>424</v>
      </c>
      <c r="G89" s="216" t="s">
        <v>29</v>
      </c>
      <c r="H89" s="75" t="s">
        <v>423</v>
      </c>
      <c r="I89" s="75"/>
      <c r="J89" s="294" t="s">
        <v>397</v>
      </c>
      <c r="L89" s="318" t="s">
        <v>271</v>
      </c>
      <c r="M89" s="208" t="s">
        <v>33</v>
      </c>
    </row>
    <row r="90" spans="1:13" ht="20.100000000000001" customHeight="1" x14ac:dyDescent="0.2">
      <c r="A90" s="15" t="s">
        <v>829</v>
      </c>
      <c r="B90" s="296" t="s">
        <v>324</v>
      </c>
      <c r="C90" s="276" t="s">
        <v>363</v>
      </c>
      <c r="D90" s="75" t="s">
        <v>403</v>
      </c>
      <c r="E90" s="220"/>
      <c r="F90" s="297" t="s">
        <v>422</v>
      </c>
      <c r="G90" s="216" t="s">
        <v>29</v>
      </c>
      <c r="H90" s="75" t="s">
        <v>421</v>
      </c>
      <c r="I90" s="75"/>
      <c r="J90" s="275" t="s">
        <v>396</v>
      </c>
      <c r="L90" s="255" t="s">
        <v>220</v>
      </c>
      <c r="M90" s="208" t="s">
        <v>18</v>
      </c>
    </row>
    <row r="91" spans="1:13" ht="20.100000000000001" customHeight="1" x14ac:dyDescent="0.2">
      <c r="A91" s="15" t="s">
        <v>830</v>
      </c>
      <c r="B91" s="296" t="s">
        <v>325</v>
      </c>
      <c r="C91" s="276" t="s">
        <v>363</v>
      </c>
      <c r="D91" s="75" t="s">
        <v>403</v>
      </c>
      <c r="E91" s="220"/>
      <c r="F91" s="297" t="s">
        <v>420</v>
      </c>
      <c r="G91" s="216" t="s">
        <v>29</v>
      </c>
      <c r="H91" s="75" t="s">
        <v>419</v>
      </c>
      <c r="I91" s="75"/>
      <c r="J91" s="275" t="s">
        <v>396</v>
      </c>
      <c r="L91" s="255" t="s">
        <v>281</v>
      </c>
      <c r="M91" s="208" t="s">
        <v>35</v>
      </c>
    </row>
    <row r="92" spans="1:13" ht="20.100000000000001" customHeight="1" x14ac:dyDescent="0.2">
      <c r="A92" s="15" t="s">
        <v>831</v>
      </c>
      <c r="B92" s="296" t="s">
        <v>326</v>
      </c>
      <c r="C92" s="75" t="s">
        <v>88</v>
      </c>
      <c r="D92" s="75" t="s">
        <v>403</v>
      </c>
      <c r="E92" s="220"/>
      <c r="F92" s="297" t="s">
        <v>418</v>
      </c>
      <c r="G92" s="216" t="s">
        <v>29</v>
      </c>
      <c r="H92" s="75"/>
      <c r="I92" s="75"/>
      <c r="J92" s="294" t="s">
        <v>397</v>
      </c>
      <c r="L92" s="255" t="s">
        <v>282</v>
      </c>
      <c r="M92" s="208" t="s">
        <v>36</v>
      </c>
    </row>
    <row r="93" spans="1:13" ht="20.100000000000001" customHeight="1" x14ac:dyDescent="0.2">
      <c r="A93" s="15" t="s">
        <v>832</v>
      </c>
      <c r="B93" s="75" t="s">
        <v>731</v>
      </c>
      <c r="C93" s="75" t="s">
        <v>750</v>
      </c>
      <c r="D93" s="75" t="s">
        <v>402</v>
      </c>
      <c r="E93" s="220"/>
      <c r="F93" s="15" t="s">
        <v>751</v>
      </c>
      <c r="G93" s="75" t="s">
        <v>29</v>
      </c>
      <c r="H93" s="75"/>
      <c r="I93" s="75"/>
      <c r="J93" s="294" t="s">
        <v>397</v>
      </c>
      <c r="L93" s="255" t="s">
        <v>283</v>
      </c>
      <c r="M93" s="208" t="s">
        <v>37</v>
      </c>
    </row>
    <row r="94" spans="1:13" ht="20.100000000000001" customHeight="1" x14ac:dyDescent="0.2">
      <c r="A94" s="15" t="s">
        <v>833</v>
      </c>
      <c r="B94" s="211"/>
      <c r="C94" s="246"/>
      <c r="D94" s="73"/>
      <c r="E94" s="73"/>
      <c r="F94" s="246"/>
      <c r="G94" s="243"/>
      <c r="H94" s="73"/>
      <c r="I94" s="73"/>
      <c r="J94" s="275" t="s">
        <v>396</v>
      </c>
      <c r="L94" s="255" t="s">
        <v>284</v>
      </c>
      <c r="M94" s="208" t="s">
        <v>38</v>
      </c>
    </row>
    <row r="95" spans="1:13" ht="20.100000000000001" customHeight="1" x14ac:dyDescent="0.2">
      <c r="B95" s="305" t="s">
        <v>103</v>
      </c>
      <c r="L95" s="255" t="s">
        <v>285</v>
      </c>
      <c r="M95" s="208" t="s">
        <v>39</v>
      </c>
    </row>
    <row r="96" spans="1:13" ht="20.100000000000001" customHeight="1" x14ac:dyDescent="0.2">
      <c r="L96" s="255" t="s">
        <v>286</v>
      </c>
      <c r="M96" s="208" t="s">
        <v>40</v>
      </c>
    </row>
    <row r="97" spans="12:13" ht="20.100000000000001" customHeight="1" x14ac:dyDescent="0.2">
      <c r="L97" s="255" t="s">
        <v>287</v>
      </c>
      <c r="M97" s="208" t="s">
        <v>41</v>
      </c>
    </row>
    <row r="98" spans="12:13" ht="20.100000000000001" customHeight="1" x14ac:dyDescent="0.2">
      <c r="L98" s="255" t="s">
        <v>288</v>
      </c>
      <c r="M98" s="208" t="s">
        <v>42</v>
      </c>
    </row>
    <row r="99" spans="12:13" ht="20.100000000000001" customHeight="1" x14ac:dyDescent="0.2">
      <c r="L99" s="255" t="s">
        <v>289</v>
      </c>
      <c r="M99" s="208" t="s">
        <v>44</v>
      </c>
    </row>
    <row r="100" spans="12:13" ht="20.100000000000001" customHeight="1" x14ac:dyDescent="0.2">
      <c r="L100" s="208"/>
      <c r="M100" s="208"/>
    </row>
    <row r="101" spans="12:13" ht="20.100000000000001" customHeight="1" x14ac:dyDescent="0.2">
      <c r="L101" s="318" t="s">
        <v>225</v>
      </c>
      <c r="M101" s="208" t="s">
        <v>33</v>
      </c>
    </row>
    <row r="102" spans="12:13" ht="20.100000000000001" customHeight="1" x14ac:dyDescent="0.2">
      <c r="L102" s="255" t="s">
        <v>290</v>
      </c>
      <c r="M102" s="208" t="s">
        <v>10</v>
      </c>
    </row>
    <row r="103" spans="12:13" ht="20.100000000000001" customHeight="1" x14ac:dyDescent="0.2">
      <c r="L103" s="255" t="s">
        <v>291</v>
      </c>
      <c r="M103" s="208" t="s">
        <v>18</v>
      </c>
    </row>
    <row r="104" spans="12:13" ht="20.100000000000001" customHeight="1" x14ac:dyDescent="0.2">
      <c r="L104" s="208"/>
      <c r="M104" s="208"/>
    </row>
    <row r="105" spans="12:13" ht="20.100000000000001" customHeight="1" x14ac:dyDescent="0.2">
      <c r="L105" s="318" t="s">
        <v>229</v>
      </c>
      <c r="M105" s="208" t="s">
        <v>33</v>
      </c>
    </row>
    <row r="106" spans="12:13" ht="20.100000000000001" customHeight="1" x14ac:dyDescent="0.2">
      <c r="L106" s="255" t="s">
        <v>295</v>
      </c>
      <c r="M106" s="208" t="s">
        <v>71</v>
      </c>
    </row>
    <row r="107" spans="12:13" ht="20.100000000000001" customHeight="1" x14ac:dyDescent="0.2">
      <c r="L107" s="255" t="s">
        <v>296</v>
      </c>
      <c r="M107" s="208" t="s">
        <v>72</v>
      </c>
    </row>
    <row r="108" spans="12:13" ht="20.100000000000001" customHeight="1" x14ac:dyDescent="0.2">
      <c r="L108" s="255" t="s">
        <v>297</v>
      </c>
      <c r="M108" s="208" t="s">
        <v>73</v>
      </c>
    </row>
    <row r="109" spans="12:13" ht="20.100000000000001" customHeight="1" x14ac:dyDescent="0.2">
      <c r="L109" s="255" t="s">
        <v>298</v>
      </c>
      <c r="M109" s="208" t="s">
        <v>74</v>
      </c>
    </row>
    <row r="110" spans="12:13" ht="20.100000000000001" customHeight="1" x14ac:dyDescent="0.2">
      <c r="L110" s="255" t="s">
        <v>299</v>
      </c>
      <c r="M110" s="208" t="s">
        <v>75</v>
      </c>
    </row>
    <row r="111" spans="12:13" ht="20.100000000000001" customHeight="1" x14ac:dyDescent="0.2">
      <c r="L111" s="208"/>
      <c r="M111" s="208"/>
    </row>
    <row r="112" spans="12:13" ht="20.100000000000001" customHeight="1" x14ac:dyDescent="0.2">
      <c r="L112" s="318" t="s">
        <v>301</v>
      </c>
      <c r="M112" s="208" t="s">
        <v>33</v>
      </c>
    </row>
    <row r="113" spans="12:13" ht="20.100000000000001" customHeight="1" x14ac:dyDescent="0.2">
      <c r="L113" s="255" t="s">
        <v>310</v>
      </c>
      <c r="M113" s="208" t="s">
        <v>10</v>
      </c>
    </row>
    <row r="114" spans="12:13" ht="20.100000000000001" customHeight="1" x14ac:dyDescent="0.2">
      <c r="L114" s="255" t="s">
        <v>305</v>
      </c>
      <c r="M114" s="208" t="s">
        <v>18</v>
      </c>
    </row>
    <row r="115" spans="12:13" ht="20.100000000000001" customHeight="1" x14ac:dyDescent="0.2">
      <c r="L115" s="255" t="s">
        <v>306</v>
      </c>
      <c r="M115" s="208" t="s">
        <v>35</v>
      </c>
    </row>
    <row r="116" spans="12:13" ht="20.100000000000001" customHeight="1" x14ac:dyDescent="0.2">
      <c r="L116" s="255" t="s">
        <v>307</v>
      </c>
      <c r="M116" s="208" t="s">
        <v>36</v>
      </c>
    </row>
    <row r="117" spans="12:13" ht="20.100000000000001" customHeight="1" x14ac:dyDescent="0.2">
      <c r="L117" s="255" t="s">
        <v>308</v>
      </c>
      <c r="M117" s="208" t="s">
        <v>37</v>
      </c>
    </row>
    <row r="118" spans="12:13" ht="20.100000000000001" customHeight="1" x14ac:dyDescent="0.2">
      <c r="L118" s="255" t="s">
        <v>309</v>
      </c>
      <c r="M118" s="208" t="s">
        <v>38</v>
      </c>
    </row>
    <row r="119" spans="12:13" ht="20.100000000000001" customHeight="1" x14ac:dyDescent="0.2">
      <c r="L119" s="208"/>
      <c r="M119" s="208"/>
    </row>
    <row r="120" spans="12:13" ht="20.100000000000001" customHeight="1" x14ac:dyDescent="0.2">
      <c r="L120" s="318" t="s">
        <v>323</v>
      </c>
      <c r="M120" s="208" t="s">
        <v>33</v>
      </c>
    </row>
    <row r="121" spans="12:13" ht="20.100000000000001" customHeight="1" x14ac:dyDescent="0.2">
      <c r="L121" s="255" t="s">
        <v>417</v>
      </c>
      <c r="M121" s="208" t="s">
        <v>38</v>
      </c>
    </row>
    <row r="122" spans="12:13" ht="20.100000000000001" customHeight="1" x14ac:dyDescent="0.2">
      <c r="L122" s="255" t="s">
        <v>416</v>
      </c>
      <c r="M122" s="208" t="s">
        <v>18</v>
      </c>
    </row>
    <row r="123" spans="12:13" ht="20.100000000000001" customHeight="1" x14ac:dyDescent="0.2">
      <c r="L123" s="255" t="s">
        <v>415</v>
      </c>
      <c r="M123" s="208" t="s">
        <v>35</v>
      </c>
    </row>
    <row r="124" spans="12:13" ht="20.100000000000001" customHeight="1" x14ac:dyDescent="0.2">
      <c r="L124" s="255" t="s">
        <v>414</v>
      </c>
      <c r="M124" s="208" t="s">
        <v>36</v>
      </c>
    </row>
    <row r="125" spans="12:13" ht="20.100000000000001" customHeight="1" x14ac:dyDescent="0.2">
      <c r="L125" s="255" t="s">
        <v>413</v>
      </c>
      <c r="M125" s="208" t="s">
        <v>37</v>
      </c>
    </row>
  </sheetData>
  <dataValidations count="17">
    <dataValidation type="list" allowBlank="1" showInputMessage="1" showErrorMessage="1" sqref="G9:G17 G20:G53 G94 G57:G92">
      <formula1>FieldRef</formula1>
    </dataValidation>
    <dataValidation type="list" allowBlank="1" showInputMessage="1" showErrorMessage="1" sqref="D3 D9:D17 D94 D20:D92">
      <formula1>Field</formula1>
    </dataValidation>
    <dataValidation type="list" allowBlank="1" showInputMessage="1" showErrorMessage="1" sqref="C10">
      <formula1>$L$3:$L$5</formula1>
    </dataValidation>
    <dataValidation type="list" allowBlank="1" showInputMessage="1" showErrorMessage="1" sqref="C11">
      <formula1>$L$8:$L$9</formula1>
    </dataValidation>
    <dataValidation type="list" allowBlank="1" showInputMessage="1" showErrorMessage="1" sqref="C17">
      <formula1>$L$35:$L$37</formula1>
    </dataValidation>
    <dataValidation type="list" allowBlank="1" showInputMessage="1" showErrorMessage="1" sqref="C20 C94">
      <formula1>$K$32</formula1>
    </dataValidation>
    <dataValidation type="list" allowBlank="1" showInputMessage="1" showErrorMessage="1" sqref="C40">
      <formula1>$L$66:$L$68</formula1>
    </dataValidation>
    <dataValidation type="list" allowBlank="1" showInputMessage="1" showErrorMessage="1" sqref="C42">
      <formula1>$L$71:$L$75</formula1>
    </dataValidation>
    <dataValidation type="list" allowBlank="1" showInputMessage="1" showErrorMessage="1" sqref="C43">
      <formula1>$L$78:$L$80</formula1>
    </dataValidation>
    <dataValidation type="list" allowBlank="1" showInputMessage="1" showErrorMessage="1" sqref="C44">
      <formula1>$L$83:$L$87</formula1>
    </dataValidation>
    <dataValidation type="list" allowBlank="1" showInputMessage="1" showErrorMessage="1" sqref="C58">
      <formula1>$L$90:$L$99</formula1>
    </dataValidation>
    <dataValidation type="list" allowBlank="1" showInputMessage="1" showErrorMessage="1" sqref="C63">
      <formula1>$L$102:$L$103</formula1>
    </dataValidation>
    <dataValidation type="list" allowBlank="1" showInputMessage="1" showErrorMessage="1" sqref="C81">
      <formula1>$L$106:$L$110</formula1>
    </dataValidation>
    <dataValidation type="list" allowBlank="1" showInputMessage="1" showErrorMessage="1" sqref="C84">
      <formula1>$L$113:$L$118</formula1>
    </dataValidation>
    <dataValidation type="list" allowBlank="1" showInputMessage="1" showErrorMessage="1" sqref="C89">
      <formula1>$L$121:$L$125</formula1>
    </dataValidation>
    <dataValidation type="list" allowBlank="1" showInputMessage="1" showErrorMessage="1" sqref="C35">
      <formula1>$L$62:$L$63</formula1>
    </dataValidation>
    <dataValidation type="list" allowBlank="1" showInputMessage="1" showErrorMessage="1" sqref="C34">
      <formula1>$L$40:$L$59</formula1>
    </dataValidation>
  </dataValidations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ext!$C$5:$C$8</xm:f>
          </x14:formula1>
          <xm:sqref>G18:G19 G4:G8 G93</xm:sqref>
        </x14:dataValidation>
        <x14:dataValidation type="list" allowBlank="1" showInputMessage="1" showErrorMessage="1">
          <x14:formula1>
            <xm:f>ext!$A$5:$A$12</xm:f>
          </x14:formula1>
          <xm:sqref>D19 D4:D8</xm:sqref>
        </x14:dataValidation>
        <x14:dataValidation type="list" allowBlank="1" showInputMessage="1" showErrorMessage="1">
          <x14:formula1>
            <xm:f>ext!$A$5:$A$11</xm:f>
          </x14:formula1>
          <xm:sqref>D18 D93</xm:sqref>
        </x14:dataValidation>
        <x14:dataValidation type="list" allowBlank="1" showInputMessage="1" showErrorMessage="1">
          <x14:formula1>
            <xm:f>ISIC!$A$3:$A$8</xm:f>
          </x14:formula1>
          <xm:sqref>C53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9" sqref="A9"/>
    </sheetView>
  </sheetViews>
  <sheetFormatPr defaultRowHeight="12.75" x14ac:dyDescent="0.2"/>
  <cols>
    <col min="1" max="1" width="6" style="100" bestFit="1" customWidth="1"/>
    <col min="2" max="2" width="23" style="100" customWidth="1"/>
    <col min="3" max="3" width="23" style="100" bestFit="1" customWidth="1"/>
    <col min="4" max="5" width="9.140625" style="100"/>
    <col min="6" max="6" width="17.28515625" style="100" bestFit="1" customWidth="1"/>
    <col min="7" max="7" width="15.85546875" style="100" customWidth="1"/>
    <col min="8" max="8" width="21" style="100" customWidth="1"/>
    <col min="9" max="9" width="10" style="100" customWidth="1"/>
    <col min="10" max="11" width="9.140625" style="100"/>
    <col min="12" max="12" width="24.140625" style="100" customWidth="1"/>
    <col min="13" max="13" width="10.42578125" style="100" customWidth="1"/>
    <col min="14" max="16384" width="9.140625" style="100"/>
  </cols>
  <sheetData>
    <row r="2" spans="1:13" ht="20.100000000000001" customHeight="1" x14ac:dyDescent="0.2">
      <c r="A2" s="90" t="s">
        <v>34</v>
      </c>
      <c r="B2" s="89" t="s">
        <v>14</v>
      </c>
      <c r="C2" s="89" t="s">
        <v>15</v>
      </c>
      <c r="D2" s="89" t="s">
        <v>17</v>
      </c>
      <c r="E2" s="89" t="s">
        <v>16</v>
      </c>
      <c r="F2" s="89" t="s">
        <v>20</v>
      </c>
      <c r="G2" s="88" t="s">
        <v>28</v>
      </c>
      <c r="H2" s="87" t="s">
        <v>27</v>
      </c>
      <c r="I2" s="86" t="s">
        <v>81</v>
      </c>
      <c r="J2" s="135" t="s">
        <v>411</v>
      </c>
      <c r="K2" s="134"/>
      <c r="L2" s="129" t="s">
        <v>642</v>
      </c>
      <c r="M2" s="100" t="s">
        <v>33</v>
      </c>
    </row>
    <row r="3" spans="1:13" ht="20.100000000000001" customHeight="1" x14ac:dyDescent="0.2">
      <c r="A3" s="99" t="s">
        <v>18</v>
      </c>
      <c r="B3" s="133" t="s">
        <v>103</v>
      </c>
      <c r="C3" s="99" t="s">
        <v>636</v>
      </c>
      <c r="D3" s="98" t="s">
        <v>59</v>
      </c>
      <c r="E3" s="104" t="str">
        <f>VLOOKUP(Table235057[[#This Row],[Data]],Table25259[],2,0)</f>
        <v>0</v>
      </c>
      <c r="F3" s="78" t="s">
        <v>641</v>
      </c>
      <c r="G3" s="74" t="s">
        <v>30</v>
      </c>
      <c r="L3" s="132" t="s">
        <v>640</v>
      </c>
      <c r="M3" s="99" t="s">
        <v>10</v>
      </c>
    </row>
    <row r="4" spans="1:13" ht="20.100000000000001" customHeight="1" x14ac:dyDescent="0.2">
      <c r="A4" s="99" t="s">
        <v>35</v>
      </c>
      <c r="B4" s="125" t="s">
        <v>634</v>
      </c>
      <c r="C4" s="126" t="s">
        <v>633</v>
      </c>
      <c r="D4" s="98" t="s">
        <v>59</v>
      </c>
      <c r="E4" s="102" t="str">
        <f>VLOOKUP(Table235057[[#This Row],[Data]],Table35360[],2,0)</f>
        <v>0</v>
      </c>
      <c r="F4" s="78" t="s">
        <v>639</v>
      </c>
      <c r="G4" s="74" t="s">
        <v>30</v>
      </c>
      <c r="L4" s="132" t="s">
        <v>638</v>
      </c>
      <c r="M4" s="99" t="s">
        <v>18</v>
      </c>
    </row>
    <row r="5" spans="1:13" ht="20.100000000000001" customHeight="1" x14ac:dyDescent="0.2">
      <c r="A5" s="99" t="s">
        <v>36</v>
      </c>
      <c r="B5" s="131" t="s">
        <v>631</v>
      </c>
      <c r="C5" s="126" t="s">
        <v>620</v>
      </c>
      <c r="D5" s="98" t="s">
        <v>59</v>
      </c>
      <c r="E5" s="102" t="str">
        <f>VLOOKUP(Table235057[[#This Row],[Data]],Table45461[],2,0)</f>
        <v>8</v>
      </c>
      <c r="F5" s="78" t="s">
        <v>637</v>
      </c>
      <c r="G5" s="74" t="s">
        <v>30</v>
      </c>
    </row>
    <row r="6" spans="1:13" ht="20.100000000000001" customHeight="1" x14ac:dyDescent="0.2">
      <c r="A6" s="99" t="s">
        <v>37</v>
      </c>
      <c r="B6" s="128"/>
      <c r="D6" s="98"/>
      <c r="E6" s="102"/>
      <c r="F6" s="101"/>
      <c r="G6" s="74"/>
      <c r="L6" s="130" t="s">
        <v>103</v>
      </c>
      <c r="M6" s="100" t="s">
        <v>33</v>
      </c>
    </row>
    <row r="7" spans="1:13" ht="20.100000000000001" customHeight="1" x14ac:dyDescent="0.2">
      <c r="A7" s="99" t="s">
        <v>38</v>
      </c>
      <c r="B7" s="128"/>
      <c r="D7" s="98"/>
      <c r="E7" s="102"/>
      <c r="F7" s="101"/>
      <c r="G7" s="74"/>
      <c r="L7" s="126" t="s">
        <v>636</v>
      </c>
      <c r="M7" s="99" t="s">
        <v>10</v>
      </c>
    </row>
    <row r="8" spans="1:13" ht="20.100000000000001" customHeight="1" x14ac:dyDescent="0.2">
      <c r="A8" s="99" t="s">
        <v>39</v>
      </c>
      <c r="B8" s="128"/>
      <c r="D8" s="98"/>
      <c r="E8" s="102"/>
      <c r="F8" s="101"/>
      <c r="G8" s="74"/>
      <c r="L8" s="126" t="s">
        <v>635</v>
      </c>
      <c r="M8" s="99" t="s">
        <v>18</v>
      </c>
    </row>
    <row r="9" spans="1:13" ht="20.100000000000001" customHeight="1" x14ac:dyDescent="0.2">
      <c r="A9" s="99" t="s">
        <v>40</v>
      </c>
      <c r="B9" s="128"/>
      <c r="D9" s="98"/>
      <c r="E9" s="102"/>
      <c r="F9" s="101"/>
      <c r="G9" s="74"/>
    </row>
    <row r="10" spans="1:13" ht="20.100000000000001" customHeight="1" x14ac:dyDescent="0.2">
      <c r="A10" s="99" t="s">
        <v>41</v>
      </c>
      <c r="B10" s="128"/>
      <c r="D10" s="98"/>
      <c r="E10" s="102"/>
      <c r="F10" s="101"/>
      <c r="G10" s="74"/>
      <c r="L10" s="129" t="s">
        <v>634</v>
      </c>
      <c r="M10" s="100" t="s">
        <v>33</v>
      </c>
    </row>
    <row r="11" spans="1:13" ht="20.100000000000001" customHeight="1" x14ac:dyDescent="0.2">
      <c r="A11" s="99" t="s">
        <v>42</v>
      </c>
      <c r="B11" s="128"/>
      <c r="D11" s="98"/>
      <c r="E11" s="102"/>
      <c r="F11" s="101"/>
      <c r="G11" s="74"/>
      <c r="L11" s="126" t="s">
        <v>633</v>
      </c>
      <c r="M11" s="99" t="s">
        <v>10</v>
      </c>
    </row>
    <row r="12" spans="1:13" ht="20.100000000000001" customHeight="1" x14ac:dyDescent="0.2">
      <c r="A12" s="99" t="s">
        <v>43</v>
      </c>
      <c r="B12" s="128"/>
      <c r="D12" s="98"/>
      <c r="E12" s="102"/>
      <c r="F12" s="101"/>
      <c r="G12" s="74"/>
      <c r="L12" s="126" t="s">
        <v>632</v>
      </c>
      <c r="M12" s="99" t="s">
        <v>18</v>
      </c>
    </row>
    <row r="13" spans="1:13" ht="20.100000000000001" customHeight="1" x14ac:dyDescent="0.2">
      <c r="A13" s="99" t="s">
        <v>44</v>
      </c>
      <c r="B13" s="128"/>
      <c r="D13" s="98"/>
      <c r="E13" s="102"/>
      <c r="F13" s="101"/>
      <c r="G13" s="74"/>
    </row>
    <row r="14" spans="1:13" ht="20.100000000000001" customHeight="1" x14ac:dyDescent="0.2">
      <c r="A14" s="99" t="s">
        <v>45</v>
      </c>
      <c r="B14" s="128"/>
      <c r="D14" s="98"/>
      <c r="E14" s="102"/>
      <c r="F14" s="101"/>
      <c r="G14" s="74"/>
      <c r="L14" s="100" t="s">
        <v>631</v>
      </c>
      <c r="M14" s="100" t="s">
        <v>33</v>
      </c>
    </row>
    <row r="15" spans="1:13" ht="20.100000000000001" customHeight="1" x14ac:dyDescent="0.2">
      <c r="A15" s="99" t="s">
        <v>98</v>
      </c>
      <c r="B15" s="128"/>
      <c r="D15" s="98"/>
      <c r="E15" s="102"/>
      <c r="F15" s="101"/>
      <c r="G15" s="74"/>
      <c r="L15" s="126" t="s">
        <v>630</v>
      </c>
      <c r="M15" s="99" t="s">
        <v>10</v>
      </c>
    </row>
    <row r="16" spans="1:13" ht="20.100000000000001" customHeight="1" x14ac:dyDescent="0.2">
      <c r="A16" s="99" t="s">
        <v>99</v>
      </c>
      <c r="B16" s="126" t="s">
        <v>620</v>
      </c>
      <c r="C16" s="103" t="s">
        <v>36</v>
      </c>
      <c r="D16" s="98" t="s">
        <v>403</v>
      </c>
      <c r="E16" s="102"/>
      <c r="F16" s="78" t="s">
        <v>629</v>
      </c>
      <c r="G16" s="74" t="s">
        <v>29</v>
      </c>
      <c r="L16" s="127" t="s">
        <v>628</v>
      </c>
      <c r="M16" s="99" t="s">
        <v>18</v>
      </c>
    </row>
    <row r="17" spans="1:13" ht="20.100000000000001" customHeight="1" x14ac:dyDescent="0.2">
      <c r="A17" s="99" t="s">
        <v>100</v>
      </c>
      <c r="B17" s="123" t="s">
        <v>614</v>
      </c>
      <c r="C17" s="70" t="s">
        <v>613</v>
      </c>
      <c r="D17" s="98" t="s">
        <v>59</v>
      </c>
      <c r="E17" s="102" t="str">
        <f>VLOOKUP(Table235057[[#This Row],[Data]],Table115663[],2,0)</f>
        <v>0</v>
      </c>
      <c r="F17" s="70" t="s">
        <v>627</v>
      </c>
      <c r="G17" s="74" t="s">
        <v>30</v>
      </c>
      <c r="L17" s="126" t="s">
        <v>626</v>
      </c>
      <c r="M17" s="99" t="s">
        <v>35</v>
      </c>
    </row>
    <row r="18" spans="1:13" ht="20.100000000000001" customHeight="1" x14ac:dyDescent="0.2">
      <c r="L18" s="126" t="s">
        <v>625</v>
      </c>
      <c r="M18" s="99" t="s">
        <v>36</v>
      </c>
    </row>
    <row r="19" spans="1:13" ht="20.100000000000001" customHeight="1" x14ac:dyDescent="0.2">
      <c r="L19" s="126" t="s">
        <v>624</v>
      </c>
      <c r="M19" s="99" t="s">
        <v>37</v>
      </c>
    </row>
    <row r="20" spans="1:13" ht="20.100000000000001" customHeight="1" x14ac:dyDescent="0.2">
      <c r="L20" s="126" t="s">
        <v>623</v>
      </c>
      <c r="M20" s="99" t="s">
        <v>38</v>
      </c>
    </row>
    <row r="21" spans="1:13" ht="20.100000000000001" customHeight="1" x14ac:dyDescent="0.2">
      <c r="L21" s="126" t="s">
        <v>622</v>
      </c>
      <c r="M21" s="99" t="s">
        <v>39</v>
      </c>
    </row>
    <row r="22" spans="1:13" ht="20.100000000000001" customHeight="1" x14ac:dyDescent="0.2">
      <c r="L22" s="126" t="s">
        <v>621</v>
      </c>
      <c r="M22" s="99" t="s">
        <v>40</v>
      </c>
    </row>
    <row r="23" spans="1:13" ht="20.100000000000001" customHeight="1" x14ac:dyDescent="0.2">
      <c r="L23" s="126" t="s">
        <v>620</v>
      </c>
      <c r="M23" s="99" t="s">
        <v>41</v>
      </c>
    </row>
    <row r="25" spans="1:13" ht="20.100000000000001" customHeight="1" x14ac:dyDescent="0.2">
      <c r="L25" s="125" t="s">
        <v>619</v>
      </c>
      <c r="M25" s="100" t="s">
        <v>33</v>
      </c>
    </row>
    <row r="26" spans="1:13" ht="20.100000000000001" customHeight="1" x14ac:dyDescent="0.2">
      <c r="L26" s="106" t="s">
        <v>618</v>
      </c>
      <c r="M26" s="78" t="s">
        <v>617</v>
      </c>
    </row>
    <row r="27" spans="1:13" ht="20.100000000000001" customHeight="1" x14ac:dyDescent="0.2">
      <c r="L27" s="78" t="s">
        <v>616</v>
      </c>
      <c r="M27" s="78" t="s">
        <v>615</v>
      </c>
    </row>
    <row r="29" spans="1:13" ht="20.100000000000001" customHeight="1" x14ac:dyDescent="0.2">
      <c r="L29" s="124" t="s">
        <v>614</v>
      </c>
      <c r="M29" s="100" t="s">
        <v>33</v>
      </c>
    </row>
    <row r="30" spans="1:13" ht="20.100000000000001" customHeight="1" x14ac:dyDescent="0.2">
      <c r="L30" s="123" t="s">
        <v>613</v>
      </c>
      <c r="M30" s="99" t="s">
        <v>10</v>
      </c>
    </row>
  </sheetData>
  <dataValidations count="4">
    <dataValidation type="list" allowBlank="1" showInputMessage="1" showErrorMessage="1" sqref="C17">
      <formula1>$L$30</formula1>
    </dataValidation>
    <dataValidation type="list" allowBlank="1" showInputMessage="1" showErrorMessage="1" sqref="C5">
      <formula1>$L$15:$L$23</formula1>
    </dataValidation>
    <dataValidation type="list" allowBlank="1" showInputMessage="1" showErrorMessage="1" sqref="C4">
      <formula1>$L$11:$L$12</formula1>
    </dataValidation>
    <dataValidation type="list" allowBlank="1" showInputMessage="1" showErrorMessage="1" sqref="C3">
      <formula1>$L$7:$L$8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ext!$A$5:$A$12</xm:f>
          </x14:formula1>
          <xm:sqref>D3:D17</xm:sqref>
        </x14:dataValidation>
        <x14:dataValidation type="list" allowBlank="1" showInputMessage="1" showErrorMessage="1">
          <x14:formula1>
            <xm:f>ext!$C$5:$C$8</xm:f>
          </x14:formula1>
          <xm:sqref>G3:G17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workbookViewId="0">
      <selection activeCell="D4" sqref="D4"/>
    </sheetView>
  </sheetViews>
  <sheetFormatPr defaultRowHeight="20.100000000000001" customHeight="1" x14ac:dyDescent="0.2"/>
  <cols>
    <col min="1" max="1" width="9" style="79" customWidth="1"/>
    <col min="2" max="2" width="21.140625" style="79" bestFit="1" customWidth="1"/>
    <col min="3" max="3" width="21.42578125" style="79" customWidth="1"/>
    <col min="4" max="4" width="9.7109375" style="79" customWidth="1"/>
    <col min="5" max="5" width="9.140625" style="93"/>
    <col min="6" max="6" width="30.42578125" style="79" customWidth="1"/>
    <col min="7" max="7" width="20" style="79" customWidth="1"/>
    <col min="8" max="8" width="28.5703125" style="79" customWidth="1"/>
    <col min="9" max="9" width="21.85546875" style="79" customWidth="1"/>
    <col min="10" max="11" width="9.140625" style="79"/>
    <col min="12" max="12" width="27.5703125" style="79" bestFit="1" customWidth="1"/>
    <col min="13" max="13" width="10.42578125" style="79" customWidth="1"/>
    <col min="14" max="14" width="41" style="79" bestFit="1" customWidth="1"/>
    <col min="15" max="15" width="20" style="79" bestFit="1" customWidth="1"/>
    <col min="16" max="16" width="18.28515625" style="79" bestFit="1" customWidth="1"/>
    <col min="17" max="17" width="71.140625" style="79" bestFit="1" customWidth="1"/>
    <col min="18" max="18" width="30.5703125" style="79" customWidth="1"/>
    <col min="19" max="19" width="19.140625" style="79" customWidth="1"/>
    <col min="20" max="20" width="23.85546875" style="79" customWidth="1"/>
    <col min="21" max="21" width="9.85546875" style="79" customWidth="1"/>
    <col min="22" max="22" width="21.42578125" style="79" bestFit="1" customWidth="1"/>
    <col min="23" max="23" width="67.85546875" style="79" bestFit="1" customWidth="1"/>
    <col min="24" max="26" width="11.140625" style="79" customWidth="1"/>
    <col min="27" max="27" width="10.85546875" style="79" customWidth="1"/>
    <col min="28" max="31" width="11.140625" style="79" customWidth="1"/>
    <col min="32" max="16384" width="9.140625" style="79"/>
  </cols>
  <sheetData>
    <row r="2" spans="1:13" ht="20.100000000000001" customHeight="1" x14ac:dyDescent="0.2">
      <c r="A2" s="90" t="s">
        <v>34</v>
      </c>
      <c r="B2" s="89" t="s">
        <v>14</v>
      </c>
      <c r="C2" s="89" t="s">
        <v>15</v>
      </c>
      <c r="D2" s="89" t="s">
        <v>17</v>
      </c>
      <c r="E2" s="105" t="s">
        <v>16</v>
      </c>
      <c r="F2" s="89" t="s">
        <v>20</v>
      </c>
      <c r="G2" s="88" t="s">
        <v>28</v>
      </c>
      <c r="H2" s="87" t="s">
        <v>27</v>
      </c>
      <c r="I2" s="86" t="s">
        <v>81</v>
      </c>
      <c r="J2" s="179" t="s">
        <v>411</v>
      </c>
      <c r="K2" s="178"/>
      <c r="L2" s="177" t="s">
        <v>681</v>
      </c>
      <c r="M2" s="92" t="s">
        <v>33</v>
      </c>
    </row>
    <row r="3" spans="1:13" ht="20.100000000000001" customHeight="1" x14ac:dyDescent="0.2">
      <c r="A3" s="164" t="s">
        <v>18</v>
      </c>
      <c r="B3" s="115" t="s">
        <v>681</v>
      </c>
      <c r="C3" s="116"/>
      <c r="D3" s="113"/>
      <c r="E3" s="176"/>
      <c r="F3" s="175"/>
      <c r="G3" s="110"/>
      <c r="H3" s="116"/>
      <c r="I3" s="116"/>
      <c r="J3" s="168" t="s">
        <v>396</v>
      </c>
      <c r="K3" s="161"/>
      <c r="L3" s="94" t="s">
        <v>684</v>
      </c>
      <c r="M3" s="92">
        <v>0</v>
      </c>
    </row>
    <row r="4" spans="1:13" ht="20.100000000000001" customHeight="1" x14ac:dyDescent="0.2">
      <c r="A4" s="160" t="s">
        <v>35</v>
      </c>
      <c r="B4" s="201" t="s">
        <v>683</v>
      </c>
      <c r="C4" s="202"/>
      <c r="D4" s="203" t="s">
        <v>402</v>
      </c>
      <c r="E4" s="204" t="e">
        <f>VLOOKUP(Table2362847487680[[#This Row],[Data]],Table252[#Data],2,0)</f>
        <v>#N/A</v>
      </c>
      <c r="F4" s="205" t="s">
        <v>682</v>
      </c>
      <c r="G4" s="74" t="s">
        <v>29</v>
      </c>
      <c r="H4" s="202"/>
      <c r="I4" s="202"/>
      <c r="J4" s="154" t="s">
        <v>397</v>
      </c>
      <c r="K4" s="161"/>
      <c r="L4" s="173" t="s">
        <v>635</v>
      </c>
      <c r="M4" s="92">
        <v>1</v>
      </c>
    </row>
    <row r="5" spans="1:13" ht="20.100000000000001" customHeight="1" x14ac:dyDescent="0.2">
      <c r="A5" s="164" t="s">
        <v>36</v>
      </c>
      <c r="B5" s="172" t="s">
        <v>681</v>
      </c>
      <c r="C5" s="170" t="s">
        <v>635</v>
      </c>
      <c r="D5" s="203" t="s">
        <v>401</v>
      </c>
      <c r="E5" s="171">
        <f>VLOOKUP(Table236284748[[#This Row],[Data]],Table64[],2,0)</f>
        <v>1</v>
      </c>
      <c r="F5" s="118" t="s">
        <v>680</v>
      </c>
      <c r="G5" s="74" t="s">
        <v>30</v>
      </c>
      <c r="H5" s="170" t="s">
        <v>676</v>
      </c>
      <c r="I5" s="70" t="s">
        <v>679</v>
      </c>
      <c r="J5" s="154" t="s">
        <v>397</v>
      </c>
      <c r="K5" s="161"/>
    </row>
    <row r="6" spans="1:13" ht="20.100000000000001" customHeight="1" x14ac:dyDescent="0.2">
      <c r="A6" s="160" t="s">
        <v>37</v>
      </c>
      <c r="B6" s="120" t="s">
        <v>635</v>
      </c>
      <c r="C6" s="111"/>
      <c r="D6" s="113"/>
      <c r="E6" s="169"/>
      <c r="F6" s="112"/>
      <c r="G6" s="72"/>
      <c r="H6" s="111"/>
      <c r="I6" s="111"/>
      <c r="J6" s="168" t="s">
        <v>396</v>
      </c>
      <c r="K6" s="167"/>
      <c r="L6" s="166" t="s">
        <v>678</v>
      </c>
      <c r="M6" s="79" t="s">
        <v>33</v>
      </c>
    </row>
    <row r="7" spans="1:13" ht="20.100000000000001" customHeight="1" x14ac:dyDescent="0.2">
      <c r="A7" s="164" t="s">
        <v>38</v>
      </c>
      <c r="B7" s="71" t="s">
        <v>678</v>
      </c>
      <c r="C7" s="99" t="s">
        <v>674</v>
      </c>
      <c r="D7" s="203" t="s">
        <v>399</v>
      </c>
      <c r="E7" s="97">
        <f>VLOOKUP(Table236284748[[#This Row],[Data]],Table65[],2,0)</f>
        <v>1</v>
      </c>
      <c r="F7" s="70" t="s">
        <v>677</v>
      </c>
      <c r="G7" s="74" t="s">
        <v>29</v>
      </c>
      <c r="H7" s="100" t="s">
        <v>676</v>
      </c>
      <c r="I7" s="70" t="s">
        <v>675</v>
      </c>
      <c r="J7" s="154" t="s">
        <v>397</v>
      </c>
      <c r="K7" s="161"/>
      <c r="L7" s="70" t="s">
        <v>674</v>
      </c>
      <c r="M7" s="79">
        <v>1</v>
      </c>
    </row>
    <row r="8" spans="1:13" ht="20.100000000000001" customHeight="1" x14ac:dyDescent="0.2">
      <c r="A8" s="160" t="s">
        <v>39</v>
      </c>
      <c r="B8" s="71" t="s">
        <v>668</v>
      </c>
      <c r="C8" s="99" t="s">
        <v>645</v>
      </c>
      <c r="D8" s="203" t="s">
        <v>399</v>
      </c>
      <c r="E8" s="97">
        <f>VLOOKUP(Table236284748[[#This Row],[Data]],Table69[],2,0)</f>
        <v>4</v>
      </c>
      <c r="F8" s="70" t="s">
        <v>673</v>
      </c>
      <c r="G8" s="74" t="s">
        <v>29</v>
      </c>
      <c r="H8" s="100" t="s">
        <v>672</v>
      </c>
      <c r="I8" s="78" t="s">
        <v>671</v>
      </c>
      <c r="J8" s="154" t="s">
        <v>397</v>
      </c>
      <c r="K8" s="161"/>
      <c r="L8" s="70"/>
    </row>
    <row r="9" spans="1:13" ht="20.100000000000001" customHeight="1" x14ac:dyDescent="0.2">
      <c r="A9" s="164" t="s">
        <v>40</v>
      </c>
      <c r="B9" s="71" t="s">
        <v>670</v>
      </c>
      <c r="C9" s="100"/>
      <c r="D9" s="203" t="s">
        <v>403</v>
      </c>
      <c r="E9" s="97"/>
      <c r="F9" s="70" t="s">
        <v>669</v>
      </c>
      <c r="G9" s="74" t="s">
        <v>29</v>
      </c>
      <c r="H9" s="117"/>
      <c r="I9" s="117"/>
      <c r="J9" s="154" t="s">
        <v>397</v>
      </c>
      <c r="K9" s="161"/>
      <c r="L9" s="71" t="s">
        <v>668</v>
      </c>
      <c r="M9" s="79" t="s">
        <v>33</v>
      </c>
    </row>
    <row r="10" spans="1:13" ht="20.100000000000001" customHeight="1" x14ac:dyDescent="0.2">
      <c r="A10" s="160" t="s">
        <v>41</v>
      </c>
      <c r="B10" s="71" t="s">
        <v>644</v>
      </c>
      <c r="C10" s="165" t="s">
        <v>643</v>
      </c>
      <c r="D10" s="203" t="s">
        <v>399</v>
      </c>
      <c r="E10" s="97">
        <f>VLOOKUP(Table236284748[[#This Row],[Data]],Table67[],2,0)</f>
        <v>214</v>
      </c>
      <c r="F10" s="70" t="s">
        <v>667</v>
      </c>
      <c r="G10" s="74" t="s">
        <v>29</v>
      </c>
      <c r="H10" s="100" t="s">
        <v>666</v>
      </c>
      <c r="I10" s="78" t="s">
        <v>665</v>
      </c>
      <c r="J10" s="154" t="s">
        <v>397</v>
      </c>
      <c r="K10" s="161"/>
      <c r="L10" s="70" t="s">
        <v>664</v>
      </c>
      <c r="M10" s="70">
        <v>52</v>
      </c>
    </row>
    <row r="11" spans="1:13" ht="20.100000000000001" customHeight="1" x14ac:dyDescent="0.2">
      <c r="A11" s="164" t="s">
        <v>42</v>
      </c>
      <c r="B11" s="163" t="s">
        <v>663</v>
      </c>
      <c r="C11" s="162" t="s">
        <v>711</v>
      </c>
      <c r="D11" s="203" t="s">
        <v>399</v>
      </c>
      <c r="E11" s="97">
        <f>VLOOKUP(Table236284748[[#This Row],[Data]],Table6675[],2,0)</f>
        <v>10</v>
      </c>
      <c r="F11" s="70" t="s">
        <v>661</v>
      </c>
      <c r="G11" s="74" t="s">
        <v>29</v>
      </c>
      <c r="H11" s="95" t="s">
        <v>660</v>
      </c>
      <c r="I11" s="78" t="s">
        <v>659</v>
      </c>
      <c r="J11" s="154" t="s">
        <v>397</v>
      </c>
      <c r="K11" s="161"/>
      <c r="L11" s="70" t="s">
        <v>658</v>
      </c>
      <c r="M11" s="70">
        <v>1</v>
      </c>
    </row>
    <row r="12" spans="1:13" ht="20.100000000000001" customHeight="1" x14ac:dyDescent="0.2">
      <c r="A12" s="160" t="s">
        <v>43</v>
      </c>
      <c r="B12" s="163" t="s">
        <v>657</v>
      </c>
      <c r="C12" s="97" t="str">
        <f>VLOOKUP(C11,Table6675[],3,0)</f>
        <v>005 : บางเขน</v>
      </c>
      <c r="D12" s="203" t="s">
        <v>399</v>
      </c>
      <c r="E12" s="97">
        <f>VLOOKUP(C11,Table6675[],4,0)</f>
        <v>652</v>
      </c>
      <c r="F12" s="70" t="s">
        <v>656</v>
      </c>
      <c r="G12" s="74" t="s">
        <v>29</v>
      </c>
      <c r="H12" s="95" t="s">
        <v>655</v>
      </c>
      <c r="I12" s="78" t="s">
        <v>654</v>
      </c>
      <c r="J12" s="154" t="s">
        <v>397</v>
      </c>
      <c r="K12" s="161"/>
      <c r="L12" s="70" t="s">
        <v>653</v>
      </c>
      <c r="M12" s="70">
        <v>2</v>
      </c>
    </row>
    <row r="13" spans="1:13" ht="20.100000000000001" customHeight="1" x14ac:dyDescent="0.2">
      <c r="A13" s="164" t="s">
        <v>44</v>
      </c>
      <c r="B13" s="163" t="s">
        <v>652</v>
      </c>
      <c r="C13" s="97" t="str">
        <f>VLOOKUP(C11,Table6675[],7,0)</f>
        <v>001 : ลาดยาว</v>
      </c>
      <c r="D13" s="203" t="s">
        <v>399</v>
      </c>
      <c r="E13" s="97">
        <f>VLOOKUP(C11,Table6675[],8,0)</f>
        <v>90</v>
      </c>
      <c r="F13" s="70" t="s">
        <v>651</v>
      </c>
      <c r="G13" s="74" t="s">
        <v>29</v>
      </c>
      <c r="H13" s="162" t="s">
        <v>650</v>
      </c>
      <c r="I13" s="95"/>
      <c r="J13" s="154" t="s">
        <v>397</v>
      </c>
      <c r="K13" s="161"/>
      <c r="L13" s="70" t="s">
        <v>649</v>
      </c>
      <c r="M13" s="70">
        <v>3</v>
      </c>
    </row>
    <row r="14" spans="1:13" ht="20.100000000000001" customHeight="1" x14ac:dyDescent="0.2">
      <c r="A14" s="160" t="s">
        <v>45</v>
      </c>
      <c r="B14" s="136" t="s">
        <v>408</v>
      </c>
      <c r="C14" s="159"/>
      <c r="D14" s="107" t="s">
        <v>402</v>
      </c>
      <c r="E14" s="158"/>
      <c r="F14" s="157"/>
      <c r="G14" s="91" t="s">
        <v>60</v>
      </c>
      <c r="H14" s="156" t="s">
        <v>647</v>
      </c>
      <c r="I14" s="155" t="s">
        <v>646</v>
      </c>
      <c r="J14" s="154" t="s">
        <v>397</v>
      </c>
      <c r="L14" s="70" t="s">
        <v>645</v>
      </c>
      <c r="M14" s="70">
        <v>4</v>
      </c>
    </row>
    <row r="16" spans="1:13" ht="20.100000000000001" customHeight="1" x14ac:dyDescent="0.2">
      <c r="L16" s="85" t="s">
        <v>644</v>
      </c>
      <c r="M16" s="79" t="s">
        <v>33</v>
      </c>
    </row>
    <row r="17" spans="12:31" ht="20.100000000000001" customHeight="1" x14ac:dyDescent="0.2">
      <c r="L17" s="70" t="s">
        <v>643</v>
      </c>
      <c r="M17" s="70">
        <v>214</v>
      </c>
    </row>
    <row r="19" spans="12:31" ht="20.100000000000001" customHeight="1" x14ac:dyDescent="0.2">
      <c r="L19" s="153"/>
      <c r="M19" s="109"/>
      <c r="N19" s="69"/>
      <c r="O19" s="109"/>
      <c r="P19" s="109"/>
      <c r="Q19" s="109"/>
      <c r="R19" s="69"/>
      <c r="S19" s="109"/>
      <c r="T19" s="109"/>
    </row>
    <row r="20" spans="12:31" ht="20.100000000000001" customHeight="1" x14ac:dyDescent="0.2">
      <c r="L20" s="70"/>
      <c r="M20" s="70"/>
      <c r="N20" s="70"/>
      <c r="O20" s="70"/>
      <c r="P20" s="70"/>
      <c r="Q20" s="70"/>
      <c r="R20" s="70"/>
      <c r="S20" s="70"/>
      <c r="T20" s="70"/>
    </row>
    <row r="21" spans="12:31" ht="20.100000000000001" customHeight="1" x14ac:dyDescent="0.2">
      <c r="L21" s="70"/>
      <c r="M21" s="70"/>
      <c r="N21" s="70"/>
      <c r="O21" s="70"/>
      <c r="P21" s="70"/>
      <c r="Q21" s="70"/>
      <c r="R21" s="70"/>
      <c r="S21" s="70"/>
      <c r="T21" s="70"/>
    </row>
    <row r="22" spans="12:31" ht="20.100000000000001" customHeight="1" x14ac:dyDescent="0.2">
      <c r="L22" s="70"/>
      <c r="M22" s="70"/>
      <c r="N22" s="70"/>
      <c r="O22" s="70"/>
      <c r="P22" s="70"/>
      <c r="Q22" s="70"/>
      <c r="R22" s="70"/>
      <c r="S22" s="70"/>
      <c r="T22" s="70"/>
    </row>
    <row r="23" spans="12:31" ht="20.100000000000001" customHeight="1" thickBot="1" x14ac:dyDescent="0.25">
      <c r="L23" s="70"/>
      <c r="M23" s="70"/>
      <c r="N23" s="70"/>
      <c r="O23" s="70"/>
      <c r="P23" s="70"/>
      <c r="Q23" s="70"/>
      <c r="R23" s="70"/>
      <c r="S23" s="70"/>
      <c r="T23" s="70"/>
      <c r="U23" s="152"/>
    </row>
    <row r="24" spans="12:31" ht="20.100000000000001" customHeight="1" x14ac:dyDescent="0.2">
      <c r="L24" s="70"/>
      <c r="M24" s="70"/>
      <c r="N24" s="70"/>
      <c r="O24" s="70"/>
      <c r="P24" s="70"/>
      <c r="Q24" s="70"/>
      <c r="R24" s="70"/>
      <c r="S24" s="70"/>
      <c r="T24" s="70"/>
      <c r="U24" s="146"/>
    </row>
    <row r="25" spans="12:31" ht="20.100000000000001" customHeight="1" x14ac:dyDescent="0.2">
      <c r="U25" s="146"/>
    </row>
    <row r="26" spans="12:31" ht="20.100000000000001" customHeight="1" x14ac:dyDescent="0.2">
      <c r="U26" s="146"/>
    </row>
    <row r="27" spans="12:31" ht="20.100000000000001" customHeight="1" x14ac:dyDescent="0.2">
      <c r="U27" s="146"/>
    </row>
    <row r="28" spans="12:31" ht="20.100000000000001" customHeight="1" x14ac:dyDescent="0.2">
      <c r="U28" s="146"/>
    </row>
    <row r="29" spans="12:31" ht="20.100000000000001" customHeight="1" x14ac:dyDescent="0.2">
      <c r="W29" s="146"/>
    </row>
    <row r="30" spans="12:31" ht="20.100000000000001" customHeight="1" x14ac:dyDescent="0.2">
      <c r="L30" s="83"/>
      <c r="M30" s="69"/>
      <c r="N30" s="69"/>
      <c r="O30" s="69"/>
      <c r="P30" s="69"/>
      <c r="Q30" s="69"/>
      <c r="R30" s="69"/>
      <c r="S30" s="69"/>
      <c r="T30" s="81"/>
      <c r="U30" s="81"/>
      <c r="V30" s="82"/>
      <c r="W30" s="81"/>
      <c r="X30" s="81"/>
      <c r="Y30" s="81"/>
      <c r="Z30" s="81"/>
      <c r="AA30" s="81"/>
      <c r="AB30" s="81"/>
      <c r="AC30" s="81"/>
      <c r="AD30" s="81"/>
      <c r="AE30" s="81"/>
    </row>
    <row r="31" spans="12:31" ht="20.100000000000001" customHeight="1" x14ac:dyDescent="0.2">
      <c r="L31" s="80"/>
      <c r="M31" s="69"/>
    </row>
    <row r="32" spans="12:31" ht="20.100000000000001" customHeight="1" x14ac:dyDescent="0.2">
      <c r="L32" s="80"/>
      <c r="M32" s="69"/>
      <c r="N32" s="151"/>
      <c r="O32" s="148"/>
      <c r="P32" s="150"/>
      <c r="Q32" s="150"/>
      <c r="R32" s="146"/>
      <c r="S32" s="149"/>
      <c r="T32" s="146"/>
      <c r="U32" s="148"/>
      <c r="V32" s="146"/>
      <c r="W32" s="146"/>
      <c r="X32" s="146"/>
      <c r="Y32" s="146"/>
      <c r="Z32" s="146"/>
      <c r="AA32" s="148"/>
      <c r="AB32" s="146"/>
      <c r="AC32" s="146"/>
      <c r="AD32" s="146"/>
      <c r="AE32" s="145"/>
    </row>
    <row r="33" spans="12:31" ht="20.100000000000001" customHeight="1" x14ac:dyDescent="0.2">
      <c r="L33" s="80"/>
      <c r="M33" s="69"/>
      <c r="N33" s="151"/>
      <c r="O33" s="148"/>
      <c r="P33" s="150"/>
      <c r="Q33" s="147"/>
      <c r="R33" s="146"/>
      <c r="S33" s="149"/>
      <c r="T33" s="147"/>
      <c r="U33" s="148"/>
      <c r="V33" s="146"/>
      <c r="W33" s="147"/>
      <c r="X33" s="146"/>
      <c r="Y33" s="146"/>
      <c r="Z33" s="147"/>
      <c r="AA33" s="148"/>
      <c r="AB33" s="146"/>
      <c r="AC33" s="147"/>
      <c r="AD33" s="146"/>
      <c r="AE33" s="145"/>
    </row>
    <row r="34" spans="12:31" ht="20.100000000000001" customHeight="1" x14ac:dyDescent="0.2">
      <c r="L34" s="80"/>
      <c r="M34" s="69"/>
      <c r="N34" s="151"/>
      <c r="O34" s="148"/>
      <c r="P34" s="150"/>
      <c r="Q34" s="147"/>
      <c r="R34" s="146"/>
      <c r="S34" s="149"/>
      <c r="T34" s="147"/>
      <c r="U34" s="148"/>
      <c r="V34" s="146"/>
      <c r="W34" s="147"/>
      <c r="X34" s="146"/>
      <c r="Y34" s="146"/>
      <c r="Z34" s="147"/>
      <c r="AA34" s="148"/>
      <c r="AB34" s="146"/>
      <c r="AC34" s="147"/>
      <c r="AD34" s="146"/>
      <c r="AE34" s="145"/>
    </row>
    <row r="35" spans="12:31" ht="20.100000000000001" customHeight="1" x14ac:dyDescent="0.2">
      <c r="L35" s="80"/>
      <c r="M35" s="69"/>
      <c r="N35" s="151"/>
      <c r="O35" s="148"/>
      <c r="P35" s="150"/>
      <c r="Q35" s="147"/>
      <c r="R35" s="146"/>
      <c r="S35" s="149"/>
      <c r="T35" s="147"/>
      <c r="U35" s="148"/>
      <c r="V35" s="146"/>
      <c r="W35" s="147"/>
      <c r="X35" s="146"/>
      <c r="Y35" s="146"/>
      <c r="Z35" s="147"/>
      <c r="AA35" s="148"/>
      <c r="AB35" s="146"/>
      <c r="AC35" s="147"/>
      <c r="AD35" s="146"/>
      <c r="AE35" s="145"/>
    </row>
    <row r="36" spans="12:31" ht="20.100000000000001" customHeight="1" x14ac:dyDescent="0.2">
      <c r="L36" s="80"/>
      <c r="M36" s="69"/>
      <c r="N36" s="151"/>
      <c r="O36" s="148"/>
      <c r="P36" s="150"/>
      <c r="Q36" s="147"/>
      <c r="R36" s="146"/>
      <c r="S36" s="149"/>
      <c r="T36" s="147"/>
      <c r="U36" s="148"/>
      <c r="V36" s="146"/>
      <c r="W36" s="147"/>
      <c r="X36" s="146"/>
      <c r="Y36" s="146"/>
      <c r="Z36" s="147"/>
      <c r="AA36" s="148"/>
      <c r="AB36" s="146"/>
      <c r="AC36" s="147"/>
      <c r="AD36" s="146"/>
      <c r="AE36" s="145"/>
    </row>
    <row r="37" spans="12:31" ht="20.100000000000001" customHeight="1" x14ac:dyDescent="0.2">
      <c r="N37" s="144"/>
      <c r="O37" s="141"/>
      <c r="P37" s="143"/>
      <c r="Q37" s="140"/>
      <c r="R37" s="139"/>
      <c r="S37" s="142"/>
      <c r="T37" s="140"/>
      <c r="U37" s="141"/>
      <c r="V37" s="139"/>
      <c r="W37" s="140"/>
      <c r="X37" s="139"/>
      <c r="Y37" s="139"/>
      <c r="Z37" s="140"/>
      <c r="AA37" s="141"/>
      <c r="AB37" s="139"/>
      <c r="AC37" s="140"/>
      <c r="AD37" s="139"/>
      <c r="AE37" s="138"/>
    </row>
  </sheetData>
  <dataValidations count="6">
    <dataValidation type="list" allowBlank="1" showInputMessage="1" showErrorMessage="1" sqref="D6">
      <formula1>Field</formula1>
    </dataValidation>
    <dataValidation type="list" allowBlank="1" showInputMessage="1" showErrorMessage="1" sqref="C10">
      <formula1>$L$17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7">
      <formula1>$L$7:$L$7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AA32:AA37 O32:O37 U32:U37">
      <formula1>FieldRef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landProvince!$A$3:$A$7</xm:f>
          </x14:formula1>
          <xm:sqref>C11</xm:sqref>
        </x14:dataValidation>
        <x14:dataValidation type="list" allowBlank="1" showInputMessage="1" showErrorMessage="1">
          <x14:formula1>
            <xm:f>ext!$A$5:$A$12</xm:f>
          </x14:formula1>
          <xm:sqref>D4:D5 D7:D14</xm:sqref>
        </x14:dataValidation>
        <x14:dataValidation type="list" allowBlank="1" showInputMessage="1" showErrorMessage="1">
          <x14:formula1>
            <xm:f>ext!$C$5:$C$8</xm:f>
          </x14:formula1>
          <xm:sqref>G4:G5 G7:G14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D19" sqref="D19"/>
    </sheetView>
  </sheetViews>
  <sheetFormatPr defaultRowHeight="20.100000000000001" customHeight="1" x14ac:dyDescent="0.2"/>
  <cols>
    <col min="1" max="1" width="10.5703125" style="79" bestFit="1" customWidth="1"/>
    <col min="2" max="2" width="46.5703125" style="79" bestFit="1" customWidth="1"/>
    <col min="3" max="3" width="18.28515625" style="79" bestFit="1" customWidth="1"/>
    <col min="4" max="4" width="9.140625" style="79"/>
    <col min="5" max="5" width="8" style="79" bestFit="1" customWidth="1"/>
    <col min="6" max="6" width="38" style="79" bestFit="1" customWidth="1"/>
    <col min="7" max="7" width="17.28515625" style="79" bestFit="1" customWidth="1"/>
    <col min="8" max="8" width="45.7109375" style="79" bestFit="1" customWidth="1"/>
    <col min="9" max="9" width="22.42578125" style="79" bestFit="1" customWidth="1"/>
    <col min="10" max="11" width="9.140625" style="79"/>
    <col min="12" max="12" width="23.5703125" style="79" customWidth="1"/>
    <col min="13" max="13" width="8.5703125" style="79" customWidth="1"/>
    <col min="14" max="14" width="20.140625" style="79" bestFit="1" customWidth="1"/>
    <col min="15" max="15" width="9.5703125" style="79" bestFit="1" customWidth="1"/>
    <col min="16" max="16" width="18.28515625" style="79" bestFit="1" customWidth="1"/>
    <col min="17" max="17" width="71.140625" style="79" bestFit="1" customWidth="1"/>
    <col min="18" max="18" width="30.28515625" style="79" bestFit="1" customWidth="1"/>
    <col min="19" max="19" width="9.5703125" style="79" bestFit="1" customWidth="1"/>
    <col min="20" max="20" width="21.42578125" style="79" bestFit="1" customWidth="1"/>
    <col min="21" max="16384" width="9.140625" style="79"/>
  </cols>
  <sheetData>
    <row r="2" spans="1:20" ht="20.100000000000001" customHeight="1" x14ac:dyDescent="0.2">
      <c r="A2" s="90" t="s">
        <v>34</v>
      </c>
      <c r="B2" s="89" t="s">
        <v>14</v>
      </c>
      <c r="C2" s="89" t="s">
        <v>15</v>
      </c>
      <c r="D2" s="89" t="s">
        <v>17</v>
      </c>
      <c r="E2" s="105" t="s">
        <v>16</v>
      </c>
      <c r="F2" s="89" t="s">
        <v>20</v>
      </c>
      <c r="G2" s="88" t="s">
        <v>28</v>
      </c>
      <c r="H2" s="87" t="s">
        <v>27</v>
      </c>
      <c r="I2" s="86" t="s">
        <v>81</v>
      </c>
      <c r="J2" s="135" t="s">
        <v>411</v>
      </c>
      <c r="L2" s="177" t="s">
        <v>681</v>
      </c>
      <c r="M2" s="92" t="s">
        <v>33</v>
      </c>
    </row>
    <row r="3" spans="1:20" ht="20.100000000000001" customHeight="1" x14ac:dyDescent="0.2">
      <c r="A3" s="164" t="s">
        <v>18</v>
      </c>
      <c r="B3" s="115" t="s">
        <v>681</v>
      </c>
      <c r="C3" s="116"/>
      <c r="D3" s="113"/>
      <c r="E3" s="176"/>
      <c r="F3" s="175"/>
      <c r="G3" s="110"/>
      <c r="H3" s="116"/>
      <c r="I3" s="116"/>
      <c r="J3" s="182" t="s">
        <v>396</v>
      </c>
      <c r="L3" s="94" t="s">
        <v>684</v>
      </c>
      <c r="M3" s="92">
        <v>0</v>
      </c>
    </row>
    <row r="4" spans="1:20" ht="20.100000000000001" customHeight="1" x14ac:dyDescent="0.2">
      <c r="A4" s="160" t="s">
        <v>35</v>
      </c>
      <c r="B4" s="201" t="s">
        <v>683</v>
      </c>
      <c r="C4" s="202"/>
      <c r="D4" s="203" t="s">
        <v>402</v>
      </c>
      <c r="E4" s="204" t="e">
        <f>VLOOKUP(Table2362847487680[[#This Row],[Data]],Table252[#Data],2,0)</f>
        <v>#N/A</v>
      </c>
      <c r="F4" s="205" t="s">
        <v>682</v>
      </c>
      <c r="G4" s="74" t="s">
        <v>29</v>
      </c>
      <c r="H4" s="202"/>
      <c r="I4" s="202"/>
      <c r="J4" s="180" t="s">
        <v>397</v>
      </c>
      <c r="L4" s="173" t="s">
        <v>635</v>
      </c>
      <c r="M4" s="92">
        <v>1</v>
      </c>
    </row>
    <row r="5" spans="1:20" ht="20.100000000000001" customHeight="1" x14ac:dyDescent="0.2">
      <c r="A5" s="164" t="s">
        <v>36</v>
      </c>
      <c r="B5" s="172" t="s">
        <v>681</v>
      </c>
      <c r="C5" s="170" t="s">
        <v>635</v>
      </c>
      <c r="D5" s="203" t="s">
        <v>401</v>
      </c>
      <c r="E5" s="171">
        <f>VLOOKUP(Table23628474876[[#This Row],[Data]],Table64[],2,0)</f>
        <v>1</v>
      </c>
      <c r="F5" s="118" t="s">
        <v>680</v>
      </c>
      <c r="G5" s="91" t="s">
        <v>30</v>
      </c>
      <c r="H5" s="170" t="s">
        <v>676</v>
      </c>
      <c r="I5" s="70" t="s">
        <v>679</v>
      </c>
      <c r="J5" s="180" t="s">
        <v>397</v>
      </c>
    </row>
    <row r="6" spans="1:20" ht="20.100000000000001" customHeight="1" x14ac:dyDescent="0.2">
      <c r="A6" s="160" t="s">
        <v>37</v>
      </c>
      <c r="B6" s="120" t="s">
        <v>635</v>
      </c>
      <c r="C6" s="111"/>
      <c r="D6" s="113"/>
      <c r="E6" s="169"/>
      <c r="F6" s="112"/>
      <c r="G6" s="110"/>
      <c r="H6" s="111"/>
      <c r="I6" s="111"/>
      <c r="J6" s="182" t="s">
        <v>396</v>
      </c>
      <c r="L6" s="166" t="s">
        <v>678</v>
      </c>
      <c r="M6" s="79" t="s">
        <v>33</v>
      </c>
    </row>
    <row r="7" spans="1:20" ht="20.100000000000001" customHeight="1" x14ac:dyDescent="0.2">
      <c r="A7" s="164" t="s">
        <v>38</v>
      </c>
      <c r="B7" s="71" t="s">
        <v>678</v>
      </c>
      <c r="C7" s="99" t="s">
        <v>699</v>
      </c>
      <c r="D7" s="203" t="s">
        <v>399</v>
      </c>
      <c r="E7" s="97">
        <f>VLOOKUP(Table23628474876[[#This Row],[Data]],Table6578[],2,0)</f>
        <v>2</v>
      </c>
      <c r="F7" s="70" t="s">
        <v>677</v>
      </c>
      <c r="G7" s="74" t="s">
        <v>29</v>
      </c>
      <c r="H7" s="100" t="s">
        <v>676</v>
      </c>
      <c r="I7" s="70" t="s">
        <v>675</v>
      </c>
      <c r="J7" s="180" t="s">
        <v>397</v>
      </c>
      <c r="L7" s="70" t="s">
        <v>699</v>
      </c>
      <c r="M7" s="70">
        <v>2</v>
      </c>
    </row>
    <row r="8" spans="1:20" ht="20.100000000000001" customHeight="1" x14ac:dyDescent="0.2">
      <c r="A8" s="160" t="s">
        <v>39</v>
      </c>
      <c r="B8" s="71" t="s">
        <v>668</v>
      </c>
      <c r="C8" s="99" t="s">
        <v>658</v>
      </c>
      <c r="D8" s="203" t="s">
        <v>399</v>
      </c>
      <c r="E8" s="97">
        <f>VLOOKUP(Table23628474876[[#This Row],[Data]],Table69[],2,0)</f>
        <v>1</v>
      </c>
      <c r="F8" s="70" t="s">
        <v>673</v>
      </c>
      <c r="G8" s="74" t="s">
        <v>29</v>
      </c>
      <c r="H8" s="100" t="s">
        <v>672</v>
      </c>
      <c r="I8" s="78" t="s">
        <v>671</v>
      </c>
      <c r="J8" s="180" t="s">
        <v>397</v>
      </c>
    </row>
    <row r="9" spans="1:20" ht="20.100000000000001" customHeight="1" x14ac:dyDescent="0.2">
      <c r="A9" s="164" t="s">
        <v>40</v>
      </c>
      <c r="B9" s="71" t="s">
        <v>670</v>
      </c>
      <c r="C9" s="100" t="s">
        <v>698</v>
      </c>
      <c r="D9" s="203" t="s">
        <v>403</v>
      </c>
      <c r="E9" s="97"/>
      <c r="F9" s="70" t="s">
        <v>669</v>
      </c>
      <c r="G9" s="74" t="s">
        <v>29</v>
      </c>
      <c r="H9" s="117"/>
      <c r="I9" s="117"/>
      <c r="J9" s="180" t="s">
        <v>397</v>
      </c>
      <c r="L9" s="71" t="s">
        <v>668</v>
      </c>
      <c r="M9" s="79" t="s">
        <v>33</v>
      </c>
    </row>
    <row r="10" spans="1:20" ht="20.100000000000001" customHeight="1" x14ac:dyDescent="0.2">
      <c r="A10" s="160" t="s">
        <v>41</v>
      </c>
      <c r="B10" s="71" t="s">
        <v>644</v>
      </c>
      <c r="C10" s="165" t="s">
        <v>643</v>
      </c>
      <c r="D10" s="203" t="s">
        <v>399</v>
      </c>
      <c r="E10" s="97">
        <f>VLOOKUP(Table23628474876[[#This Row],[Data]],Table67[],2,0)</f>
        <v>214</v>
      </c>
      <c r="F10" s="70" t="s">
        <v>667</v>
      </c>
      <c r="G10" s="74" t="s">
        <v>29</v>
      </c>
      <c r="H10" s="100" t="s">
        <v>666</v>
      </c>
      <c r="I10" s="78" t="s">
        <v>665</v>
      </c>
      <c r="J10" s="180" t="s">
        <v>397</v>
      </c>
      <c r="L10" s="70" t="s">
        <v>664</v>
      </c>
      <c r="M10" s="70">
        <v>52</v>
      </c>
    </row>
    <row r="11" spans="1:20" ht="20.100000000000001" customHeight="1" x14ac:dyDescent="0.2">
      <c r="A11" s="164" t="s">
        <v>42</v>
      </c>
      <c r="B11" s="163" t="s">
        <v>663</v>
      </c>
      <c r="C11" s="162" t="s">
        <v>714</v>
      </c>
      <c r="D11" s="203" t="s">
        <v>399</v>
      </c>
      <c r="E11" s="97">
        <f>VLOOKUP(Table23628474876[[#This Row],[Data]],Table6675[],2,0)</f>
        <v>8</v>
      </c>
      <c r="F11" s="70" t="s">
        <v>661</v>
      </c>
      <c r="G11" s="74" t="s">
        <v>29</v>
      </c>
      <c r="H11" s="95" t="s">
        <v>660</v>
      </c>
      <c r="I11" s="78" t="s">
        <v>659</v>
      </c>
      <c r="J11" s="180" t="s">
        <v>397</v>
      </c>
      <c r="L11" s="70" t="s">
        <v>658</v>
      </c>
      <c r="M11" s="70">
        <v>1</v>
      </c>
    </row>
    <row r="12" spans="1:20" ht="20.100000000000001" customHeight="1" x14ac:dyDescent="0.2">
      <c r="A12" s="160" t="s">
        <v>43</v>
      </c>
      <c r="B12" s="163" t="s">
        <v>657</v>
      </c>
      <c r="C12" s="97" t="str">
        <f>VLOOKUP(C11,Table6675[],3,0)</f>
        <v>001 : ธัญบุรี (กลางเมือง)</v>
      </c>
      <c r="D12" s="203" t="s">
        <v>399</v>
      </c>
      <c r="E12" s="97">
        <f>VLOOKUP(C11,Table6675[],4,0)</f>
        <v>640</v>
      </c>
      <c r="F12" s="70" t="s">
        <v>656</v>
      </c>
      <c r="G12" s="74" t="s">
        <v>29</v>
      </c>
      <c r="H12" s="95" t="s">
        <v>655</v>
      </c>
      <c r="I12" s="78" t="s">
        <v>654</v>
      </c>
      <c r="J12" s="180" t="s">
        <v>397</v>
      </c>
      <c r="L12" s="70" t="s">
        <v>653</v>
      </c>
      <c r="M12" s="70">
        <v>2</v>
      </c>
    </row>
    <row r="13" spans="1:20" ht="20.100000000000001" customHeight="1" x14ac:dyDescent="0.2">
      <c r="A13" s="164" t="s">
        <v>44</v>
      </c>
      <c r="B13" s="163" t="s">
        <v>652</v>
      </c>
      <c r="C13" s="97" t="str">
        <f>VLOOKUP(C11,Table6675[],7,0)</f>
        <v>001 : ประชาธิปัตย์ (คลองรังสิตฝั่งเหนือ)</v>
      </c>
      <c r="D13" s="203" t="s">
        <v>399</v>
      </c>
      <c r="E13" s="97">
        <f>VLOOKUP(C11,Table6675[],8,0)</f>
        <v>1</v>
      </c>
      <c r="F13" s="70" t="s">
        <v>651</v>
      </c>
      <c r="G13" s="74" t="s">
        <v>29</v>
      </c>
      <c r="H13" s="162" t="s">
        <v>650</v>
      </c>
      <c r="I13" s="95"/>
      <c r="J13" s="180" t="s">
        <v>397</v>
      </c>
      <c r="L13" s="70" t="s">
        <v>649</v>
      </c>
      <c r="M13" s="70">
        <v>3</v>
      </c>
      <c r="N13" s="69"/>
      <c r="O13" s="109"/>
      <c r="P13" s="109"/>
      <c r="Q13" s="109"/>
      <c r="R13" s="69"/>
      <c r="S13" s="109"/>
      <c r="T13" s="109"/>
    </row>
    <row r="14" spans="1:20" ht="20.100000000000001" customHeight="1" x14ac:dyDescent="0.2">
      <c r="A14" s="160" t="s">
        <v>45</v>
      </c>
      <c r="B14" s="123" t="s">
        <v>696</v>
      </c>
      <c r="C14" s="100"/>
      <c r="D14" s="203" t="s">
        <v>721</v>
      </c>
      <c r="E14" s="97"/>
      <c r="F14" s="70" t="s">
        <v>695</v>
      </c>
      <c r="G14" s="122" t="s">
        <v>30</v>
      </c>
      <c r="H14" s="162"/>
      <c r="I14" s="95"/>
      <c r="J14" s="180"/>
      <c r="L14" s="70" t="s">
        <v>645</v>
      </c>
      <c r="M14" s="70">
        <v>4</v>
      </c>
      <c r="N14" s="70"/>
      <c r="O14" s="70"/>
      <c r="P14" s="70"/>
      <c r="Q14" s="70"/>
      <c r="R14" s="70"/>
      <c r="S14" s="70"/>
      <c r="T14" s="70"/>
    </row>
    <row r="15" spans="1:20" ht="20.100000000000001" customHeight="1" x14ac:dyDescent="0.2">
      <c r="A15" s="164" t="s">
        <v>98</v>
      </c>
      <c r="B15" s="71" t="s">
        <v>694</v>
      </c>
      <c r="C15" s="100"/>
      <c r="D15" s="203" t="s">
        <v>403</v>
      </c>
      <c r="E15" s="97"/>
      <c r="F15" s="70" t="s">
        <v>693</v>
      </c>
      <c r="G15" s="74" t="s">
        <v>29</v>
      </c>
      <c r="H15" s="162"/>
      <c r="I15" s="95"/>
      <c r="J15" s="180"/>
      <c r="N15" s="70"/>
      <c r="O15" s="70"/>
      <c r="P15" s="70"/>
      <c r="Q15" s="70"/>
      <c r="R15" s="70"/>
      <c r="S15" s="70"/>
      <c r="T15" s="70"/>
    </row>
    <row r="16" spans="1:20" ht="20.100000000000001" customHeight="1" x14ac:dyDescent="0.2">
      <c r="A16" s="160" t="s">
        <v>99</v>
      </c>
      <c r="B16" s="71" t="s">
        <v>692</v>
      </c>
      <c r="C16" s="100"/>
      <c r="D16" s="203" t="s">
        <v>403</v>
      </c>
      <c r="E16" s="97"/>
      <c r="F16" s="70" t="s">
        <v>691</v>
      </c>
      <c r="G16" s="74" t="s">
        <v>29</v>
      </c>
      <c r="H16" s="162"/>
      <c r="I16" s="95"/>
      <c r="J16" s="180"/>
      <c r="L16" s="70"/>
      <c r="M16" s="70"/>
      <c r="N16" s="70"/>
      <c r="O16" s="70"/>
      <c r="P16" s="70"/>
      <c r="Q16" s="70"/>
      <c r="R16" s="70"/>
      <c r="S16" s="70"/>
      <c r="T16" s="70"/>
    </row>
    <row r="17" spans="1:20" ht="20.100000000000001" customHeight="1" x14ac:dyDescent="0.2">
      <c r="A17" s="164" t="s">
        <v>100</v>
      </c>
      <c r="B17" s="71" t="s">
        <v>690</v>
      </c>
      <c r="C17" s="100"/>
      <c r="D17" s="203" t="s">
        <v>403</v>
      </c>
      <c r="E17" s="97"/>
      <c r="F17" s="70" t="s">
        <v>689</v>
      </c>
      <c r="G17" s="74" t="s">
        <v>29</v>
      </c>
      <c r="H17" s="162"/>
      <c r="I17" s="95"/>
      <c r="J17" s="180"/>
      <c r="L17" s="70"/>
      <c r="M17" s="70"/>
      <c r="N17" s="70"/>
      <c r="O17" s="70"/>
      <c r="P17" s="70"/>
      <c r="Q17" s="70"/>
      <c r="R17" s="70"/>
      <c r="S17" s="70"/>
      <c r="T17" s="70"/>
    </row>
    <row r="18" spans="1:20" ht="20.100000000000001" customHeight="1" x14ac:dyDescent="0.2">
      <c r="A18" s="160" t="s">
        <v>102</v>
      </c>
      <c r="B18" s="181" t="s">
        <v>688</v>
      </c>
      <c r="C18" s="100"/>
      <c r="D18" s="203" t="s">
        <v>721</v>
      </c>
      <c r="E18" s="97"/>
      <c r="F18" s="70" t="s">
        <v>687</v>
      </c>
      <c r="G18" s="74" t="s">
        <v>30</v>
      </c>
      <c r="H18" s="162"/>
      <c r="I18" s="95"/>
      <c r="J18" s="180"/>
      <c r="L18" s="70"/>
      <c r="M18" s="70"/>
      <c r="N18" s="70"/>
      <c r="O18" s="70"/>
      <c r="P18" s="70"/>
      <c r="Q18" s="70"/>
      <c r="R18" s="70"/>
      <c r="S18" s="70"/>
      <c r="T18" s="70"/>
    </row>
    <row r="19" spans="1:20" ht="20.100000000000001" customHeight="1" x14ac:dyDescent="0.2">
      <c r="A19" s="164" t="s">
        <v>160</v>
      </c>
      <c r="B19" s="71" t="s">
        <v>686</v>
      </c>
      <c r="C19" s="100"/>
      <c r="D19" s="203" t="s">
        <v>403</v>
      </c>
      <c r="E19" s="97"/>
      <c r="F19" s="70" t="s">
        <v>685</v>
      </c>
      <c r="G19" s="74" t="s">
        <v>29</v>
      </c>
      <c r="H19" s="162"/>
      <c r="I19" s="95"/>
      <c r="J19" s="180"/>
    </row>
    <row r="20" spans="1:20" ht="20.100000000000001" customHeight="1" x14ac:dyDescent="0.2">
      <c r="A20" s="160" t="s">
        <v>161</v>
      </c>
      <c r="B20" s="136" t="s">
        <v>408</v>
      </c>
      <c r="C20" s="159"/>
      <c r="D20" s="203" t="s">
        <v>402</v>
      </c>
      <c r="E20" s="158"/>
      <c r="F20" s="157"/>
      <c r="G20" s="122" t="s">
        <v>60</v>
      </c>
      <c r="H20" s="156" t="s">
        <v>647</v>
      </c>
      <c r="I20" s="155" t="s">
        <v>646</v>
      </c>
      <c r="J20" s="154" t="s">
        <v>397</v>
      </c>
    </row>
  </sheetData>
  <dataValidations count="6">
    <dataValidation type="list" allowBlank="1" showInputMessage="1" showErrorMessage="1" sqref="D6">
      <formula1>Field</formula1>
    </dataValidation>
    <dataValidation type="list" allowBlank="1" showInputMessage="1" showErrorMessage="1" sqref="C5">
      <formula1>$L$2:$L$3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G5">
      <formula1>FieldRef</formula1>
    </dataValidation>
    <dataValidation type="list" allowBlank="1" showInputMessage="1" showErrorMessage="1" sqref="C10">
      <formula1>$L$17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landProvince!$A$3:$A$7</xm:f>
          </x14:formula1>
          <xm:sqref>C11</xm:sqref>
        </x14:dataValidation>
        <x14:dataValidation type="list" allowBlank="1" showInputMessage="1" showErrorMessage="1">
          <x14:formula1>
            <xm:f>ext!$A$5:$A$12</xm:f>
          </x14:formula1>
          <xm:sqref>D4:D5 D7:D20</xm:sqref>
        </x14:dataValidation>
        <x14:dataValidation type="list" allowBlank="1" showInputMessage="1" showErrorMessage="1">
          <x14:formula1>
            <xm:f>ext!$C$5:$C$8</xm:f>
          </x14:formula1>
          <xm:sqref>G4 G7:G20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A24" sqref="A24"/>
    </sheetView>
  </sheetViews>
  <sheetFormatPr defaultRowHeight="20.100000000000001" customHeight="1" x14ac:dyDescent="0.2"/>
  <cols>
    <col min="1" max="1" width="6" style="79" bestFit="1" customWidth="1"/>
    <col min="2" max="3" width="21.140625" style="79" bestFit="1" customWidth="1"/>
    <col min="4" max="4" width="9.140625" style="79"/>
    <col min="5" max="5" width="5.7109375" style="79" bestFit="1" customWidth="1"/>
    <col min="6" max="6" width="21.42578125" style="79" bestFit="1" customWidth="1"/>
    <col min="7" max="7" width="13.7109375" style="79" customWidth="1"/>
    <col min="8" max="8" width="45.7109375" style="79" bestFit="1" customWidth="1"/>
    <col min="9" max="9" width="22.42578125" style="79" bestFit="1" customWidth="1"/>
    <col min="10" max="11" width="9.140625" style="79"/>
    <col min="12" max="12" width="21.140625" style="79" bestFit="1" customWidth="1"/>
    <col min="13" max="13" width="9" style="79" customWidth="1"/>
    <col min="14" max="16384" width="9.140625" style="79"/>
  </cols>
  <sheetData>
    <row r="2" spans="1:13" ht="20.100000000000001" customHeight="1" x14ac:dyDescent="0.2">
      <c r="A2" s="90" t="s">
        <v>34</v>
      </c>
      <c r="B2" s="89" t="s">
        <v>14</v>
      </c>
      <c r="C2" s="89" t="s">
        <v>15</v>
      </c>
      <c r="D2" s="89" t="s">
        <v>17</v>
      </c>
      <c r="E2" s="105" t="s">
        <v>16</v>
      </c>
      <c r="F2" s="89" t="s">
        <v>20</v>
      </c>
      <c r="G2" s="88" t="s">
        <v>28</v>
      </c>
      <c r="H2" s="87" t="s">
        <v>27</v>
      </c>
      <c r="I2" s="86" t="s">
        <v>81</v>
      </c>
      <c r="J2" s="135" t="s">
        <v>411</v>
      </c>
      <c r="K2" s="200"/>
      <c r="L2" s="177" t="s">
        <v>681</v>
      </c>
      <c r="M2" s="92" t="s">
        <v>33</v>
      </c>
    </row>
    <row r="3" spans="1:13" ht="20.100000000000001" customHeight="1" x14ac:dyDescent="0.2">
      <c r="A3" s="188" t="s">
        <v>18</v>
      </c>
      <c r="B3" s="114" t="s">
        <v>681</v>
      </c>
      <c r="C3" s="111"/>
      <c r="D3" s="113"/>
      <c r="E3" s="169"/>
      <c r="F3" s="193"/>
      <c r="G3" s="110"/>
      <c r="H3" s="111"/>
      <c r="I3" s="111"/>
      <c r="J3" s="182" t="s">
        <v>396</v>
      </c>
      <c r="K3" s="100"/>
      <c r="L3" s="94" t="s">
        <v>684</v>
      </c>
      <c r="M3" s="92">
        <v>0</v>
      </c>
    </row>
    <row r="4" spans="1:13" ht="20.100000000000001" customHeight="1" x14ac:dyDescent="0.2">
      <c r="A4" s="187" t="s">
        <v>35</v>
      </c>
      <c r="B4" s="199" t="s">
        <v>683</v>
      </c>
      <c r="C4" s="196"/>
      <c r="D4" s="174" t="s">
        <v>648</v>
      </c>
      <c r="E4" s="198" t="e">
        <f>VLOOKUP(Table2362847487680[[#This Row],[Data]],Table252[#Data],2,0)</f>
        <v>#N/A</v>
      </c>
      <c r="F4" s="197" t="s">
        <v>682</v>
      </c>
      <c r="G4" s="122" t="s">
        <v>29</v>
      </c>
      <c r="H4" s="196"/>
      <c r="I4" s="196"/>
      <c r="J4" s="180" t="s">
        <v>397</v>
      </c>
      <c r="K4" s="100"/>
      <c r="L4" s="173" t="s">
        <v>635</v>
      </c>
      <c r="M4" s="92">
        <v>1</v>
      </c>
    </row>
    <row r="5" spans="1:13" ht="20.100000000000001" customHeight="1" x14ac:dyDescent="0.2">
      <c r="A5" s="188" t="s">
        <v>36</v>
      </c>
      <c r="B5" s="195" t="s">
        <v>681</v>
      </c>
      <c r="C5" s="170" t="s">
        <v>635</v>
      </c>
      <c r="D5" s="121" t="s">
        <v>59</v>
      </c>
      <c r="E5" s="185">
        <f>VLOOKUP(Table2362847487680[[#This Row],[Data]],Table64[],2,0)</f>
        <v>1</v>
      </c>
      <c r="F5" s="194" t="s">
        <v>680</v>
      </c>
      <c r="G5" s="91" t="s">
        <v>30</v>
      </c>
      <c r="H5" s="170"/>
      <c r="I5" s="189"/>
      <c r="J5" s="180" t="s">
        <v>397</v>
      </c>
      <c r="K5" s="100"/>
    </row>
    <row r="6" spans="1:13" ht="20.100000000000001" customHeight="1" x14ac:dyDescent="0.2">
      <c r="A6" s="187" t="s">
        <v>37</v>
      </c>
      <c r="B6" s="120" t="s">
        <v>635</v>
      </c>
      <c r="C6" s="111"/>
      <c r="D6" s="113"/>
      <c r="E6" s="169"/>
      <c r="F6" s="193"/>
      <c r="G6" s="110"/>
      <c r="H6" s="111"/>
      <c r="I6" s="111"/>
      <c r="J6" s="182" t="s">
        <v>396</v>
      </c>
      <c r="K6" s="100"/>
      <c r="L6" s="166" t="s">
        <v>678</v>
      </c>
      <c r="M6" s="79" t="s">
        <v>33</v>
      </c>
    </row>
    <row r="7" spans="1:13" ht="20.100000000000001" customHeight="1" x14ac:dyDescent="0.2">
      <c r="A7" s="188" t="s">
        <v>38</v>
      </c>
      <c r="B7" s="71" t="s">
        <v>678</v>
      </c>
      <c r="C7" s="190" t="s">
        <v>702</v>
      </c>
      <c r="D7" s="98" t="s">
        <v>57</v>
      </c>
      <c r="E7" s="185">
        <f>VLOOKUP(Table2362847487680[[#This Row],[Data]],Table6582[],2,0)</f>
        <v>1</v>
      </c>
      <c r="F7" s="186" t="s">
        <v>677</v>
      </c>
      <c r="G7" s="91" t="s">
        <v>29</v>
      </c>
      <c r="H7" s="190" t="s">
        <v>676</v>
      </c>
      <c r="I7" s="189" t="s">
        <v>675</v>
      </c>
      <c r="J7" s="180" t="s">
        <v>397</v>
      </c>
      <c r="K7" s="100"/>
      <c r="L7" s="70" t="s">
        <v>702</v>
      </c>
      <c r="M7" s="79">
        <v>1</v>
      </c>
    </row>
    <row r="8" spans="1:13" ht="20.100000000000001" customHeight="1" x14ac:dyDescent="0.2">
      <c r="A8" s="187" t="s">
        <v>39</v>
      </c>
      <c r="B8" s="71" t="s">
        <v>668</v>
      </c>
      <c r="C8" s="190" t="s">
        <v>701</v>
      </c>
      <c r="D8" s="98" t="s">
        <v>57</v>
      </c>
      <c r="E8" s="185">
        <f>VLOOKUP(Table2362847487680[[#This Row],[Data]],Table6984[],2,0)</f>
        <v>82</v>
      </c>
      <c r="F8" s="186" t="s">
        <v>673</v>
      </c>
      <c r="G8" s="91" t="s">
        <v>29</v>
      </c>
      <c r="H8" s="190" t="s">
        <v>672</v>
      </c>
      <c r="I8" s="189" t="s">
        <v>671</v>
      </c>
      <c r="J8" s="180" t="s">
        <v>397</v>
      </c>
      <c r="K8" s="100"/>
      <c r="L8" s="70"/>
    </row>
    <row r="9" spans="1:13" ht="20.100000000000001" customHeight="1" x14ac:dyDescent="0.2">
      <c r="A9" s="188" t="s">
        <v>40</v>
      </c>
      <c r="B9" s="71" t="s">
        <v>670</v>
      </c>
      <c r="C9" s="190"/>
      <c r="D9" s="119" t="s">
        <v>56</v>
      </c>
      <c r="E9" s="185"/>
      <c r="F9" s="186" t="s">
        <v>669</v>
      </c>
      <c r="G9" s="91" t="s">
        <v>29</v>
      </c>
      <c r="H9" s="192"/>
      <c r="I9" s="192"/>
      <c r="J9" s="180" t="s">
        <v>397</v>
      </c>
      <c r="K9" s="100"/>
      <c r="L9" s="71" t="s">
        <v>668</v>
      </c>
      <c r="M9" s="79" t="s">
        <v>33</v>
      </c>
    </row>
    <row r="10" spans="1:13" ht="20.100000000000001" customHeight="1" x14ac:dyDescent="0.2">
      <c r="A10" s="187" t="s">
        <v>41</v>
      </c>
      <c r="B10" s="71" t="s">
        <v>644</v>
      </c>
      <c r="C10" s="191" t="s">
        <v>643</v>
      </c>
      <c r="D10" s="98" t="s">
        <v>57</v>
      </c>
      <c r="E10" s="185">
        <f>VLOOKUP(Table2362847487680[[#This Row],[Data]],Table67[],2,0)</f>
        <v>214</v>
      </c>
      <c r="F10" s="186" t="s">
        <v>667</v>
      </c>
      <c r="G10" s="96" t="s">
        <v>29</v>
      </c>
      <c r="H10" s="190" t="s">
        <v>666</v>
      </c>
      <c r="I10" s="189" t="s">
        <v>665</v>
      </c>
      <c r="J10" s="180" t="s">
        <v>397</v>
      </c>
      <c r="K10" s="100"/>
      <c r="L10" s="70" t="s">
        <v>701</v>
      </c>
      <c r="M10" s="70">
        <v>82</v>
      </c>
    </row>
    <row r="11" spans="1:13" ht="20.100000000000001" customHeight="1" x14ac:dyDescent="0.2">
      <c r="A11" s="188" t="s">
        <v>42</v>
      </c>
      <c r="B11" s="163" t="s">
        <v>663</v>
      </c>
      <c r="C11" s="183" t="s">
        <v>700</v>
      </c>
      <c r="D11" s="108" t="s">
        <v>57</v>
      </c>
      <c r="E11" s="185">
        <f>VLOOKUP(Table2362847487680[[#This Row],[Data]],Table6675[],2,0)</f>
        <v>56</v>
      </c>
      <c r="F11" s="186" t="s">
        <v>661</v>
      </c>
      <c r="G11" s="96" t="s">
        <v>29</v>
      </c>
      <c r="H11" s="183" t="s">
        <v>660</v>
      </c>
      <c r="I11" s="189" t="s">
        <v>659</v>
      </c>
      <c r="J11" s="180" t="s">
        <v>397</v>
      </c>
      <c r="K11" s="100"/>
    </row>
    <row r="12" spans="1:13" ht="20.100000000000001" customHeight="1" x14ac:dyDescent="0.2">
      <c r="A12" s="187" t="s">
        <v>43</v>
      </c>
      <c r="B12" s="163" t="s">
        <v>657</v>
      </c>
      <c r="C12" s="185" t="str">
        <f>VLOOKUP(C11,Table6675[],3,0)</f>
        <v>001 : เมืองนครสวรรค์</v>
      </c>
      <c r="D12" s="108" t="s">
        <v>57</v>
      </c>
      <c r="E12" s="185">
        <f>VLOOKUP(C11,Table6675[],4,0)</f>
        <v>444</v>
      </c>
      <c r="F12" s="186" t="s">
        <v>656</v>
      </c>
      <c r="G12" s="96" t="s">
        <v>29</v>
      </c>
      <c r="H12" s="183" t="s">
        <v>655</v>
      </c>
      <c r="I12" s="189" t="s">
        <v>654</v>
      </c>
      <c r="J12" s="180" t="s">
        <v>397</v>
      </c>
      <c r="K12" s="100"/>
      <c r="L12" s="85" t="s">
        <v>644</v>
      </c>
      <c r="M12" s="79" t="s">
        <v>33</v>
      </c>
    </row>
    <row r="13" spans="1:13" ht="20.100000000000001" customHeight="1" x14ac:dyDescent="0.2">
      <c r="A13" s="188" t="s">
        <v>44</v>
      </c>
      <c r="B13" s="163" t="s">
        <v>652</v>
      </c>
      <c r="C13" s="185" t="str">
        <f>VLOOKUP(C11,Table6675[],7,0)</f>
        <v>001 : ปากน้ำโพ</v>
      </c>
      <c r="D13" s="108" t="s">
        <v>57</v>
      </c>
      <c r="E13" s="185">
        <f>VLOOKUP(C11,Table6675[],8,0)</f>
        <v>6425</v>
      </c>
      <c r="F13" s="186" t="s">
        <v>651</v>
      </c>
      <c r="G13" s="96" t="s">
        <v>29</v>
      </c>
      <c r="H13" s="183" t="s">
        <v>650</v>
      </c>
      <c r="I13" s="183"/>
      <c r="J13" s="180" t="s">
        <v>397</v>
      </c>
      <c r="K13" s="100"/>
      <c r="L13" s="70" t="s">
        <v>643</v>
      </c>
      <c r="M13" s="70">
        <v>214</v>
      </c>
    </row>
    <row r="14" spans="1:13" ht="20.100000000000001" customHeight="1" x14ac:dyDescent="0.2">
      <c r="A14" s="187" t="s">
        <v>45</v>
      </c>
      <c r="B14" s="163" t="s">
        <v>408</v>
      </c>
      <c r="C14" s="186"/>
      <c r="D14" s="98" t="s">
        <v>648</v>
      </c>
      <c r="E14" s="185"/>
      <c r="F14" s="184"/>
      <c r="G14" s="91" t="s">
        <v>60</v>
      </c>
      <c r="H14" s="183" t="s">
        <v>647</v>
      </c>
      <c r="I14" s="78" t="s">
        <v>646</v>
      </c>
      <c r="J14" s="180" t="s">
        <v>397</v>
      </c>
    </row>
  </sheetData>
  <dataValidations count="6">
    <dataValidation type="list" allowBlank="1" showInputMessage="1" showErrorMessage="1" sqref="C8">
      <formula1>$L$10</formula1>
    </dataValidation>
    <dataValidation type="list" allowBlank="1" showInputMessage="1" showErrorMessage="1" sqref="C10">
      <formula1>$L$13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G4:G5 G7:G14">
      <formula1>FieldRef</formula1>
    </dataValidation>
    <dataValidation type="list" allowBlank="1" showInputMessage="1" showErrorMessage="1" sqref="D4:D14">
      <formula1>Field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landProvince!#REF!</xm:f>
          </x14:formula1>
          <xm:sqref>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ISIC</vt:lpstr>
      <vt:lpstr>ext</vt:lpstr>
      <vt:lpstr>register_com</vt:lpstr>
      <vt:lpstr>customer_add</vt:lpstr>
      <vt:lpstr>loanform_add</vt:lpstr>
      <vt:lpstr>warrantoradd</vt:lpstr>
      <vt:lpstr>collateralAddLand</vt:lpstr>
      <vt:lpstr>collateralAddLandandBuilding</vt:lpstr>
      <vt:lpstr>collateralAddBuilding</vt:lpstr>
      <vt:lpstr>landProvince</vt:lpstr>
      <vt:lpstr>register_com!Field</vt:lpstr>
      <vt:lpstr>Field</vt:lpstr>
      <vt:lpstr>register_com!FieldRef</vt:lpstr>
      <vt:lpstr>FieldRef</vt:lpstr>
      <vt:lpstr>sdasd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Omsub Sukkhee</dc:creator>
  <cp:lastModifiedBy>EthanHuntTB1</cp:lastModifiedBy>
  <dcterms:created xsi:type="dcterms:W3CDTF">2015-09-07T02:35:54Z</dcterms:created>
  <dcterms:modified xsi:type="dcterms:W3CDTF">2015-09-16T08:17:17Z</dcterms:modified>
</cp:coreProperties>
</file>