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3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HuntTB1\Desktop\"/>
    </mc:Choice>
  </mc:AlternateContent>
  <bookViews>
    <workbookView xWindow="0" yWindow="0" windowWidth="11490" windowHeight="2265" activeTab="2"/>
  </bookViews>
  <sheets>
    <sheet name="login" sheetId="1" r:id="rId1"/>
    <sheet name="register_csm" sheetId="5" r:id="rId2"/>
    <sheet name="customer_add" sheetId="16" r:id="rId3"/>
    <sheet name="register_com" sheetId="6" r:id="rId4"/>
    <sheet name="loan_add" sheetId="7" r:id="rId5"/>
    <sheet name="loan_config" sheetId="8" r:id="rId6"/>
    <sheet name="ISIC" sheetId="9" r:id="rId7"/>
    <sheet name="ext" sheetId="4" r:id="rId8"/>
    <sheet name="otherInfo" sheetId="10" r:id="rId9"/>
    <sheet name="incomefromsalary" sheetId="12" r:id="rId10"/>
    <sheet name="incomefromcareer" sheetId="11" r:id="rId11"/>
    <sheet name="expense" sheetId="13" r:id="rId12"/>
    <sheet name="Non NCB" sheetId="14" r:id="rId13"/>
    <sheet name="warrantoradd" sheetId="15" r:id="rId14"/>
    <sheet name="collateralAddLand" sheetId="18" r:id="rId15"/>
    <sheet name="collateralAddLandandBuilding" sheetId="17" r:id="rId16"/>
    <sheet name="collateralAddBuilding" sheetId="20" r:id="rId17"/>
    <sheet name="landProvince" sheetId="19" r:id="rId18"/>
  </sheets>
  <externalReferences>
    <externalReference r:id="rId19"/>
  </externalReferences>
  <definedNames>
    <definedName name="ccc" localSheetId="2">#REF!</definedName>
    <definedName name="ccc" localSheetId="10">#REF!</definedName>
    <definedName name="ccc" localSheetId="9">#REF!</definedName>
    <definedName name="ccc" localSheetId="8">#REF!</definedName>
    <definedName name="ccc">#REF!</definedName>
    <definedName name="Field" localSheetId="2">[1]!tbl_field[list_field]</definedName>
    <definedName name="Field" localSheetId="10">[1]!tbl_field[list_field]</definedName>
    <definedName name="Field" localSheetId="9">[1]!tbl_field[list_field]</definedName>
    <definedName name="Field" localSheetId="8">[1]!tbl_field[list_field]</definedName>
    <definedName name="Field" localSheetId="3">tbl_field[list_field]</definedName>
    <definedName name="Field" localSheetId="1">tbl_field[list_field]</definedName>
    <definedName name="Field">tbl_field[list_field]</definedName>
    <definedName name="FieldRef" localSheetId="2">[1]!tbl_fieldref[list_fieldref]</definedName>
    <definedName name="FieldRef" localSheetId="10">[1]!tbl_fieldref[list_fieldref]</definedName>
    <definedName name="FieldRef" localSheetId="9">[1]!tbl_fieldref[list_fieldref]</definedName>
    <definedName name="FieldRef" localSheetId="8">[1]!tbl_fieldref[list_fieldref]</definedName>
    <definedName name="FieldRef" localSheetId="3">tbl_fieldref[list_fieldref]</definedName>
    <definedName name="FieldRef" localSheetId="1">tbl_fieldref[list_fieldref]</definedName>
    <definedName name="FieldRef">tbl_fieldref[list_fieldref]</definedName>
    <definedName name="sdasd" localSheetId="2">[1]!tbl_fieldref[list_fieldref]</definedName>
    <definedName name="sdasd" localSheetId="10">[1]!tbl_fieldref[list_fieldref]</definedName>
    <definedName name="sdasd" localSheetId="9">[1]!tbl_fieldref[list_fieldref]</definedName>
    <definedName name="sdasd" localSheetId="8">[1]!tbl_fieldref[list_fieldref]</definedName>
    <definedName name="sdasd">tbl_fieldref[list_fieldref]</definedName>
  </definedNames>
  <calcPr calcId="152511"/>
</workbook>
</file>

<file path=xl/calcChain.xml><?xml version="1.0" encoding="utf-8"?>
<calcChain xmlns="http://schemas.openxmlformats.org/spreadsheetml/2006/main">
  <c r="E19" i="17" l="1"/>
  <c r="E18" i="17"/>
  <c r="E17" i="17"/>
  <c r="E16" i="17"/>
  <c r="E15" i="17"/>
  <c r="E4" i="18"/>
  <c r="E4" i="17"/>
  <c r="E4" i="20"/>
  <c r="E8" i="20"/>
  <c r="E7" i="20"/>
  <c r="E13" i="20"/>
  <c r="C13" i="20"/>
  <c r="E12" i="20"/>
  <c r="C12" i="20"/>
  <c r="E11" i="20"/>
  <c r="E10" i="20"/>
  <c r="E5" i="20"/>
  <c r="C13" i="18"/>
  <c r="C12" i="18"/>
  <c r="C13" i="17"/>
  <c r="C12" i="17"/>
  <c r="E7" i="17"/>
  <c r="E13" i="17"/>
  <c r="E12" i="17"/>
  <c r="E11" i="17"/>
  <c r="E10" i="17"/>
  <c r="E8" i="17"/>
  <c r="E5" i="17"/>
  <c r="E13" i="18"/>
  <c r="E12" i="18"/>
  <c r="E11" i="18"/>
  <c r="E10" i="18"/>
  <c r="C5" i="11"/>
  <c r="E8" i="18"/>
  <c r="E7" i="18"/>
  <c r="E5" i="18"/>
  <c r="E56" i="8" l="1"/>
  <c r="E17" i="15"/>
  <c r="E5" i="15"/>
  <c r="E4" i="15"/>
  <c r="E3" i="15"/>
  <c r="E3" i="16"/>
  <c r="E4" i="16"/>
  <c r="E5" i="16"/>
  <c r="E6" i="16"/>
  <c r="E18" i="16"/>
  <c r="E19" i="16"/>
  <c r="E3" i="11" l="1"/>
  <c r="G6" i="11"/>
  <c r="F6" i="11"/>
  <c r="E6" i="11"/>
  <c r="C6" i="11"/>
  <c r="G5" i="11"/>
  <c r="F5" i="11"/>
  <c r="E5" i="11"/>
  <c r="G4" i="11"/>
  <c r="F4" i="11"/>
  <c r="E4" i="11"/>
  <c r="C4" i="11"/>
  <c r="E10" i="11" l="1"/>
  <c r="E11" i="11"/>
  <c r="E6" i="10"/>
  <c r="E7" i="10"/>
  <c r="E8" i="10"/>
  <c r="E13" i="10"/>
  <c r="E14" i="10"/>
  <c r="H36" i="8" l="1"/>
  <c r="I37" i="8"/>
  <c r="I36" i="8"/>
  <c r="H37" i="8"/>
  <c r="G37" i="8"/>
  <c r="G36" i="8"/>
  <c r="F37" i="8"/>
  <c r="F36" i="8"/>
  <c r="I35" i="8"/>
  <c r="H35" i="8"/>
  <c r="G35" i="8"/>
  <c r="F35" i="8"/>
  <c r="E37" i="8"/>
  <c r="E36" i="8"/>
  <c r="E35" i="8"/>
  <c r="C35" i="8"/>
  <c r="C37" i="8"/>
  <c r="C36" i="8"/>
  <c r="E51" i="8"/>
  <c r="E48" i="8"/>
  <c r="E44" i="8"/>
  <c r="E39" i="8"/>
  <c r="E34" i="8"/>
  <c r="E25" i="8"/>
  <c r="E24" i="8"/>
  <c r="E23" i="8"/>
  <c r="E21" i="8"/>
  <c r="E7" i="7" l="1"/>
  <c r="E8" i="7"/>
  <c r="E6" i="7"/>
  <c r="E16" i="8" l="1"/>
  <c r="E15" i="8"/>
  <c r="E11" i="7"/>
  <c r="E5" i="7"/>
  <c r="E4" i="7"/>
  <c r="E9" i="5"/>
  <c r="E8" i="5"/>
  <c r="E6" i="5"/>
  <c r="E13" i="6"/>
  <c r="E5" i="6"/>
  <c r="E7" i="6"/>
  <c r="E4" i="6"/>
  <c r="E7" i="5"/>
  <c r="E4" i="5"/>
</calcChain>
</file>

<file path=xl/comments1.xml><?xml version="1.0" encoding="utf-8"?>
<comments xmlns="http://schemas.openxmlformats.org/spreadsheetml/2006/main">
  <authors>
    <author>EthanHuntTB1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comments3.xml><?xml version="1.0" encoding="utf-8"?>
<comments xmlns="http://schemas.openxmlformats.org/spreadsheetml/2006/main">
  <authors>
    <author>EthanHuntTB1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sharedStrings.xml><?xml version="1.0" encoding="utf-8"?>
<sst xmlns="http://schemas.openxmlformats.org/spreadsheetml/2006/main" count="2405" uniqueCount="798">
  <si>
    <t>Hello</t>
  </si>
  <si>
    <t>Omsub</t>
  </si>
  <si>
    <t>a</t>
  </si>
  <si>
    <t>24/10/2015</t>
  </si>
  <si>
    <t>สยวะหตร่หก มำขห ร่หาสมดห จมรนภไพไมพจรนาก sfd  ,okp2222</t>
  </si>
  <si>
    <t>jan</t>
  </si>
  <si>
    <t>feb</t>
  </si>
  <si>
    <t>mar</t>
  </si>
  <si>
    <t>apr</t>
  </si>
  <si>
    <t>b</t>
  </si>
  <si>
    <t>c</t>
  </si>
  <si>
    <t>d</t>
  </si>
  <si>
    <t>e</t>
  </si>
  <si>
    <t>f</t>
  </si>
  <si>
    <t>g</t>
  </si>
  <si>
    <t>h</t>
  </si>
  <si>
    <t>111</t>
  </si>
  <si>
    <t>222</t>
  </si>
  <si>
    <t>333</t>
  </si>
  <si>
    <t>444</t>
  </si>
  <si>
    <t>555</t>
  </si>
  <si>
    <t>666</t>
  </si>
  <si>
    <t>777</t>
  </si>
  <si>
    <t>888</t>
  </si>
  <si>
    <t>username</t>
  </si>
  <si>
    <t>SuwitL</t>
  </si>
  <si>
    <t>password</t>
  </si>
  <si>
    <t>testuser</t>
  </si>
  <si>
    <t>workflowCode</t>
  </si>
  <si>
    <t>groupCheck</t>
  </si>
  <si>
    <t>newsSourceCode</t>
  </si>
  <si>
    <t>fastTrackFlag</t>
  </si>
  <si>
    <t>issuerPhoneMobile</t>
  </si>
  <si>
    <t>issuerPhoneOffice</t>
  </si>
  <si>
    <t>issuerPhoneOfficeExt</t>
  </si>
  <si>
    <t>salePhoneMobile</t>
  </si>
  <si>
    <t>salePhoneOffice</t>
  </si>
  <si>
    <t>salePhoneOfficeExt</t>
  </si>
  <si>
    <t>CSM : สินเชื่อรายย่อย</t>
  </si>
  <si>
    <t>CSM</t>
  </si>
  <si>
    <t>06 : Event</t>
  </si>
  <si>
    <t>06</t>
  </si>
  <si>
    <t>0</t>
  </si>
  <si>
    <t>0812345678</t>
  </si>
  <si>
    <t>0212345678</t>
  </si>
  <si>
    <t>123</t>
  </si>
  <si>
    <t>Name</t>
  </si>
  <si>
    <t>Data</t>
  </si>
  <si>
    <t>Value</t>
  </si>
  <si>
    <t>Type</t>
  </si>
  <si>
    <t>1</t>
  </si>
  <si>
    <t>กลุ่มลูกค้าสินเชื่อ *</t>
  </si>
  <si>
    <t>FieldName</t>
  </si>
  <si>
    <t>การตรวจสอบสมาชิกในคำขอ</t>
  </si>
  <si>
    <t>ช่องทางการรับข่าวสาร</t>
  </si>
  <si>
    <t>สินเชื่อ Fast Track</t>
  </si>
  <si>
    <t>เบอร์มือถือ</t>
  </si>
  <si>
    <t>เบอร์ที่ทำงาน</t>
  </si>
  <si>
    <t>ต่อ</t>
  </si>
  <si>
    <t>วันทีสมัครใช้บริการ</t>
  </si>
  <si>
    <t>08/09/2558</t>
  </si>
  <si>
    <t>requestedDate</t>
  </si>
  <si>
    <t>FieldName (optional)</t>
  </si>
  <si>
    <t>ไม่ตรวจสอบ</t>
  </si>
  <si>
    <t>ไม่ใช่</t>
  </si>
  <si>
    <t>FieldNameType</t>
  </si>
  <si>
    <t>id</t>
  </si>
  <si>
    <t>name</t>
  </si>
  <si>
    <t>FTH1 : เคหะ Fast Track</t>
  </si>
  <si>
    <t>fastTrackTypeCode</t>
  </si>
  <si>
    <t>FTH1</t>
  </si>
  <si>
    <t>//*[@id="applicationForm"]/div[3]/div/div/div[2]/div[2]/input</t>
  </si>
  <si>
    <t>//*[@id="dropdownFixWidth"]/input</t>
  </si>
  <si>
    <t>//*[@id="ddl_fastTrack"]/input</t>
  </si>
  <si>
    <t>Column1</t>
  </si>
  <si>
    <t>Index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</si>
  <si>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</si>
  <si>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</si>
  <si>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</si>
  <si>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</si>
  <si>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</si>
  <si>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</si>
  <si>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</si>
  <si>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</si>
  <si>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</si>
  <si>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</si>
  <si>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</si>
  <si>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HP : Hire Purchase</t>
  </si>
  <si>
    <t>GO2 : สินเชื่อภาครัฐ 2</t>
  </si>
  <si>
    <t>MC1 : สินเชื่อธุรกิจรายย่อย 1</t>
  </si>
  <si>
    <t>MC2 : สินเชื่อธุรกิจรายย่อย 2</t>
  </si>
  <si>
    <t>SM2 : สินเชื่อธุรกิจ SME ที่มีวงเงินรวม &lt;= 20 ล้านบาท</t>
  </si>
  <si>
    <t>HP</t>
  </si>
  <si>
    <t>GO2</t>
  </si>
  <si>
    <t>MC1</t>
  </si>
  <si>
    <t>MC2</t>
  </si>
  <si>
    <t>SM2</t>
  </si>
  <si>
    <t>Text</t>
  </si>
  <si>
    <t>Dropdown</t>
  </si>
  <si>
    <t>Date</t>
  </si>
  <si>
    <t>Radio</t>
  </si>
  <si>
    <t>Button</t>
  </si>
  <si>
    <t>xpath</t>
  </si>
  <si>
    <t>dd_Field</t>
  </si>
  <si>
    <t>dd_FieldRef</t>
  </si>
  <si>
    <t>list_field</t>
  </si>
  <si>
    <t>list_fieldref</t>
  </si>
  <si>
    <t>01 : โทรทัศน์</t>
  </si>
  <si>
    <t>02 : วิทยุ</t>
  </si>
  <si>
    <t>03 : หนังสือพิมพ์/แมกกาซีน</t>
  </si>
  <si>
    <t>04 : Internet/ E-mail</t>
  </si>
  <si>
    <t>05 : บุคคลแนะนำ</t>
  </si>
  <si>
    <t>07 : แผ่นปลิว/สื่อสิ่งพิมพ์/ป้ายโฆษณา</t>
  </si>
  <si>
    <t>01</t>
  </si>
  <si>
    <t>02</t>
  </si>
  <si>
    <t>03</t>
  </si>
  <si>
    <t>04</t>
  </si>
  <si>
    <t>05</t>
  </si>
  <si>
    <t>07</t>
  </si>
  <si>
    <t>NEWSM2 : New สินเชื่อธุรกิจ SME ที่มีวงเงินรวม &lt;= 20 ล้านบาท</t>
  </si>
  <si>
    <t>NEWSM2</t>
  </si>
  <si>
    <t>วัตถุประสงค์ของผู้ใช้งานระบบ *</t>
  </si>
  <si>
    <t>purposeLoanCode</t>
  </si>
  <si>
    <t>execute</t>
  </si>
  <si>
    <t>populatePurposeLoanByWorkFlow(this.value,'',true,false,'purposeLoanCode');getWorkflowGroup(this.value);</t>
  </si>
  <si>
    <t>//*[@id="purposeLoanCodeDiv"]/div[2]/input</t>
  </si>
  <si>
    <t>1 : เพื่อขอเปิดบัญชีสินเชื่อใหม่/เพิ่มวงเงิน</t>
  </si>
  <si>
    <t>2 : เพื่อขอเปลี่ยนแปลงเงื่อนไขวงเงินสินเชื่อเดิม</t>
  </si>
  <si>
    <t>3 : เพื่อขอทบทวนวงเงินสินเชื่อเดิมประจำปี</t>
  </si>
  <si>
    <t>หน่วยงานภายนอก *</t>
  </si>
  <si>
    <t>Omsub Sukkhee Enterprise</t>
  </si>
  <si>
    <t>หน่วยงานที่แนะนำลูกค้า</t>
  </si>
  <si>
    <t>adviserUnitType</t>
  </si>
  <si>
    <t>หน่วยงานภายใน</t>
  </si>
  <si>
    <t>hddAdviserPhoneMobile</t>
  </si>
  <si>
    <t>hddAdviserPhoneOffice</t>
  </si>
  <si>
    <t>hddAdviserPhoneOfficeExt</t>
  </si>
  <si>
    <t>hddcrmPhoneMobile</t>
  </si>
  <si>
    <t>hddcrmPhoneOffice</t>
  </si>
  <si>
    <t>hddcrmPhoneOfficeExt</t>
  </si>
  <si>
    <t>13</t>
  </si>
  <si>
    <t>14</t>
  </si>
  <si>
    <t>15</t>
  </si>
  <si>
    <t>adviserExternalUnit</t>
  </si>
  <si>
    <t>16</t>
  </si>
  <si>
    <t>ผู้กู้และผู้ค้ำฯต้องอยู่กลุ่มเดียวกัน</t>
  </si>
  <si>
    <t>ใช่</t>
  </si>
  <si>
    <t>สินเชื่อ Fast Track Code</t>
  </si>
  <si>
    <t>ค้นหาข้อมูลลูกค้า</t>
  </si>
  <si>
    <t>วัตถุประสงค์การขอสินเชื่อ *</t>
  </si>
  <si>
    <t>creditPurposeLoan</t>
  </si>
  <si>
    <t>//*[@id="purposeLoanDiv"]/div[2]/input</t>
  </si>
  <si>
    <t>changePurposeLoanCode(this.value)</t>
  </si>
  <si>
    <t>กลุ่มผลิตภัณฑ์ *</t>
  </si>
  <si>
    <t>COM : Commercial Loans</t>
  </si>
  <si>
    <t>DDA : Demand Deposits</t>
  </si>
  <si>
    <t>COM</t>
  </si>
  <si>
    <t>DDA</t>
  </si>
  <si>
    <t>productGroupCode</t>
  </si>
  <si>
    <t>//*[@id="normalDiv"]/div[2]/input</t>
  </si>
  <si>
    <t>changeProductGroupCode(null,false)</t>
  </si>
  <si>
    <t>Product Type *</t>
  </si>
  <si>
    <t>//*[@id="showpanel"]/div[2]/input</t>
  </si>
  <si>
    <t>changeProductTypeCode(null)</t>
  </si>
  <si>
    <t>productTypeCode</t>
  </si>
  <si>
    <t>8011 : Commercial Commitment</t>
  </si>
  <si>
    <t>8100 : เงินกู้ที่มีกำหนดระยะเวลา</t>
  </si>
  <si>
    <t>8200 : ตั๋วสัญญาใช้เงิน</t>
  </si>
  <si>
    <t>8300 : ตั๋วแลกเงิน</t>
  </si>
  <si>
    <t>8400 : หนังสือค้ำประกัน</t>
  </si>
  <si>
    <t>8900 : สินเชื่อธุรกิจเพื่อสังคม</t>
  </si>
  <si>
    <t>Account Sub Type *</t>
  </si>
  <si>
    <t>//*[@id="showpanel"]/div[6]/input</t>
  </si>
  <si>
    <t>changeProductSubTypeCode(null)</t>
  </si>
  <si>
    <t>productSubTypeCode</t>
  </si>
  <si>
    <t>40001 : สินเชื่อธุรกิจทั่วไป</t>
  </si>
  <si>
    <t>40004 : สินเชื่อผู้ประกอบการธุรกิจท่องเที่ยว PSA</t>
  </si>
  <si>
    <t>Market Code *</t>
  </si>
  <si>
    <t>//*[@id="showpanel"]/div[8]/input</t>
  </si>
  <si>
    <t>changeMarketCodeCode(null)</t>
  </si>
  <si>
    <t>marketCodeCode</t>
  </si>
  <si>
    <t>1029 : โครงการให้สินเชื่อแก่เจ้าของยานยนต์ที่ใช้ก๊าชธรรมชาติ (NGV)</t>
  </si>
  <si>
    <t>1082 : สถาบันการศึกษา</t>
  </si>
  <si>
    <t>1084 : สินเชื่อธุรกิจทั่วไป</t>
  </si>
  <si>
    <t>1085 : โครงการสินเชื่อเพื่อซื้อทรัพย์สินรอการขายของธนาคารออมสิน (NPA)</t>
  </si>
  <si>
    <t>1123 : บสย. Portfolio (Portfolio Guarantee แบบปกติ)</t>
  </si>
  <si>
    <t>1124 : สำนักงานประกันสังคม เพื่อผู้ประกอบการฯ</t>
  </si>
  <si>
    <t>1134 : บสย. Portfolio (Portfolio Guarantee แบบ NPL)</t>
  </si>
  <si>
    <t>1135 : บสย. Portfolio (Portfolio Guarantee แบบไม่มีหลักประกัน)</t>
  </si>
  <si>
    <t>1155 : โครงการประกันสังคมเคียงข้างผู้ประกันตนต้านอุทกภัย วาตภัย หรือภัยพิบัติธรรมชาติ</t>
  </si>
  <si>
    <t>วงเงินกู้ *</t>
  </si>
  <si>
    <t>10,000,000.00</t>
  </si>
  <si>
    <t>creditLimit</t>
  </si>
  <si>
    <t>ระยะเวลาผ่อนชำระ</t>
  </si>
  <si>
    <t>term</t>
  </si>
  <si>
    <t>//*[@id="showpanel"]/div[15]/div[1]/input</t>
  </si>
  <si>
    <t>termUnit</t>
  </si>
  <si>
    <t>D : วัน</t>
  </si>
  <si>
    <t>M : เดือน</t>
  </si>
  <si>
    <t>Y : ปี</t>
  </si>
  <si>
    <t>D</t>
  </si>
  <si>
    <t>M</t>
  </si>
  <si>
    <t>Y</t>
  </si>
  <si>
    <t>ชื่อบัญชี 1 *</t>
  </si>
  <si>
    <t>รวมวงเงิน *</t>
  </si>
  <si>
    <t>17</t>
  </si>
  <si>
    <t>18</t>
  </si>
  <si>
    <t>19</t>
  </si>
  <si>
    <t>ระยะเวลาขอกู้</t>
  </si>
  <si>
    <t>อัตราดอกเบี้ย *</t>
  </si>
  <si>
    <t>//*[@id="creditTierList[0].creditTierInterestList[0].ddl"]/input</t>
  </si>
  <si>
    <t>creditTierList[0].creditTierInterestList[0].interestCodeRequest</t>
  </si>
  <si>
    <t>new_changeInterest(document.getElementById('creditTierList[0].creditTierInterestList[0].interestRateRequest'),this.value)</t>
  </si>
  <si>
    <t>LN0100 : MLR</t>
  </si>
  <si>
    <t>LN0200 : MOR</t>
  </si>
  <si>
    <t>LN0100</t>
  </si>
  <si>
    <t>LN0200</t>
  </si>
  <si>
    <t>ส่วนต่าง</t>
  </si>
  <si>
    <t>creditTierList[0].creditTierInterestList[0].signFlagRequest</t>
  </si>
  <si>
    <t>+</t>
  </si>
  <si>
    <t>-</t>
  </si>
  <si>
    <t>ส่วนต่าง %</t>
  </si>
  <si>
    <t>creditTierList[0].creditTierInterestList[0].spreadRequest</t>
  </si>
  <si>
    <t>0.00000</t>
  </si>
  <si>
    <t>20</t>
  </si>
  <si>
    <t>21</t>
  </si>
  <si>
    <t>22</t>
  </si>
  <si>
    <t>23</t>
  </si>
  <si>
    <t>24</t>
  </si>
  <si>
    <t>25</t>
  </si>
  <si>
    <t>ชื่อบัญชี 2</t>
  </si>
  <si>
    <t>ชื่อบัญชี 3</t>
  </si>
  <si>
    <t>ชื่อบัญชี 4</t>
  </si>
  <si>
    <t>Related Deposit</t>
  </si>
  <si>
    <t>ความถี่/ระยะเวลา (เดือนที่)</t>
  </si>
  <si>
    <t>Payment Calculation Method</t>
  </si>
  <si>
    <t>Payment Frequency</t>
  </si>
  <si>
    <t>กรณีวันที่ชำระตรงกับวันหยุด</t>
  </si>
  <si>
    <t>26</t>
  </si>
  <si>
    <t>27</t>
  </si>
  <si>
    <t>28</t>
  </si>
  <si>
    <t>ชำระทุกวันที่</t>
  </si>
  <si>
    <t>Grace Period เงินต้น</t>
  </si>
  <si>
    <t>Grace Period ดอกเบี้ย</t>
  </si>
  <si>
    <t>วันที่ประมาณการเบิกจ่าย</t>
  </si>
  <si>
    <t>First Payment Date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</si>
  <si>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</si>
  <si>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</si>
  <si>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</si>
  <si>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</si>
  <si>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</si>
  <si>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</si>
  <si>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</si>
  <si>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</si>
  <si>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</si>
  <si>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</si>
  <si>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</si>
  <si>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เงื่อนไขการชำระหนี้</t>
  </si>
  <si>
    <t>เงื่อนไขอื่นๆ</t>
  </si>
  <si>
    <t>Long Term Loan</t>
  </si>
  <si>
    <t>เงื่อนไขวงเงิน</t>
  </si>
  <si>
    <t>International Standard Industrial Classification</t>
  </si>
  <si>
    <t>FieldName (Dropdown)</t>
  </si>
  <si>
    <t>LN0201 : MRR</t>
  </si>
  <si>
    <t>LN0201</t>
  </si>
  <si>
    <t>012030 : เงินทุนหมุนเวียนเพื่อธุรกิจระหว่างประเทศ - การนำสินค้าเข้า</t>
  </si>
  <si>
    <t>iSiG Group</t>
  </si>
  <si>
    <t>ประเภทธุรกิจ 1 *</t>
  </si>
  <si>
    <t>auto</t>
  </si>
  <si>
    <t>Other Information</t>
  </si>
  <si>
    <t>SME Code</t>
  </si>
  <si>
    <t>Commit Line *</t>
  </si>
  <si>
    <t>หน่วยงานดูแลลูกค้า *</t>
  </si>
  <si>
    <t>สาขาเจ้าของบัญชี *</t>
  </si>
  <si>
    <t>พนักงานผู้ดูแลบัญชี</t>
  </si>
  <si>
    <t>Specialised Lending *</t>
  </si>
  <si>
    <t>รหัสโครงการ</t>
  </si>
  <si>
    <t>//*[@id="tabs-2"]/div[2]/div[9]/input</t>
  </si>
  <si>
    <t>changePCMAndDeleteSpecial(this.value,'paymentCalculationMethodCode')</t>
  </si>
  <si>
    <t>paymentCalculationMethodCode</t>
  </si>
  <si>
    <t>1 : P+I จ่ายเงินต้นคงที่ ดอกเบี้ยคงที่</t>
  </si>
  <si>
    <t>2 : P+I</t>
  </si>
  <si>
    <t>15 : P&amp;I</t>
  </si>
  <si>
    <t>paymentFrequencyTerm</t>
  </si>
  <si>
    <t>//*[@id="tabs-2"]/div[2]/div[13]/div/input</t>
  </si>
  <si>
    <t>changePayFreq();</t>
  </si>
  <si>
    <t>Q : ไตรมาส</t>
  </si>
  <si>
    <t>W : สัปดาห์</t>
  </si>
  <si>
    <t>Q</t>
  </si>
  <si>
    <t>W</t>
  </si>
  <si>
    <t>paymentFrequencyTermUnitCode</t>
  </si>
  <si>
    <t>กรณีวันที่ชำระตรงกับวันหยุด *</t>
  </si>
  <si>
    <t>paymentOnHolidayCaseCode</t>
  </si>
  <si>
    <t>P : Previous Business Date</t>
  </si>
  <si>
    <t>A : Actual Date</t>
  </si>
  <si>
    <t>N : Next Business Date</t>
  </si>
  <si>
    <t>P</t>
  </si>
  <si>
    <t>N</t>
  </si>
  <si>
    <t>A</t>
  </si>
  <si>
    <t>ชำระทุกวันที่ *</t>
  </si>
  <si>
    <t>E : ชำระทุกสิ้นเดือน</t>
  </si>
  <si>
    <t>1 : ชำระทุกวันที่ 1</t>
  </si>
  <si>
    <t>15 : ชำระทุกวันที่ 15</t>
  </si>
  <si>
    <t>31 : ชำระทุกวันที่ 31</t>
  </si>
  <si>
    <t>MICRO : Micro</t>
  </si>
  <si>
    <t>MICRO</t>
  </si>
  <si>
    <t>E</t>
  </si>
  <si>
    <t>paymentDateCode</t>
  </si>
  <si>
    <t>//*[@id="tabs-2"]/div[2]/div[15]/input</t>
  </si>
  <si>
    <t>//*[@id="paymentDate_normal"]/input</t>
  </si>
  <si>
    <t>การเกษตร</t>
  </si>
  <si>
    <t>การผลิต</t>
  </si>
  <si>
    <t>การค้า</t>
  </si>
  <si>
    <t>บริการ</t>
  </si>
  <si>
    <t>ก่อสร้างและอสังหาริมทรัพย์</t>
  </si>
  <si>
    <t>อื่นๆ</t>
  </si>
  <si>
    <t>Arrangement Purpose Code</t>
  </si>
  <si>
    <t>Arrangement Purpose Code *</t>
  </si>
  <si>
    <t>40</t>
  </si>
  <si>
    <t>41</t>
  </si>
  <si>
    <t>42</t>
  </si>
  <si>
    <t>43</t>
  </si>
  <si>
    <t>Personal Consumption</t>
  </si>
  <si>
    <t>GSB Purpose Code</t>
  </si>
  <si>
    <t>//*[@id="arrangementPurposeCodeDiv"]/div[3]/input</t>
  </si>
  <si>
    <t>changePurposeArrangement();</t>
  </si>
  <si>
    <t>purposeArrangementId</t>
  </si>
  <si>
    <t>012035 : เงินทุนหมุนเวียนเพื่อธุรกิจระหว่างประเทศ - การส่งสินค้าออก (รวม Re-export)</t>
  </si>
  <si>
    <t>012088 : การ Refinance</t>
  </si>
  <si>
    <t>012092 : การลงทุนในสินทรัพย์ถาวร - ที่ดินเปล่า</t>
  </si>
  <si>
    <t>012093 : การลงทุนในสินทรัพย์ถาวร - ที่ดิน และ/หรือ สิ่งปลูกสร้าง เพื่อการพัฒนา</t>
  </si>
  <si>
    <t>012097 : การลงทุนในสินทรัพย์ถาวร - เครื่องจักร และ อุปกรณ์</t>
  </si>
  <si>
    <t>012100 : การลงทุนในสินทรัพย์ถาวรอื่น ๆ</t>
  </si>
  <si>
    <t>012101 : การลงทุนในหลักทรัพย์</t>
  </si>
  <si>
    <t>012102 : การลงทุนอื่น ๆ</t>
  </si>
  <si>
    <t>012105 : เงินทุนหมุนเวียนเพื่อธุรกิจในประเทศ</t>
  </si>
  <si>
    <t>0 : Not Commit ธนาคารสามารถยกเลิกวงเงินเมื่อใดก็ได้</t>
  </si>
  <si>
    <t>1 : Commit ธนาคารต้องเตรียมเงินไว้ให้ลูกค้าเบิกใช้เสมอ</t>
  </si>
  <si>
    <t>//*[@id="notCOMandLTDiv1"]/div[4]/input</t>
  </si>
  <si>
    <t>commitLineCode</t>
  </si>
  <si>
    <t>//*[@id="notCOMandLTDiv2"]/div[2]/input</t>
  </si>
  <si>
    <t>01 : สินเชื่อโครงการ (Project finance)</t>
  </si>
  <si>
    <t>02 : สินเชื่อเพื่อจัดซื้อสังหาริมทรัพย์ขนาดใหญ่ (Object finance)</t>
  </si>
  <si>
    <t>03 : สินเชื่อเพื่อสินค้าโภคภัณฑ์ (Commodities finance)</t>
  </si>
  <si>
    <t>04 : สินเชื่อเพื่อพัฒนาอสังหาริมทรัพย์ที่ก่อรายได้ (Income-producing real estate: IPRE)</t>
  </si>
  <si>
    <t>05 : ไม่เข้าเงื่อนไข</t>
  </si>
  <si>
    <t>สถานะการเรียกเก็บ</t>
  </si>
  <si>
    <t>สถานะการเรียกเก็บ *</t>
  </si>
  <si>
    <t>specialisedLendingCode</t>
  </si>
  <si>
    <t>//*[@id="paymentMethodCodeDiv"]/div[3]/input</t>
  </si>
  <si>
    <t>paymentMethodCode</t>
  </si>
  <si>
    <t>1 : ชำระผ่านหน่วยงาน</t>
  </si>
  <si>
    <t>2 : ชำระโดยการหักบัญชีเงินฝากอัตโนมัติ</t>
  </si>
  <si>
    <t>3 : ชำระผ่านบัญชีเงินเดือนพนักงานธนาคารออมสิน</t>
  </si>
  <si>
    <t>4 : จ่ายตรงเงินเดือน</t>
  </si>
  <si>
    <t>5 : ชำระผ่านบัญชีเงินเดือนบุคคลภายนอก</t>
  </si>
  <si>
    <t>0 : ชำระด้วยตนเอง</t>
  </si>
  <si>
    <t>หน่วยงานเรียกเก็บ</t>
  </si>
  <si>
    <t>หน่วยงาน (MOU)</t>
  </si>
  <si>
    <t>Payment Source Account</t>
  </si>
  <si>
    <t>44</t>
  </si>
  <si>
    <t>45</t>
  </si>
  <si>
    <t>46</t>
  </si>
  <si>
    <t>หน่วยงาน</t>
  </si>
  <si>
    <t>47</t>
  </si>
  <si>
    <t>48</t>
  </si>
  <si>
    <t>49</t>
  </si>
  <si>
    <t>50</t>
  </si>
  <si>
    <t>51</t>
  </si>
  <si>
    <t>ประเภทหน่วยงาน</t>
  </si>
  <si>
    <t>กระทรวง/บริษัท</t>
  </si>
  <si>
    <t>กรม/สังกัดหน่วยงาน/บริษัทในเครือ</t>
  </si>
  <si>
    <t>ชื่อหน่วยงาน/สาขา</t>
  </si>
  <si>
    <t>ข้อมูลผู้ขาย/ผู้แนะนำ</t>
  </si>
  <si>
    <t>หน่วยงานที่ดูแลลูกค้า</t>
  </si>
  <si>
    <t>A02 : การป่าไม้และการทำไม้</t>
  </si>
  <si>
    <t>//*[@id="internationalStandardIndustrialClassificationDiv"]/div[3]/input</t>
  </si>
  <si>
    <t>isic1Id</t>
  </si>
  <si>
    <t>Tag</t>
  </si>
  <si>
    <t>Xpath</t>
  </si>
  <si>
    <t>Execute</t>
  </si>
  <si>
    <t xml:space="preserve">populateIsic2(this.value,'' ,'isic2Id','isic3Id'); </t>
  </si>
  <si>
    <t>2 : การทำไม้</t>
  </si>
  <si>
    <t>isic2Id</t>
  </si>
  <si>
    <t>199</t>
  </si>
  <si>
    <t xml:space="preserve">populateIsic3(this.value,'' ,'isic3Id'); </t>
  </si>
  <si>
    <t>FieldNameType2</t>
  </si>
  <si>
    <t>FieldName2</t>
  </si>
  <si>
    <t>Value2</t>
  </si>
  <si>
    <t>Xpath2</t>
  </si>
  <si>
    <t>Execute2</t>
  </si>
  <si>
    <t>Value3</t>
  </si>
  <si>
    <t>//*[@id="internationalStandardIndustrialClassificationDiv"]/div[5]/input</t>
  </si>
  <si>
    <t>Data2</t>
  </si>
  <si>
    <t>Execute3</t>
  </si>
  <si>
    <t>Data3</t>
  </si>
  <si>
    <t>FieldNameType3</t>
  </si>
  <si>
    <t>FieldName3</t>
  </si>
  <si>
    <t>Xpath3</t>
  </si>
  <si>
    <t>000 : การทำไม้</t>
  </si>
  <si>
    <t>isic3Id</t>
  </si>
  <si>
    <t>1407</t>
  </si>
  <si>
    <t>//*[@id="internationalStandardIndustrialClassificationDiv"]/div[7]/input</t>
  </si>
  <si>
    <t>C10 : การผลิตผลิตภัณฑ์อาหาร</t>
  </si>
  <si>
    <t>1 : การแปรรูปและการถนอมเนื้อสัตว์</t>
  </si>
  <si>
    <t>110 : การฆ่าสัตว์ (ยกเว้นสัตว์ปีก)</t>
  </si>
  <si>
    <t>384</t>
  </si>
  <si>
    <t>null</t>
  </si>
  <si>
    <t>ผู้สร้างใบคำขอสินเชื่อ</t>
  </si>
  <si>
    <t>default</t>
  </si>
  <si>
    <t>เพิ่มคำขอสินเชื่อ</t>
  </si>
  <si>
    <t>52</t>
  </si>
  <si>
    <t>53</t>
  </si>
  <si>
    <t>54</t>
  </si>
  <si>
    <t>55</t>
  </si>
  <si>
    <t>G46 : การขายส่ง (ยกเว้นยานยนต์และจักรยานยนต์)</t>
  </si>
  <si>
    <t>67</t>
  </si>
  <si>
    <t>ISIC</t>
  </si>
  <si>
    <t>9 : การขายส่งสินค้าทั่วไป</t>
  </si>
  <si>
    <t>284</t>
  </si>
  <si>
    <t>000 : การขายส่งสินค้าทั่วไป</t>
  </si>
  <si>
    <t>1281</t>
  </si>
  <si>
    <t>I55 : ที่พักแรม</t>
  </si>
  <si>
    <t>1 : ที่พักแรมระยะสั้น</t>
  </si>
  <si>
    <t>010 : โรงแรมและรีสอร์ท</t>
  </si>
  <si>
    <t>626</t>
  </si>
  <si>
    <t>260</t>
  </si>
  <si>
    <t>96</t>
  </si>
  <si>
    <t>L68 : กิจกรรมอสังหาริมทรัพย์</t>
  </si>
  <si>
    <t>69</t>
  </si>
  <si>
    <t>1 : กิจกรรมอสังหาริมทรัพย์ที่เป็นของตนเองหรือเช่าจากผู้อื่น</t>
  </si>
  <si>
    <t>171</t>
  </si>
  <si>
    <t>091 : ธุรกิจสนามกอล์ฟ</t>
  </si>
  <si>
    <t>1333</t>
  </si>
  <si>
    <t>P85 : การศึกษา</t>
  </si>
  <si>
    <t>80</t>
  </si>
  <si>
    <t>3 : การศึกษาระดับอุดมศึกษา</t>
  </si>
  <si>
    <t>373</t>
  </si>
  <si>
    <t>030 : การศึกษาระดับปริญญาโทขึ้นไป</t>
  </si>
  <si>
    <t>491</t>
  </si>
  <si>
    <t>ประเภทธุรกิจ 2 *</t>
  </si>
  <si>
    <t>ประเภทธุรกิจ 3 *</t>
  </si>
  <si>
    <t>99</t>
  </si>
  <si>
    <t>99 : อื่น ๆ</t>
  </si>
  <si>
    <t>09</t>
  </si>
  <si>
    <t>09 : เซ้ง</t>
  </si>
  <si>
    <t>08</t>
  </si>
  <si>
    <t>08 : เช่าซื้อ</t>
  </si>
  <si>
    <t>07 : เช่าอยู่อาศัย</t>
  </si>
  <si>
    <t>06 : อาศัยอยู่กับนายจ้าง</t>
  </si>
  <si>
    <t>05 : อาศัยอยู่กับผู้อื่น</t>
  </si>
  <si>
    <t>มูลค่า</t>
  </si>
  <si>
    <t>04 : อาศัยอยู่กับคนในครอบครัว</t>
  </si>
  <si>
    <t>ธนาคาร</t>
  </si>
  <si>
    <t>03 : บ้านพักสวัสดิการ</t>
  </si>
  <si>
    <t>02 : เป็นของตนเอง / คู่สมรส - อยู่ระหว่างการผ่อนชำระ</t>
  </si>
  <si>
    <t>เลขที่บัญชีเงินฝาก</t>
  </si>
  <si>
    <t>01 : เป็นของตนเอง / คู่สมรส - ปลอดภาระผูกพัน</t>
  </si>
  <si>
    <t>สถานะที่พักอาศัย *</t>
  </si>
  <si>
    <t>99 : อื่นๆ</t>
  </si>
  <si>
    <t>07 : TEST SYNC HOME</t>
  </si>
  <si>
    <t>06 : สำนักงานในบ้าน (โฮมออฟฟิศ)</t>
  </si>
  <si>
    <t>สมุดเงินฝาก</t>
  </si>
  <si>
    <t>05 : ห้องภายในบ้าน / ห้องเช่า</t>
  </si>
  <si>
    <t>04 : ห้องชุด / อพาร์ทเม้นท์ / แฟลต / คอนโดมิเนียม</t>
  </si>
  <si>
    <t>พันธบัตรออมสิน</t>
  </si>
  <si>
    <t>03 : อาคารพาณิชย์ / ตึกแถว / ห้องแถว / เรือนแถว</t>
  </si>
  <si>
    <t>02 : ทาวน์เฮ้าส์ / บ้านแฝด</t>
  </si>
  <si>
    <t>อสังหาริมทรัพย์</t>
  </si>
  <si>
    <t>01 : บ้านเดี่ยว</t>
  </si>
  <si>
    <t>ประเภทที่พักอาศัย *</t>
  </si>
  <si>
    <t>สลากออมสิน</t>
  </si>
  <si>
    <t>07 : ญาติ</t>
  </si>
  <si>
    <t>กรมธรรม์ประกันชีวิต</t>
  </si>
  <si>
    <t>06 : บุคคลอื่น เช่น เพื่อน</t>
  </si>
  <si>
    <t>05 : บิดา/มารดา</t>
  </si>
  <si>
    <t>รถยนต์</t>
  </si>
  <si>
    <t>04 : พี่น้อง</t>
  </si>
  <si>
    <t>ภาษีคู่สมรส</t>
  </si>
  <si>
    <t>03 : บุตร</t>
  </si>
  <si>
    <t>เงินเดือน/รายได้คู่สมรส</t>
  </si>
  <si>
    <t>02 : คู่สมรส</t>
  </si>
  <si>
    <t>งานพิเศษ</t>
  </si>
  <si>
    <t>01 : ไม่มีผู้กู้ร่วม/ไม่มีผู้ค้ำประกัน</t>
  </si>
  <si>
    <t>workAllExpYear</t>
  </si>
  <si>
    <t>อายุงานรวม (เดือน)</t>
  </si>
  <si>
    <t>ความสัมพันธ์ของผู้ค้ำประกันกับผู้กู้หลัก *</t>
  </si>
  <si>
    <t>อายุงานรวม (ปี)</t>
  </si>
  <si>
    <t>workCurExpMonth</t>
  </si>
  <si>
    <t>อายุงานปัจจุบัน (เดือน)</t>
  </si>
  <si>
    <t>workCurExpYear</t>
  </si>
  <si>
    <t>อายุงานปัจจุบัน (ปี)</t>
  </si>
  <si>
    <t>houseOwnershipCode</t>
  </si>
  <si>
    <t>สถานะที่พักอาศัย</t>
  </si>
  <si>
    <t>houseTypeCode</t>
  </si>
  <si>
    <t>ประเภทที่พักอาศัย</t>
  </si>
  <si>
    <t>curAddrMonth</t>
  </si>
  <si>
    <t>ระยะเวลาที่อาศัยในที่อยู่ปัจจุบัน (เดือน)</t>
  </si>
  <si>
    <t>curAddrYear</t>
  </si>
  <si>
    <t>ระยะเวลาที่อาศัยในที่อยู่ปัจจุบัน (ปี)</t>
  </si>
  <si>
    <t>childCountWork</t>
  </si>
  <si>
    <t>จำนวนบุตรที่ทำงานแล้ว</t>
  </si>
  <si>
    <t>childCountAll</t>
  </si>
  <si>
    <t>จำนวนบุตรทั้งหมด</t>
  </si>
  <si>
    <t>ความสัมพันธ์ของผู้กู้ร่วมที่มีต่อการกู้ *</t>
  </si>
  <si>
    <t>garantorRelatedTypeCode</t>
  </si>
  <si>
    <t>ความสัมพันธ์ของผู้ค้ำประกันกับผู้กู้หลัก</t>
  </si>
  <si>
    <t>coborrowerRelatedTypeCode</t>
  </si>
  <si>
    <t>ความสัมพันธ์ของผู้กู้ร่วมที่มีต่อการกู้</t>
  </si>
  <si>
    <t>4 : รายได้อื่นๆ</t>
  </si>
  <si>
    <t>incomeSourceCode</t>
  </si>
  <si>
    <t>1 : เงินเดือน</t>
  </si>
  <si>
    <t>แหล่งที่มาของรายได้</t>
  </si>
  <si>
    <t>2 : รายได้จากการประกอบอาชีพ</t>
  </si>
  <si>
    <t>ระยะเวลาในการเป็นลูกค้า (เดือน)</t>
  </si>
  <si>
    <t>custPeriodYear</t>
  </si>
  <si>
    <t>ระยะเวลาในการเป็นลูกค้า (ปี)</t>
  </si>
  <si>
    <t>แหล่งที่มาของรายได้ *</t>
  </si>
  <si>
    <t>กลุ่มลูกค้า</t>
  </si>
  <si>
    <t>shareholder</t>
  </si>
  <si>
    <t>สัดส่วนผู้ถือหุ้น(ผู้กู้)</t>
  </si>
  <si>
    <t>shareholderPercent</t>
  </si>
  <si>
    <t>สัดส่วนผู้ถือหุ้น(ผู้กู้) (%)</t>
  </si>
  <si>
    <t>plNet</t>
  </si>
  <si>
    <t>Auto</t>
  </si>
  <si>
    <t>กำไรสุทธิ</t>
  </si>
  <si>
    <t>tax</t>
  </si>
  <si>
    <t>ภาษี</t>
  </si>
  <si>
    <t>plBeforeTax</t>
  </si>
  <si>
    <t>กำไรก่อนหักภาษี</t>
  </si>
  <si>
    <t>interest</t>
  </si>
  <si>
    <t>ดอกเบี้ย</t>
  </si>
  <si>
    <t>plBeforeInterestAndTax</t>
  </si>
  <si>
    <t>กำไรขั้นต้น</t>
  </si>
  <si>
    <t>กำไรสุทธิ/ขาดทุนสุทธิ</t>
  </si>
  <si>
    <t>expenseTotal</t>
  </si>
  <si>
    <t>รวมค่าใช้จ่าย</t>
  </si>
  <si>
    <t>expenseOther</t>
  </si>
  <si>
    <t>ค่าใช้จ่ายอื่นๆ</t>
  </si>
  <si>
    <t>expenseUtilityBill</t>
  </si>
  <si>
    <t>ค่าน้ำ ค่าไฟ ค่าโทรศัพท์</t>
  </si>
  <si>
    <t>expenseOfficeRent</t>
  </si>
  <si>
    <t>ค่าเช่าสถานที่ประกอบการ</t>
  </si>
  <si>
    <t>expenseEmployeeSalary</t>
  </si>
  <si>
    <t>เงินเดือนคนงาน</t>
  </si>
  <si>
    <t>ค่าใช้จ่ายซื้อสินค้าและบริการ *</t>
  </si>
  <si>
    <t>ค่าใช้จ่ายซื้อสินค้าและบริการ * (%)</t>
  </si>
  <si>
    <t>methodCalculateGoodsAndService</t>
  </si>
  <si>
    <t>ต้องการกรอกค่าใช้จ่ายซื้อสินค้าและบริการเป็นเปอร์เซ็นต์</t>
  </si>
  <si>
    <t>ค่าใช้จ่าย (%, จำนวนเงิน)</t>
  </si>
  <si>
    <t>07 : ผลิตสินค้าที่บ้าน</t>
  </si>
  <si>
    <t>ค่าใช้จ่าย</t>
  </si>
  <si>
    <t>06 : รถเข็น/หาบเร่</t>
  </si>
  <si>
    <t>incomeTotal</t>
  </si>
  <si>
    <t>รวมรายได้</t>
  </si>
  <si>
    <t>05 : รถยนต์/มอเตอร์ไซค์รับจ้าง</t>
  </si>
  <si>
    <t>incomeOtherDetail</t>
  </si>
  <si>
    <t>ระบุรายละเอียด</t>
  </si>
  <si>
    <t>04 : รถยนต์เร่/มอเตอร์ไซค์เร่</t>
  </si>
  <si>
    <t>incomeOther</t>
  </si>
  <si>
    <t>รายได้อื่นๆ จากธุรกิจ</t>
  </si>
  <si>
    <t>03 : แผงลอย</t>
  </si>
  <si>
    <t>income</t>
  </si>
  <si>
    <t>รายได้</t>
  </si>
  <si>
    <t>02 : แผงถาวร</t>
  </si>
  <si>
    <t>รายได้ของกิจการ/อาชีพอิสระ</t>
  </si>
  <si>
    <t>01 : ร้านค้า</t>
  </si>
  <si>
    <t>businessLocationTypeCode</t>
  </si>
  <si>
    <t>ลักษณะสถานที่ประกอบการ</t>
  </si>
  <si>
    <t>00</t>
  </si>
  <si>
    <t>00 : ไม่มีลักษณะสถานที่ประกอบการ</t>
  </si>
  <si>
    <t>businessLocationOwnershipCode</t>
  </si>
  <si>
    <t>02 : เป็นเจ้าของ</t>
  </si>
  <si>
    <t>กรรมสิทธิ์ในสถานที่ประกอบการ</t>
  </si>
  <si>
    <t>businessExpMonth</t>
  </si>
  <si>
    <t>ระยะเวลาในการทำธุรกิจ/อาชีพอิสระ(กรณีธุรกิจ) เดือน</t>
  </si>
  <si>
    <t>businessExpYear</t>
  </si>
  <si>
    <t>ระยะเวลาในการทำธุรกิจ/อาชีพอิสระ(กรณีธุรกิจ) (ปี)</t>
  </si>
  <si>
    <t>05 : สิทธิการเช่า</t>
  </si>
  <si>
    <t>employeeCount</t>
  </si>
  <si>
    <t>จำนวนพนักงาน *</t>
  </si>
  <si>
    <t>04 : เช่าซื้อ</t>
  </si>
  <si>
    <t>03 : เช่า</t>
  </si>
  <si>
    <t>//*[@id="tabs-2"]/div[1]/div/div[4]/input</t>
  </si>
  <si>
    <t>//*[@id="tabs-2"]/div[1]/div/div[2]/input</t>
  </si>
  <si>
    <t>01 : ไม่มีกรรมสิทธิ์ในสถานที่ประกอบการ</t>
  </si>
  <si>
    <t>extIncomeTotal</t>
  </si>
  <si>
    <t>รวมเงินได้อื่น ๆ</t>
  </si>
  <si>
    <t>รายได้เสริมสุทธิ (ไม่มีต้นทุน)</t>
  </si>
  <si>
    <t>เงินปันผล/ดอกเบี้ยรับ</t>
  </si>
  <si>
    <t>โบนัส</t>
  </si>
  <si>
    <t>ค่า OT / ค่าเบี้ยขยัน</t>
  </si>
  <si>
    <t>ค่า Commission</t>
  </si>
  <si>
    <t>2. เงินได้อื่น ๆ ที่มีหลักฐาน</t>
  </si>
  <si>
    <t>regIncomeTotal</t>
  </si>
  <si>
    <t>รวมรายได้ประจำทั้งสิ้น (1.1 + 1.2) *</t>
  </si>
  <si>
    <t>ค่าวิชาชีพ/วิทยฐานะ</t>
  </si>
  <si>
    <t>ค่าพาหนะ /ค่าน้ำมัน</t>
  </si>
  <si>
    <t>ค่าครองชีพ/ค่าอาหาร /ค่าช่วยเหลือบุตร</t>
  </si>
  <si>
    <t>ค่ารับรอง</t>
  </si>
  <si>
    <t>เงินเบิกค่าเช่าบ้าน</t>
  </si>
  <si>
    <t>เงินประจำตำแหน่ง</t>
  </si>
  <si>
    <t>1.2  เงินได้ประจำอื่น ๆ</t>
  </si>
  <si>
    <t>regSalaryNet</t>
  </si>
  <si>
    <t>รายได้สุทธิจากเงินเดือน</t>
  </si>
  <si>
    <t>regChorOrSor</t>
  </si>
  <si>
    <t>500</t>
  </si>
  <si>
    <t>ฌอส.</t>
  </si>
  <si>
    <t>regCooperativeShare</t>
  </si>
  <si>
    <t>1000</t>
  </si>
  <si>
    <t>ค่าหุ้นสหกรณ์</t>
  </si>
  <si>
    <t>regProvidentFund</t>
  </si>
  <si>
    <t>กองทุนสำรองเลี้ยงชีพ</t>
  </si>
  <si>
    <t>regSocialSecurity</t>
  </si>
  <si>
    <t>750</t>
  </si>
  <si>
    <t>ค่าประกันสังคม</t>
  </si>
  <si>
    <t>regTax</t>
  </si>
  <si>
    <t>ค่าภาษี</t>
  </si>
  <si>
    <t>หัก รายการที่ไม่ใช่ภาระหนี้</t>
  </si>
  <si>
    <t>regSalary</t>
  </si>
  <si>
    <t>40000</t>
  </si>
  <si>
    <t>อัตราเงินเดือน</t>
  </si>
  <si>
    <t>1.1 รายได้สุทธิจากเงินเดือน</t>
  </si>
  <si>
    <t>workExpMonth</t>
  </si>
  <si>
    <t>อายุงานในปัจจุบัน(กรณีเงินเดือน) (เดือน)</t>
  </si>
  <si>
    <t>workExpYear</t>
  </si>
  <si>
    <t>อายุงานในปัจจุบัน(กรณีเงินเดือน) (ปี)</t>
  </si>
  <si>
    <t>companyEmployeeCount</t>
  </si>
  <si>
    <t>1. รายได้ประจำ</t>
  </si>
  <si>
    <t>//*[@id="tabs-2"]/div[1]/div/div[7]/div[10]/div/input</t>
  </si>
  <si>
    <t>//*[@id="tabs-2"]/div[1]/div/div[7]/div[12]/div/input</t>
  </si>
  <si>
    <t>ค่าใช้จ่ายอุปโภคบริโภค</t>
  </si>
  <si>
    <t>ค่าใช้จ่ายทั่วไป</t>
  </si>
  <si>
    <t>ค่าใช้จ่ายที่พักอาศัย</t>
  </si>
  <si>
    <t>expenseConsumer</t>
  </si>
  <si>
    <t>expenseHousing</t>
  </si>
  <si>
    <t>expenseOtherValue</t>
  </si>
  <si>
    <t>expentTotal</t>
  </si>
  <si>
    <t>expenseOtherDetail</t>
  </si>
  <si>
    <t>20000</t>
  </si>
  <si>
    <t>หนี้สินที่ไม่ได้รายงานต่อ NCB</t>
  </si>
  <si>
    <t>วันที่ของข้อมูล</t>
  </si>
  <si>
    <t>รวมภาระหนี้สินทั้งหมด</t>
  </si>
  <si>
    <t>กรณีคำขอครั้งนี้เป็นการ Refinance</t>
  </si>
  <si>
    <t>ภาระการผ่อนหนี้เดิม</t>
  </si>
  <si>
    <t>ความเห็นเพิ่มเติม</t>
  </si>
  <si>
    <t>20/09/2558</t>
  </si>
  <si>
    <t>nonNcbReportedDt</t>
  </si>
  <si>
    <t>unreportedDebtTotal</t>
  </si>
  <si>
    <t>refinOriginalDebtRelief</t>
  </si>
  <si>
    <t>nonNcbComment</t>
  </si>
  <si>
    <t>1stCustomers</t>
  </si>
  <si>
    <t>ลำดับที่</t>
  </si>
  <si>
    <t>C</t>
  </si>
  <si>
    <t>ผู้ขอสินเชื่อร่วม</t>
  </si>
  <si>
    <t>B</t>
  </si>
  <si>
    <t>ผู้ขอสินเชื่อหลัก</t>
  </si>
  <si>
    <t>ประเภทผู้ขอสินเชื่อ</t>
  </si>
  <si>
    <t>CIF No.</t>
  </si>
  <si>
    <t>หมายเลขผู้เสียภาษี</t>
  </si>
  <si>
    <t>หมายเลขทะเบียนการค้า</t>
  </si>
  <si>
    <t>หมายเลขหนังสือเดินทาง</t>
  </si>
  <si>
    <t>หมายเลขบัตรประจำตัวประชาชน</t>
  </si>
  <si>
    <t>selectedCIF</t>
  </si>
  <si>
    <t>ชื่อนิติบุคคลภาษาอังกฤษ</t>
  </si>
  <si>
    <t>searchedCustType</t>
  </si>
  <si>
    <t>ชื่อนิติบุคคลภาษาไทย</t>
  </si>
  <si>
    <t>filterCIFNo</t>
  </si>
  <si>
    <t>1357</t>
  </si>
  <si>
    <t>ชื่อภาษาอังกฤษ</t>
  </si>
  <si>
    <t>ชื่อภาษาไทย</t>
  </si>
  <si>
    <t>คำค้น (Search Parameter)</t>
  </si>
  <si>
    <t>นิติบุคคล หรือ อื่นๆ</t>
  </si>
  <si>
    <t>บุคคลธรรมดา</t>
  </si>
  <si>
    <t>ประเภทลูกค้า</t>
  </si>
  <si>
    <t>เพิ่มใหม่</t>
  </si>
  <si>
    <t>ค้นหาจากในระบบ </t>
  </si>
  <si>
    <t>searchType</t>
  </si>
  <si>
    <t>clientType</t>
  </si>
  <si>
    <t>ไม่ต้องตรวจสอบข้อมูล NCB</t>
  </si>
  <si>
    <t>addClientFlag</t>
  </si>
  <si>
    <t>ต้องตรวจสอบข้อมูล NCB</t>
  </si>
  <si>
    <t>baseCheckNcbFlag</t>
  </si>
  <si>
    <t>แก้ไขข้อมูล NCB</t>
  </si>
  <si>
    <t>การตรวจสอบ NCB</t>
  </si>
  <si>
    <t>accountName1</t>
  </si>
  <si>
    <t>accountName2</t>
  </si>
  <si>
    <t>accountName3</t>
  </si>
  <si>
    <t>accountName4</t>
  </si>
  <si>
    <t>loanTerm</t>
  </si>
  <si>
    <t>termUnitCode</t>
  </si>
  <si>
    <t>loanTermUnitCode</t>
  </si>
  <si>
    <t>relatedDeposit</t>
  </si>
  <si>
    <t>//*[@id="tabs-2"]/div[2]/div[4]/table/tbody/tr[1]/td/div[2]/input</t>
  </si>
  <si>
    <t>//*[@id="tabs-2"]/div[2]/div[4]/table/tbody/tr[2]/td/div[2]/input</t>
  </si>
  <si>
    <t>creditTierList[0].creditTierInterestList[0].monthStart</t>
  </si>
  <si>
    <t>creditTierList[0].creditTierInterestList[0].monthEnd</t>
  </si>
  <si>
    <t>gracePeriodPrinciple</t>
  </si>
  <si>
    <t>gracePeriodInterest</t>
  </si>
  <si>
    <t>disbursementDt</t>
  </si>
  <si>
    <t>firstPaymentDt</t>
  </si>
  <si>
    <t>conditionPayment</t>
  </si>
  <si>
    <t>conditionOther</t>
  </si>
  <si>
    <t>personalConsumptionId</t>
  </si>
  <si>
    <t>purposeGsbCode</t>
  </si>
  <si>
    <t>//*[@id="arrangementPurposeCodeDiv"]/div[6]/input</t>
  </si>
  <si>
    <t>//*[@id="arrangementPurposeCodeDiv"]/div[9]/input</t>
  </si>
  <si>
    <t>//*[@id="notCOMandLTDiv1"]/div[2]/input</t>
  </si>
  <si>
    <t>smeCode</t>
  </si>
  <si>
    <t>responseUnitDesc</t>
  </si>
  <si>
    <t>accBranchDesc</t>
  </si>
  <si>
    <t>accOfficer</t>
  </si>
  <si>
    <t>projectFinanceDesc</t>
  </si>
  <si>
    <t>agentCode-full</t>
  </si>
  <si>
    <t>mouUnitCode-full</t>
  </si>
  <si>
    <t>pmsAccountNo</t>
  </si>
  <si>
    <t>ministry1Id</t>
  </si>
  <si>
    <t>//*[@id="unitDiv"]/div[4]/input</t>
  </si>
  <si>
    <t>00000 : หน่วยงานราชการ</t>
  </si>
  <si>
    <t>50000 : หน่วยงานรัฐวิสาหกิจ</t>
  </si>
  <si>
    <t>60000 : สภากาชาดไทย</t>
  </si>
  <si>
    <t>80000 : หน่วยงานเอกชน</t>
  </si>
  <si>
    <t>90000 : หน่วยงานอื่น ๆ</t>
  </si>
  <si>
    <t>unitName</t>
  </si>
  <si>
    <t>//*[@id="unitDiv"]/div[7]/input</t>
  </si>
  <si>
    <t>ministry2Id</t>
  </si>
  <si>
    <t>ministry3Id</t>
  </si>
  <si>
    <t>//*[@id="unitDiv"]/div[10]/input</t>
  </si>
  <si>
    <t>ประเภทหลักประกันหลัก *</t>
  </si>
  <si>
    <t>หลักประกันย่อย *</t>
  </si>
  <si>
    <t>เพิ่มหลักประกัน</t>
  </si>
  <si>
    <t>เลขที่เอกสารสิทธิ์ *</t>
  </si>
  <si>
    <t>ประเทศ *</t>
  </si>
  <si>
    <t>จังหวัด *</t>
  </si>
  <si>
    <t>อำเภอ/เขต *</t>
  </si>
  <si>
    <t>ตำบล/แขวง *</t>
  </si>
  <si>
    <t>addCollateralFlag</t>
  </si>
  <si>
    <t xml:space="preserve">ค้นหาจากในระบบ </t>
  </si>
  <si>
    <t>1 : ที่ดิน</t>
  </si>
  <si>
    <t>2 : ที่ดินพร้อมสิ่งปลูกสร้าง</t>
  </si>
  <si>
    <t>3 : อาคารสิ่งปลูกสร้าง</t>
  </si>
  <si>
    <t>addCollTypeId</t>
  </si>
  <si>
    <t>//*[@id="addCollTypeIdDiv"]/div[2]/input</t>
  </si>
  <si>
    <t>changeCollType('add')</t>
  </si>
  <si>
    <t>//*[@id="addCollSubTypeIdDiv"]/div[2]/input</t>
  </si>
  <si>
    <t>showHideDivByCollSubType('add')</t>
  </si>
  <si>
    <t>autofill(this.value);</t>
  </si>
  <si>
    <t>addCollSubTypeId</t>
  </si>
  <si>
    <t>addLandChanote</t>
  </si>
  <si>
    <t>//*[@id="addLandCountryIdDiv"]/div[2]/input</t>
  </si>
  <si>
    <t xml:space="preserve">populateLandProvince(this.value,'',true ,'addLandProvinceId','addLandDistrictId','addLandSubDistrictId'); </t>
  </si>
  <si>
    <t>addLandCountryId</t>
  </si>
  <si>
    <t>001 : ปทุมธานี (ธัญบุรี)</t>
  </si>
  <si>
    <t>010 : กรุงเทพมหานคร</t>
  </si>
  <si>
    <t>020 : ชลบุรี</t>
  </si>
  <si>
    <t>050 : เชียงใหม่</t>
  </si>
  <si>
    <t>060 : นครสวรรค์</t>
  </si>
  <si>
    <t>addLandProvinceId</t>
  </si>
  <si>
    <t>//*[@id="addLandProvinceIdDiv"]/div[2]/input</t>
  </si>
  <si>
    <t>populateLandDistrict(this.value,'',true ,'addLandDistrictId','addLandSubDistrictId');</t>
  </si>
  <si>
    <t>populateLandSubDistrict(this.value,'',true ,'addLandSubDistrictId');</t>
  </si>
  <si>
    <t>addLandDistrictId</t>
  </si>
  <si>
    <t>//*[@id="addLandDistrictIdDiv"]/div[2]/input</t>
  </si>
  <si>
    <t>//*[@id="addLandSubDistrictIdDiv"]/div[2]/input</t>
  </si>
  <si>
    <t>addLandSubDistrictId</t>
  </si>
  <si>
    <t>TH : ไทย</t>
  </si>
  <si>
    <t>1 : โฉนด</t>
  </si>
  <si>
    <t>2 : นส.3ก</t>
  </si>
  <si>
    <t>3 : ตราจอง</t>
  </si>
  <si>
    <t>4 : นส.3</t>
  </si>
  <si>
    <t>5 : นส.3ข</t>
  </si>
  <si>
    <t>001 : ธัญบุรี (กลางเมือง)</t>
  </si>
  <si>
    <t>005 : บางเขน</t>
  </si>
  <si>
    <t>Data1</t>
  </si>
  <si>
    <t>001 : ลาดยาว</t>
  </si>
  <si>
    <t>007 : ศรีราชา</t>
  </si>
  <si>
    <t>007 : บางพระ</t>
  </si>
  <si>
    <t>004 : เชียงดาว</t>
  </si>
  <si>
    <t>002 : เมืองนะ</t>
  </si>
  <si>
    <t>001 : เมืองนครสวรรค์</t>
  </si>
  <si>
    <t>001 : ปากน้ำโพ</t>
  </si>
  <si>
    <t>001 : ประชาธิปัตย์ (คลองรังสิตฝั่งเหนือ)</t>
  </si>
  <si>
    <t>12735</t>
  </si>
  <si>
    <t>0 : ไม่มีประเภทย่อย</t>
  </si>
  <si>
    <t>คลิก เพิ่ม</t>
  </si>
  <si>
    <t>addCollateralBtn</t>
  </si>
  <si>
    <t>Run</t>
  </si>
  <si>
    <t>true</t>
  </si>
  <si>
    <t>false</t>
  </si>
  <si>
    <t>doSubmit('initAddNewSubCollateral')</t>
  </si>
  <si>
    <t>คลิก บันทึก</t>
  </si>
  <si>
    <t>//*[@id="addNewCollateral"]/div[51]/button[1]</t>
  </si>
  <si>
    <t>addBldBuildingNoCheckFlg</t>
  </si>
  <si>
    <t>สิ่งปลูกสร้างที่สร้างเสร็จแล้ว</t>
  </si>
  <si>
    <t>เลขที่สิ่งปลูกสร้าง *</t>
  </si>
  <si>
    <t>รหัสประจำบ้าน *</t>
  </si>
  <si>
    <t>อาคารที่/หลังที่ *</t>
  </si>
  <si>
    <t>จำนวนสิ่งปลูกสร้างที่ยังสร้างไม่เสร็จ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</si>
</sst>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rgb="FF222222"/>
      <name val="Consolas"/>
      <family val="3"/>
    </font>
    <font>
      <sz val="9"/>
      <name val="Arial"/>
      <family val="2"/>
    </font>
    <font>
      <sz val="10"/>
      <color rgb="FF333333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rgb="FF222222"/>
      <name val="Tahoma"/>
      <family val="2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b/>
      <sz val="10"/>
      <color rgb="FFFF0000"/>
      <name val="Tahoma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0000"/>
      <name val="Tahoma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9"/>
      <color theme="0"/>
      <name val="Tahoma"/>
      <family val="2"/>
    </font>
    <font>
      <sz val="10"/>
      <color theme="0"/>
      <name val="Arial"/>
      <family val="2"/>
    </font>
    <font>
      <sz val="9"/>
      <color theme="0"/>
      <name val="Consolas"/>
      <family val="3"/>
    </font>
    <font>
      <b/>
      <sz val="9"/>
      <color theme="0"/>
      <name val="Consolas"/>
      <family val="3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Tahoma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/>
      </patternFill>
    </fill>
  </fills>
  <borders count="3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5B9BD5"/>
      </bottom>
      <diagonal/>
    </border>
    <border>
      <left style="thin">
        <color rgb="FF5B9BD5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rgb="FF5B9BD5"/>
      </right>
      <top/>
      <bottom style="thin">
        <color rgb="FF5B9BD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rgb="FF5B9BD5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9" fontId="7" fillId="0" borderId="0">
      <alignment vertical="center"/>
    </xf>
    <xf numFmtId="0" fontId="3" fillId="0" borderId="0"/>
  </cellStyleXfs>
  <cellXfs count="307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3" fillId="0" borderId="0" xfId="0" applyNumberFormat="1" applyFont="1"/>
    <xf numFmtId="49" fontId="3" fillId="3" borderId="0" xfId="0" quotePrefix="1" applyNumberFormat="1" applyFont="1" applyFill="1"/>
    <xf numFmtId="0" fontId="8" fillId="0" borderId="0" xfId="0" applyFont="1"/>
    <xf numFmtId="0" fontId="4" fillId="0" borderId="0" xfId="0" applyFont="1"/>
    <xf numFmtId="0" fontId="6" fillId="0" borderId="0" xfId="0" applyFont="1"/>
    <xf numFmtId="49" fontId="5" fillId="0" borderId="7" xfId="0" applyNumberFormat="1" applyFont="1" applyBorder="1" applyAlignment="1">
      <alignment vertical="center" wrapText="1"/>
    </xf>
    <xf numFmtId="49" fontId="5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49" fontId="9" fillId="5" borderId="7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49" fontId="4" fillId="0" borderId="7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vertical="center" wrapText="1"/>
    </xf>
    <xf numFmtId="49" fontId="12" fillId="0" borderId="7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4" fillId="0" borderId="6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10" fillId="0" borderId="13" xfId="0" applyNumberFormat="1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0" xfId="0" applyFont="1"/>
    <xf numFmtId="49" fontId="4" fillId="0" borderId="7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1" fillId="4" borderId="14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1" fillId="4" borderId="11" xfId="0" applyNumberFormat="1" applyFont="1" applyFill="1" applyBorder="1" applyAlignment="1">
      <alignment vertical="center" wrapText="1"/>
    </xf>
    <xf numFmtId="49" fontId="11" fillId="4" borderId="15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vertical="center" wrapText="1"/>
    </xf>
    <xf numFmtId="49" fontId="16" fillId="6" borderId="7" xfId="0" applyNumberFormat="1" applyFont="1" applyFill="1" applyBorder="1" applyAlignment="1">
      <alignment vertical="center" wrapText="1"/>
    </xf>
    <xf numFmtId="49" fontId="16" fillId="6" borderId="7" xfId="0" applyNumberFormat="1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 wrapText="1"/>
    </xf>
    <xf numFmtId="0" fontId="18" fillId="0" borderId="0" xfId="0" applyFont="1"/>
    <xf numFmtId="49" fontId="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8" fillId="0" borderId="8" xfId="0" applyFont="1" applyBorder="1"/>
    <xf numFmtId="0" fontId="18" fillId="0" borderId="8" xfId="0" applyFont="1" applyFill="1" applyBorder="1"/>
    <xf numFmtId="49" fontId="3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49" fontId="3" fillId="6" borderId="0" xfId="0" applyNumberFormat="1" applyFont="1" applyFill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3" fillId="6" borderId="0" xfId="0" applyNumberFormat="1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6" borderId="0" xfId="0" applyNumberFormat="1" applyFill="1" applyAlignment="1">
      <alignment vertical="center" wrapText="1"/>
    </xf>
    <xf numFmtId="49" fontId="11" fillId="6" borderId="0" xfId="0" applyNumberFormat="1" applyFont="1" applyFill="1" applyBorder="1" applyAlignment="1">
      <alignment vertical="center" wrapText="1"/>
    </xf>
    <xf numFmtId="49" fontId="11" fillId="6" borderId="7" xfId="0" applyNumberFormat="1" applyFont="1" applyFill="1" applyBorder="1" applyAlignment="1">
      <alignment vertical="center" wrapText="1"/>
    </xf>
    <xf numFmtId="0" fontId="11" fillId="6" borderId="0" xfId="0" applyNumberFormat="1" applyFont="1" applyFill="1" applyBorder="1" applyAlignment="1">
      <alignment vertical="center" wrapText="1"/>
    </xf>
    <xf numFmtId="49" fontId="6" fillId="6" borderId="0" xfId="0" applyNumberFormat="1" applyFont="1" applyFill="1" applyBorder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18" fillId="0" borderId="0" xfId="0" applyNumberFormat="1" applyFont="1" applyAlignment="1">
      <alignment vertical="center" wrapText="1"/>
    </xf>
    <xf numFmtId="49" fontId="18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18" fillId="0" borderId="0" xfId="0" applyNumberFormat="1" applyFont="1" applyFill="1"/>
    <xf numFmtId="49" fontId="6" fillId="0" borderId="0" xfId="0" applyNumberFormat="1" applyFont="1" applyFill="1"/>
    <xf numFmtId="49" fontId="18" fillId="0" borderId="0" xfId="0" applyNumberFormat="1" applyFont="1"/>
    <xf numFmtId="49" fontId="6" fillId="0" borderId="0" xfId="0" applyNumberFormat="1" applyFont="1"/>
    <xf numFmtId="49" fontId="14" fillId="6" borderId="0" xfId="0" applyNumberFormat="1" applyFont="1" applyFill="1" applyAlignment="1">
      <alignment vertical="center" wrapText="1"/>
    </xf>
    <xf numFmtId="49" fontId="6" fillId="6" borderId="0" xfId="0" applyNumberFormat="1" applyFont="1" applyFill="1" applyAlignment="1">
      <alignment vertical="center" wrapText="1"/>
    </xf>
    <xf numFmtId="49" fontId="18" fillId="0" borderId="8" xfId="0" applyNumberFormat="1" applyFont="1" applyFill="1" applyBorder="1"/>
    <xf numFmtId="49" fontId="17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wrapText="1"/>
    </xf>
    <xf numFmtId="49" fontId="14" fillId="0" borderId="8" xfId="0" applyNumberFormat="1" applyFont="1" applyBorder="1"/>
    <xf numFmtId="0" fontId="0" fillId="0" borderId="0" xfId="0" applyNumberFormat="1" applyFill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18" fillId="6" borderId="0" xfId="0" applyFont="1" applyFill="1"/>
    <xf numFmtId="0" fontId="18" fillId="0" borderId="0" xfId="0" applyFont="1" applyAlignment="1"/>
    <xf numFmtId="0" fontId="18" fillId="0" borderId="8" xfId="0" applyFont="1" applyFill="1" applyBorder="1" applyAlignment="1"/>
    <xf numFmtId="49" fontId="3" fillId="0" borderId="0" xfId="0" applyNumberFormat="1" applyFont="1" applyAlignment="1">
      <alignment horizontal="left" vertical="center" wrapText="1"/>
    </xf>
    <xf numFmtId="49" fontId="20" fillId="10" borderId="0" xfId="0" applyNumberFormat="1" applyFont="1" applyFill="1" applyAlignment="1">
      <alignment vertical="center" wrapText="1"/>
    </xf>
    <xf numFmtId="49" fontId="21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49" fontId="0" fillId="0" borderId="0" xfId="0" applyNumberForma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20" fillId="9" borderId="0" xfId="0" applyNumberFormat="1" applyFont="1" applyFill="1" applyAlignment="1">
      <alignment vertical="center" wrapText="1"/>
    </xf>
    <xf numFmtId="49" fontId="22" fillId="6" borderId="7" xfId="0" applyNumberFormat="1" applyFont="1" applyFill="1" applyBorder="1" applyAlignment="1">
      <alignment vertical="center" wrapText="1"/>
    </xf>
    <xf numFmtId="49" fontId="22" fillId="6" borderId="7" xfId="0" applyNumberFormat="1" applyFont="1" applyFill="1" applyBorder="1" applyAlignment="1">
      <alignment vertical="center"/>
    </xf>
    <xf numFmtId="0" fontId="11" fillId="6" borderId="0" xfId="0" applyFont="1" applyFill="1"/>
    <xf numFmtId="49" fontId="22" fillId="8" borderId="17" xfId="0" applyNumberFormat="1" applyFont="1" applyFill="1" applyBorder="1" applyAlignment="1">
      <alignment horizontal="center" vertical="center" wrapText="1"/>
    </xf>
    <xf numFmtId="49" fontId="22" fillId="11" borderId="17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0" fillId="6" borderId="0" xfId="0" applyNumberFormat="1" applyFill="1" applyAlignment="1">
      <alignment vertical="center" wrapText="1"/>
    </xf>
    <xf numFmtId="49" fontId="11" fillId="6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49" fontId="23" fillId="8" borderId="17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/>
    </xf>
    <xf numFmtId="49" fontId="24" fillId="8" borderId="17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 wrapText="1"/>
    </xf>
    <xf numFmtId="49" fontId="23" fillId="7" borderId="17" xfId="0" applyNumberFormat="1" applyFont="1" applyFill="1" applyBorder="1" applyAlignment="1">
      <alignment horizontal="center" vertical="center" wrapText="1"/>
    </xf>
    <xf numFmtId="49" fontId="24" fillId="7" borderId="17" xfId="0" applyNumberFormat="1" applyFont="1" applyFill="1" applyBorder="1" applyAlignment="1">
      <alignment horizontal="center" vertical="center" wrapText="1"/>
    </xf>
    <xf numFmtId="49" fontId="22" fillId="7" borderId="1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4" fillId="11" borderId="17" xfId="0" applyNumberFormat="1" applyFont="1" applyFill="1" applyBorder="1" applyAlignment="1">
      <alignment horizontal="center" vertical="center" wrapText="1"/>
    </xf>
    <xf numFmtId="49" fontId="23" fillId="11" borderId="17" xfId="0" applyNumberFormat="1" applyFont="1" applyFill="1" applyBorder="1" applyAlignment="1">
      <alignment horizontal="center" vertical="center" wrapText="1"/>
    </xf>
    <xf numFmtId="0" fontId="11" fillId="12" borderId="0" xfId="0" applyFont="1" applyFill="1" applyAlignment="1">
      <alignment vertical="center" wrapText="1"/>
    </xf>
    <xf numFmtId="49" fontId="19" fillId="12" borderId="0" xfId="0" applyNumberFormat="1" applyFont="1" applyFill="1" applyAlignment="1">
      <alignment vertical="center" wrapText="1"/>
    </xf>
    <xf numFmtId="49" fontId="11" fillId="12" borderId="7" xfId="0" applyNumberFormat="1" applyFont="1" applyFill="1" applyBorder="1" applyAlignment="1">
      <alignment horizontal="center" vertical="center" wrapText="1"/>
    </xf>
    <xf numFmtId="0" fontId="25" fillId="12" borderId="0" xfId="0" applyFont="1" applyFill="1" applyAlignment="1">
      <alignment vertical="center" wrapText="1"/>
    </xf>
    <xf numFmtId="49" fontId="11" fillId="12" borderId="8" xfId="0" applyNumberFormat="1" applyFont="1" applyFill="1" applyBorder="1" applyAlignment="1">
      <alignment horizontal="center" vertical="center" wrapText="1"/>
    </xf>
    <xf numFmtId="49" fontId="3" fillId="0" borderId="0" xfId="2" applyNumberFormat="1"/>
    <xf numFmtId="0" fontId="3" fillId="0" borderId="0" xfId="2" applyNumberFormat="1"/>
    <xf numFmtId="49" fontId="3" fillId="0" borderId="0" xfId="2" applyNumberFormat="1" applyFont="1"/>
    <xf numFmtId="49" fontId="26" fillId="13" borderId="18" xfId="2" applyNumberFormat="1" applyFont="1" applyFill="1" applyBorder="1"/>
    <xf numFmtId="49" fontId="26" fillId="0" borderId="18" xfId="2" applyNumberFormat="1" applyFont="1" applyBorder="1"/>
    <xf numFmtId="49" fontId="3" fillId="0" borderId="0" xfId="2" applyNumberFormat="1" applyBorder="1" applyAlignment="1">
      <alignment wrapText="1"/>
    </xf>
    <xf numFmtId="49" fontId="9" fillId="5" borderId="16" xfId="2" applyNumberFormat="1" applyFont="1" applyFill="1" applyBorder="1" applyAlignment="1">
      <alignment horizontal="center" vertical="center" wrapText="1"/>
    </xf>
    <xf numFmtId="49" fontId="6" fillId="0" borderId="0" xfId="2" applyNumberFormat="1" applyFont="1" applyBorder="1" applyAlignment="1">
      <alignment wrapText="1"/>
    </xf>
    <xf numFmtId="0" fontId="3" fillId="0" borderId="0" xfId="2" applyNumberFormat="1" applyBorder="1" applyAlignment="1">
      <alignment wrapText="1"/>
    </xf>
    <xf numFmtId="49" fontId="4" fillId="0" borderId="7" xfId="2" applyNumberFormat="1" applyFont="1" applyFill="1" applyBorder="1" applyAlignment="1">
      <alignment vertical="center" wrapText="1"/>
    </xf>
    <xf numFmtId="49" fontId="3" fillId="0" borderId="0" xfId="2" applyNumberFormat="1" applyFont="1" applyAlignment="1">
      <alignment wrapText="1"/>
    </xf>
    <xf numFmtId="49" fontId="9" fillId="5" borderId="8" xfId="2" applyNumberFormat="1" applyFont="1" applyFill="1" applyBorder="1" applyAlignment="1">
      <alignment horizontal="center" vertical="center" wrapText="1"/>
    </xf>
    <xf numFmtId="49" fontId="27" fillId="0" borderId="0" xfId="2" applyNumberFormat="1" applyFont="1"/>
    <xf numFmtId="49" fontId="3" fillId="0" borderId="0" xfId="2" applyNumberFormat="1" applyAlignment="1">
      <alignment wrapText="1"/>
    </xf>
    <xf numFmtId="49" fontId="6" fillId="0" borderId="0" xfId="2" applyNumberFormat="1" applyFont="1" applyAlignment="1">
      <alignment wrapText="1"/>
    </xf>
    <xf numFmtId="0" fontId="3" fillId="0" borderId="0" xfId="2" applyNumberFormat="1" applyAlignment="1">
      <alignment wrapText="1"/>
    </xf>
    <xf numFmtId="49" fontId="26" fillId="13" borderId="19" xfId="2" applyNumberFormat="1" applyFont="1" applyFill="1" applyBorder="1"/>
    <xf numFmtId="49" fontId="26" fillId="0" borderId="20" xfId="2" applyNumberFormat="1" applyFont="1" applyBorder="1"/>
    <xf numFmtId="49" fontId="26" fillId="13" borderId="20" xfId="2" applyNumberFormat="1" applyFont="1" applyFill="1" applyBorder="1"/>
    <xf numFmtId="49" fontId="6" fillId="0" borderId="0" xfId="2" applyNumberFormat="1" applyFont="1"/>
    <xf numFmtId="49" fontId="8" fillId="0" borderId="0" xfId="2" applyNumberFormat="1" applyFont="1" applyAlignment="1">
      <alignment wrapText="1"/>
    </xf>
    <xf numFmtId="49" fontId="26" fillId="0" borderId="0" xfId="2" applyNumberFormat="1" applyFont="1"/>
    <xf numFmtId="49" fontId="21" fillId="0" borderId="0" xfId="2" applyNumberFormat="1" applyFont="1"/>
    <xf numFmtId="0" fontId="3" fillId="0" borderId="0" xfId="2" applyNumberFormat="1" applyFont="1" applyAlignment="1">
      <alignment wrapText="1"/>
    </xf>
    <xf numFmtId="49" fontId="11" fillId="4" borderId="15" xfId="2" applyNumberFormat="1" applyFont="1" applyFill="1" applyBorder="1" applyAlignment="1">
      <alignment vertical="center" wrapText="1"/>
    </xf>
    <xf numFmtId="49" fontId="11" fillId="4" borderId="11" xfId="2" applyNumberFormat="1" applyFont="1" applyFill="1" applyBorder="1" applyAlignment="1">
      <alignment vertical="center" wrapText="1"/>
    </xf>
    <xf numFmtId="49" fontId="11" fillId="4" borderId="9" xfId="2" applyNumberFormat="1" applyFont="1" applyFill="1" applyBorder="1" applyAlignment="1">
      <alignment horizontal="center" vertical="center" wrapText="1"/>
    </xf>
    <xf numFmtId="49" fontId="11" fillId="4" borderId="9" xfId="2" applyNumberFormat="1" applyFont="1" applyFill="1" applyBorder="1" applyAlignment="1">
      <alignment vertical="center" wrapText="1"/>
    </xf>
    <xf numFmtId="0" fontId="11" fillId="4" borderId="9" xfId="2" applyNumberFormat="1" applyFont="1" applyFill="1" applyBorder="1" applyAlignment="1">
      <alignment vertical="center" wrapText="1"/>
    </xf>
    <xf numFmtId="49" fontId="11" fillId="4" borderId="14" xfId="2" applyNumberFormat="1" applyFont="1" applyFill="1" applyBorder="1" applyAlignment="1">
      <alignment horizontal="center" vertical="center" wrapText="1"/>
    </xf>
    <xf numFmtId="0" fontId="3" fillId="0" borderId="0" xfId="2"/>
    <xf numFmtId="0" fontId="21" fillId="0" borderId="0" xfId="2" applyFont="1"/>
    <xf numFmtId="49" fontId="3" fillId="14" borderId="0" xfId="2" applyNumberFormat="1" applyFont="1" applyFill="1" applyAlignment="1">
      <alignment wrapText="1"/>
    </xf>
    <xf numFmtId="0" fontId="3" fillId="0" borderId="0" xfId="2" applyFont="1"/>
    <xf numFmtId="49" fontId="3" fillId="6" borderId="0" xfId="2" applyNumberFormat="1" applyFill="1" applyAlignment="1">
      <alignment wrapText="1"/>
    </xf>
    <xf numFmtId="49" fontId="9" fillId="15" borderId="8" xfId="2" applyNumberFormat="1" applyFont="1" applyFill="1" applyBorder="1" applyAlignment="1">
      <alignment horizontal="center" vertical="center" wrapText="1"/>
    </xf>
    <xf numFmtId="49" fontId="6" fillId="6" borderId="0" xfId="2" applyNumberFormat="1" applyFont="1" applyFill="1" applyAlignment="1">
      <alignment wrapText="1"/>
    </xf>
    <xf numFmtId="0" fontId="3" fillId="6" borderId="0" xfId="2" applyNumberFormat="1" applyFill="1" applyAlignment="1">
      <alignment wrapText="1"/>
    </xf>
    <xf numFmtId="49" fontId="4" fillId="6" borderId="7" xfId="2" applyNumberFormat="1" applyFont="1" applyFill="1" applyBorder="1" applyAlignment="1">
      <alignment vertical="center" wrapText="1"/>
    </xf>
    <xf numFmtId="49" fontId="28" fillId="6" borderId="0" xfId="2" applyNumberFormat="1" applyFont="1" applyFill="1" applyAlignment="1">
      <alignment wrapText="1"/>
    </xf>
    <xf numFmtId="49" fontId="26" fillId="0" borderId="21" xfId="2" applyNumberFormat="1" applyFont="1" applyBorder="1"/>
    <xf numFmtId="0" fontId="3" fillId="6" borderId="0" xfId="2" applyNumberFormat="1" applyFont="1" applyFill="1" applyAlignment="1">
      <alignment wrapText="1"/>
    </xf>
    <xf numFmtId="49" fontId="26" fillId="0" borderId="22" xfId="2" applyNumberFormat="1" applyFont="1" applyBorder="1"/>
    <xf numFmtId="49" fontId="3" fillId="6" borderId="0" xfId="2" applyNumberFormat="1" applyFont="1" applyFill="1" applyAlignment="1">
      <alignment wrapText="1"/>
    </xf>
    <xf numFmtId="0" fontId="6" fillId="0" borderId="0" xfId="2" applyFont="1"/>
    <xf numFmtId="0" fontId="3" fillId="0" borderId="0" xfId="2" applyNumberFormat="1" applyFont="1"/>
    <xf numFmtId="0" fontId="21" fillId="0" borderId="8" xfId="2" applyNumberFormat="1" applyFont="1" applyBorder="1"/>
    <xf numFmtId="49" fontId="9" fillId="17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vertical="center" wrapText="1"/>
    </xf>
    <xf numFmtId="49" fontId="4" fillId="0" borderId="12" xfId="2" applyNumberFormat="1" applyFont="1" applyFill="1" applyBorder="1" applyAlignment="1">
      <alignment vertical="center" wrapText="1"/>
    </xf>
    <xf numFmtId="49" fontId="11" fillId="4" borderId="0" xfId="2" applyNumberFormat="1" applyFont="1" applyFill="1" applyBorder="1" applyAlignment="1">
      <alignment wrapText="1"/>
    </xf>
    <xf numFmtId="49" fontId="6" fillId="4" borderId="0" xfId="2" applyNumberFormat="1" applyFont="1" applyFill="1" applyBorder="1" applyAlignment="1">
      <alignment vertical="center" wrapText="1"/>
    </xf>
    <xf numFmtId="49" fontId="11" fillId="6" borderId="7" xfId="2" applyNumberFormat="1" applyFont="1" applyFill="1" applyBorder="1" applyAlignment="1">
      <alignment vertical="center" wrapText="1"/>
    </xf>
    <xf numFmtId="49" fontId="28" fillId="4" borderId="0" xfId="2" applyNumberFormat="1" applyFont="1" applyFill="1" applyBorder="1" applyAlignment="1">
      <alignment wrapText="1"/>
    </xf>
    <xf numFmtId="49" fontId="26" fillId="5" borderId="8" xfId="2" applyNumberFormat="1" applyFont="1" applyFill="1" applyBorder="1" applyAlignment="1">
      <alignment wrapText="1"/>
    </xf>
    <xf numFmtId="0" fontId="19" fillId="12" borderId="0" xfId="0" applyNumberFormat="1" applyFont="1" applyFill="1" applyAlignment="1">
      <alignment vertical="center" wrapText="1"/>
    </xf>
    <xf numFmtId="49" fontId="11" fillId="18" borderId="0" xfId="2" applyNumberFormat="1" applyFont="1" applyFill="1" applyBorder="1" applyAlignment="1">
      <alignment wrapText="1"/>
    </xf>
    <xf numFmtId="49" fontId="9" fillId="18" borderId="0" xfId="2" applyNumberFormat="1" applyFont="1" applyFill="1" applyBorder="1" applyAlignment="1">
      <alignment wrapText="1"/>
    </xf>
    <xf numFmtId="0" fontId="13" fillId="0" borderId="0" xfId="0" applyFont="1"/>
    <xf numFmtId="0" fontId="13" fillId="0" borderId="0" xfId="0" applyNumberFormat="1" applyFont="1" applyAlignment="1">
      <alignment horizontal="left" vertical="center" wrapText="1"/>
    </xf>
    <xf numFmtId="0" fontId="28" fillId="6" borderId="0" xfId="0" applyFont="1" applyFill="1"/>
    <xf numFmtId="0" fontId="6" fillId="6" borderId="0" xfId="0" applyFont="1" applyFill="1"/>
    <xf numFmtId="49" fontId="4" fillId="16" borderId="7" xfId="2" applyNumberFormat="1" applyFont="1" applyFill="1" applyBorder="1" applyAlignment="1">
      <alignment vertical="center" wrapText="1"/>
    </xf>
    <xf numFmtId="49" fontId="3" fillId="16" borderId="0" xfId="2" applyNumberFormat="1" applyFont="1" applyFill="1" applyAlignment="1">
      <alignment wrapText="1"/>
    </xf>
    <xf numFmtId="0" fontId="6" fillId="16" borderId="0" xfId="0" applyFont="1" applyFill="1"/>
    <xf numFmtId="49" fontId="3" fillId="16" borderId="0" xfId="2" applyNumberFormat="1" applyFill="1" applyAlignment="1">
      <alignment wrapText="1"/>
    </xf>
    <xf numFmtId="49" fontId="9" fillId="17" borderId="16" xfId="2" applyNumberFormat="1" applyFont="1" applyFill="1" applyBorder="1" applyAlignment="1">
      <alignment horizontal="center" vertical="center" wrapText="1"/>
    </xf>
    <xf numFmtId="49" fontId="9" fillId="17" borderId="23" xfId="2" applyNumberFormat="1" applyFont="1" applyFill="1" applyBorder="1" applyAlignment="1">
      <alignment vertical="center" wrapText="1"/>
    </xf>
    <xf numFmtId="49" fontId="9" fillId="17" borderId="24" xfId="2" applyNumberFormat="1" applyFont="1" applyFill="1" applyBorder="1" applyAlignment="1">
      <alignment vertical="center" wrapText="1"/>
    </xf>
    <xf numFmtId="0" fontId="13" fillId="0" borderId="0" xfId="0" applyFont="1" applyAlignment="1">
      <alignment horizontal="left" wrapText="1"/>
    </xf>
    <xf numFmtId="49" fontId="9" fillId="17" borderId="8" xfId="2" applyNumberFormat="1" applyFont="1" applyFill="1" applyBorder="1" applyAlignment="1">
      <alignment horizontal="center" vertical="center" wrapText="1"/>
    </xf>
    <xf numFmtId="0" fontId="29" fillId="0" borderId="0" xfId="2" applyFont="1"/>
    <xf numFmtId="0" fontId="30" fillId="0" borderId="0" xfId="2" applyFont="1"/>
    <xf numFmtId="0" fontId="6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8" fillId="0" borderId="0" xfId="2" applyFont="1" applyAlignment="1">
      <alignment wrapText="1"/>
    </xf>
    <xf numFmtId="0" fontId="31" fillId="0" borderId="0" xfId="2" applyFont="1" applyAlignment="1">
      <alignment wrapText="1"/>
    </xf>
    <xf numFmtId="49" fontId="14" fillId="0" borderId="0" xfId="2" applyNumberFormat="1" applyFont="1" applyAlignment="1">
      <alignment wrapText="1"/>
    </xf>
    <xf numFmtId="0" fontId="14" fillId="0" borderId="0" xfId="2" applyFont="1" applyAlignment="1">
      <alignment wrapText="1"/>
    </xf>
    <xf numFmtId="0" fontId="32" fillId="0" borderId="0" xfId="2" applyFont="1" applyAlignment="1">
      <alignment wrapText="1"/>
    </xf>
    <xf numFmtId="0" fontId="29" fillId="0" borderId="0" xfId="2" applyFont="1" applyAlignment="1">
      <alignment wrapText="1"/>
    </xf>
    <xf numFmtId="0" fontId="27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8" fillId="5" borderId="8" xfId="0" applyFont="1" applyFill="1" applyBorder="1"/>
    <xf numFmtId="0" fontId="6" fillId="0" borderId="8" xfId="0" applyFont="1" applyBorder="1" applyAlignment="1">
      <alignment wrapText="1"/>
    </xf>
    <xf numFmtId="49" fontId="28" fillId="4" borderId="8" xfId="2" applyNumberFormat="1" applyFont="1" applyFill="1" applyBorder="1" applyAlignment="1">
      <alignment wrapText="1"/>
    </xf>
    <xf numFmtId="49" fontId="11" fillId="4" borderId="8" xfId="2" applyNumberFormat="1" applyFont="1" applyFill="1" applyBorder="1" applyAlignment="1">
      <alignment wrapText="1"/>
    </xf>
    <xf numFmtId="49" fontId="9" fillId="16" borderId="7" xfId="2" applyNumberFormat="1" applyFont="1" applyFill="1" applyBorder="1" applyAlignment="1">
      <alignment vertical="center" wrapText="1"/>
    </xf>
    <xf numFmtId="0" fontId="27" fillId="0" borderId="0" xfId="0" applyFont="1"/>
    <xf numFmtId="49" fontId="0" fillId="0" borderId="0" xfId="0" applyNumberFormat="1" applyAlignment="1">
      <alignment wrapText="1"/>
    </xf>
    <xf numFmtId="49" fontId="14" fillId="0" borderId="0" xfId="0" applyNumberFormat="1" applyFont="1" applyAlignment="1">
      <alignment wrapText="1"/>
    </xf>
    <xf numFmtId="49" fontId="14" fillId="5" borderId="8" xfId="0" applyNumberFormat="1" applyFon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49" fontId="14" fillId="0" borderId="8" xfId="0" applyNumberFormat="1" applyFont="1" applyBorder="1" applyAlignment="1">
      <alignment wrapText="1"/>
    </xf>
    <xf numFmtId="49" fontId="3" fillId="20" borderId="0" xfId="2" applyNumberFormat="1" applyFont="1" applyFill="1" applyAlignment="1">
      <alignment wrapText="1"/>
    </xf>
    <xf numFmtId="0" fontId="3" fillId="0" borderId="0" xfId="0" applyFont="1"/>
    <xf numFmtId="49" fontId="27" fillId="5" borderId="8" xfId="0" applyNumberFormat="1" applyFont="1" applyFill="1" applyBorder="1"/>
    <xf numFmtId="49" fontId="8" fillId="0" borderId="0" xfId="0" applyNumberFormat="1" applyFont="1"/>
    <xf numFmtId="49" fontId="9" fillId="21" borderId="0" xfId="2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11" fillId="4" borderId="0" xfId="2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NumberFormat="1"/>
    <xf numFmtId="0" fontId="11" fillId="4" borderId="8" xfId="2" applyNumberFormat="1" applyFont="1" applyFill="1" applyBorder="1" applyAlignment="1">
      <alignment wrapText="1"/>
    </xf>
    <xf numFmtId="49" fontId="24" fillId="20" borderId="17" xfId="0" applyNumberFormat="1" applyFont="1" applyFill="1" applyBorder="1" applyAlignment="1">
      <alignment horizontal="center" vertical="center" wrapText="1"/>
    </xf>
    <xf numFmtId="49" fontId="19" fillId="22" borderId="27" xfId="0" applyNumberFormat="1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 wrapText="1"/>
    </xf>
    <xf numFmtId="49" fontId="22" fillId="20" borderId="17" xfId="0" applyNumberFormat="1" applyFont="1" applyFill="1" applyBorder="1" applyAlignment="1">
      <alignment horizontal="center" vertical="center" wrapText="1"/>
    </xf>
    <xf numFmtId="49" fontId="23" fillId="20" borderId="17" xfId="0" applyNumberFormat="1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4" fillId="20" borderId="29" xfId="0" applyNumberFormat="1" applyFont="1" applyFill="1" applyBorder="1" applyAlignment="1">
      <alignment horizontal="center" vertical="center" wrapText="1"/>
    </xf>
    <xf numFmtId="49" fontId="23" fillId="20" borderId="30" xfId="0" applyNumberFormat="1" applyFont="1" applyFill="1" applyBorder="1" applyAlignment="1">
      <alignment horizontal="center" vertical="center" wrapText="1"/>
    </xf>
    <xf numFmtId="49" fontId="22" fillId="20" borderId="32" xfId="0" applyNumberFormat="1" applyFont="1" applyFill="1" applyBorder="1" applyAlignment="1">
      <alignment horizontal="center" vertical="center" wrapText="1"/>
    </xf>
    <xf numFmtId="0" fontId="24" fillId="20" borderId="32" xfId="0" applyFont="1" applyFill="1" applyBorder="1" applyAlignment="1">
      <alignment horizontal="center" vertical="center"/>
    </xf>
    <xf numFmtId="49" fontId="23" fillId="20" borderId="32" xfId="0" applyNumberFormat="1" applyFont="1" applyFill="1" applyBorder="1" applyAlignment="1">
      <alignment horizontal="center" vertical="center" wrapText="1"/>
    </xf>
    <xf numFmtId="49" fontId="24" fillId="20" borderId="32" xfId="0" applyNumberFormat="1" applyFont="1" applyFill="1" applyBorder="1" applyAlignment="1">
      <alignment horizontal="center" vertical="center" wrapText="1"/>
    </xf>
    <xf numFmtId="0" fontId="24" fillId="20" borderId="32" xfId="0" applyFont="1" applyFill="1" applyBorder="1" applyAlignment="1">
      <alignment horizontal="center" vertical="center" wrapText="1"/>
    </xf>
    <xf numFmtId="49" fontId="24" fillId="20" borderId="31" xfId="0" applyNumberFormat="1" applyFont="1" applyFill="1" applyBorder="1" applyAlignment="1">
      <alignment horizontal="center" vertical="center" wrapText="1"/>
    </xf>
    <xf numFmtId="49" fontId="14" fillId="17" borderId="8" xfId="0" applyNumberFormat="1" applyFont="1" applyFill="1" applyBorder="1" applyAlignment="1">
      <alignment wrapText="1"/>
    </xf>
    <xf numFmtId="49" fontId="11" fillId="4" borderId="0" xfId="2" applyNumberFormat="1" applyFont="1" applyFill="1" applyBorder="1" applyAlignment="1">
      <alignment vertical="center" wrapText="1"/>
    </xf>
    <xf numFmtId="49" fontId="11" fillId="23" borderId="0" xfId="2" applyNumberFormat="1" applyFont="1" applyFill="1" applyBorder="1" applyAlignment="1">
      <alignment wrapText="1"/>
    </xf>
    <xf numFmtId="0" fontId="11" fillId="23" borderId="0" xfId="2" applyNumberFormat="1" applyFont="1" applyFill="1" applyBorder="1" applyAlignment="1">
      <alignment wrapText="1"/>
    </xf>
    <xf numFmtId="49" fontId="11" fillId="23" borderId="8" xfId="2" applyNumberFormat="1" applyFont="1" applyFill="1" applyBorder="1" applyAlignment="1">
      <alignment wrapText="1"/>
    </xf>
    <xf numFmtId="0" fontId="11" fillId="23" borderId="8" xfId="2" applyNumberFormat="1" applyFont="1" applyFill="1" applyBorder="1" applyAlignment="1">
      <alignment wrapText="1"/>
    </xf>
    <xf numFmtId="49" fontId="33" fillId="23" borderId="0" xfId="2" applyNumberFormat="1" applyFont="1" applyFill="1" applyBorder="1" applyAlignment="1">
      <alignment wrapText="1"/>
    </xf>
    <xf numFmtId="49" fontId="33" fillId="23" borderId="8" xfId="2" applyNumberFormat="1" applyFont="1" applyFill="1" applyBorder="1" applyAlignment="1">
      <alignment wrapText="1"/>
    </xf>
    <xf numFmtId="49" fontId="9" fillId="20" borderId="7" xfId="2" applyNumberFormat="1" applyFont="1" applyFill="1" applyBorder="1" applyAlignment="1">
      <alignment vertical="center" wrapText="1"/>
    </xf>
    <xf numFmtId="49" fontId="11" fillId="4" borderId="33" xfId="0" applyNumberFormat="1" applyFont="1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vertical="center" wrapText="1"/>
    </xf>
    <xf numFmtId="49" fontId="12" fillId="4" borderId="0" xfId="2" applyNumberFormat="1" applyFont="1" applyFill="1" applyBorder="1" applyAlignment="1">
      <alignment vertical="center" wrapText="1"/>
    </xf>
    <xf numFmtId="49" fontId="34" fillId="24" borderId="0" xfId="0" applyNumberFormat="1" applyFont="1" applyFill="1" applyAlignment="1">
      <alignment wrapText="1"/>
    </xf>
    <xf numFmtId="0" fontId="12" fillId="20" borderId="0" xfId="0" applyFont="1" applyFill="1"/>
    <xf numFmtId="49" fontId="34" fillId="19" borderId="0" xfId="0" applyNumberFormat="1" applyFont="1" applyFill="1" applyAlignment="1">
      <alignment wrapText="1"/>
    </xf>
    <xf numFmtId="49" fontId="34" fillId="0" borderId="0" xfId="2" applyNumberFormat="1" applyFont="1" applyAlignment="1">
      <alignment wrapText="1"/>
    </xf>
    <xf numFmtId="0" fontId="34" fillId="0" borderId="0" xfId="0" applyNumberFormat="1" applyFont="1" applyBorder="1" applyAlignment="1">
      <alignment wrapText="1"/>
    </xf>
    <xf numFmtId="0" fontId="12" fillId="16" borderId="0" xfId="0" applyFont="1" applyFill="1"/>
    <xf numFmtId="0" fontId="12" fillId="0" borderId="0" xfId="0" applyFont="1"/>
    <xf numFmtId="0" fontId="12" fillId="0" borderId="0" xfId="0" applyFont="1" applyAlignment="1">
      <alignment wrapText="1"/>
    </xf>
    <xf numFmtId="49" fontId="34" fillId="16" borderId="0" xfId="2" applyNumberFormat="1" applyFont="1" applyFill="1" applyAlignment="1">
      <alignment wrapText="1"/>
    </xf>
    <xf numFmtId="49" fontId="34" fillId="20" borderId="0" xfId="2" applyNumberFormat="1" applyFont="1" applyFill="1" applyAlignment="1">
      <alignment wrapText="1"/>
    </xf>
    <xf numFmtId="49" fontId="34" fillId="0" borderId="0" xfId="0" applyNumberFormat="1" applyFont="1" applyBorder="1" applyAlignment="1">
      <alignment wrapText="1"/>
    </xf>
    <xf numFmtId="49" fontId="12" fillId="4" borderId="8" xfId="2" applyNumberFormat="1" applyFont="1" applyFill="1" applyBorder="1" applyAlignment="1">
      <alignment vertical="center" wrapText="1"/>
    </xf>
    <xf numFmtId="49" fontId="31" fillId="24" borderId="26" xfId="0" applyNumberFormat="1" applyFont="1" applyFill="1" applyBorder="1" applyAlignment="1">
      <alignment wrapText="1"/>
    </xf>
    <xf numFmtId="0" fontId="12" fillId="20" borderId="8" xfId="0" applyFont="1" applyFill="1" applyBorder="1"/>
    <xf numFmtId="49" fontId="31" fillId="19" borderId="26" xfId="0" applyNumberFormat="1" applyFont="1" applyFill="1" applyBorder="1" applyAlignment="1">
      <alignment wrapText="1"/>
    </xf>
    <xf numFmtId="0" fontId="31" fillId="0" borderId="8" xfId="0" applyNumberFormat="1" applyFont="1" applyBorder="1" applyAlignment="1">
      <alignment wrapText="1"/>
    </xf>
    <xf numFmtId="0" fontId="12" fillId="0" borderId="8" xfId="0" applyFont="1" applyBorder="1"/>
    <xf numFmtId="49" fontId="31" fillId="0" borderId="8" xfId="0" applyNumberFormat="1" applyFont="1" applyBorder="1" applyAlignment="1">
      <alignment wrapText="1"/>
    </xf>
    <xf numFmtId="49" fontId="9" fillId="23" borderId="0" xfId="2" applyNumberFormat="1" applyFont="1" applyFill="1" applyBorder="1" applyAlignment="1">
      <alignment wrapText="1"/>
    </xf>
    <xf numFmtId="49" fontId="9" fillId="23" borderId="25" xfId="2" applyNumberFormat="1" applyFont="1" applyFill="1" applyBorder="1" applyAlignment="1">
      <alignment wrapText="1"/>
    </xf>
    <xf numFmtId="49" fontId="11" fillId="25" borderId="0" xfId="2" applyNumberFormat="1" applyFont="1" applyFill="1" applyBorder="1" applyAlignment="1">
      <alignment wrapText="1"/>
    </xf>
    <xf numFmtId="49" fontId="11" fillId="25" borderId="25" xfId="2" applyNumberFormat="1" applyFont="1" applyFill="1" applyBorder="1" applyAlignment="1">
      <alignment wrapText="1"/>
    </xf>
    <xf numFmtId="49" fontId="11" fillId="4" borderId="34" xfId="0" applyNumberFormat="1" applyFont="1" applyFill="1" applyBorder="1" applyAlignment="1">
      <alignment vertical="center" wrapText="1"/>
    </xf>
    <xf numFmtId="49" fontId="11" fillId="0" borderId="35" xfId="0" applyNumberFormat="1" applyFont="1" applyFill="1" applyBorder="1" applyAlignment="1">
      <alignment vertical="center" wrapText="1"/>
    </xf>
    <xf numFmtId="49" fontId="31" fillId="0" borderId="0" xfId="0" applyNumberFormat="1" applyFont="1" applyFill="1" applyBorder="1" applyAlignment="1">
      <alignment wrapText="1"/>
    </xf>
    <xf numFmtId="49" fontId="31" fillId="0" borderId="8" xfId="0" applyNumberFormat="1" applyFont="1" applyFill="1" applyBorder="1" applyAlignment="1">
      <alignment wrapText="1"/>
    </xf>
    <xf numFmtId="49" fontId="12" fillId="0" borderId="0" xfId="0" applyNumberFormat="1" applyFont="1" applyAlignment="1">
      <alignment wrapText="1"/>
    </xf>
    <xf numFmtId="49" fontId="12" fillId="0" borderId="8" xfId="0" applyNumberFormat="1" applyFont="1" applyBorder="1" applyAlignment="1">
      <alignment wrapText="1"/>
    </xf>
    <xf numFmtId="49" fontId="11" fillId="4" borderId="33" xfId="2" applyNumberFormat="1" applyFont="1" applyFill="1" applyBorder="1" applyAlignment="1">
      <alignment vertical="center" wrapText="1"/>
    </xf>
    <xf numFmtId="0" fontId="29" fillId="0" borderId="0" xfId="0" applyFont="1"/>
  </cellXfs>
  <cellStyles count="3">
    <cellStyle name="Dropdown" xfId="1"/>
    <cellStyle name="Normal" xfId="0" builtinId="0"/>
    <cellStyle name="Normal 2" xfId="2"/>
  </cellStyles>
  <dxfs count="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8" tint="0.39997558519241921"/>
        </bottom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vono-x250/Desktop/excel-master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"/>
      <sheetName val="register_csm"/>
      <sheetName val="register_com"/>
      <sheetName val="login"/>
      <sheetName val="Expense"/>
      <sheetName val="test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2" name="Table313" displayName="Table313" ref="A2:H18" headerRowDxfId="459" dataDxfId="457" totalsRowDxfId="455" headerRowBorderDxfId="458" tableBorderDxfId="456">
  <autoFilter ref="A2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ref="A3:H14">
    <sortCondition ref="A2:A14"/>
  </sortState>
  <tableColumns count="8">
    <tableColumn id="1" name="Index" totalsRowLabel="Total" dataDxfId="454" totalsRowDxfId="453"/>
    <tableColumn id="2" name="Name" dataDxfId="452" totalsRowDxfId="451"/>
    <tableColumn id="3" name="Data" dataDxfId="450" totalsRowDxfId="449"/>
    <tableColumn id="4" name="Type" dataDxfId="448"/>
    <tableColumn id="5" name="Value" dataDxfId="447"/>
    <tableColumn id="6" name="FieldName" dataDxfId="446"/>
    <tableColumn id="7" name="FieldNameType" dataDxfId="445"/>
    <tableColumn id="8" name="FieldName (optional)" totalsRowFunction="count" dataDxfId="444"/>
  </tableColumns>
  <tableStyleInfo name="TableStyleMedium2" showFirstColumn="1" showLastColumn="0" showRowStripes="1" showColumnStripes="0"/>
</table>
</file>

<file path=xl/tables/table10.xml><?xml version="1.0" encoding="utf-8"?>
<table xmlns="http://schemas.openxmlformats.org/spreadsheetml/2006/main" id="52" name="Table353" displayName="Table353" ref="K10:L12" totalsRowShown="0" headerRowDxfId="403" dataDxfId="402">
  <autoFilter ref="K10:L12">
    <filterColumn colId="0" hiddenButton="1"/>
    <filterColumn colId="1" hiddenButton="1"/>
  </autoFilter>
  <tableColumns count="2">
    <tableColumn id="1" name="ประเภทลูกค้า" dataDxfId="401"/>
    <tableColumn id="2" name="Column1" dataDxfId="400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53" name="Table454" displayName="Table454" ref="K14:L23" totalsRowShown="0" headerRowDxfId="399" dataDxfId="398">
  <autoFilter ref="K14:L23">
    <filterColumn colId="0" hiddenButton="1"/>
    <filterColumn colId="1" hiddenButton="1"/>
  </autoFilter>
  <tableColumns count="2">
    <tableColumn id="1" name="คำค้น (Search Parameter)" dataDxfId="397"/>
    <tableColumn id="2" name="Column1" dataDxfId="39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4" name="Table655" displayName="Table655" ref="K25:L27" totalsRowShown="0" headerRowDxfId="395" dataDxfId="394">
  <autoFilter ref="K25:L27">
    <filterColumn colId="0" hiddenButton="1"/>
    <filterColumn colId="1" hiddenButton="1"/>
  </autoFilter>
  <tableColumns count="2">
    <tableColumn id="1" name="ประเภทผู้ขอสินเชื่อ" dataDxfId="393"/>
    <tableColumn id="2" name="Column1" dataDxfId="392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55" name="Table1156" displayName="Table1156" ref="K29:L30" totalsRowShown="0">
  <autoFilter ref="K29:L30">
    <filterColumn colId="0" hiddenButton="1"/>
    <filterColumn colId="1" hiddenButton="1"/>
  </autoFilter>
  <tableColumns count="2">
    <tableColumn id="1" name="ลำดับที่" dataDxfId="391"/>
    <tableColumn id="2" name="Column1" dataDxfId="39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31316" displayName="Table31316" ref="A2:I23" headerRowDxfId="389" dataDxfId="387" totalsRowDxfId="385" headerRowBorderDxfId="388" tableBorderDxfId="386">
  <autoFilter ref="A2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ref="A3:H14">
    <sortCondition ref="A2:A14"/>
  </sortState>
  <tableColumns count="9">
    <tableColumn id="1" name="Index" totalsRowLabel="Total" dataDxfId="384" totalsRowDxfId="383"/>
    <tableColumn id="2" name="Name" dataDxfId="382" totalsRowDxfId="381"/>
    <tableColumn id="3" name="Data" dataDxfId="380" totalsRowDxfId="379"/>
    <tableColumn id="4" name="Type" dataDxfId="378"/>
    <tableColumn id="5" name="Value" dataDxfId="377"/>
    <tableColumn id="6" name="FieldName" dataDxfId="376"/>
    <tableColumn id="7" name="FieldNameType" dataDxfId="375"/>
    <tableColumn id="8" name="FieldName (Dropdown)" totalsRowFunction="count" dataDxfId="374"/>
    <tableColumn id="12" name="execute" dataDxfId="373" totalsRowDxfId="372"/>
  </tableColumns>
  <tableStyleInfo name="TableStyleMedium2" showFirstColumn="1" showLastColumn="0" showRowStripes="1" showColumnStripes="0"/>
</table>
</file>

<file path=xl/tables/table15.xml><?xml version="1.0" encoding="utf-8"?>
<table xmlns="http://schemas.openxmlformats.org/spreadsheetml/2006/main" id="16" name="tb_workflowcode1417" displayName="tb_workflowcode1417" ref="K3:L9" headerRowCount="0" totalsRowShown="0" headerRowDxfId="371" dataDxfId="370">
  <tableColumns count="2">
    <tableColumn id="1" name="Column1" headerRowDxfId="369" dataDxfId="368"/>
    <tableColumn id="2" name="Column2" headerRowDxfId="367" dataDxfId="36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7" name="Table111518" displayName="Table111518" ref="K17:L23" headerRowCount="0" totalsRowShown="0" headerRowDxfId="365" dataDxfId="364">
  <tableColumns count="2">
    <tableColumn id="1" name="Column1" headerRowDxfId="363" dataDxfId="362"/>
    <tableColumn id="2" name="Column2" headerRowDxfId="361" dataDxfId="360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K12:L14" headerRowCount="0" totalsRowShown="0">
  <tableColumns count="2">
    <tableColumn id="1" name="Column1" headerRowDxfId="359" dataDxfId="358"/>
    <tableColumn id="2" name="Column2" headerRowDxfId="357" dataDxfId="356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22" name="Table22" displayName="Table22" ref="K26:L27" headerRowCount="0" totalsRowShown="0">
  <tableColumns count="2">
    <tableColumn id="1" name="Column1" headerRowDxfId="355"/>
    <tableColumn id="2" name="Column2" headerRowDxfId="354" dataDxfId="353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id="23" name="Table23" displayName="Table23" ref="A2:I12" totalsRowShown="0" headerRowDxfId="352" dataDxfId="351" tableBorderDxfId="350">
  <autoFilter ref="A2:I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349"/>
    <tableColumn id="2" name="Name" dataDxfId="348"/>
    <tableColumn id="3" name="Data" dataDxfId="347"/>
    <tableColumn id="4" name="Type" dataDxfId="346"/>
    <tableColumn id="5" name="Value" dataDxfId="345">
      <calculatedColumnFormula>VLOOKUP(Table23[[#This Row],[Data]],K7:L8,2,0)</calculatedColumnFormula>
    </tableColumn>
    <tableColumn id="6" name="FieldName" dataDxfId="344"/>
    <tableColumn id="7" name="FieldNameType" dataDxfId="343"/>
    <tableColumn id="8" name="FieldName (Dropdown)" dataDxfId="342"/>
    <tableColumn id="9" name="execute" dataDxfId="3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b_workflowcode14" displayName="tb_workflowcode14" ref="J3:K9" headerRowCount="0" totalsRowShown="0" headerRowDxfId="443" dataDxfId="442">
  <tableColumns count="2">
    <tableColumn id="1" name="Column1" headerRowDxfId="441" dataDxfId="440"/>
    <tableColumn id="2" name="Column2" headerRowDxfId="439" dataDxfId="438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28" name="Table28" displayName="Table28" ref="K2:L5" totalsRowShown="0" headerRowDxfId="340" dataDxfId="339">
  <autoFilter ref="K2:L5">
    <filterColumn colId="0" hiddenButton="1"/>
    <filterColumn colId="1" hiddenButton="1"/>
  </autoFilter>
  <tableColumns count="2">
    <tableColumn id="1" name="วัตถุประสงค์การขอสินเชื่อ *" dataDxfId="338"/>
    <tableColumn id="2" name="Column1" dataDxfId="337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29" name="Table29" displayName="Table29" ref="K7:L9" totalsRowShown="0" headerRowDxfId="336" dataDxfId="335">
  <autoFilter ref="K7:L9">
    <filterColumn colId="0" hiddenButton="1"/>
    <filterColumn colId="1" hiddenButton="1"/>
  </autoFilter>
  <tableColumns count="2">
    <tableColumn id="1" name="กลุ่มผลิตภัณฑ์ *" dataDxfId="334"/>
    <tableColumn id="2" name="Column1" dataDxfId="333"/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K11:L17" totalsRowShown="0" headerRowDxfId="332" dataDxfId="331">
  <autoFilter ref="K11:L17">
    <filterColumn colId="0" hiddenButton="1"/>
    <filterColumn colId="1" hiddenButton="1"/>
  </autoFilter>
  <tableColumns count="2">
    <tableColumn id="1" name="Product Type *" dataDxfId="330"/>
    <tableColumn id="2" name="Column1" dataDxfId="329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id="31" name="Table31" displayName="Table31" ref="K19:L21" totalsRowShown="0" headerRowDxfId="328" dataDxfId="327">
  <autoFilter ref="K19:L21">
    <filterColumn colId="0" hiddenButton="1"/>
    <filterColumn colId="1" hiddenButton="1"/>
  </autoFilter>
  <tableColumns count="2">
    <tableColumn id="1" name="Account Sub Type *" dataDxfId="326"/>
    <tableColumn id="2" name="Column1" dataDxfId="325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id="32" name="Table32" displayName="Table32" ref="K23:L32" totalsRowShown="0" headerRowDxfId="324" dataDxfId="323">
  <autoFilter ref="K23:L32">
    <filterColumn colId="0" hiddenButton="1"/>
    <filterColumn colId="1" hiddenButton="1"/>
  </autoFilter>
  <tableColumns count="2">
    <tableColumn id="1" name="Market Code *" dataDxfId="322"/>
    <tableColumn id="2" name="Column1" dataDxfId="321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id="33" name="Table33" displayName="Table33" ref="K34:L37" totalsRowShown="0" headerRowDxfId="320" dataDxfId="319">
  <autoFilter ref="K34:L37">
    <filterColumn colId="0" hiddenButton="1"/>
    <filterColumn colId="1" hiddenButton="1"/>
  </autoFilter>
  <tableColumns count="2">
    <tableColumn id="1" name="ระยะเวลาผ่อนชำระ" dataDxfId="318"/>
    <tableColumn id="2" name="Column1" dataDxfId="317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id="36" name="Table2337" displayName="Table2337" ref="A2:I60" totalsRowShown="0" headerRowDxfId="316" dataDxfId="315" tableBorderDxfId="314">
  <autoFilter ref="A2:I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313"/>
    <tableColumn id="2" name="Name" dataDxfId="312"/>
    <tableColumn id="3" name="Data" dataDxfId="311"/>
    <tableColumn id="4" name="Type" dataDxfId="310"/>
    <tableColumn id="5" name="Value" dataDxfId="309">
      <calculatedColumnFormula>VLOOKUP(Table2337[[#This Row],[Data]],#REF!,2,0)</calculatedColumnFormula>
    </tableColumn>
    <tableColumn id="6" name="FieldName" dataDxfId="308"/>
    <tableColumn id="7" name="FieldNameType" dataDxfId="307"/>
    <tableColumn id="8" name="FieldName (optional)" dataDxfId="306"/>
    <tableColumn id="9" name="execute" dataDxfId="3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3" name="Table3444" displayName="Table3444" ref="K2:L5" totalsRowShown="0" dataDxfId="304">
  <autoFilter ref="K2:L5">
    <filterColumn colId="0" hiddenButton="1"/>
    <filterColumn colId="1" hiddenButton="1"/>
  </autoFilter>
  <tableColumns count="2">
    <tableColumn id="1" name="อัตราดอกเบี้ย *" dataDxfId="303"/>
    <tableColumn id="2" name="Column1" dataDxfId="302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id="44" name="Table3545" displayName="Table3545" ref="K7:L9" totalsRowShown="0" dataDxfId="301">
  <autoFilter ref="K7:L9">
    <filterColumn colId="0" hiddenButton="1"/>
    <filterColumn colId="1" hiddenButton="1"/>
  </autoFilter>
  <tableColumns count="2">
    <tableColumn id="1" name="ส่วนต่าง" dataDxfId="300"/>
    <tableColumn id="2" name="Column1" dataDxfId="299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K11:L14" totalsRowShown="0" dataDxfId="298">
  <autoFilter ref="K11:L14">
    <filterColumn colId="0" hiddenButton="1"/>
    <filterColumn colId="1" hiddenButton="1"/>
  </autoFilter>
  <tableColumns count="2">
    <tableColumn id="1" name="Payment Calculation Method" dataDxfId="297"/>
    <tableColumn id="2" name="Column1" dataDxfId="29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14" name="Table1115" displayName="Table1115" ref="J23:K29" headerRowCount="0" totalsRowShown="0" headerRowDxfId="437" dataDxfId="436">
  <tableColumns count="2">
    <tableColumn id="1" name="Column1" headerRowDxfId="435" dataDxfId="434"/>
    <tableColumn id="2" name="Column2" headerRowDxfId="433" dataDxfId="432"/>
  </tableColumns>
  <tableStyleInfo name="TableStyleLight19" showFirstColumn="0" showLastColumn="0" showRowStripes="1" showColumnStripes="0"/>
</table>
</file>

<file path=xl/tables/table30.xml><?xml version="1.0" encoding="utf-8"?>
<table xmlns="http://schemas.openxmlformats.org/spreadsheetml/2006/main" id="3" name="Table3" displayName="Table3" ref="K16:L21" totalsRowShown="0" dataDxfId="295">
  <autoFilter ref="K16:L21">
    <filterColumn colId="0" hiddenButton="1"/>
    <filterColumn colId="1" hiddenButton="1"/>
  </autoFilter>
  <tableColumns count="2">
    <tableColumn id="1" name="Payment Frequency" dataDxfId="294"/>
    <tableColumn id="2" name="Column1" dataDxfId="293"/>
  </tableColumns>
  <tableStyleInfo name="TableStyleMedium12" showFirstColumn="0" showLastColumn="0" showRowStripes="1" showColumnStripes="0"/>
</table>
</file>

<file path=xl/tables/table31.xml><?xml version="1.0" encoding="utf-8"?>
<table xmlns="http://schemas.openxmlformats.org/spreadsheetml/2006/main" id="4" name="Table4" displayName="Table4" ref="K23:L26" totalsRowShown="0">
  <autoFilter ref="K23:L26">
    <filterColumn colId="0" hiddenButton="1"/>
    <filterColumn colId="1" hiddenButton="1"/>
  </autoFilter>
  <tableColumns count="2">
    <tableColumn id="1" name="กรณีวันที่ชำระตรงกับวันหยุด *" dataDxfId="292"/>
    <tableColumn id="2" name="Column1" dataDxfId="291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id="5" name="Table5" displayName="Table5" ref="K28:L33" totalsRowShown="0">
  <autoFilter ref="K28:L33">
    <filterColumn colId="0" hiddenButton="1"/>
    <filterColumn colId="1" hiddenButton="1"/>
  </autoFilter>
  <tableColumns count="2">
    <tableColumn id="1" name="ชำระทุกวันที่ *" dataDxfId="290"/>
    <tableColumn id="2" name="Column1" dataDxfId="289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id="6" name="Table6" displayName="Table6" ref="K35:L45" totalsRowShown="0">
  <autoFilter ref="K35:L45">
    <filterColumn colId="0" hiddenButton="1"/>
    <filterColumn colId="1" hiddenButton="1"/>
  </autoFilter>
  <tableColumns count="2">
    <tableColumn id="1" name="Arrangement Purpose Code *" dataDxfId="288"/>
    <tableColumn id="2" name="Column1" dataDxfId="287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id="11" name="Table11" displayName="Table11" ref="K47:L49" totalsRowShown="0">
  <autoFilter ref="K47:L49">
    <filterColumn colId="0" hiddenButton="1"/>
    <filterColumn colId="1" hiddenButton="1"/>
  </autoFilter>
  <tableColumns count="2">
    <tableColumn id="1" name="Commit Line *" dataDxfId="286"/>
    <tableColumn id="2" name="Column1" dataDxfId="285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id="19" name="Table19" displayName="Table19" ref="K51:L56" totalsRowShown="0">
  <autoFilter ref="K51:L56">
    <filterColumn colId="0" hiddenButton="1"/>
    <filterColumn colId="1" hiddenButton="1"/>
  </autoFilter>
  <tableColumns count="2">
    <tableColumn id="1" name="Specialised Lending *" dataDxfId="284"/>
    <tableColumn id="2" name="Column1" dataDxfId="283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id="20" name="Table20" displayName="Table20" ref="K58:L64" totalsRowShown="0">
  <autoFilter ref="K58:L64">
    <filterColumn colId="0" hiddenButton="1"/>
    <filterColumn colId="1" hiddenButton="1"/>
  </autoFilter>
  <tableColumns count="2">
    <tableColumn id="1" name="สถานะการเรียกเก็บ *" dataDxfId="282"/>
    <tableColumn id="2" name="Column1" dataDxfId="281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id="21" name="Table122" displayName="Table122" ref="N3:AG9" totalsRowShown="0">
  <autoFilter ref="N3:A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280"/>
    <tableColumn id="2" name="Tag" dataDxfId="279"/>
    <tableColumn id="3" name="Data" dataDxfId="278"/>
    <tableColumn id="4" name="FieldNameType" dataDxfId="277"/>
    <tableColumn id="5" name="FieldName" dataDxfId="276"/>
    <tableColumn id="6" name="Value" dataDxfId="275"/>
    <tableColumn id="7" name="Xpath" dataDxfId="274"/>
    <tableColumn id="8" name="Execute" dataDxfId="273"/>
    <tableColumn id="9" name="Data2" dataDxfId="272"/>
    <tableColumn id="10" name="FieldNameType2" dataDxfId="271"/>
    <tableColumn id="11" name="FieldName2" dataDxfId="270"/>
    <tableColumn id="14" name="Value3" dataDxfId="269"/>
    <tableColumn id="12" name="Xpath2" dataDxfId="268"/>
    <tableColumn id="13" name="Execute2" dataDxfId="267"/>
    <tableColumn id="15" name="Data3" dataDxfId="266"/>
    <tableColumn id="19" name="FieldNameType3" dataDxfId="265"/>
    <tableColumn id="18" name="FieldName3" dataDxfId="264"/>
    <tableColumn id="16" name="Value2" dataDxfId="263"/>
    <tableColumn id="17" name="Xpath3" dataDxfId="262"/>
    <tableColumn id="20" name="Execute3" dataDxfId="261"/>
  </tableColumns>
  <tableStyleInfo name="TableStyleDark4" showFirstColumn="0" showLastColumn="0" showRowStripes="1" showColumnStripes="0"/>
</table>
</file>

<file path=xl/tables/table38.xml><?xml version="1.0" encoding="utf-8"?>
<table xmlns="http://schemas.openxmlformats.org/spreadsheetml/2006/main" id="63" name="Table63" displayName="Table63" ref="K66:L71" totalsRowShown="0">
  <autoFilter ref="K66:L71">
    <filterColumn colId="0" hiddenButton="1"/>
    <filterColumn colId="1" hiddenButton="1"/>
  </autoFilter>
  <tableColumns count="2">
    <tableColumn id="1" name="ประเภทหน่วยงาน" dataDxfId="260"/>
    <tableColumn id="2" name="Column1" dataDxfId="259"/>
  </tableColumns>
  <tableStyleInfo name="TableStyleMedium5" showFirstColumn="0" showLastColumn="0" showRowStripes="1" showColumnStripes="0"/>
</table>
</file>

<file path=xl/tables/table39.xml><?xml version="1.0" encoding="utf-8"?>
<table xmlns="http://schemas.openxmlformats.org/spreadsheetml/2006/main" id="1" name="Table1" displayName="Table1" ref="A2:T8" totalsRowShown="0">
  <autoFilter ref="A2:T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258"/>
    <tableColumn id="2" name="Tag" dataDxfId="257"/>
    <tableColumn id="3" name="Data" dataDxfId="256"/>
    <tableColumn id="4" name="FieldNameType" dataDxfId="255"/>
    <tableColumn id="5" name="FieldName" dataDxfId="254"/>
    <tableColumn id="6" name="Value" dataDxfId="253"/>
    <tableColumn id="7" name="Xpath" dataDxfId="252"/>
    <tableColumn id="8" name="Execute" dataDxfId="251"/>
    <tableColumn id="9" name="Data2" dataDxfId="250"/>
    <tableColumn id="10" name="FieldNameType2" dataDxfId="249"/>
    <tableColumn id="11" name="FieldName2" dataDxfId="248"/>
    <tableColumn id="14" name="Value3" dataDxfId="247"/>
    <tableColumn id="12" name="Xpath2" dataDxfId="246"/>
    <tableColumn id="13" name="Execute2" dataDxfId="245"/>
    <tableColumn id="15" name="Data3" dataDxfId="244"/>
    <tableColumn id="19" name="FieldNameType3" dataDxfId="243"/>
    <tableColumn id="18" name="FieldName3" dataDxfId="242"/>
    <tableColumn id="16" name="Value2" dataDxfId="241"/>
    <tableColumn id="17" name="Xpath3" dataDxfId="240"/>
    <tableColumn id="20" name="Execute3" dataDxfId="239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id="24" name="Table24" displayName="Table24" ref="J12:K13" headerRowCount="0" totalsRowShown="0">
  <tableColumns count="2">
    <tableColumn id="1" name="Column1" headerRowDxfId="431" dataDxfId="430"/>
    <tableColumn id="2" name="Column2" headerRowDxfId="429" dataDxfId="428"/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id="7" name="tbl_field" displayName="tbl_field" ref="A4:A9" totalsRowShown="0" headerRowDxfId="238" dataDxfId="237">
  <autoFilter ref="A4:A9"/>
  <tableColumns count="1">
    <tableColumn id="1" name="list_field" dataDxfId="236"/>
  </tableColumns>
  <tableStyleInfo name="TableStyleMedium5" showFirstColumn="0" showLastColumn="0" showRowStripes="1" showColumnStripes="0"/>
</table>
</file>

<file path=xl/tables/table41.xml><?xml version="1.0" encoding="utf-8"?>
<table xmlns="http://schemas.openxmlformats.org/spreadsheetml/2006/main" id="8" name="tbl_fieldref" displayName="tbl_fieldref" ref="C4:C7" totalsRowShown="0" headerRowDxfId="235" dataDxfId="234">
  <autoFilter ref="C4:C7"/>
  <tableColumns count="1">
    <tableColumn id="1" name="list_fieldref" dataDxfId="233"/>
  </tableColumns>
  <tableStyleInfo name="TableStyleMedium5" showFirstColumn="0" showLastColumn="0" showRowStripes="1" showColumnStripes="0"/>
</table>
</file>

<file path=xl/tables/table42.xml><?xml version="1.0" encoding="utf-8"?>
<table xmlns="http://schemas.openxmlformats.org/spreadsheetml/2006/main" id="9" name="Table9" displayName="Table9" ref="A1:A2" totalsRowShown="0" headerRowDxfId="232" dataDxfId="231">
  <autoFilter ref="A1:A2"/>
  <tableColumns count="1">
    <tableColumn id="1" name="dd_Field" dataDxfId="230"/>
  </tableColumns>
  <tableStyleInfo name="TableStyleMedium14" showFirstColumn="0" showLastColumn="0" showRowStripes="1" showColumnStripes="0"/>
</table>
</file>

<file path=xl/tables/table43.xml><?xml version="1.0" encoding="utf-8"?>
<table xmlns="http://schemas.openxmlformats.org/spreadsheetml/2006/main" id="10" name="Table10" displayName="Table10" ref="C1:C2" totalsRowShown="0" headerRowDxfId="229" dataDxfId="228">
  <autoFilter ref="C1:C2"/>
  <tableColumns count="1">
    <tableColumn id="1" name="dd_FieldRef" dataDxfId="227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id="25" name="Table236" displayName="Table236" ref="A2:I41" totalsRowShown="0" headerRowDxfId="226" dataDxfId="225" tableBorderDxfId="224">
  <autoFilter ref="A2:I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223"/>
    <tableColumn id="2" name="Name" dataDxfId="222"/>
    <tableColumn id="3" name="Data" dataDxfId="221"/>
    <tableColumn id="4" name="Type" dataDxfId="220"/>
    <tableColumn id="5" name="Value" dataDxfId="219">
      <calculatedColumnFormula>VLOOKUP(Table236[[#This Row],[Data]],Table252[#Data],2,0)</calculatedColumnFormula>
    </tableColumn>
    <tableColumn id="6" name="FieldName" dataDxfId="218"/>
    <tableColumn id="7" name="FieldNameType" dataDxfId="217"/>
    <tableColumn id="8" name="FieldName (optional)" dataDxfId="216"/>
    <tableColumn id="9" name="execute" dataDxfId="215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34" name="Table1935" displayName="Table1935" ref="K3:L6" totalsRowShown="0" headerRowDxfId="214" dataDxfId="213">
  <autoFilter ref="K3:L6">
    <filterColumn colId="0" hiddenButton="1"/>
    <filterColumn colId="1" hiddenButton="1"/>
  </autoFilter>
  <tableColumns count="2">
    <tableColumn id="1" name="แหล่งที่มาของรายได้ *" dataDxfId="212"/>
    <tableColumn id="2" name="Column1" dataDxfId="211"/>
  </tableColumns>
  <tableStyleInfo name="TableStyleMedium5" showFirstColumn="0" showLastColumn="0" showRowStripes="1" showColumnStripes="0"/>
</table>
</file>

<file path=xl/tables/table46.xml><?xml version="1.0" encoding="utf-8"?>
<table xmlns="http://schemas.openxmlformats.org/spreadsheetml/2006/main" id="35" name="Table2036" displayName="Table2036" ref="K8:L15" totalsRowShown="0" headerRowDxfId="210" dataDxfId="209">
  <autoFilter ref="K8:L15">
    <filterColumn colId="0" hiddenButton="1"/>
    <filterColumn colId="1" hiddenButton="1"/>
  </autoFilter>
  <tableColumns count="2">
    <tableColumn id="1" name="ความสัมพันธ์ของผู้กู้ร่วมที่มีต่อการกู้ *" dataDxfId="208"/>
    <tableColumn id="2" name="Column1" dataDxfId="207"/>
  </tableColumns>
  <tableStyleInfo name="TableStyleMedium6" showFirstColumn="0" showLastColumn="0" showRowStripes="1" showColumnStripes="0"/>
</table>
</file>

<file path=xl/tables/table47.xml><?xml version="1.0" encoding="utf-8"?>
<table xmlns="http://schemas.openxmlformats.org/spreadsheetml/2006/main" id="37" name="Table21" displayName="Table21" ref="K17:L24" totalsRowShown="0" headerRowDxfId="206" dataDxfId="205" tableBorderDxfId="204">
  <autoFilter ref="K17:L24">
    <filterColumn colId="0" hiddenButton="1"/>
    <filterColumn colId="1" hiddenButton="1"/>
  </autoFilter>
  <tableColumns count="2">
    <tableColumn id="1" name="ความสัมพันธ์ของผู้ค้ำประกันกับผู้กู้หลัก *" dataDxfId="203"/>
    <tableColumn id="2" name="Column1" dataDxfId="202"/>
  </tableColumns>
  <tableStyleInfo name="TableStyleMedium6" showFirstColumn="0" showLastColumn="0" showRowStripes="1" showColumnStripes="0"/>
</table>
</file>

<file path=xl/tables/table48.xml><?xml version="1.0" encoding="utf-8"?>
<table xmlns="http://schemas.openxmlformats.org/spreadsheetml/2006/main" id="38" name="Table25" displayName="Table25" ref="K26:L34" totalsRowShown="0" headerRowDxfId="201" dataDxfId="200">
  <autoFilter ref="K26:L34">
    <filterColumn colId="0" hiddenButton="1"/>
    <filterColumn colId="1" hiddenButton="1"/>
  </autoFilter>
  <tableColumns count="2">
    <tableColumn id="1" name="ประเภทที่พักอาศัย *" dataDxfId="199"/>
    <tableColumn id="2" name="Column1" dataDxfId="198"/>
  </tableColumns>
  <tableStyleInfo name="TableStyleMedium6" showFirstColumn="0" showLastColumn="0" showRowStripes="1" showColumnStripes="0"/>
</table>
</file>

<file path=xl/tables/table49.xml><?xml version="1.0" encoding="utf-8"?>
<table xmlns="http://schemas.openxmlformats.org/spreadsheetml/2006/main" id="39" name="Table2640" displayName="Table2640" ref="K36:L46" totalsRowShown="0" headerRowDxfId="197" dataDxfId="196">
  <autoFilter ref="K36:L46">
    <filterColumn colId="0" hiddenButton="1"/>
    <filterColumn colId="1" hiddenButton="1"/>
  </autoFilter>
  <tableColumns count="2">
    <tableColumn id="1" name="สถานะที่พักอาศัย *" dataDxfId="195"/>
    <tableColumn id="2" name="Column1" dataDxfId="19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6" name="Table26" displayName="Table26" ref="J19:K20" totalsRowShown="0">
  <autoFilter ref="J19:K20">
    <filterColumn colId="0" hiddenButton="1"/>
    <filterColumn colId="1" hiddenButton="1"/>
  </autoFilter>
  <tableColumns count="2">
    <tableColumn id="1" name="สินเชื่อ Fast Track Code" dataDxfId="427"/>
    <tableColumn id="2" name="Column1" dataDxfId="426"/>
  </tableColumns>
  <tableStyleInfo name="TableStyleLight19" showFirstColumn="0" showLastColumn="0" showRowStripes="1" showColumnStripes="0"/>
</table>
</file>

<file path=xl/tables/table50.xml><?xml version="1.0" encoding="utf-8"?>
<table xmlns="http://schemas.openxmlformats.org/spreadsheetml/2006/main" id="45" name="Table23628" displayName="Table23628" ref="A2:I36" totalsRowShown="0" headerRowDxfId="193" dataDxfId="192" tableBorderDxfId="191">
  <autoFilter ref="A2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90"/>
    <tableColumn id="2" name="Name" dataDxfId="189"/>
    <tableColumn id="3" name="Data" dataDxfId="188"/>
    <tableColumn id="4" name="Type" dataDxfId="187"/>
    <tableColumn id="5" name="Value" dataDxfId="186">
      <calculatedColumnFormula>VLOOKUP(Table23628[[#This Row],[Data]],Table252[#Data],2,0)</calculatedColumnFormula>
    </tableColumn>
    <tableColumn id="6" name="FieldName" dataDxfId="185"/>
    <tableColumn id="7" name="FieldNameType" dataDxfId="184"/>
    <tableColumn id="8" name="FieldName (optional)" dataDxfId="183"/>
    <tableColumn id="9" name="execute" dataDxfId="18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40" name="Table2362830" displayName="Table2362830" ref="A2:I33" totalsRowShown="0" headerRowDxfId="181" dataDxfId="180" tableBorderDxfId="179">
  <autoFilter ref="A2:I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78"/>
    <tableColumn id="2" name="Name" dataDxfId="177"/>
    <tableColumn id="3" name="Data" dataDxfId="176"/>
    <tableColumn id="4" name="Type" dataDxfId="175"/>
    <tableColumn id="5" name="Value" dataDxfId="174">
      <calculatedColumnFormula>VLOOKUP(Table2362830[[#This Row],[Data]],Table252[#Data],2,0)</calculatedColumnFormula>
    </tableColumn>
    <tableColumn id="6" name="FieldName" dataDxfId="173"/>
    <tableColumn id="7" name="FieldNameType" dataDxfId="172"/>
    <tableColumn id="8" name="FieldName (optional)" dataDxfId="171"/>
    <tableColumn id="9" name="execute" dataDxfId="170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41" name="Table3142" displayName="Table3142" ref="K2:L7" totalsRowShown="0">
  <autoFilter ref="K2:L7">
    <filterColumn colId="0" hiddenButton="1"/>
    <filterColumn colId="1" hiddenButton="1"/>
  </autoFilter>
  <tableColumns count="2">
    <tableColumn id="1" name="กรรมสิทธิ์ในสถานที่ประกอบการ" dataDxfId="169"/>
    <tableColumn id="2" name="Column1" dataDxfId="168"/>
  </tableColumns>
  <tableStyleInfo name="TableStyleMedium6" showFirstColumn="0" showLastColumn="0" showRowStripes="1" showColumnStripes="0"/>
</table>
</file>

<file path=xl/tables/table53.xml><?xml version="1.0" encoding="utf-8"?>
<table xmlns="http://schemas.openxmlformats.org/spreadsheetml/2006/main" id="42" name="Table3243" displayName="Table3243" ref="K9:L17" totalsRowShown="0">
  <autoFilter ref="K9:L17">
    <filterColumn colId="0" hiddenButton="1"/>
    <filterColumn colId="1" hiddenButton="1"/>
  </autoFilter>
  <tableColumns count="2">
    <tableColumn id="1" name="ลักษณะสถานที่ประกอบการ"/>
    <tableColumn id="2" name="Column1" dataDxfId="167"/>
  </tableColumns>
  <tableStyleInfo name="TableStyleMedium6" showFirstColumn="0" showLastColumn="0" showRowStripes="1" showColumnStripes="0"/>
</table>
</file>

<file path=xl/tables/table54.xml><?xml version="1.0" encoding="utf-8"?>
<table xmlns="http://schemas.openxmlformats.org/spreadsheetml/2006/main" id="46" name="Table2362847" displayName="Table2362847" ref="A2:I8" totalsRowShown="0" headerRowDxfId="166" dataDxfId="165" tableBorderDxfId="164">
  <autoFilter ref="A2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63"/>
    <tableColumn id="2" name="Name" dataDxfId="162"/>
    <tableColumn id="3" name="Data" dataDxfId="161"/>
    <tableColumn id="4" name="Type" dataDxfId="160"/>
    <tableColumn id="5" name="Value" dataDxfId="159">
      <calculatedColumnFormula>VLOOKUP(Table2362847[[#This Row],[Data]],Table252[#Data],2,0)</calculatedColumnFormula>
    </tableColumn>
    <tableColumn id="6" name="FieldName" dataDxfId="158"/>
    <tableColumn id="7" name="FieldNameType" dataDxfId="157"/>
    <tableColumn id="8" name="FieldName (optional)" dataDxfId="156"/>
    <tableColumn id="9" name="execute" dataDxfId="155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48" name="Table236284749" displayName="Table236284749" ref="A2:I8" totalsRowShown="0" headerRowDxfId="154" dataDxfId="153" tableBorderDxfId="152">
  <autoFilter ref="A2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51"/>
    <tableColumn id="2" name="Name" dataDxfId="150"/>
    <tableColumn id="3" name="Data" dataDxfId="149"/>
    <tableColumn id="4" name="Type" dataDxfId="148"/>
    <tableColumn id="5" name="Value" dataDxfId="147">
      <calculatedColumnFormula>VLOOKUP(Table236284749[[#This Row],[Data]],Table252[#Data],2,0)</calculatedColumnFormula>
    </tableColumn>
    <tableColumn id="6" name="FieldName" dataDxfId="146"/>
    <tableColumn id="7" name="FieldNameType" dataDxfId="145"/>
    <tableColumn id="8" name="FieldName (optional)" dataDxfId="144"/>
    <tableColumn id="9" name="execute" dataDxfId="14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235057" displayName="Table235057" ref="A2:J17" totalsRowShown="0" headerRowDxfId="142" dataDxfId="141" tableBorderDxfId="140">
  <autoFilter ref="A2: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139"/>
    <tableColumn id="2" name="Name" dataDxfId="138"/>
    <tableColumn id="3" name="Data" dataDxfId="137"/>
    <tableColumn id="4" name="Type" dataDxfId="136"/>
    <tableColumn id="5" name="Value" dataDxfId="135">
      <calculatedColumnFormula>VLOOKUP(Table235057[[#This Row],[Data]],Table252[],2,0)</calculatedColumnFormula>
    </tableColumn>
    <tableColumn id="6" name="FieldName" dataDxfId="134"/>
    <tableColumn id="7" name="FieldNameType" dataDxfId="133"/>
    <tableColumn id="8" name="FieldName (optional)" dataDxfId="132"/>
    <tableColumn id="9" name="execute" dataDxfId="131"/>
    <tableColumn id="10" name="Run" dataDxfId="130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15158" displayName="Table15158" ref="L2:M4" totalsRowShown="0" headerRowDxfId="129" dataDxfId="128">
  <autoFilter ref="L2:M4"/>
  <tableColumns count="2">
    <tableColumn id="1" name="การตรวจสอบ NCB" dataDxfId="127"/>
    <tableColumn id="2" name="Column1" dataDxfId="126"/>
  </tableColumns>
  <tableStyleInfo name="TableStyleLight10" showFirstColumn="0" showLastColumn="0" showRowStripes="1" showColumnStripes="0"/>
</table>
</file>

<file path=xl/tables/table58.xml><?xml version="1.0" encoding="utf-8"?>
<table xmlns="http://schemas.openxmlformats.org/spreadsheetml/2006/main" id="58" name="Table25259" displayName="Table25259" ref="L6:M8" totalsRowShown="0" headerRowDxfId="125" dataDxfId="124">
  <autoFilter ref="L6:M8"/>
  <tableColumns count="2">
    <tableColumn id="1" name="ค้นหาข้อมูลลูกค้า" dataDxfId="123"/>
    <tableColumn id="2" name="Column1" dataDxfId="122"/>
  </tableColumns>
  <tableStyleInfo name="TableStyleLight10" showFirstColumn="0" showLastColumn="0" showRowStripes="1" showColumnStripes="0"/>
</table>
</file>

<file path=xl/tables/table59.xml><?xml version="1.0" encoding="utf-8"?>
<table xmlns="http://schemas.openxmlformats.org/spreadsheetml/2006/main" id="59" name="Table35360" displayName="Table35360" ref="L10:M12" totalsRowShown="0" headerRowDxfId="121" dataDxfId="120">
  <autoFilter ref="L10:M12"/>
  <tableColumns count="2">
    <tableColumn id="1" name="ประเภทลูกค้า" dataDxfId="119"/>
    <tableColumn id="2" name="Column1" dataDxfId="118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27" name="Table27" displayName="Table27" ref="J15:K17" totalsRowShown="0">
  <autoFilter ref="J15:K17">
    <filterColumn colId="0" hiddenButton="1"/>
    <filterColumn colId="1" hiddenButton="1"/>
  </autoFilter>
  <tableColumns count="2">
    <tableColumn id="1" name="สินเชื่อ Fast Track" dataDxfId="425"/>
    <tableColumn id="2" name="Column1" dataDxfId="424"/>
  </tableColumns>
  <tableStyleInfo name="TableStyleLight5" showFirstColumn="0" showLastColumn="0" showRowStripes="1" showColumnStripes="0"/>
</table>
</file>

<file path=xl/tables/table60.xml><?xml version="1.0" encoding="utf-8"?>
<table xmlns="http://schemas.openxmlformats.org/spreadsheetml/2006/main" id="60" name="Table45461" displayName="Table45461" ref="L14:M23" totalsRowShown="0" headerRowDxfId="117" dataDxfId="116">
  <autoFilter ref="L14:M23"/>
  <tableColumns count="2">
    <tableColumn id="1" name="คำค้น (Search Parameter)" dataDxfId="115"/>
    <tableColumn id="2" name="Column1" dataDxfId="114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id="61" name="Table65562" displayName="Table65562" ref="L25:M27" totalsRowShown="0" headerRowDxfId="113" dataDxfId="112">
  <autoFilter ref="L25:M27"/>
  <tableColumns count="2">
    <tableColumn id="1" name="ประเภทผู้ขอสินเชื่อ" dataDxfId="111"/>
    <tableColumn id="2" name="Column1" dataDxfId="110"/>
  </tableColumns>
  <tableStyleInfo name="TableStyleMedium6" showFirstColumn="0" showLastColumn="0" showRowStripes="1" showColumnStripes="0"/>
</table>
</file>

<file path=xl/tables/table62.xml><?xml version="1.0" encoding="utf-8"?>
<table xmlns="http://schemas.openxmlformats.org/spreadsheetml/2006/main" id="62" name="Table115663" displayName="Table115663" ref="L29:M30" totalsRowShown="0">
  <autoFilter ref="L29:M30"/>
  <tableColumns count="2">
    <tableColumn id="1" name="ลำดับที่" dataDxfId="109"/>
    <tableColumn id="2" name="Column1" dataDxfId="10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47" name="Table236284748" displayName="Table236284748" ref="A2:I13" totalsRowShown="0" headerRowDxfId="107" dataDxfId="106" tableBorderDxfId="105">
  <autoFilter ref="A2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04"/>
    <tableColumn id="2" name="Name" dataDxfId="103"/>
    <tableColumn id="3" name="Data" dataDxfId="102"/>
    <tableColumn id="4" name="Type" dataDxfId="101"/>
    <tableColumn id="5" name="Value" dataDxfId="100">
      <calculatedColumnFormula>VLOOKUP(Table236284748[[#This Row],[Data]],Table252[#Data],2,0)</calculatedColumnFormula>
    </tableColumn>
    <tableColumn id="6" name="FieldName" dataDxfId="99"/>
    <tableColumn id="7" name="FieldNameType" dataDxfId="98"/>
    <tableColumn id="8" name="FieldName (optional)" dataDxfId="97"/>
    <tableColumn id="9" name="execute" dataDxfId="96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95"/>
  </tableColumns>
  <tableStyleInfo name="TableStyleMedium6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94"/>
    <tableColumn id="2" name="Column1"/>
  </tableColumns>
  <tableStyleInfo name="TableStyleMedium6" showFirstColumn="0" showLastColumn="0" showRowStripes="1" showColumnStripes="0"/>
</table>
</file>

<file path=xl/tables/table66.xml><?xml version="1.0" encoding="utf-8"?>
<table xmlns="http://schemas.openxmlformats.org/spreadsheetml/2006/main" id="67" name="Table67" displayName="Table67" ref="L16:M17" totalsRowShown="0" dataDxfId="93">
  <autoFilter ref="L16:M17">
    <filterColumn colId="0" hiddenButton="1"/>
    <filterColumn colId="1" hiddenButton="1"/>
  </autoFilter>
  <tableColumns count="2">
    <tableColumn id="1" name="ประเทศ *" dataDxfId="92"/>
    <tableColumn id="2" name="Column1" dataDxfId="91"/>
  </tableColumns>
  <tableStyleInfo name="TableStyleMedium6" showFirstColumn="0" showLastColumn="0" showRowStripes="1" showColumnStripes="0"/>
</table>
</file>

<file path=xl/tables/table67.xml><?xml version="1.0" encoding="utf-8"?>
<table xmlns="http://schemas.openxmlformats.org/spreadsheetml/2006/main" id="69" name="Table69" displayName="Table69" ref="L9:M14" totalsRowShown="0" dataDxfId="90">
  <autoFilter ref="L9:M14">
    <filterColumn colId="0" hiddenButton="1"/>
    <filterColumn colId="1" hiddenButton="1"/>
  </autoFilter>
  <tableColumns count="2">
    <tableColumn id="1" name="หลักประกันย่อย *" dataDxfId="89"/>
    <tableColumn id="2" name="Column1" dataDxfId="88"/>
  </tableColumns>
  <tableStyleInfo name="TableStyleMedium6" showFirstColumn="0" showLastColumn="0" showRowStripes="1" showColumnStripes="0"/>
</table>
</file>

<file path=xl/tables/table68.xml><?xml version="1.0" encoding="utf-8"?>
<table xmlns="http://schemas.openxmlformats.org/spreadsheetml/2006/main" id="71" name="Table71" displayName="Table71" ref="N32:AE37" headerRowCount="0" totalsRowShown="0" headerRowDxfId="87" headerRowBorderDxfId="86" tableBorderDxfId="85" totalsRowBorderDxfId="84">
  <tableColumns count="18">
    <tableColumn id="1" name="Column1" headerRowDxfId="83" dataDxfId="82"/>
    <tableColumn id="2" name="Column2" headerRowDxfId="81" dataDxfId="80"/>
    <tableColumn id="3" name="Column3" headerRowDxfId="79" dataDxfId="78"/>
    <tableColumn id="4" name="Column4" headerRowDxfId="77" dataDxfId="76"/>
    <tableColumn id="5" name="Column5" headerRowDxfId="75" dataDxfId="74"/>
    <tableColumn id="6" name="Column6" headerRowDxfId="73" dataDxfId="72"/>
    <tableColumn id="7" name="Column7" headerRowDxfId="71" dataDxfId="70"/>
    <tableColumn id="8" name="Column8" headerRowDxfId="69" dataDxfId="68"/>
    <tableColumn id="9" name="Column9" headerRowDxfId="67" dataDxfId="66"/>
    <tableColumn id="10" name="Column10" headerRowDxfId="65" dataDxfId="64"/>
    <tableColumn id="11" name="Column11" headerRowDxfId="63" dataDxfId="62"/>
    <tableColumn id="12" name="Column12" headerRowDxfId="61" dataDxfId="60"/>
    <tableColumn id="13" name="Column13" headerRowDxfId="59" dataDxfId="58"/>
    <tableColumn id="14" name="Column14" headerRowDxfId="57" dataDxfId="56"/>
    <tableColumn id="15" name="Column15" headerRowDxfId="55" dataDxfId="54"/>
    <tableColumn id="16" name="Column16" headerRowDxfId="53" dataDxfId="52"/>
    <tableColumn id="17" name="Column17" headerRowDxfId="51" dataDxfId="50"/>
    <tableColumn id="18" name="Column18" headerRowDxfId="49" dataDxfId="48"/>
  </tableColumns>
  <tableStyleInfo name="TableStyleLight15" showFirstColumn="0" showLastColumn="0" showRowStripes="0" showColumnStripes="0"/>
</table>
</file>

<file path=xl/tables/table69.xml><?xml version="1.0" encoding="utf-8"?>
<table xmlns="http://schemas.openxmlformats.org/spreadsheetml/2006/main" id="75" name="Table23628474876" displayName="Table23628474876" ref="A2:J20" totalsRowShown="0" headerRowDxfId="47" dataDxfId="46" tableBorderDxfId="45">
  <autoFilter ref="A2:J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44"/>
    <tableColumn id="2" name="Name" dataDxfId="43"/>
    <tableColumn id="3" name="Data" dataDxfId="42"/>
    <tableColumn id="4" name="Type" dataDxfId="41"/>
    <tableColumn id="5" name="Value" dataDxfId="40">
      <calculatedColumnFormula>VLOOKUP(Table23628474876[[#This Row],[Data]],Table252[#Data],2,0)</calculatedColumnFormula>
    </tableColumn>
    <tableColumn id="6" name="FieldName" dataDxfId="39"/>
    <tableColumn id="7" name="FieldNameType" dataDxfId="38"/>
    <tableColumn id="8" name="FieldName (optional)" dataDxfId="37"/>
    <tableColumn id="9" name="execute" dataDxfId="36"/>
    <tableColumn id="10" name="Run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9" name="Table2350" displayName="Table2350" ref="A2:I19" totalsRowShown="0" headerRowDxfId="423" dataDxfId="422" tableBorderDxfId="421">
  <autoFilter ref="A2:I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420"/>
    <tableColumn id="2" name="Name" dataDxfId="419"/>
    <tableColumn id="3" name="Data" dataDxfId="418"/>
    <tableColumn id="4" name="Type" dataDxfId="417"/>
    <tableColumn id="5" name="Value" dataDxfId="416">
      <calculatedColumnFormula>VLOOKUP(Table2350[[#This Row],[Data]],Table252[],2,0)</calculatedColumnFormula>
    </tableColumn>
    <tableColumn id="6" name="FieldName" dataDxfId="415"/>
    <tableColumn id="7" name="FieldNameType" dataDxfId="414"/>
    <tableColumn id="8" name="FieldName (optional)" dataDxfId="413"/>
    <tableColumn id="9" name="execute" dataDxfId="412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6" name="Table6477" displayName="Table6477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34"/>
  </tableColumns>
  <tableStyleInfo name="TableStyleMedium6" showFirstColumn="0" showLastColumn="0" showRowStripes="1" showColumnStripes="0"/>
</table>
</file>

<file path=xl/tables/table71.xml><?xml version="1.0" encoding="utf-8"?>
<table xmlns="http://schemas.openxmlformats.org/spreadsheetml/2006/main" id="77" name="Table6578" displayName="Table6578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/>
    <tableColumn id="2" name="Column1"/>
  </tableColumns>
  <tableStyleInfo name="TableStyleMedium6" showFirstColumn="0" showLastColumn="0" showRowStripes="1" showColumnStripes="0"/>
</table>
</file>

<file path=xl/tables/table72.xml><?xml version="1.0" encoding="utf-8"?>
<table xmlns="http://schemas.openxmlformats.org/spreadsheetml/2006/main" id="78" name="Table6979" displayName="Table6979" ref="L9:M14" totalsRowShown="0" dataDxfId="33">
  <autoFilter ref="L9:M14">
    <filterColumn colId="0" hiddenButton="1"/>
    <filterColumn colId="1" hiddenButton="1"/>
  </autoFilter>
  <tableColumns count="2">
    <tableColumn id="1" name="หลักประกันย่อย *" dataDxfId="32"/>
    <tableColumn id="2" name="Column1" dataDxfId="31"/>
  </tableColumns>
  <tableStyleInfo name="TableStyleMedium6" showFirstColumn="0" showLastColumn="0" showRowStripes="1" showColumnStripes="0"/>
</table>
</file>

<file path=xl/tables/table73.xml><?xml version="1.0" encoding="utf-8"?>
<table xmlns="http://schemas.openxmlformats.org/spreadsheetml/2006/main" id="79" name="Table2362847487680" displayName="Table2362847487680" ref="A2:J14" totalsRowShown="0" headerRowDxfId="30" dataDxfId="29" tableBorderDxfId="28">
  <autoFilter ref="A2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27"/>
    <tableColumn id="2" name="Name" dataDxfId="26"/>
    <tableColumn id="3" name="Data" dataDxfId="25"/>
    <tableColumn id="4" name="Type" dataDxfId="24"/>
    <tableColumn id="5" name="Value" dataDxfId="23">
      <calculatedColumnFormula>VLOOKUP(Table2362847487680[[#This Row],[Data]],Table252[#Data],2,0)</calculatedColumnFormula>
    </tableColumn>
    <tableColumn id="6" name="FieldName" dataDxfId="22"/>
    <tableColumn id="7" name="FieldNameType" dataDxfId="21"/>
    <tableColumn id="8" name="FieldName (optional)" dataDxfId="20"/>
    <tableColumn id="9" name="execute" dataDxfId="19"/>
    <tableColumn id="10" name="Run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0" name="Table6481" displayName="Table6481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17"/>
  </tableColumns>
  <tableStyleInfo name="TableStyleMedium6" showFirstColumn="0" showLastColumn="0" showRowStripes="1" showColumnStripes="0"/>
</table>
</file>

<file path=xl/tables/table75.xml><?xml version="1.0" encoding="utf-8"?>
<table xmlns="http://schemas.openxmlformats.org/spreadsheetml/2006/main" id="81" name="Table6582" displayName="Table6582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16"/>
    <tableColumn id="2" name="Column1"/>
  </tableColumns>
  <tableStyleInfo name="TableStyleMedium6" showFirstColumn="0" showLastColumn="0" showRowStripes="1" showColumnStripes="0"/>
</table>
</file>

<file path=xl/tables/table76.xml><?xml version="1.0" encoding="utf-8"?>
<table xmlns="http://schemas.openxmlformats.org/spreadsheetml/2006/main" id="82" name="Table6783" displayName="Table6783" ref="L12:M13" totalsRowShown="0" dataDxfId="15">
  <autoFilter ref="L12:M13">
    <filterColumn colId="0" hiddenButton="1"/>
    <filterColumn colId="1" hiddenButton="1"/>
  </autoFilter>
  <tableColumns count="2">
    <tableColumn id="1" name="ประเทศ *" dataDxfId="14"/>
    <tableColumn id="2" name="Column1" dataDxfId="13"/>
  </tableColumns>
  <tableStyleInfo name="TableStyleMedium6" showFirstColumn="0" showLastColumn="0" showRowStripes="1" showColumnStripes="0"/>
</table>
</file>

<file path=xl/tables/table77.xml><?xml version="1.0" encoding="utf-8"?>
<table xmlns="http://schemas.openxmlformats.org/spreadsheetml/2006/main" id="83" name="Table6984" displayName="Table6984" ref="L9:M10" totalsRowShown="0" dataDxfId="12">
  <autoFilter ref="L9:M10">
    <filterColumn colId="0" hiddenButton="1"/>
    <filterColumn colId="1" hiddenButton="1"/>
  </autoFilter>
  <tableColumns count="2">
    <tableColumn id="1" name="หลักประกันย่อย *" dataDxfId="11"/>
    <tableColumn id="2" name="Column1" dataDxfId="10"/>
  </tableColumns>
  <tableStyleInfo name="TableStyleMedium6" showFirstColumn="0" showLastColumn="0" showRowStripes="1" showColumnStripes="0"/>
</table>
</file>

<file path=xl/tables/table78.xml><?xml version="1.0" encoding="utf-8"?>
<table xmlns="http://schemas.openxmlformats.org/spreadsheetml/2006/main" id="74" name="Table6675" displayName="Table6675" ref="A2:I7" totalsRowShown="0" dataDxfId="9">
  <autoFilter ref="A2:I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จังหวัด *" dataDxfId="8"/>
    <tableColumn id="2" name="Value" dataDxfId="7"/>
    <tableColumn id="3" name="Data1" dataDxfId="6"/>
    <tableColumn id="7" name="Value2" dataDxfId="5"/>
    <tableColumn id="4" name="FieldName" dataDxfId="4"/>
    <tableColumn id="5" name="Execute" dataDxfId="3"/>
    <tableColumn id="8" name="Data2" dataDxfId="2"/>
    <tableColumn id="9" name="Value3" dataDxfId="1"/>
    <tableColumn id="10" name="FieldName2" dataDxfId="0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0" name="Table151" displayName="Table151" ref="K2:L4" totalsRowShown="0" headerRowDxfId="411" dataDxfId="410">
  <autoFilter ref="K2:L4">
    <filterColumn colId="0" hiddenButton="1"/>
    <filterColumn colId="1" hiddenButton="1"/>
  </autoFilter>
  <tableColumns count="2">
    <tableColumn id="1" name="การตรวจสอบ NCB" dataDxfId="409"/>
    <tableColumn id="2" name="Column1" dataDxfId="408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51" name="Table252" displayName="Table252" ref="K6:L8" totalsRowShown="0" headerRowDxfId="407" dataDxfId="406">
  <autoFilter ref="K6:L8">
    <filterColumn colId="0" hiddenButton="1"/>
    <filterColumn colId="1" hiddenButton="1"/>
  </autoFilter>
  <tableColumns count="2">
    <tableColumn id="1" name="ค้นหาข้อมูลลูกค้า" dataDxfId="405"/>
    <tableColumn id="2" name="Column1" dataDxfId="40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7" Type="http://schemas.openxmlformats.org/officeDocument/2006/relationships/table" Target="../tables/table62.xml"/><Relationship Id="rId2" Type="http://schemas.openxmlformats.org/officeDocument/2006/relationships/table" Target="../tables/table57.xml"/><Relationship Id="rId1" Type="http://schemas.openxmlformats.org/officeDocument/2006/relationships/table" Target="../tables/table56.xml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7" Type="http://schemas.openxmlformats.org/officeDocument/2006/relationships/table" Target="../tables/table68.xml"/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4" Type="http://schemas.openxmlformats.org/officeDocument/2006/relationships/table" Target="../tables/table7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4" Type="http://schemas.openxmlformats.org/officeDocument/2006/relationships/table" Target="../tables/table4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workbookViewId="0">
      <selection activeCell="C26" sqref="C26"/>
    </sheetView>
  </sheetViews>
  <sheetFormatPr defaultRowHeight="12.75" x14ac:dyDescent="0.2"/>
  <cols>
    <col min="1" max="2" width="9.140625" style="2"/>
    <col min="3" max="3" width="53" style="2" bestFit="1" customWidth="1"/>
    <col min="4" max="4" width="13.42578125" style="2" bestFit="1" customWidth="1"/>
    <col min="5" max="16384" width="9.140625" style="2"/>
  </cols>
  <sheetData>
    <row r="1" spans="1:22" x14ac:dyDescent="0.2">
      <c r="A1" s="1" t="s">
        <v>0</v>
      </c>
      <c r="B1" s="4" t="s">
        <v>1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</row>
    <row r="2" spans="1:22" x14ac:dyDescent="0.2">
      <c r="A2" s="3" t="s">
        <v>2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22" x14ac:dyDescent="0.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22" x14ac:dyDescent="0.2">
      <c r="A4" s="2" t="s">
        <v>24</v>
      </c>
      <c r="B4" s="2" t="s">
        <v>25</v>
      </c>
    </row>
    <row r="5" spans="1:22" x14ac:dyDescent="0.2">
      <c r="A5" s="2" t="s">
        <v>26</v>
      </c>
      <c r="B5" s="2" t="s">
        <v>27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C35" sqref="C35"/>
    </sheetView>
  </sheetViews>
  <sheetFormatPr defaultRowHeight="20.100000000000001" customHeight="1" x14ac:dyDescent="0.2"/>
  <cols>
    <col min="1" max="1" width="8" style="174" customWidth="1"/>
    <col min="2" max="2" width="30.42578125" style="174" customWidth="1"/>
    <col min="3" max="3" width="30.85546875" style="174" customWidth="1"/>
    <col min="4" max="4" width="9.85546875" style="174" customWidth="1"/>
    <col min="5" max="5" width="6.28515625" style="174" customWidth="1"/>
    <col min="6" max="6" width="22.85546875" style="174" customWidth="1"/>
    <col min="7" max="7" width="14" style="174" customWidth="1"/>
    <col min="8" max="8" width="23.140625" style="174" customWidth="1"/>
    <col min="9" max="9" width="25.5703125" style="174" customWidth="1"/>
    <col min="10" max="16384" width="9.140625" style="174"/>
  </cols>
  <sheetData>
    <row r="2" spans="1:9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197" t="s">
        <v>628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144" t="s">
        <v>518</v>
      </c>
      <c r="C4" s="157"/>
      <c r="D4" s="153" t="s">
        <v>97</v>
      </c>
      <c r="E4" s="154"/>
      <c r="F4" s="158" t="s">
        <v>627</v>
      </c>
      <c r="G4" s="155"/>
      <c r="H4" s="157"/>
      <c r="I4" s="157"/>
    </row>
    <row r="5" spans="1:9" ht="20.100000000000001" customHeight="1" x14ac:dyDescent="0.2">
      <c r="A5" s="154" t="s">
        <v>77</v>
      </c>
      <c r="B5" s="175" t="s">
        <v>626</v>
      </c>
      <c r="C5" s="154" t="s">
        <v>79</v>
      </c>
      <c r="D5" s="153" t="s">
        <v>97</v>
      </c>
      <c r="E5" s="154"/>
      <c r="F5" s="158" t="s">
        <v>625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177" t="s">
        <v>624</v>
      </c>
      <c r="C6" s="154"/>
      <c r="D6" s="153" t="s">
        <v>97</v>
      </c>
      <c r="E6" s="154"/>
      <c r="F6" s="158" t="s">
        <v>623</v>
      </c>
      <c r="G6" s="155" t="s">
        <v>66</v>
      </c>
      <c r="H6" s="157"/>
      <c r="I6" s="157"/>
    </row>
    <row r="7" spans="1:9" ht="20.100000000000001" customHeight="1" x14ac:dyDescent="0.2">
      <c r="A7" s="154" t="s">
        <v>79</v>
      </c>
      <c r="B7" s="183" t="s">
        <v>622</v>
      </c>
      <c r="C7" s="187"/>
      <c r="D7" s="182"/>
      <c r="E7" s="187"/>
      <c r="F7" s="180"/>
      <c r="G7" s="179"/>
      <c r="H7" s="178"/>
      <c r="I7" s="178"/>
    </row>
    <row r="8" spans="1:9" ht="20.100000000000001" customHeight="1" x14ac:dyDescent="0.2">
      <c r="A8" s="154" t="s">
        <v>80</v>
      </c>
      <c r="B8" s="175" t="s">
        <v>621</v>
      </c>
      <c r="C8" s="154" t="s">
        <v>620</v>
      </c>
      <c r="D8" s="153" t="s">
        <v>97</v>
      </c>
      <c r="E8" s="154"/>
      <c r="F8" s="158" t="s">
        <v>619</v>
      </c>
      <c r="G8" s="155" t="s">
        <v>66</v>
      </c>
      <c r="H8" s="157"/>
      <c r="I8" s="157"/>
    </row>
    <row r="9" spans="1:9" ht="20.100000000000001" customHeight="1" x14ac:dyDescent="0.2">
      <c r="A9" s="154" t="s">
        <v>81</v>
      </c>
      <c r="B9" s="183" t="s">
        <v>618</v>
      </c>
      <c r="C9" s="187"/>
      <c r="D9" s="182"/>
      <c r="E9" s="187"/>
      <c r="F9" s="180"/>
      <c r="G9" s="179"/>
      <c r="H9" s="178"/>
      <c r="I9" s="178"/>
    </row>
    <row r="10" spans="1:9" ht="20.100000000000001" customHeight="1" x14ac:dyDescent="0.2">
      <c r="A10" s="154" t="s">
        <v>82</v>
      </c>
      <c r="B10" s="175" t="s">
        <v>617</v>
      </c>
      <c r="C10" s="164" t="s">
        <v>606</v>
      </c>
      <c r="D10" s="153" t="s">
        <v>97</v>
      </c>
      <c r="E10" s="157"/>
      <c r="F10" s="158" t="s">
        <v>616</v>
      </c>
      <c r="G10" s="155" t="s">
        <v>66</v>
      </c>
      <c r="H10" s="157"/>
      <c r="I10" s="157"/>
    </row>
    <row r="11" spans="1:9" ht="20.100000000000001" customHeight="1" x14ac:dyDescent="0.2">
      <c r="A11" s="154" t="s">
        <v>83</v>
      </c>
      <c r="B11" s="175" t="s">
        <v>615</v>
      </c>
      <c r="C11" s="164" t="s">
        <v>614</v>
      </c>
      <c r="D11" s="153" t="s">
        <v>97</v>
      </c>
      <c r="E11" s="157"/>
      <c r="F11" s="158" t="s">
        <v>613</v>
      </c>
      <c r="G11" s="155" t="s">
        <v>66</v>
      </c>
      <c r="H11" s="157"/>
      <c r="I11" s="157"/>
    </row>
    <row r="12" spans="1:9" ht="20.100000000000001" customHeight="1" x14ac:dyDescent="0.2">
      <c r="A12" s="154" t="s">
        <v>84</v>
      </c>
      <c r="B12" s="175" t="s">
        <v>612</v>
      </c>
      <c r="C12" s="154" t="s">
        <v>609</v>
      </c>
      <c r="D12" s="153" t="s">
        <v>97</v>
      </c>
      <c r="E12" s="157"/>
      <c r="F12" s="158" t="s">
        <v>611</v>
      </c>
      <c r="G12" s="155" t="s">
        <v>66</v>
      </c>
      <c r="H12" s="157"/>
      <c r="I12" s="157"/>
    </row>
    <row r="13" spans="1:9" ht="20.100000000000001" customHeight="1" x14ac:dyDescent="0.2">
      <c r="A13" s="154" t="s">
        <v>85</v>
      </c>
      <c r="B13" s="175" t="s">
        <v>610</v>
      </c>
      <c r="C13" s="154" t="s">
        <v>609</v>
      </c>
      <c r="D13" s="153" t="s">
        <v>97</v>
      </c>
      <c r="E13" s="157"/>
      <c r="F13" s="158" t="s">
        <v>608</v>
      </c>
      <c r="G13" s="155" t="s">
        <v>66</v>
      </c>
      <c r="H13" s="157"/>
      <c r="I13" s="157"/>
    </row>
    <row r="14" spans="1:9" ht="20.100000000000001" customHeight="1" x14ac:dyDescent="0.2">
      <c r="A14" s="154" t="s">
        <v>86</v>
      </c>
      <c r="B14" s="175" t="s">
        <v>607</v>
      </c>
      <c r="C14" s="154" t="s">
        <v>606</v>
      </c>
      <c r="D14" s="153" t="s">
        <v>97</v>
      </c>
      <c r="E14" s="157"/>
      <c r="F14" s="158" t="s">
        <v>605</v>
      </c>
      <c r="G14" s="155" t="s">
        <v>66</v>
      </c>
      <c r="H14" s="157"/>
      <c r="I14" s="157"/>
    </row>
    <row r="15" spans="1:9" ht="20.100000000000001" customHeight="1" x14ac:dyDescent="0.2">
      <c r="A15" s="154" t="s">
        <v>140</v>
      </c>
      <c r="B15" s="177" t="s">
        <v>315</v>
      </c>
      <c r="C15" s="154"/>
      <c r="D15" s="153" t="s">
        <v>97</v>
      </c>
      <c r="E15" s="157"/>
      <c r="F15" s="158"/>
      <c r="G15" s="155"/>
      <c r="H15" s="157"/>
      <c r="I15" s="157"/>
    </row>
    <row r="16" spans="1:9" ht="20.100000000000001" customHeight="1" x14ac:dyDescent="0.2">
      <c r="A16" s="154" t="s">
        <v>141</v>
      </c>
      <c r="B16" s="177" t="s">
        <v>557</v>
      </c>
      <c r="C16" s="157"/>
      <c r="D16" s="153" t="s">
        <v>97</v>
      </c>
      <c r="E16" s="154"/>
      <c r="F16" s="158"/>
      <c r="G16" s="155"/>
      <c r="H16" s="157"/>
      <c r="I16" s="157"/>
    </row>
    <row r="17" spans="1:9" ht="20.100000000000001" customHeight="1" x14ac:dyDescent="0.2">
      <c r="A17" s="154" t="s">
        <v>142</v>
      </c>
      <c r="B17" s="175" t="s">
        <v>604</v>
      </c>
      <c r="C17" s="176" t="s">
        <v>524</v>
      </c>
      <c r="D17" s="153" t="s">
        <v>97</v>
      </c>
      <c r="E17" s="154"/>
      <c r="F17" s="158" t="s">
        <v>603</v>
      </c>
      <c r="G17" s="155" t="s">
        <v>66</v>
      </c>
      <c r="H17" s="157"/>
      <c r="I17" s="157"/>
    </row>
    <row r="18" spans="1:9" ht="20.100000000000001" customHeight="1" x14ac:dyDescent="0.2">
      <c r="A18" s="154" t="s">
        <v>144</v>
      </c>
      <c r="B18" s="183" t="s">
        <v>602</v>
      </c>
      <c r="C18" s="178"/>
      <c r="D18" s="182"/>
      <c r="E18" s="187"/>
      <c r="F18" s="180"/>
      <c r="G18" s="179"/>
      <c r="H18" s="178"/>
      <c r="I18" s="178"/>
    </row>
    <row r="19" spans="1:9" ht="20.100000000000001" customHeight="1" x14ac:dyDescent="0.2">
      <c r="A19" s="154" t="s">
        <v>205</v>
      </c>
      <c r="B19" s="177" t="s">
        <v>601</v>
      </c>
      <c r="C19" s="157"/>
      <c r="D19" s="153" t="s">
        <v>97</v>
      </c>
      <c r="E19" s="154"/>
      <c r="F19" s="158"/>
      <c r="G19" s="155"/>
      <c r="H19" s="157"/>
      <c r="I19" s="157"/>
    </row>
    <row r="20" spans="1:9" ht="20.100000000000001" customHeight="1" x14ac:dyDescent="0.2">
      <c r="A20" s="154" t="s">
        <v>206</v>
      </c>
      <c r="B20" s="177" t="s">
        <v>600</v>
      </c>
      <c r="C20" s="154"/>
      <c r="D20" s="153" t="s">
        <v>97</v>
      </c>
      <c r="E20" s="157"/>
      <c r="F20" s="158"/>
      <c r="G20" s="155"/>
      <c r="H20" s="157"/>
      <c r="I20" s="157"/>
    </row>
    <row r="21" spans="1:9" ht="20.100000000000001" customHeight="1" x14ac:dyDescent="0.2">
      <c r="A21" s="154" t="s">
        <v>207</v>
      </c>
      <c r="B21" s="177" t="s">
        <v>599</v>
      </c>
      <c r="C21" s="154"/>
      <c r="D21" s="153" t="s">
        <v>97</v>
      </c>
      <c r="E21" s="157"/>
      <c r="F21" s="158"/>
      <c r="G21" s="155"/>
      <c r="H21" s="157"/>
      <c r="I21" s="157"/>
    </row>
    <row r="22" spans="1:9" ht="20.100000000000001" customHeight="1" x14ac:dyDescent="0.2">
      <c r="A22" s="154" t="s">
        <v>224</v>
      </c>
      <c r="B22" s="177" t="s">
        <v>598</v>
      </c>
      <c r="C22" s="154"/>
      <c r="D22" s="153" t="s">
        <v>97</v>
      </c>
      <c r="E22" s="157"/>
      <c r="F22" s="158"/>
      <c r="G22" s="155"/>
      <c r="H22" s="157"/>
      <c r="I22" s="157"/>
    </row>
    <row r="23" spans="1:9" ht="20.100000000000001" customHeight="1" x14ac:dyDescent="0.2">
      <c r="A23" s="154" t="s">
        <v>225</v>
      </c>
      <c r="B23" s="177" t="s">
        <v>597</v>
      </c>
      <c r="C23" s="154"/>
      <c r="D23" s="153" t="s">
        <v>97</v>
      </c>
      <c r="E23" s="157"/>
      <c r="F23" s="158"/>
      <c r="G23" s="155"/>
      <c r="H23" s="157"/>
      <c r="I23" s="157"/>
    </row>
    <row r="24" spans="1:9" ht="20.100000000000001" customHeight="1" x14ac:dyDescent="0.2">
      <c r="A24" s="154" t="s">
        <v>226</v>
      </c>
      <c r="B24" s="177" t="s">
        <v>596</v>
      </c>
      <c r="C24" s="157"/>
      <c r="D24" s="153" t="s">
        <v>97</v>
      </c>
      <c r="E24" s="157"/>
      <c r="F24" s="158"/>
      <c r="G24" s="155"/>
      <c r="H24" s="157"/>
      <c r="I24" s="157"/>
    </row>
    <row r="25" spans="1:9" ht="20.100000000000001" customHeight="1" x14ac:dyDescent="0.2">
      <c r="A25" s="154" t="s">
        <v>227</v>
      </c>
      <c r="B25" s="177" t="s">
        <v>315</v>
      </c>
      <c r="C25" s="164"/>
      <c r="D25" s="153" t="s">
        <v>97</v>
      </c>
      <c r="E25" s="157"/>
      <c r="F25" s="158"/>
      <c r="G25" s="155"/>
      <c r="H25" s="157"/>
      <c r="I25" s="157"/>
    </row>
    <row r="26" spans="1:9" ht="20.100000000000001" customHeight="1" x14ac:dyDescent="0.2">
      <c r="A26" s="154" t="s">
        <v>228</v>
      </c>
      <c r="B26" s="177" t="s">
        <v>557</v>
      </c>
      <c r="C26" s="154"/>
      <c r="D26" s="153" t="s">
        <v>97</v>
      </c>
      <c r="E26" s="157"/>
      <c r="F26" s="158"/>
      <c r="G26" s="155"/>
      <c r="H26" s="154"/>
      <c r="I26" s="157"/>
    </row>
    <row r="27" spans="1:9" ht="20.100000000000001" customHeight="1" x14ac:dyDescent="0.2">
      <c r="A27" s="154" t="s">
        <v>229</v>
      </c>
      <c r="B27" s="175" t="s">
        <v>595</v>
      </c>
      <c r="C27" s="176" t="s">
        <v>524</v>
      </c>
      <c r="D27" s="153" t="s">
        <v>97</v>
      </c>
      <c r="E27" s="157"/>
      <c r="F27" s="163" t="s">
        <v>594</v>
      </c>
      <c r="G27" s="155" t="s">
        <v>66</v>
      </c>
      <c r="H27" s="157"/>
      <c r="I27" s="157"/>
    </row>
    <row r="28" spans="1:9" ht="20.100000000000001" customHeight="1" x14ac:dyDescent="0.2">
      <c r="A28" s="154" t="s">
        <v>238</v>
      </c>
      <c r="B28" s="183" t="s">
        <v>593</v>
      </c>
      <c r="C28" s="180"/>
      <c r="D28" s="182"/>
      <c r="E28" s="178"/>
      <c r="F28" s="180"/>
      <c r="G28" s="179"/>
      <c r="H28" s="178"/>
      <c r="I28" s="178"/>
    </row>
    <row r="29" spans="1:9" ht="20.100000000000001" customHeight="1" x14ac:dyDescent="0.2">
      <c r="A29" s="154" t="s">
        <v>239</v>
      </c>
      <c r="B29" s="177" t="s">
        <v>592</v>
      </c>
      <c r="C29" s="158"/>
      <c r="D29" s="153" t="s">
        <v>97</v>
      </c>
      <c r="E29" s="157"/>
      <c r="F29" s="158"/>
      <c r="G29" s="155"/>
      <c r="H29" s="157"/>
      <c r="I29" s="157"/>
    </row>
    <row r="30" spans="1:9" ht="20.100000000000001" customHeight="1" x14ac:dyDescent="0.2">
      <c r="A30" s="154" t="s">
        <v>240</v>
      </c>
      <c r="B30" s="177" t="s">
        <v>591</v>
      </c>
      <c r="C30" s="157"/>
      <c r="D30" s="153" t="s">
        <v>97</v>
      </c>
      <c r="E30" s="157"/>
      <c r="F30" s="158"/>
      <c r="G30" s="155"/>
      <c r="H30" s="157"/>
      <c r="I30" s="157"/>
    </row>
    <row r="31" spans="1:9" ht="20.100000000000001" customHeight="1" x14ac:dyDescent="0.2">
      <c r="A31" s="154" t="s">
        <v>246</v>
      </c>
      <c r="B31" s="177" t="s">
        <v>590</v>
      </c>
      <c r="C31" s="157"/>
      <c r="D31" s="153" t="s">
        <v>97</v>
      </c>
      <c r="E31" s="157"/>
      <c r="F31" s="158"/>
      <c r="G31" s="155"/>
      <c r="H31" s="157"/>
      <c r="I31" s="157"/>
    </row>
    <row r="32" spans="1:9" ht="20.100000000000001" customHeight="1" x14ac:dyDescent="0.2">
      <c r="A32" s="154" t="s">
        <v>247</v>
      </c>
      <c r="B32" s="177" t="s">
        <v>589</v>
      </c>
      <c r="C32" s="157"/>
      <c r="D32" s="153" t="s">
        <v>97</v>
      </c>
      <c r="E32" s="157"/>
      <c r="F32" s="158"/>
      <c r="G32" s="155"/>
      <c r="H32" s="157"/>
      <c r="I32" s="157"/>
    </row>
    <row r="33" spans="1:9" ht="20.100000000000001" customHeight="1" x14ac:dyDescent="0.2">
      <c r="A33" s="154" t="s">
        <v>248</v>
      </c>
      <c r="B33" s="177" t="s">
        <v>588</v>
      </c>
      <c r="C33" s="157"/>
      <c r="D33" s="153" t="s">
        <v>97</v>
      </c>
      <c r="E33" s="157"/>
      <c r="F33" s="158"/>
      <c r="G33" s="155"/>
      <c r="H33" s="157"/>
      <c r="I33" s="157"/>
    </row>
    <row r="34" spans="1:9" ht="20.100000000000001" customHeight="1" x14ac:dyDescent="0.2">
      <c r="A34" s="154" t="s">
        <v>249</v>
      </c>
      <c r="B34" s="177" t="s">
        <v>315</v>
      </c>
      <c r="C34" s="157"/>
      <c r="D34" s="153" t="s">
        <v>97</v>
      </c>
      <c r="E34" s="157"/>
      <c r="F34" s="158"/>
      <c r="G34" s="155"/>
      <c r="H34" s="157"/>
      <c r="I34" s="157"/>
    </row>
    <row r="35" spans="1:9" ht="20.100000000000001" customHeight="1" x14ac:dyDescent="0.2">
      <c r="A35" s="154" t="s">
        <v>250</v>
      </c>
      <c r="B35" s="177" t="s">
        <v>557</v>
      </c>
      <c r="C35" s="157"/>
      <c r="D35" s="153" t="s">
        <v>97</v>
      </c>
      <c r="E35" s="157"/>
      <c r="F35" s="158"/>
      <c r="G35" s="155"/>
      <c r="H35" s="157"/>
      <c r="I35" s="157"/>
    </row>
    <row r="36" spans="1:9" ht="20.100000000000001" customHeight="1" x14ac:dyDescent="0.2">
      <c r="A36" s="154" t="s">
        <v>251</v>
      </c>
      <c r="B36" s="177" t="s">
        <v>587</v>
      </c>
      <c r="C36" s="176" t="s">
        <v>524</v>
      </c>
      <c r="D36" s="193" t="s">
        <v>97</v>
      </c>
      <c r="E36" s="157"/>
      <c r="F36" s="158" t="s">
        <v>586</v>
      </c>
      <c r="G36" s="155" t="s">
        <v>66</v>
      </c>
      <c r="H36" s="157"/>
      <c r="I36" s="157"/>
    </row>
    <row r="37" spans="1:9" ht="20.100000000000001" customHeight="1" x14ac:dyDescent="0.2">
      <c r="A37" s="154"/>
      <c r="B37" s="146"/>
      <c r="C37" s="157"/>
      <c r="D37" s="192"/>
      <c r="E37" s="149"/>
      <c r="F37" s="151"/>
      <c r="G37" s="191"/>
      <c r="H37" s="157"/>
      <c r="I37" s="157"/>
    </row>
    <row r="38" spans="1:9" ht="20.100000000000001" customHeight="1" x14ac:dyDescent="0.2">
      <c r="A38" s="154"/>
      <c r="B38" s="146"/>
      <c r="C38" s="157"/>
      <c r="D38" s="192"/>
      <c r="E38" s="149"/>
      <c r="F38" s="151"/>
      <c r="G38" s="191"/>
      <c r="H38" s="157"/>
      <c r="I38" s="157"/>
    </row>
    <row r="39" spans="1:9" ht="20.100000000000001" customHeight="1" x14ac:dyDescent="0.2">
      <c r="A39" s="154"/>
      <c r="B39" s="146"/>
      <c r="C39" s="157"/>
      <c r="D39" s="192"/>
      <c r="E39" s="149"/>
      <c r="F39" s="151"/>
      <c r="G39" s="191"/>
      <c r="H39" s="157"/>
      <c r="I39" s="157"/>
    </row>
    <row r="40" spans="1:9" ht="20.100000000000001" customHeight="1" x14ac:dyDescent="0.2">
      <c r="A40" s="154"/>
      <c r="B40" s="146"/>
      <c r="C40" s="157"/>
      <c r="D40" s="192"/>
      <c r="E40" s="149"/>
      <c r="F40" s="151"/>
      <c r="G40" s="191"/>
      <c r="H40" s="157"/>
      <c r="I40" s="157"/>
    </row>
    <row r="41" spans="1:9" ht="20.100000000000001" customHeight="1" x14ac:dyDescent="0.2">
      <c r="A41" s="154"/>
      <c r="B41" s="146"/>
      <c r="C41" s="157"/>
      <c r="D41" s="192"/>
      <c r="E41" s="149"/>
      <c r="F41" s="151"/>
      <c r="G41" s="191"/>
      <c r="H41" s="157"/>
      <c r="I41" s="157"/>
    </row>
    <row r="42" spans="1:9" ht="20.100000000000001" customHeight="1" x14ac:dyDescent="0.2">
      <c r="A42" s="154"/>
      <c r="B42" s="146"/>
      <c r="C42" s="157"/>
      <c r="D42" s="192"/>
      <c r="E42" s="149"/>
      <c r="F42" s="151"/>
      <c r="G42" s="191"/>
      <c r="H42" s="157"/>
      <c r="I42" s="157"/>
    </row>
    <row r="43" spans="1:9" ht="20.100000000000001" customHeight="1" x14ac:dyDescent="0.2">
      <c r="A43" s="154"/>
      <c r="B43" s="146"/>
      <c r="C43" s="149"/>
      <c r="D43" s="192"/>
      <c r="E43" s="149"/>
      <c r="F43" s="151"/>
      <c r="G43" s="191"/>
      <c r="H43" s="149"/>
      <c r="I43" s="149"/>
    </row>
    <row r="44" spans="1:9" ht="20.100000000000001" customHeight="1" x14ac:dyDescent="0.2">
      <c r="A44" s="154"/>
      <c r="B44" s="146"/>
      <c r="C44" s="149"/>
      <c r="D44" s="192"/>
      <c r="E44" s="149"/>
      <c r="F44" s="151"/>
      <c r="G44" s="191"/>
      <c r="H44" s="149"/>
      <c r="I44" s="149"/>
    </row>
    <row r="45" spans="1:9" ht="20.100000000000001" customHeight="1" x14ac:dyDescent="0.2">
      <c r="A45" s="154"/>
      <c r="B45" s="146"/>
      <c r="C45" s="149"/>
      <c r="D45" s="192"/>
      <c r="E45" s="149"/>
      <c r="F45" s="151"/>
      <c r="G45" s="191"/>
      <c r="H45" s="149"/>
      <c r="I45" s="149"/>
    </row>
    <row r="46" spans="1:9" ht="20.100000000000001" customHeight="1" x14ac:dyDescent="0.2">
      <c r="A46" s="154"/>
      <c r="B46" s="146"/>
      <c r="C46" s="149"/>
      <c r="D46" s="192"/>
      <c r="E46" s="149"/>
      <c r="F46" s="151"/>
      <c r="G46" s="191"/>
      <c r="H46" s="149"/>
      <c r="I46" s="149"/>
    </row>
    <row r="47" spans="1:9" ht="20.100000000000001" customHeight="1" x14ac:dyDescent="0.2">
      <c r="A47" s="154"/>
      <c r="B47" s="146"/>
      <c r="C47" s="149"/>
      <c r="D47" s="192"/>
      <c r="E47" s="149"/>
      <c r="F47" s="151"/>
      <c r="G47" s="191"/>
      <c r="H47" s="149"/>
      <c r="I47" s="149"/>
    </row>
    <row r="48" spans="1:9" ht="20.100000000000001" customHeight="1" x14ac:dyDescent="0.2">
      <c r="A48" s="154"/>
      <c r="B48" s="146"/>
      <c r="C48" s="149"/>
      <c r="D48" s="192"/>
      <c r="E48" s="149"/>
      <c r="F48" s="151"/>
      <c r="G48" s="191"/>
      <c r="H48" s="149"/>
      <c r="I48" s="149"/>
    </row>
  </sheetData>
  <dataValidations count="6">
    <dataValidation type="list" allowBlank="1" showInputMessage="1" showErrorMessage="1" sqref="D3:D36">
      <formula1>Field</formula1>
    </dataValidation>
    <dataValidation type="list" allowBlank="1" showInputMessage="1" showErrorMessage="1" sqref="G5:G36">
      <formula1>FieldRef</formula1>
    </dataValidation>
    <dataValidation type="list" allowBlank="1" showInputMessage="1" showErrorMessage="1" sqref="C28:C29">
      <formula1>$K$32</formula1>
    </dataValidation>
    <dataValidation type="list" allowBlank="1" showInputMessage="1" showErrorMessage="1" sqref="C26">
      <formula1>$K$28:$K$29</formula1>
    </dataValidation>
    <dataValidation type="list" allowBlank="1" showInputMessage="1" showErrorMessage="1" sqref="C18">
      <formula1>$K$27:$K$34</formula1>
    </dataValidation>
    <dataValidation type="list" allowBlank="1" showInputMessage="1" showErrorMessage="1" sqref="C19">
      <formula1>$K$37:$K$46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workbookViewId="0">
      <selection activeCell="A6" sqref="A6"/>
    </sheetView>
  </sheetViews>
  <sheetFormatPr defaultRowHeight="20.100000000000001" customHeight="1" x14ac:dyDescent="0.2"/>
  <cols>
    <col min="1" max="1" width="8.140625" style="174" customWidth="1"/>
    <col min="2" max="2" width="42" style="174" customWidth="1"/>
    <col min="3" max="3" width="35.140625" style="174" customWidth="1"/>
    <col min="4" max="4" width="10.140625" style="174" customWidth="1"/>
    <col min="5" max="5" width="7" style="145" customWidth="1"/>
    <col min="6" max="6" width="31.7109375" style="174" bestFit="1" customWidth="1"/>
    <col min="7" max="7" width="15.28515625" style="174" customWidth="1"/>
    <col min="8" max="8" width="23.5703125" style="174" customWidth="1"/>
    <col min="9" max="9" width="16.28515625" style="174" customWidth="1"/>
    <col min="10" max="10" width="9.140625" style="174"/>
    <col min="11" max="11" width="32.85546875" style="174" customWidth="1"/>
    <col min="12" max="12" width="10.42578125" style="144" customWidth="1"/>
    <col min="13" max="16384" width="9.140625" style="174"/>
  </cols>
  <sheetData>
    <row r="2" spans="1:12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K2" s="190" t="s">
        <v>573</v>
      </c>
      <c r="L2" s="144" t="s">
        <v>74</v>
      </c>
    </row>
    <row r="3" spans="1:12" ht="20.100000000000001" customHeight="1" x14ac:dyDescent="0.2">
      <c r="A3" s="154" t="s">
        <v>50</v>
      </c>
      <c r="B3" s="139" t="s">
        <v>266</v>
      </c>
      <c r="C3" s="140" t="s">
        <v>310</v>
      </c>
      <c r="D3" s="141" t="s">
        <v>98</v>
      </c>
      <c r="E3" s="199" t="str">
        <f>VLOOKUP(Table2362830[[#This Row],[Data]],Table1[],2,0)</f>
        <v>1</v>
      </c>
      <c r="F3" s="142"/>
      <c r="G3" s="143"/>
      <c r="H3" s="200"/>
      <c r="I3" s="201" t="s">
        <v>407</v>
      </c>
      <c r="K3" s="189" t="s">
        <v>585</v>
      </c>
      <c r="L3" s="146" t="s">
        <v>113</v>
      </c>
    </row>
    <row r="4" spans="1:12" ht="20.100000000000001" customHeight="1" x14ac:dyDescent="0.2">
      <c r="A4" s="154" t="s">
        <v>76</v>
      </c>
      <c r="B4" s="67" t="s">
        <v>267</v>
      </c>
      <c r="C4" s="76" t="str">
        <f>VLOOKUP(C3,Table1[],3,0)</f>
        <v>A02 : การป่าไม้และการทำไม้</v>
      </c>
      <c r="D4" s="29" t="s">
        <v>98</v>
      </c>
      <c r="E4" s="76">
        <f>VLOOKUP(C3,Table1[],6,0)</f>
        <v>3</v>
      </c>
      <c r="F4" s="75" t="str">
        <f>VLOOKUP(C3,Table1[],5,0)</f>
        <v>isic1Id</v>
      </c>
      <c r="G4" s="127" t="str">
        <f>VLOOKUP(C3,Table1[],4,0)</f>
        <v>id</v>
      </c>
      <c r="H4" s="157" t="s">
        <v>584</v>
      </c>
      <c r="I4" s="157" t="s">
        <v>381</v>
      </c>
      <c r="K4" s="145" t="s">
        <v>572</v>
      </c>
      <c r="L4" s="146" t="s">
        <v>114</v>
      </c>
    </row>
    <row r="5" spans="1:12" ht="20.100000000000001" customHeight="1" x14ac:dyDescent="0.2">
      <c r="A5" s="154" t="s">
        <v>77</v>
      </c>
      <c r="B5" s="67" t="s">
        <v>440</v>
      </c>
      <c r="C5" s="76" t="str">
        <f>VLOOKUP(C3,Table1[],9,0)</f>
        <v>2 : การทำไม้</v>
      </c>
      <c r="D5" s="29" t="s">
        <v>98</v>
      </c>
      <c r="E5" s="76" t="str">
        <f>VLOOKUP(C3,Table1[],12,0)</f>
        <v>199</v>
      </c>
      <c r="F5" s="75" t="str">
        <f>VLOOKUP(C3,Table1[],11,0)</f>
        <v>isic2Id</v>
      </c>
      <c r="G5" s="127" t="str">
        <f>VLOOKUP(C3,Table1[],10,0)</f>
        <v>id</v>
      </c>
      <c r="H5" s="157" t="s">
        <v>583</v>
      </c>
      <c r="I5" s="157" t="s">
        <v>385</v>
      </c>
      <c r="K5" s="145" t="s">
        <v>582</v>
      </c>
      <c r="L5" s="146" t="s">
        <v>115</v>
      </c>
    </row>
    <row r="6" spans="1:12" ht="20.100000000000001" customHeight="1" x14ac:dyDescent="0.2">
      <c r="A6" s="154" t="s">
        <v>78</v>
      </c>
      <c r="B6" s="67" t="s">
        <v>441</v>
      </c>
      <c r="C6" s="76" t="str">
        <f>VLOOKUP(C3,Table1[],15,0)</f>
        <v>000 : การทำไม้</v>
      </c>
      <c r="D6" s="29" t="s">
        <v>98</v>
      </c>
      <c r="E6" s="76" t="str">
        <f>VLOOKUP(C3,Table1[],18,0)</f>
        <v>1407</v>
      </c>
      <c r="F6" s="75" t="str">
        <f>VLOOKUP(C3,Table1[],17,0)</f>
        <v>isic3Id</v>
      </c>
      <c r="G6" s="127" t="str">
        <f>VLOOKUP(C3,Table1[],16,0)</f>
        <v>id</v>
      </c>
      <c r="H6" s="157" t="s">
        <v>583</v>
      </c>
      <c r="I6" s="157" t="s">
        <v>407</v>
      </c>
      <c r="K6" s="145" t="s">
        <v>581</v>
      </c>
      <c r="L6" s="146" t="s">
        <v>116</v>
      </c>
    </row>
    <row r="7" spans="1:12" ht="20.100000000000001" customHeight="1" x14ac:dyDescent="0.2">
      <c r="A7" s="154" t="s">
        <v>79</v>
      </c>
      <c r="B7" s="175" t="s">
        <v>580</v>
      </c>
      <c r="C7" s="154"/>
      <c r="D7" s="153" t="s">
        <v>97</v>
      </c>
      <c r="E7" s="167"/>
      <c r="F7" s="158" t="s">
        <v>579</v>
      </c>
      <c r="G7" s="155" t="s">
        <v>66</v>
      </c>
      <c r="H7" s="157"/>
      <c r="I7" s="157"/>
      <c r="K7" s="145" t="s">
        <v>578</v>
      </c>
      <c r="L7" s="146" t="s">
        <v>117</v>
      </c>
    </row>
    <row r="8" spans="1:12" ht="20.100000000000001" customHeight="1" x14ac:dyDescent="0.2">
      <c r="A8" s="154" t="s">
        <v>80</v>
      </c>
      <c r="B8" s="175" t="s">
        <v>577</v>
      </c>
      <c r="C8" s="164"/>
      <c r="D8" s="153" t="s">
        <v>97</v>
      </c>
      <c r="E8" s="159"/>
      <c r="F8" s="158" t="s">
        <v>576</v>
      </c>
      <c r="G8" s="155" t="s">
        <v>66</v>
      </c>
      <c r="H8" s="157"/>
      <c r="I8" s="157"/>
    </row>
    <row r="9" spans="1:12" ht="20.100000000000001" customHeight="1" x14ac:dyDescent="0.2">
      <c r="A9" s="154" t="s">
        <v>81</v>
      </c>
      <c r="B9" s="175" t="s">
        <v>575</v>
      </c>
      <c r="C9" s="164"/>
      <c r="D9" s="153" t="s">
        <v>97</v>
      </c>
      <c r="E9" s="159"/>
      <c r="F9" s="158" t="s">
        <v>574</v>
      </c>
      <c r="G9" s="155" t="s">
        <v>66</v>
      </c>
      <c r="H9" s="157"/>
      <c r="I9" s="157"/>
      <c r="K9" s="175" t="s">
        <v>568</v>
      </c>
      <c r="L9" s="144" t="s">
        <v>74</v>
      </c>
    </row>
    <row r="10" spans="1:12" ht="20.100000000000001" customHeight="1" x14ac:dyDescent="0.2">
      <c r="A10" s="154" t="s">
        <v>82</v>
      </c>
      <c r="B10" s="175" t="s">
        <v>573</v>
      </c>
      <c r="C10" s="154" t="s">
        <v>572</v>
      </c>
      <c r="D10" s="153" t="s">
        <v>98</v>
      </c>
      <c r="E10" s="167" t="str">
        <f>VLOOKUP(Table2362830[[#This Row],[Data]],Table3142[],2,0)</f>
        <v>02</v>
      </c>
      <c r="F10" s="158" t="s">
        <v>571</v>
      </c>
      <c r="G10" s="155" t="s">
        <v>66</v>
      </c>
      <c r="H10" s="157" t="s">
        <v>629</v>
      </c>
      <c r="I10" s="157" t="s">
        <v>407</v>
      </c>
      <c r="K10" s="174" t="s">
        <v>570</v>
      </c>
      <c r="L10" s="146" t="s">
        <v>569</v>
      </c>
    </row>
    <row r="11" spans="1:12" ht="20.100000000000001" customHeight="1" x14ac:dyDescent="0.2">
      <c r="A11" s="154" t="s">
        <v>83</v>
      </c>
      <c r="B11" s="175" t="s">
        <v>568</v>
      </c>
      <c r="C11" s="154" t="s">
        <v>566</v>
      </c>
      <c r="D11" s="153" t="s">
        <v>98</v>
      </c>
      <c r="E11" s="167" t="str">
        <f>VLOOKUP(Table2362830[[#This Row],[Data]],Table3243[],2,0)</f>
        <v>01</v>
      </c>
      <c r="F11" s="158" t="s">
        <v>567</v>
      </c>
      <c r="G11" s="155" t="s">
        <v>66</v>
      </c>
      <c r="H11" s="157" t="s">
        <v>630</v>
      </c>
      <c r="I11" s="157" t="s">
        <v>407</v>
      </c>
      <c r="K11" s="174" t="s">
        <v>566</v>
      </c>
      <c r="L11" s="186" t="s">
        <v>113</v>
      </c>
    </row>
    <row r="12" spans="1:12" ht="20.100000000000001" customHeight="1" x14ac:dyDescent="0.2">
      <c r="A12" s="154" t="s">
        <v>84</v>
      </c>
      <c r="B12" s="183" t="s">
        <v>565</v>
      </c>
      <c r="C12" s="187"/>
      <c r="D12" s="182"/>
      <c r="E12" s="181"/>
      <c r="F12" s="180"/>
      <c r="G12" s="179"/>
      <c r="H12" s="178"/>
      <c r="I12" s="178"/>
      <c r="K12" s="174" t="s">
        <v>564</v>
      </c>
      <c r="L12" s="186" t="s">
        <v>114</v>
      </c>
    </row>
    <row r="13" spans="1:12" ht="20.100000000000001" customHeight="1" x14ac:dyDescent="0.2">
      <c r="A13" s="154" t="s">
        <v>85</v>
      </c>
      <c r="B13" s="177" t="s">
        <v>563</v>
      </c>
      <c r="C13" s="154"/>
      <c r="D13" s="153" t="s">
        <v>97</v>
      </c>
      <c r="E13" s="159"/>
      <c r="F13" s="158" t="s">
        <v>562</v>
      </c>
      <c r="G13" s="155" t="s">
        <v>66</v>
      </c>
      <c r="H13" s="157"/>
      <c r="I13" s="157"/>
      <c r="K13" s="174" t="s">
        <v>561</v>
      </c>
      <c r="L13" s="186" t="s">
        <v>115</v>
      </c>
    </row>
    <row r="14" spans="1:12" ht="20.100000000000001" customHeight="1" x14ac:dyDescent="0.2">
      <c r="A14" s="154" t="s">
        <v>86</v>
      </c>
      <c r="B14" s="177" t="s">
        <v>560</v>
      </c>
      <c r="C14" s="154"/>
      <c r="D14" s="153" t="s">
        <v>97</v>
      </c>
      <c r="E14" s="159"/>
      <c r="F14" s="158" t="s">
        <v>559</v>
      </c>
      <c r="G14" s="155" t="s">
        <v>66</v>
      </c>
      <c r="H14" s="157"/>
      <c r="I14" s="157"/>
      <c r="K14" s="174" t="s">
        <v>558</v>
      </c>
      <c r="L14" s="186" t="s">
        <v>116</v>
      </c>
    </row>
    <row r="15" spans="1:12" ht="20.100000000000001" customHeight="1" x14ac:dyDescent="0.2">
      <c r="A15" s="154" t="s">
        <v>140</v>
      </c>
      <c r="B15" s="177" t="s">
        <v>557</v>
      </c>
      <c r="C15" s="157"/>
      <c r="D15" s="153" t="s">
        <v>97</v>
      </c>
      <c r="E15" s="167"/>
      <c r="F15" s="158" t="s">
        <v>556</v>
      </c>
      <c r="G15" s="155" t="s">
        <v>66</v>
      </c>
      <c r="H15" s="157"/>
      <c r="I15" s="157"/>
      <c r="K15" s="174" t="s">
        <v>555</v>
      </c>
      <c r="L15" s="184" t="s">
        <v>117</v>
      </c>
    </row>
    <row r="16" spans="1:12" ht="20.100000000000001" customHeight="1" x14ac:dyDescent="0.2">
      <c r="A16" s="154" t="s">
        <v>141</v>
      </c>
      <c r="B16" s="175" t="s">
        <v>554</v>
      </c>
      <c r="C16" s="176" t="s">
        <v>524</v>
      </c>
      <c r="D16" s="153" t="s">
        <v>97</v>
      </c>
      <c r="E16" s="167"/>
      <c r="F16" s="158" t="s">
        <v>553</v>
      </c>
      <c r="G16" s="155" t="s">
        <v>66</v>
      </c>
      <c r="H16" s="157"/>
      <c r="I16" s="157"/>
      <c r="K16" s="174" t="s">
        <v>552</v>
      </c>
      <c r="L16" s="184" t="s">
        <v>41</v>
      </c>
    </row>
    <row r="17" spans="1:12" ht="20.100000000000001" customHeight="1" x14ac:dyDescent="0.2">
      <c r="A17" s="154" t="s">
        <v>142</v>
      </c>
      <c r="B17" s="183" t="s">
        <v>551</v>
      </c>
      <c r="C17" s="178"/>
      <c r="D17" s="182"/>
      <c r="E17" s="185"/>
      <c r="F17" s="180"/>
      <c r="G17" s="179"/>
      <c r="H17" s="178"/>
      <c r="I17" s="178"/>
      <c r="K17" s="174" t="s">
        <v>550</v>
      </c>
      <c r="L17" s="184" t="s">
        <v>118</v>
      </c>
    </row>
    <row r="18" spans="1:12" ht="20.100000000000001" customHeight="1" x14ac:dyDescent="0.2">
      <c r="A18" s="154" t="s">
        <v>144</v>
      </c>
      <c r="B18" s="177" t="s">
        <v>549</v>
      </c>
      <c r="C18" s="157" t="s">
        <v>548</v>
      </c>
      <c r="D18" s="153" t="s">
        <v>100</v>
      </c>
      <c r="E18" s="167"/>
      <c r="F18" s="158" t="s">
        <v>547</v>
      </c>
      <c r="G18" s="155" t="s">
        <v>67</v>
      </c>
      <c r="H18" s="157"/>
      <c r="I18" s="157"/>
    </row>
    <row r="19" spans="1:12" ht="20.100000000000001" customHeight="1" x14ac:dyDescent="0.2">
      <c r="A19" s="154" t="s">
        <v>205</v>
      </c>
      <c r="B19" s="175" t="s">
        <v>546</v>
      </c>
      <c r="C19" s="154"/>
      <c r="D19" s="153" t="s">
        <v>97</v>
      </c>
      <c r="E19" s="159"/>
      <c r="F19" s="158"/>
      <c r="G19" s="155"/>
      <c r="H19" s="157"/>
      <c r="I19" s="157"/>
    </row>
    <row r="20" spans="1:12" ht="20.100000000000001" customHeight="1" x14ac:dyDescent="0.2">
      <c r="A20" s="154" t="s">
        <v>206</v>
      </c>
      <c r="B20" s="175" t="s">
        <v>545</v>
      </c>
      <c r="C20" s="154"/>
      <c r="D20" s="153" t="s">
        <v>97</v>
      </c>
      <c r="E20" s="159"/>
      <c r="F20" s="158"/>
      <c r="G20" s="155"/>
      <c r="H20" s="157"/>
      <c r="I20" s="157"/>
    </row>
    <row r="21" spans="1:12" ht="20.100000000000001" customHeight="1" x14ac:dyDescent="0.2">
      <c r="A21" s="154" t="s">
        <v>207</v>
      </c>
      <c r="B21" s="177" t="s">
        <v>544</v>
      </c>
      <c r="C21" s="154"/>
      <c r="D21" s="153" t="s">
        <v>97</v>
      </c>
      <c r="E21" s="159"/>
      <c r="F21" s="158" t="s">
        <v>543</v>
      </c>
      <c r="G21" s="155" t="s">
        <v>66</v>
      </c>
      <c r="H21" s="157"/>
      <c r="I21" s="157"/>
    </row>
    <row r="22" spans="1:12" ht="20.100000000000001" customHeight="1" x14ac:dyDescent="0.2">
      <c r="A22" s="154" t="s">
        <v>224</v>
      </c>
      <c r="B22" s="177" t="s">
        <v>542</v>
      </c>
      <c r="C22" s="157"/>
      <c r="D22" s="153" t="s">
        <v>97</v>
      </c>
      <c r="E22" s="159"/>
      <c r="F22" s="158" t="s">
        <v>541</v>
      </c>
      <c r="G22" s="155" t="s">
        <v>66</v>
      </c>
      <c r="H22" s="157"/>
      <c r="I22" s="157"/>
    </row>
    <row r="23" spans="1:12" ht="20.100000000000001" customHeight="1" x14ac:dyDescent="0.2">
      <c r="A23" s="154" t="s">
        <v>225</v>
      </c>
      <c r="B23" s="177" t="s">
        <v>540</v>
      </c>
      <c r="C23" s="164"/>
      <c r="D23" s="153" t="s">
        <v>97</v>
      </c>
      <c r="E23" s="159"/>
      <c r="F23" s="158" t="s">
        <v>539</v>
      </c>
      <c r="G23" s="155" t="s">
        <v>66</v>
      </c>
      <c r="H23" s="157"/>
      <c r="I23" s="157"/>
    </row>
    <row r="24" spans="1:12" ht="20.100000000000001" customHeight="1" x14ac:dyDescent="0.2">
      <c r="A24" s="154" t="s">
        <v>226</v>
      </c>
      <c r="B24" s="177" t="s">
        <v>538</v>
      </c>
      <c r="C24" s="154"/>
      <c r="D24" s="153" t="s">
        <v>97</v>
      </c>
      <c r="E24" s="159"/>
      <c r="F24" s="158" t="s">
        <v>537</v>
      </c>
      <c r="G24" s="155" t="s">
        <v>66</v>
      </c>
      <c r="H24" s="154"/>
      <c r="I24" s="157"/>
    </row>
    <row r="25" spans="1:12" ht="20.100000000000001" customHeight="1" x14ac:dyDescent="0.2">
      <c r="A25" s="154" t="s">
        <v>227</v>
      </c>
      <c r="B25" s="175" t="s">
        <v>536</v>
      </c>
      <c r="C25" s="176" t="s">
        <v>524</v>
      </c>
      <c r="D25" s="153" t="s">
        <v>97</v>
      </c>
      <c r="E25" s="159"/>
      <c r="F25" s="163" t="s">
        <v>535</v>
      </c>
      <c r="G25" s="155" t="s">
        <v>66</v>
      </c>
      <c r="H25" s="157"/>
      <c r="I25" s="157"/>
    </row>
    <row r="26" spans="1:12" ht="20.100000000000001" customHeight="1" x14ac:dyDescent="0.2">
      <c r="A26" s="154" t="s">
        <v>228</v>
      </c>
      <c r="B26" s="183" t="s">
        <v>534</v>
      </c>
      <c r="C26" s="180"/>
      <c r="D26" s="182"/>
      <c r="E26" s="181"/>
      <c r="F26" s="180"/>
      <c r="G26" s="179"/>
      <c r="H26" s="178"/>
      <c r="I26" s="178"/>
    </row>
    <row r="27" spans="1:12" ht="20.100000000000001" customHeight="1" x14ac:dyDescent="0.2">
      <c r="A27" s="154" t="s">
        <v>229</v>
      </c>
      <c r="B27" s="177" t="s">
        <v>533</v>
      </c>
      <c r="C27" s="176" t="s">
        <v>524</v>
      </c>
      <c r="D27" s="153" t="s">
        <v>97</v>
      </c>
      <c r="E27" s="159"/>
      <c r="F27" s="158" t="s">
        <v>532</v>
      </c>
      <c r="G27" s="155" t="s">
        <v>66</v>
      </c>
      <c r="H27" s="157"/>
      <c r="I27" s="157"/>
    </row>
    <row r="28" spans="1:12" ht="20.100000000000001" customHeight="1" x14ac:dyDescent="0.2">
      <c r="A28" s="154" t="s">
        <v>238</v>
      </c>
      <c r="B28" s="177" t="s">
        <v>531</v>
      </c>
      <c r="C28" s="157"/>
      <c r="D28" s="153" t="s">
        <v>97</v>
      </c>
      <c r="E28" s="159"/>
      <c r="F28" s="158" t="s">
        <v>530</v>
      </c>
      <c r="G28" s="155" t="s">
        <v>66</v>
      </c>
      <c r="H28" s="157"/>
      <c r="I28" s="157"/>
    </row>
    <row r="29" spans="1:12" ht="20.100000000000001" customHeight="1" x14ac:dyDescent="0.2">
      <c r="A29" s="154" t="s">
        <v>239</v>
      </c>
      <c r="B29" s="177" t="s">
        <v>529</v>
      </c>
      <c r="C29" s="176" t="s">
        <v>524</v>
      </c>
      <c r="D29" s="153" t="s">
        <v>97</v>
      </c>
      <c r="E29" s="159"/>
      <c r="F29" s="158" t="s">
        <v>528</v>
      </c>
      <c r="G29" s="155" t="s">
        <v>66</v>
      </c>
      <c r="H29" s="157"/>
      <c r="I29" s="157"/>
    </row>
    <row r="30" spans="1:12" ht="20.100000000000001" customHeight="1" x14ac:dyDescent="0.2">
      <c r="A30" s="154" t="s">
        <v>240</v>
      </c>
      <c r="B30" s="177" t="s">
        <v>527</v>
      </c>
      <c r="C30" s="157"/>
      <c r="D30" s="153" t="s">
        <v>97</v>
      </c>
      <c r="E30" s="159"/>
      <c r="F30" s="158" t="s">
        <v>526</v>
      </c>
      <c r="G30" s="155" t="s">
        <v>66</v>
      </c>
      <c r="H30" s="157"/>
      <c r="I30" s="157"/>
    </row>
    <row r="31" spans="1:12" ht="20.100000000000001" customHeight="1" x14ac:dyDescent="0.2">
      <c r="A31" s="154" t="s">
        <v>246</v>
      </c>
      <c r="B31" s="177" t="s">
        <v>525</v>
      </c>
      <c r="C31" s="176" t="s">
        <v>524</v>
      </c>
      <c r="D31" s="153" t="s">
        <v>97</v>
      </c>
      <c r="E31" s="159"/>
      <c r="F31" s="158" t="s">
        <v>523</v>
      </c>
      <c r="G31" s="155" t="s">
        <v>66</v>
      </c>
      <c r="H31" s="157"/>
      <c r="I31" s="157"/>
    </row>
    <row r="32" spans="1:12" ht="20.100000000000001" customHeight="1" x14ac:dyDescent="0.2">
      <c r="A32" s="154" t="s">
        <v>247</v>
      </c>
      <c r="B32" s="175" t="s">
        <v>522</v>
      </c>
      <c r="C32" s="157"/>
      <c r="D32" s="153" t="s">
        <v>97</v>
      </c>
      <c r="E32" s="159"/>
      <c r="F32" s="158" t="s">
        <v>521</v>
      </c>
      <c r="G32" s="155" t="s">
        <v>66</v>
      </c>
      <c r="H32" s="157"/>
      <c r="I32" s="157"/>
    </row>
    <row r="33" spans="1:9" ht="20.100000000000001" customHeight="1" x14ac:dyDescent="0.2">
      <c r="A33" s="154" t="s">
        <v>248</v>
      </c>
      <c r="B33" s="175" t="s">
        <v>520</v>
      </c>
      <c r="C33" s="157"/>
      <c r="D33" s="153" t="s">
        <v>97</v>
      </c>
      <c r="E33" s="159"/>
      <c r="F33" s="158" t="s">
        <v>519</v>
      </c>
      <c r="G33" s="155" t="s">
        <v>66</v>
      </c>
      <c r="H33" s="157"/>
      <c r="I33" s="157"/>
    </row>
  </sheetData>
  <dataValidations count="8">
    <dataValidation type="list" allowBlank="1" showInputMessage="1" showErrorMessage="1" sqref="D3:D33">
      <formula1>Field</formula1>
    </dataValidation>
    <dataValidation type="list" allowBlank="1" showInputMessage="1" showErrorMessage="1" sqref="C11">
      <formula1>$K$10:$K$17</formula1>
    </dataValidation>
    <dataValidation type="list" allowBlank="1" showInputMessage="1" showErrorMessage="1" sqref="C10">
      <formula1>$K$3:$K$7</formula1>
    </dataValidation>
    <dataValidation type="list" allowBlank="1" showInputMessage="1" showErrorMessage="1" sqref="G27:G33 G13:G16 G18:G25 G7:G11 G3">
      <formula1>FieldRef</formula1>
    </dataValidation>
    <dataValidation type="list" allowBlank="1" showInputMessage="1" showErrorMessage="1" sqref="C18">
      <formula1>$K$35:$K$44</formula1>
    </dataValidation>
    <dataValidation type="list" allowBlank="1" showInputMessage="1" showErrorMessage="1" sqref="C17">
      <formula1>$K$25:$K$32</formula1>
    </dataValidation>
    <dataValidation type="list" allowBlank="1" showInputMessage="1" showErrorMessage="1" sqref="C24">
      <formula1>$K$26:$K$27</formula1>
    </dataValidation>
    <dataValidation type="list" allowBlank="1" showInputMessage="1" showErrorMessage="1" sqref="C26">
      <formula1>$K$30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ISIC!$A$3:$A$8</xm:f>
          </x14:formula1>
          <xm:sqref>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B19" sqref="B19"/>
    </sheetView>
  </sheetViews>
  <sheetFormatPr defaultRowHeight="12.75" x14ac:dyDescent="0.2"/>
  <cols>
    <col min="1" max="1" width="8" style="174" customWidth="1"/>
    <col min="2" max="2" width="30.42578125" style="174" customWidth="1"/>
    <col min="3" max="3" width="30.85546875" style="174" customWidth="1"/>
    <col min="4" max="4" width="9.85546875" style="174" customWidth="1"/>
    <col min="5" max="5" width="6.28515625" style="174" customWidth="1"/>
    <col min="6" max="6" width="22.85546875" style="174" customWidth="1"/>
    <col min="7" max="7" width="14" style="174" customWidth="1"/>
    <col min="8" max="8" width="23.140625" style="174" customWidth="1"/>
    <col min="9" max="9" width="25.5703125" style="174" customWidth="1"/>
    <col min="10" max="16384" width="9.140625" style="174"/>
  </cols>
  <sheetData>
    <row r="2" spans="1:9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204" t="s">
        <v>632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202" t="s">
        <v>631</v>
      </c>
      <c r="C4" s="157" t="s">
        <v>639</v>
      </c>
      <c r="D4" s="153" t="s">
        <v>97</v>
      </c>
      <c r="E4" s="154"/>
      <c r="F4" s="7" t="s">
        <v>634</v>
      </c>
      <c r="G4" s="155" t="s">
        <v>66</v>
      </c>
      <c r="H4" s="157"/>
      <c r="I4" s="157"/>
    </row>
    <row r="5" spans="1:9" ht="20.100000000000001" customHeight="1" x14ac:dyDescent="0.2">
      <c r="A5" s="154" t="s">
        <v>77</v>
      </c>
      <c r="B5" s="202" t="s">
        <v>633</v>
      </c>
      <c r="C5" s="154"/>
      <c r="D5" s="153" t="s">
        <v>97</v>
      </c>
      <c r="E5" s="154"/>
      <c r="F5" s="7" t="s">
        <v>635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202" t="s">
        <v>538</v>
      </c>
      <c r="C6" s="154"/>
      <c r="D6" s="153" t="s">
        <v>97</v>
      </c>
      <c r="E6" s="154"/>
      <c r="F6" s="7" t="s">
        <v>636</v>
      </c>
      <c r="G6" s="155" t="s">
        <v>66</v>
      </c>
      <c r="H6" s="157"/>
      <c r="I6" s="157"/>
    </row>
    <row r="7" spans="1:9" ht="20.100000000000001" customHeight="1" x14ac:dyDescent="0.2">
      <c r="A7" s="154" t="s">
        <v>79</v>
      </c>
      <c r="B7" s="203" t="s">
        <v>557</v>
      </c>
      <c r="C7" s="157"/>
      <c r="D7" s="206" t="s">
        <v>97</v>
      </c>
      <c r="E7" s="207"/>
      <c r="F7" s="208" t="s">
        <v>638</v>
      </c>
      <c r="G7" s="155" t="s">
        <v>66</v>
      </c>
      <c r="H7" s="209"/>
      <c r="I7" s="209"/>
    </row>
    <row r="8" spans="1:9" ht="20.100000000000001" customHeight="1" x14ac:dyDescent="0.2">
      <c r="A8" s="154" t="s">
        <v>80</v>
      </c>
      <c r="B8" s="202" t="s">
        <v>536</v>
      </c>
      <c r="C8" s="176" t="s">
        <v>524</v>
      </c>
      <c r="D8" s="153" t="s">
        <v>97</v>
      </c>
      <c r="E8" s="154"/>
      <c r="F8" s="7" t="s">
        <v>637</v>
      </c>
      <c r="G8" s="150" t="s">
        <v>66</v>
      </c>
      <c r="H8" s="157"/>
      <c r="I8" s="157"/>
    </row>
    <row r="9" spans="1:9" ht="20.100000000000001" customHeight="1" x14ac:dyDescent="0.2">
      <c r="A9" s="154"/>
      <c r="B9" s="146"/>
      <c r="C9" s="157"/>
      <c r="D9" s="192"/>
      <c r="E9" s="149"/>
      <c r="F9" s="151"/>
      <c r="G9" s="211"/>
      <c r="H9" s="157"/>
      <c r="I9" s="157"/>
    </row>
    <row r="10" spans="1:9" ht="20.100000000000001" customHeight="1" x14ac:dyDescent="0.2">
      <c r="A10" s="154"/>
      <c r="B10" s="146"/>
      <c r="C10" s="157"/>
      <c r="D10" s="192"/>
      <c r="E10" s="149"/>
      <c r="F10" s="151"/>
      <c r="G10" s="211"/>
      <c r="H10" s="157"/>
      <c r="I10" s="157"/>
    </row>
    <row r="11" spans="1:9" ht="20.100000000000001" customHeight="1" x14ac:dyDescent="0.2">
      <c r="A11" s="154"/>
      <c r="B11" s="146"/>
      <c r="C11" s="157"/>
      <c r="D11" s="192"/>
      <c r="E11" s="149"/>
      <c r="F11" s="151"/>
      <c r="G11" s="211"/>
      <c r="H11" s="157"/>
      <c r="I11" s="157"/>
    </row>
    <row r="12" spans="1:9" ht="20.100000000000001" customHeight="1" x14ac:dyDescent="0.2">
      <c r="A12" s="154"/>
      <c r="B12" s="146"/>
      <c r="C12" s="157"/>
      <c r="D12" s="192"/>
      <c r="E12" s="149"/>
      <c r="F12" s="151"/>
      <c r="G12" s="211"/>
      <c r="H12" s="157"/>
      <c r="I12" s="157"/>
    </row>
    <row r="13" spans="1:9" ht="20.100000000000001" customHeight="1" x14ac:dyDescent="0.2">
      <c r="A13" s="154"/>
      <c r="B13" s="146"/>
      <c r="C13" s="157"/>
      <c r="D13" s="192"/>
      <c r="E13" s="149"/>
      <c r="F13" s="151"/>
      <c r="G13" s="211"/>
      <c r="H13" s="157"/>
      <c r="I13" s="157"/>
    </row>
    <row r="14" spans="1:9" ht="20.100000000000001" customHeight="1" x14ac:dyDescent="0.2">
      <c r="A14" s="154"/>
      <c r="B14" s="146"/>
      <c r="C14" s="157"/>
      <c r="D14" s="192"/>
      <c r="E14" s="149"/>
      <c r="F14" s="151"/>
      <c r="G14" s="211"/>
      <c r="H14" s="157"/>
      <c r="I14" s="157"/>
    </row>
    <row r="15" spans="1:9" ht="20.100000000000001" customHeight="1" x14ac:dyDescent="0.2">
      <c r="A15" s="154"/>
      <c r="B15" s="146"/>
      <c r="C15" s="149"/>
      <c r="D15" s="192"/>
      <c r="E15" s="149"/>
      <c r="F15" s="151"/>
      <c r="G15" s="211"/>
      <c r="H15" s="149"/>
      <c r="I15" s="149"/>
    </row>
    <row r="16" spans="1:9" ht="20.100000000000001" customHeight="1" x14ac:dyDescent="0.2">
      <c r="A16" s="154"/>
      <c r="B16" s="146"/>
      <c r="C16" s="149"/>
      <c r="D16" s="192"/>
      <c r="E16" s="149"/>
      <c r="F16" s="151"/>
      <c r="G16" s="211"/>
      <c r="H16" s="149"/>
      <c r="I16" s="149"/>
    </row>
    <row r="17" spans="1:9" ht="20.100000000000001" customHeight="1" x14ac:dyDescent="0.2">
      <c r="A17" s="154"/>
      <c r="B17" s="146"/>
      <c r="C17" s="149"/>
      <c r="D17" s="192"/>
      <c r="E17" s="149"/>
      <c r="F17" s="151"/>
      <c r="G17" s="211"/>
      <c r="H17" s="149"/>
      <c r="I17" s="149"/>
    </row>
    <row r="18" spans="1:9" ht="20.100000000000001" customHeight="1" x14ac:dyDescent="0.2">
      <c r="A18" s="154"/>
      <c r="B18" s="146"/>
      <c r="C18" s="149"/>
      <c r="D18" s="192"/>
      <c r="E18" s="149"/>
      <c r="F18" s="151"/>
      <c r="G18" s="211"/>
      <c r="H18" s="149"/>
      <c r="I18" s="149"/>
    </row>
    <row r="19" spans="1:9" ht="20.100000000000001" customHeight="1" x14ac:dyDescent="0.2">
      <c r="A19" s="154"/>
      <c r="B19" s="146"/>
      <c r="C19" s="149"/>
      <c r="D19" s="192"/>
      <c r="E19" s="149"/>
      <c r="F19" s="151"/>
      <c r="G19" s="211"/>
      <c r="H19" s="149"/>
      <c r="I19" s="149"/>
    </row>
    <row r="20" spans="1:9" ht="20.100000000000001" customHeight="1" x14ac:dyDescent="0.2">
      <c r="A20" s="154"/>
      <c r="B20" s="146"/>
      <c r="C20" s="149"/>
      <c r="D20" s="192"/>
      <c r="E20" s="149"/>
      <c r="F20" s="151"/>
      <c r="G20" s="212"/>
      <c r="H20" s="149"/>
      <c r="I20" s="149"/>
    </row>
  </sheetData>
  <dataValidations disablePrompts="1" count="2">
    <dataValidation type="list" allowBlank="1" showInputMessage="1" showErrorMessage="1" sqref="G4:G8">
      <formula1>FieldRef</formula1>
    </dataValidation>
    <dataValidation type="list" allowBlank="1" showInputMessage="1" showErrorMessage="1" sqref="D3:D8">
      <formula1>Field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A9" sqref="A9"/>
    </sheetView>
  </sheetViews>
  <sheetFormatPr defaultRowHeight="12.75" x14ac:dyDescent="0.2"/>
  <cols>
    <col min="1" max="1" width="10.5703125" bestFit="1" customWidth="1"/>
    <col min="2" max="2" width="27" customWidth="1"/>
    <col min="3" max="3" width="34.85546875" customWidth="1"/>
    <col min="4" max="4" width="7.42578125" bestFit="1" customWidth="1"/>
    <col min="6" max="6" width="19.28515625" bestFit="1" customWidth="1"/>
    <col min="7" max="7" width="23.28515625" customWidth="1"/>
    <col min="8" max="8" width="27.7109375" customWidth="1"/>
    <col min="9" max="9" width="27.85546875" customWidth="1"/>
  </cols>
  <sheetData>
    <row r="2" spans="1:9" ht="26.25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204" t="s">
        <v>640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202" t="s">
        <v>641</v>
      </c>
      <c r="C4" s="157" t="s">
        <v>646</v>
      </c>
      <c r="D4" s="153" t="s">
        <v>99</v>
      </c>
      <c r="E4" s="154"/>
      <c r="F4" s="7" t="s">
        <v>647</v>
      </c>
      <c r="G4" s="214" t="s">
        <v>66</v>
      </c>
      <c r="H4" s="157"/>
      <c r="I4" s="157"/>
    </row>
    <row r="5" spans="1:9" ht="20.100000000000001" customHeight="1" x14ac:dyDescent="0.2">
      <c r="A5" s="154" t="s">
        <v>77</v>
      </c>
      <c r="B5" s="202" t="s">
        <v>642</v>
      </c>
      <c r="C5" s="154"/>
      <c r="D5" s="153" t="s">
        <v>97</v>
      </c>
      <c r="E5" s="154"/>
      <c r="F5" s="7" t="s">
        <v>648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204" t="s">
        <v>643</v>
      </c>
      <c r="C6" s="187"/>
      <c r="D6" s="182"/>
      <c r="E6" s="187"/>
      <c r="F6" s="205"/>
      <c r="G6" s="179"/>
      <c r="H6" s="178"/>
      <c r="I6" s="178"/>
    </row>
    <row r="7" spans="1:9" ht="20.100000000000001" customHeight="1" x14ac:dyDescent="0.2">
      <c r="A7" s="154" t="s">
        <v>79</v>
      </c>
      <c r="B7" s="213" t="s">
        <v>644</v>
      </c>
      <c r="C7" s="157"/>
      <c r="D7" s="206" t="s">
        <v>97</v>
      </c>
      <c r="E7" s="207"/>
      <c r="F7" s="7" t="s">
        <v>649</v>
      </c>
      <c r="G7" s="155" t="s">
        <v>66</v>
      </c>
      <c r="H7" s="209"/>
      <c r="I7" s="209"/>
    </row>
    <row r="8" spans="1:9" ht="20.100000000000001" customHeight="1" x14ac:dyDescent="0.2">
      <c r="A8" s="154" t="s">
        <v>80</v>
      </c>
      <c r="B8" s="202" t="s">
        <v>645</v>
      </c>
      <c r="C8" s="176" t="s">
        <v>524</v>
      </c>
      <c r="D8" s="153" t="s">
        <v>97</v>
      </c>
      <c r="E8" s="154"/>
      <c r="F8" s="7" t="s">
        <v>650</v>
      </c>
      <c r="G8" s="210" t="s">
        <v>66</v>
      </c>
      <c r="H8" s="157"/>
      <c r="I8" s="157"/>
    </row>
  </sheetData>
  <dataValidations count="2">
    <dataValidation type="list" allowBlank="1" showInputMessage="1" showErrorMessage="1" sqref="D3:D8">
      <formula1>Field</formula1>
    </dataValidation>
    <dataValidation type="list" allowBlank="1" showInputMessage="1" showErrorMessage="1" sqref="G4:G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22" sqref="A22"/>
    </sheetView>
  </sheetViews>
  <sheetFormatPr defaultRowHeight="12.75" x14ac:dyDescent="0.2"/>
  <cols>
    <col min="1" max="1" width="6" style="157" bestFit="1" customWidth="1"/>
    <col min="2" max="2" width="23" style="157" customWidth="1"/>
    <col min="3" max="3" width="23" style="157" bestFit="1" customWidth="1"/>
    <col min="4" max="5" width="9.140625" style="157"/>
    <col min="6" max="6" width="17.28515625" style="157" bestFit="1" customWidth="1"/>
    <col min="7" max="7" width="15.85546875" style="157" customWidth="1"/>
    <col min="8" max="8" width="21" style="157" customWidth="1"/>
    <col min="9" max="9" width="10" style="157" customWidth="1"/>
    <col min="10" max="11" width="9.140625" style="157"/>
    <col min="12" max="12" width="24.140625" style="157" customWidth="1"/>
    <col min="13" max="13" width="10.42578125" style="157" customWidth="1"/>
    <col min="14" max="16384" width="9.140625" style="157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305" t="s">
        <v>786</v>
      </c>
      <c r="K2" s="266"/>
      <c r="L2" s="222" t="s">
        <v>684</v>
      </c>
      <c r="M2" s="157" t="s">
        <v>74</v>
      </c>
    </row>
    <row r="3" spans="1:13" ht="20.100000000000001" customHeight="1" x14ac:dyDescent="0.2">
      <c r="A3" s="154" t="s">
        <v>50</v>
      </c>
      <c r="B3" s="225" t="s">
        <v>148</v>
      </c>
      <c r="C3" s="154" t="s">
        <v>676</v>
      </c>
      <c r="D3" s="153" t="s">
        <v>100</v>
      </c>
      <c r="E3" s="167" t="str">
        <f>VLOOKUP(Table235057[[#This Row],[Data]],Table25259[],2,0)</f>
        <v>0</v>
      </c>
      <c r="F3" s="217" t="s">
        <v>680</v>
      </c>
      <c r="G3" s="155" t="s">
        <v>67</v>
      </c>
      <c r="L3" s="224" t="s">
        <v>681</v>
      </c>
      <c r="M3" s="154" t="s">
        <v>42</v>
      </c>
    </row>
    <row r="4" spans="1:13" ht="20.100000000000001" customHeight="1" x14ac:dyDescent="0.2">
      <c r="A4" s="154" t="s">
        <v>76</v>
      </c>
      <c r="B4" s="218" t="s">
        <v>674</v>
      </c>
      <c r="C4" s="219" t="s">
        <v>673</v>
      </c>
      <c r="D4" s="153" t="s">
        <v>100</v>
      </c>
      <c r="E4" s="159" t="str">
        <f>VLOOKUP(Table235057[[#This Row],[Data]],Table35360[],2,0)</f>
        <v>0</v>
      </c>
      <c r="F4" s="217" t="s">
        <v>678</v>
      </c>
      <c r="G4" s="155" t="s">
        <v>67</v>
      </c>
      <c r="L4" s="224" t="s">
        <v>679</v>
      </c>
      <c r="M4" s="154" t="s">
        <v>50</v>
      </c>
    </row>
    <row r="5" spans="1:13" ht="20.100000000000001" customHeight="1" x14ac:dyDescent="0.2">
      <c r="A5" s="154" t="s">
        <v>77</v>
      </c>
      <c r="B5" s="226" t="s">
        <v>671</v>
      </c>
      <c r="C5" s="219" t="s">
        <v>658</v>
      </c>
      <c r="D5" s="153" t="s">
        <v>100</v>
      </c>
      <c r="E5" s="159" t="str">
        <f>VLOOKUP(Table235057[[#This Row],[Data]],Table45461[],2,0)</f>
        <v>8</v>
      </c>
      <c r="F5" s="217" t="s">
        <v>677</v>
      </c>
      <c r="G5" s="155" t="s">
        <v>67</v>
      </c>
    </row>
    <row r="6" spans="1:13" ht="20.100000000000001" customHeight="1" x14ac:dyDescent="0.2">
      <c r="A6" s="154" t="s">
        <v>78</v>
      </c>
      <c r="B6" s="221"/>
      <c r="D6" s="153"/>
      <c r="E6" s="159"/>
      <c r="F6" s="158"/>
      <c r="G6" s="155"/>
      <c r="L6" s="223" t="s">
        <v>148</v>
      </c>
      <c r="M6" s="157" t="s">
        <v>74</v>
      </c>
    </row>
    <row r="7" spans="1:13" ht="20.100000000000001" customHeight="1" x14ac:dyDescent="0.2">
      <c r="A7" s="154" t="s">
        <v>79</v>
      </c>
      <c r="B7" s="221"/>
      <c r="D7" s="153"/>
      <c r="E7" s="159"/>
      <c r="F7" s="158"/>
      <c r="G7" s="155"/>
      <c r="L7" s="219" t="s">
        <v>676</v>
      </c>
      <c r="M7" s="154" t="s">
        <v>42</v>
      </c>
    </row>
    <row r="8" spans="1:13" ht="20.100000000000001" customHeight="1" x14ac:dyDescent="0.2">
      <c r="A8" s="154" t="s">
        <v>80</v>
      </c>
      <c r="B8" s="221"/>
      <c r="D8" s="153"/>
      <c r="E8" s="159"/>
      <c r="F8" s="158"/>
      <c r="G8" s="155"/>
      <c r="L8" s="219" t="s">
        <v>675</v>
      </c>
      <c r="M8" s="154" t="s">
        <v>50</v>
      </c>
    </row>
    <row r="9" spans="1:13" ht="20.100000000000001" customHeight="1" x14ac:dyDescent="0.2">
      <c r="A9" s="154" t="s">
        <v>81</v>
      </c>
      <c r="B9" s="221"/>
      <c r="D9" s="153"/>
      <c r="E9" s="159"/>
      <c r="F9" s="158"/>
      <c r="G9" s="155"/>
    </row>
    <row r="10" spans="1:13" ht="20.100000000000001" customHeight="1" x14ac:dyDescent="0.2">
      <c r="A10" s="154" t="s">
        <v>82</v>
      </c>
      <c r="B10" s="221"/>
      <c r="D10" s="153"/>
      <c r="E10" s="159"/>
      <c r="F10" s="158"/>
      <c r="G10" s="155"/>
      <c r="L10" s="222" t="s">
        <v>674</v>
      </c>
      <c r="M10" s="157" t="s">
        <v>74</v>
      </c>
    </row>
    <row r="11" spans="1:13" ht="20.100000000000001" customHeight="1" x14ac:dyDescent="0.2">
      <c r="A11" s="154" t="s">
        <v>83</v>
      </c>
      <c r="B11" s="221"/>
      <c r="D11" s="153"/>
      <c r="E11" s="159"/>
      <c r="F11" s="158"/>
      <c r="G11" s="155"/>
      <c r="L11" s="219" t="s">
        <v>673</v>
      </c>
      <c r="M11" s="154" t="s">
        <v>42</v>
      </c>
    </row>
    <row r="12" spans="1:13" ht="20.100000000000001" customHeight="1" x14ac:dyDescent="0.2">
      <c r="A12" s="154" t="s">
        <v>84</v>
      </c>
      <c r="B12" s="221"/>
      <c r="D12" s="153"/>
      <c r="E12" s="159"/>
      <c r="F12" s="158"/>
      <c r="G12" s="155"/>
      <c r="L12" s="219" t="s">
        <v>672</v>
      </c>
      <c r="M12" s="154" t="s">
        <v>50</v>
      </c>
    </row>
    <row r="13" spans="1:13" ht="20.100000000000001" customHeight="1" x14ac:dyDescent="0.2">
      <c r="A13" s="154" t="s">
        <v>85</v>
      </c>
      <c r="B13" s="221"/>
      <c r="D13" s="153"/>
      <c r="E13" s="159"/>
      <c r="F13" s="158"/>
      <c r="G13" s="155"/>
    </row>
    <row r="14" spans="1:13" ht="20.100000000000001" customHeight="1" x14ac:dyDescent="0.2">
      <c r="A14" s="154" t="s">
        <v>86</v>
      </c>
      <c r="B14" s="221"/>
      <c r="D14" s="153"/>
      <c r="E14" s="159"/>
      <c r="F14" s="158"/>
      <c r="G14" s="155"/>
      <c r="L14" s="157" t="s">
        <v>671</v>
      </c>
      <c r="M14" s="157" t="s">
        <v>74</v>
      </c>
    </row>
    <row r="15" spans="1:13" ht="20.100000000000001" customHeight="1" x14ac:dyDescent="0.2">
      <c r="A15" s="154" t="s">
        <v>140</v>
      </c>
      <c r="B15" s="221"/>
      <c r="D15" s="153"/>
      <c r="E15" s="159"/>
      <c r="F15" s="158"/>
      <c r="G15" s="155"/>
      <c r="L15" s="219" t="s">
        <v>670</v>
      </c>
      <c r="M15" s="154" t="s">
        <v>42</v>
      </c>
    </row>
    <row r="16" spans="1:13" ht="20.100000000000001" customHeight="1" x14ac:dyDescent="0.2">
      <c r="A16" s="154" t="s">
        <v>141</v>
      </c>
      <c r="B16" s="219" t="s">
        <v>658</v>
      </c>
      <c r="C16" s="164" t="s">
        <v>77</v>
      </c>
      <c r="D16" s="153" t="s">
        <v>97</v>
      </c>
      <c r="E16" s="159"/>
      <c r="F16" s="217" t="s">
        <v>667</v>
      </c>
      <c r="G16" s="155" t="s">
        <v>66</v>
      </c>
      <c r="L16" s="220" t="s">
        <v>669</v>
      </c>
      <c r="M16" s="154" t="s">
        <v>50</v>
      </c>
    </row>
    <row r="17" spans="1:13" ht="20.100000000000001" customHeight="1" x14ac:dyDescent="0.2">
      <c r="A17" s="154" t="s">
        <v>142</v>
      </c>
      <c r="B17" s="215" t="s">
        <v>652</v>
      </c>
      <c r="C17" s="188" t="s">
        <v>651</v>
      </c>
      <c r="D17" s="153" t="s">
        <v>100</v>
      </c>
      <c r="E17" s="159" t="str">
        <f>VLOOKUP(Table235057[[#This Row],[Data]],Table115663[],2,0)</f>
        <v>0</v>
      </c>
      <c r="F17" s="188" t="s">
        <v>663</v>
      </c>
      <c r="G17" s="155" t="s">
        <v>67</v>
      </c>
      <c r="L17" s="219" t="s">
        <v>666</v>
      </c>
      <c r="M17" s="154" t="s">
        <v>76</v>
      </c>
    </row>
    <row r="18" spans="1:13" ht="20.100000000000001" customHeight="1" x14ac:dyDescent="0.2">
      <c r="L18" s="219" t="s">
        <v>664</v>
      </c>
      <c r="M18" s="154" t="s">
        <v>77</v>
      </c>
    </row>
    <row r="19" spans="1:13" ht="20.100000000000001" customHeight="1" x14ac:dyDescent="0.2">
      <c r="L19" s="219" t="s">
        <v>662</v>
      </c>
      <c r="M19" s="154" t="s">
        <v>78</v>
      </c>
    </row>
    <row r="20" spans="1:13" ht="20.100000000000001" customHeight="1" x14ac:dyDescent="0.2">
      <c r="L20" s="219" t="s">
        <v>661</v>
      </c>
      <c r="M20" s="154" t="s">
        <v>79</v>
      </c>
    </row>
    <row r="21" spans="1:13" ht="20.100000000000001" customHeight="1" x14ac:dyDescent="0.2">
      <c r="L21" s="219" t="s">
        <v>660</v>
      </c>
      <c r="M21" s="154" t="s">
        <v>80</v>
      </c>
    </row>
    <row r="22" spans="1:13" ht="20.100000000000001" customHeight="1" x14ac:dyDescent="0.2">
      <c r="L22" s="219" t="s">
        <v>659</v>
      </c>
      <c r="M22" s="154" t="s">
        <v>81</v>
      </c>
    </row>
    <row r="23" spans="1:13" ht="20.100000000000001" customHeight="1" x14ac:dyDescent="0.2">
      <c r="L23" s="219" t="s">
        <v>658</v>
      </c>
      <c r="M23" s="154" t="s">
        <v>82</v>
      </c>
    </row>
    <row r="25" spans="1:13" ht="20.100000000000001" customHeight="1" x14ac:dyDescent="0.2">
      <c r="L25" s="218" t="s">
        <v>657</v>
      </c>
      <c r="M25" s="157" t="s">
        <v>74</v>
      </c>
    </row>
    <row r="26" spans="1:13" ht="20.100000000000001" customHeight="1" x14ac:dyDescent="0.2">
      <c r="L26" s="198" t="s">
        <v>656</v>
      </c>
      <c r="M26" s="217" t="s">
        <v>655</v>
      </c>
    </row>
    <row r="27" spans="1:13" ht="20.100000000000001" customHeight="1" x14ac:dyDescent="0.2">
      <c r="L27" s="217" t="s">
        <v>654</v>
      </c>
      <c r="M27" s="217" t="s">
        <v>653</v>
      </c>
    </row>
    <row r="29" spans="1:13" ht="20.100000000000001" customHeight="1" x14ac:dyDescent="0.2">
      <c r="L29" s="216" t="s">
        <v>652</v>
      </c>
      <c r="M29" s="157" t="s">
        <v>74</v>
      </c>
    </row>
    <row r="30" spans="1:13" ht="20.100000000000001" customHeight="1" x14ac:dyDescent="0.2">
      <c r="L30" s="215" t="s">
        <v>651</v>
      </c>
      <c r="M30" s="154" t="s">
        <v>42</v>
      </c>
    </row>
  </sheetData>
  <dataValidations count="6">
    <dataValidation type="list" allowBlank="1" showInputMessage="1" showErrorMessage="1" sqref="D16:D17 D3:D14">
      <formula1>Field</formula1>
    </dataValidation>
    <dataValidation type="list" allowBlank="1" showInputMessage="1" showErrorMessage="1" sqref="C3">
      <formula1>$L$7:$L$8</formula1>
    </dataValidation>
    <dataValidation type="list" allowBlank="1" showInputMessage="1" showErrorMessage="1" sqref="C4">
      <formula1>$L$11:$L$12</formula1>
    </dataValidation>
    <dataValidation type="list" allowBlank="1" showInputMessage="1" showErrorMessage="1" sqref="G16:G17 G3:G14">
      <formula1>FieldRef</formula1>
    </dataValidation>
    <dataValidation type="list" allowBlank="1" showInputMessage="1" showErrorMessage="1" sqref="C5">
      <formula1>$L$15:$L$23</formula1>
    </dataValidation>
    <dataValidation type="list" allowBlank="1" showInputMessage="1" showErrorMessage="1" sqref="C17">
      <formula1>$L$30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workbookViewId="0">
      <selection activeCell="H22" sqref="H21:H22"/>
    </sheetView>
  </sheetViews>
  <sheetFormatPr defaultRowHeight="20.100000000000001" customHeight="1" x14ac:dyDescent="0.2"/>
  <cols>
    <col min="1" max="1" width="9" customWidth="1"/>
    <col min="2" max="2" width="21.140625" bestFit="1" customWidth="1"/>
    <col min="3" max="3" width="21.42578125" customWidth="1"/>
    <col min="4" max="4" width="9.7109375" customWidth="1"/>
    <col min="5" max="5" width="9.140625" style="248"/>
    <col min="6" max="6" width="30.42578125" customWidth="1"/>
    <col min="7" max="7" width="20" customWidth="1"/>
    <col min="8" max="8" width="28.5703125" customWidth="1"/>
    <col min="9" max="9" width="21.85546875" customWidth="1"/>
    <col min="12" max="12" width="27.5703125" bestFit="1" customWidth="1"/>
    <col min="13" max="13" width="10.42578125" customWidth="1"/>
    <col min="14" max="14" width="41" bestFit="1" customWidth="1"/>
    <col min="15" max="15" width="20" bestFit="1" customWidth="1"/>
    <col min="16" max="16" width="18.28515625" bestFit="1" customWidth="1"/>
    <col min="17" max="17" width="71.140625" bestFit="1" customWidth="1"/>
    <col min="18" max="18" width="30.5703125" customWidth="1"/>
    <col min="19" max="19" width="19.140625" customWidth="1"/>
    <col min="20" max="20" width="23.85546875" customWidth="1"/>
    <col min="21" max="21" width="9.85546875" customWidth="1"/>
    <col min="22" max="22" width="21.42578125" bestFit="1" customWidth="1"/>
    <col min="23" max="23" width="67.85546875" bestFit="1" customWidth="1"/>
    <col min="24" max="26" width="11.140625" customWidth="1"/>
    <col min="27" max="27" width="10.85546875" customWidth="1"/>
    <col min="28" max="31" width="11.140625" customWidth="1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99" t="s">
        <v>786</v>
      </c>
      <c r="K2" s="300"/>
      <c r="L2" s="241" t="s">
        <v>730</v>
      </c>
      <c r="M2" s="2" t="s">
        <v>74</v>
      </c>
    </row>
    <row r="3" spans="1:13" ht="20.100000000000001" customHeight="1" x14ac:dyDescent="0.2">
      <c r="A3" s="298" t="s">
        <v>50</v>
      </c>
      <c r="B3" s="229" t="s">
        <v>730</v>
      </c>
      <c r="C3" s="230"/>
      <c r="D3" s="196"/>
      <c r="E3" s="249"/>
      <c r="F3" s="288"/>
      <c r="G3" s="179"/>
      <c r="H3" s="230"/>
      <c r="I3" s="230"/>
      <c r="J3" s="289" t="s">
        <v>788</v>
      </c>
      <c r="K3" s="301"/>
      <c r="L3" s="3" t="s">
        <v>737</v>
      </c>
      <c r="M3" s="2">
        <v>0</v>
      </c>
    </row>
    <row r="4" spans="1:13" ht="20.100000000000001" customHeight="1" x14ac:dyDescent="0.2">
      <c r="A4" s="296" t="s">
        <v>76</v>
      </c>
      <c r="B4" s="272" t="s">
        <v>784</v>
      </c>
      <c r="C4" s="269"/>
      <c r="D4" s="273" t="s">
        <v>101</v>
      </c>
      <c r="E4" s="270" t="e">
        <f>VLOOKUP(Table2362847487680[[#This Row],[Data]],Table252[#Data],2,0)</f>
        <v>#N/A</v>
      </c>
      <c r="F4" s="290" t="s">
        <v>785</v>
      </c>
      <c r="G4" s="214" t="s">
        <v>66</v>
      </c>
      <c r="H4" s="269"/>
      <c r="I4" s="269"/>
      <c r="J4" s="291" t="s">
        <v>787</v>
      </c>
      <c r="K4" s="301"/>
      <c r="L4" s="242" t="s">
        <v>675</v>
      </c>
      <c r="M4" s="2">
        <v>1</v>
      </c>
    </row>
    <row r="5" spans="1:13" ht="20.100000000000001" customHeight="1" x14ac:dyDescent="0.2">
      <c r="A5" s="298" t="s">
        <v>77</v>
      </c>
      <c r="B5" s="232" t="s">
        <v>730</v>
      </c>
      <c r="C5" s="243" t="s">
        <v>675</v>
      </c>
      <c r="D5" s="231" t="s">
        <v>100</v>
      </c>
      <c r="E5" s="245">
        <f>VLOOKUP(Table236284748[[#This Row],[Data]],Table64[],2,0)</f>
        <v>1</v>
      </c>
      <c r="F5" s="208" t="s">
        <v>736</v>
      </c>
      <c r="G5" s="155" t="s">
        <v>67</v>
      </c>
      <c r="H5" s="243" t="s">
        <v>742</v>
      </c>
      <c r="I5" s="7" t="s">
        <v>746</v>
      </c>
      <c r="J5" s="291" t="s">
        <v>787</v>
      </c>
      <c r="K5" s="301"/>
    </row>
    <row r="6" spans="1:13" ht="20.100000000000001" customHeight="1" x14ac:dyDescent="0.2">
      <c r="A6" s="296" t="s">
        <v>78</v>
      </c>
      <c r="B6" s="204" t="s">
        <v>675</v>
      </c>
      <c r="C6" s="194"/>
      <c r="D6" s="196"/>
      <c r="E6" s="246"/>
      <c r="F6" s="195"/>
      <c r="G6" s="179"/>
      <c r="H6" s="194"/>
      <c r="I6" s="194"/>
      <c r="J6" s="289" t="s">
        <v>788</v>
      </c>
      <c r="K6" s="302"/>
      <c r="L6" s="227" t="s">
        <v>728</v>
      </c>
      <c r="M6" t="s">
        <v>74</v>
      </c>
    </row>
    <row r="7" spans="1:13" ht="20.100000000000001" customHeight="1" x14ac:dyDescent="0.2">
      <c r="A7" s="298" t="s">
        <v>79</v>
      </c>
      <c r="B7" s="67" t="s">
        <v>728</v>
      </c>
      <c r="C7" s="154" t="s">
        <v>738</v>
      </c>
      <c r="D7" s="153" t="s">
        <v>98</v>
      </c>
      <c r="E7" s="247">
        <f>VLOOKUP(Table236284748[[#This Row],[Data]],Table65[],2,0)</f>
        <v>1</v>
      </c>
      <c r="F7" s="7" t="s">
        <v>741</v>
      </c>
      <c r="G7" s="155" t="s">
        <v>66</v>
      </c>
      <c r="H7" s="157" t="s">
        <v>742</v>
      </c>
      <c r="I7" s="7" t="s">
        <v>743</v>
      </c>
      <c r="J7" s="291" t="s">
        <v>787</v>
      </c>
      <c r="K7" s="301"/>
      <c r="L7" s="7" t="s">
        <v>738</v>
      </c>
      <c r="M7">
        <v>1</v>
      </c>
    </row>
    <row r="8" spans="1:13" ht="20.100000000000001" customHeight="1" x14ac:dyDescent="0.2">
      <c r="A8" s="296" t="s">
        <v>80</v>
      </c>
      <c r="B8" s="67" t="s">
        <v>729</v>
      </c>
      <c r="C8" s="154" t="s">
        <v>770</v>
      </c>
      <c r="D8" s="153" t="s">
        <v>98</v>
      </c>
      <c r="E8" s="247">
        <f>VLOOKUP(Table236284748[[#This Row],[Data]],Table69[],2,0)</f>
        <v>4</v>
      </c>
      <c r="F8" s="7" t="s">
        <v>747</v>
      </c>
      <c r="G8" s="155" t="s">
        <v>66</v>
      </c>
      <c r="H8" s="157" t="s">
        <v>744</v>
      </c>
      <c r="I8" s="44" t="s">
        <v>745</v>
      </c>
      <c r="J8" s="291" t="s">
        <v>787</v>
      </c>
      <c r="K8" s="301"/>
      <c r="L8" s="7"/>
    </row>
    <row r="9" spans="1:13" ht="20.100000000000001" customHeight="1" x14ac:dyDescent="0.2">
      <c r="A9" s="298" t="s">
        <v>81</v>
      </c>
      <c r="B9" s="67" t="s">
        <v>731</v>
      </c>
      <c r="C9" s="157"/>
      <c r="D9" s="206" t="s">
        <v>97</v>
      </c>
      <c r="E9" s="247"/>
      <c r="F9" s="7" t="s">
        <v>748</v>
      </c>
      <c r="G9" s="155" t="s">
        <v>66</v>
      </c>
      <c r="H9" s="209"/>
      <c r="I9" s="209"/>
      <c r="J9" s="291" t="s">
        <v>787</v>
      </c>
      <c r="K9" s="301"/>
      <c r="L9" s="67" t="s">
        <v>729</v>
      </c>
      <c r="M9" t="s">
        <v>74</v>
      </c>
    </row>
    <row r="10" spans="1:13" ht="20.100000000000001" customHeight="1" x14ac:dyDescent="0.2">
      <c r="A10" s="296" t="s">
        <v>82</v>
      </c>
      <c r="B10" s="67" t="s">
        <v>732</v>
      </c>
      <c r="C10" s="239" t="s">
        <v>765</v>
      </c>
      <c r="D10" s="153" t="s">
        <v>98</v>
      </c>
      <c r="E10" s="247">
        <f>VLOOKUP(Table236284748[[#This Row],[Data]],Table67[],2,0)</f>
        <v>214</v>
      </c>
      <c r="F10" s="7" t="s">
        <v>751</v>
      </c>
      <c r="G10" s="150" t="s">
        <v>66</v>
      </c>
      <c r="H10" s="157" t="s">
        <v>749</v>
      </c>
      <c r="I10" s="44" t="s">
        <v>750</v>
      </c>
      <c r="J10" s="291" t="s">
        <v>787</v>
      </c>
      <c r="K10" s="301"/>
      <c r="L10" s="7" t="s">
        <v>766</v>
      </c>
      <c r="M10" s="7">
        <v>52</v>
      </c>
    </row>
    <row r="11" spans="1:13" ht="20.100000000000001" customHeight="1" x14ac:dyDescent="0.2">
      <c r="A11" s="298" t="s">
        <v>83</v>
      </c>
      <c r="B11" s="237" t="s">
        <v>733</v>
      </c>
      <c r="C11" s="244" t="s">
        <v>755</v>
      </c>
      <c r="D11" s="37" t="s">
        <v>98</v>
      </c>
      <c r="E11" s="247">
        <f>VLOOKUP(Table236284748[[#This Row],[Data]],Table6675[],2,0)</f>
        <v>47</v>
      </c>
      <c r="F11" s="7" t="s">
        <v>757</v>
      </c>
      <c r="G11" s="150" t="s">
        <v>66</v>
      </c>
      <c r="H11" s="236" t="s">
        <v>758</v>
      </c>
      <c r="I11" s="44" t="s">
        <v>759</v>
      </c>
      <c r="J11" s="291" t="s">
        <v>787</v>
      </c>
      <c r="K11" s="301"/>
      <c r="L11" s="7" t="s">
        <v>767</v>
      </c>
      <c r="M11" s="7">
        <v>1</v>
      </c>
    </row>
    <row r="12" spans="1:13" ht="20.100000000000001" customHeight="1" x14ac:dyDescent="0.2">
      <c r="A12" s="296" t="s">
        <v>84</v>
      </c>
      <c r="B12" s="237" t="s">
        <v>734</v>
      </c>
      <c r="C12" s="247" t="str">
        <f>VLOOKUP(C11,Table6675[],3,0)</f>
        <v>004 : เชียงดาว</v>
      </c>
      <c r="D12" s="37" t="s">
        <v>98</v>
      </c>
      <c r="E12" s="247">
        <f>VLOOKUP(C11,Table6675[],4,0)</f>
        <v>333</v>
      </c>
      <c r="F12" s="7" t="s">
        <v>761</v>
      </c>
      <c r="G12" s="150" t="s">
        <v>66</v>
      </c>
      <c r="H12" s="236" t="s">
        <v>762</v>
      </c>
      <c r="I12" s="44" t="s">
        <v>760</v>
      </c>
      <c r="J12" s="291" t="s">
        <v>787</v>
      </c>
      <c r="K12" s="301"/>
      <c r="L12" s="7" t="s">
        <v>768</v>
      </c>
      <c r="M12" s="7">
        <v>2</v>
      </c>
    </row>
    <row r="13" spans="1:13" ht="20.100000000000001" customHeight="1" x14ac:dyDescent="0.2">
      <c r="A13" s="298" t="s">
        <v>85</v>
      </c>
      <c r="B13" s="237" t="s">
        <v>735</v>
      </c>
      <c r="C13" s="247" t="str">
        <f>VLOOKUP(C11,Table6675[],7,0)</f>
        <v>002 : เมืองนะ</v>
      </c>
      <c r="D13" s="37" t="s">
        <v>98</v>
      </c>
      <c r="E13" s="247">
        <f>VLOOKUP(C11,Table6675[],8,0)</f>
        <v>5527</v>
      </c>
      <c r="F13" s="7" t="s">
        <v>764</v>
      </c>
      <c r="G13" s="150" t="s">
        <v>66</v>
      </c>
      <c r="H13" s="244" t="s">
        <v>763</v>
      </c>
      <c r="I13" s="236"/>
      <c r="J13" s="291" t="s">
        <v>787</v>
      </c>
      <c r="K13" s="301"/>
      <c r="L13" s="7" t="s">
        <v>769</v>
      </c>
      <c r="M13" s="7">
        <v>3</v>
      </c>
    </row>
    <row r="14" spans="1:13" ht="20.100000000000001" customHeight="1" x14ac:dyDescent="0.2">
      <c r="A14" s="296" t="s">
        <v>86</v>
      </c>
      <c r="B14" s="238" t="s">
        <v>790</v>
      </c>
      <c r="C14" s="293"/>
      <c r="D14" s="10" t="s">
        <v>101</v>
      </c>
      <c r="E14" s="292"/>
      <c r="F14" s="304"/>
      <c r="G14" s="155" t="s">
        <v>102</v>
      </c>
      <c r="H14" s="294" t="s">
        <v>791</v>
      </c>
      <c r="I14" s="228" t="s">
        <v>789</v>
      </c>
      <c r="J14" s="291" t="s">
        <v>787</v>
      </c>
      <c r="L14" s="7" t="s">
        <v>770</v>
      </c>
      <c r="M14" s="7">
        <v>4</v>
      </c>
    </row>
    <row r="16" spans="1:13" ht="20.100000000000001" customHeight="1" x14ac:dyDescent="0.2">
      <c r="L16" s="71" t="s">
        <v>732</v>
      </c>
      <c r="M16" t="s">
        <v>74</v>
      </c>
    </row>
    <row r="17" spans="12:31" ht="20.100000000000001" customHeight="1" x14ac:dyDescent="0.2">
      <c r="L17" s="7" t="s">
        <v>765</v>
      </c>
      <c r="M17" s="7">
        <v>214</v>
      </c>
    </row>
    <row r="19" spans="12:31" ht="20.100000000000001" customHeight="1" x14ac:dyDescent="0.2">
      <c r="L19" s="265"/>
      <c r="M19" s="240"/>
      <c r="N19" s="103"/>
      <c r="O19" s="240"/>
      <c r="P19" s="240"/>
      <c r="Q19" s="240"/>
      <c r="R19" s="103"/>
      <c r="S19" s="240"/>
      <c r="T19" s="240"/>
    </row>
    <row r="20" spans="12:31" ht="20.100000000000001" customHeight="1" x14ac:dyDescent="0.2">
      <c r="L20" s="7"/>
      <c r="M20" s="7"/>
      <c r="N20" s="7"/>
      <c r="O20" s="7"/>
      <c r="P20" s="7"/>
      <c r="Q20" s="7"/>
      <c r="R20" s="7"/>
      <c r="S20" s="7"/>
      <c r="T20" s="7"/>
    </row>
    <row r="21" spans="12:31" ht="20.100000000000001" customHeight="1" x14ac:dyDescent="0.2">
      <c r="L21" s="7"/>
      <c r="M21" s="7"/>
      <c r="N21" s="7"/>
      <c r="O21" s="7"/>
      <c r="P21" s="7"/>
      <c r="Q21" s="7"/>
      <c r="R21" s="7"/>
      <c r="S21" s="7"/>
      <c r="T21" s="7"/>
    </row>
    <row r="22" spans="12:31" ht="20.100000000000001" customHeight="1" x14ac:dyDescent="0.2">
      <c r="L22" s="7"/>
      <c r="M22" s="7"/>
      <c r="N22" s="7"/>
      <c r="O22" s="7"/>
      <c r="P22" s="7"/>
      <c r="Q22" s="7"/>
      <c r="R22" s="7"/>
      <c r="S22" s="7"/>
      <c r="T22" s="7"/>
    </row>
    <row r="23" spans="12:31" ht="20.100000000000001" customHeight="1" thickBot="1" x14ac:dyDescent="0.25">
      <c r="L23" s="7"/>
      <c r="M23" s="7"/>
      <c r="N23" s="7"/>
      <c r="O23" s="7"/>
      <c r="P23" s="7"/>
      <c r="Q23" s="7"/>
      <c r="R23" s="7"/>
      <c r="S23" s="7"/>
      <c r="T23" s="7"/>
      <c r="U23" s="251"/>
    </row>
    <row r="24" spans="12:31" ht="20.100000000000001" customHeight="1" x14ac:dyDescent="0.2">
      <c r="L24" s="7"/>
      <c r="M24" s="7"/>
      <c r="N24" s="7"/>
      <c r="O24" s="7"/>
      <c r="P24" s="7"/>
      <c r="Q24" s="7"/>
      <c r="R24" s="7"/>
      <c r="S24" s="7"/>
      <c r="T24" s="7"/>
      <c r="U24" s="250"/>
    </row>
    <row r="25" spans="12:31" ht="20.100000000000001" customHeight="1" x14ac:dyDescent="0.2">
      <c r="U25" s="250"/>
    </row>
    <row r="26" spans="12:31" ht="20.100000000000001" customHeight="1" x14ac:dyDescent="0.2">
      <c r="U26" s="250"/>
    </row>
    <row r="27" spans="12:31" ht="20.100000000000001" customHeight="1" x14ac:dyDescent="0.2">
      <c r="U27" s="250"/>
    </row>
    <row r="28" spans="12:31" ht="20.100000000000001" customHeight="1" x14ac:dyDescent="0.2">
      <c r="U28" s="250"/>
    </row>
    <row r="29" spans="12:31" ht="20.100000000000001" customHeight="1" x14ac:dyDescent="0.2">
      <c r="W29" s="250"/>
    </row>
    <row r="30" spans="12:31" ht="20.100000000000001" customHeight="1" x14ac:dyDescent="0.2">
      <c r="L30" s="109"/>
      <c r="M30" s="103"/>
      <c r="N30" s="103"/>
      <c r="O30" s="103"/>
      <c r="P30" s="103"/>
      <c r="Q30" s="103"/>
      <c r="R30" s="103"/>
      <c r="S30" s="103"/>
      <c r="T30" s="135"/>
      <c r="U30" s="135"/>
      <c r="V30" s="136"/>
      <c r="W30" s="135"/>
      <c r="X30" s="135"/>
      <c r="Y30" s="135"/>
      <c r="Z30" s="135"/>
      <c r="AA30" s="135"/>
      <c r="AB30" s="135"/>
      <c r="AC30" s="135"/>
      <c r="AD30" s="135"/>
      <c r="AE30" s="135"/>
    </row>
    <row r="31" spans="12:31" ht="20.100000000000001" customHeight="1" x14ac:dyDescent="0.2">
      <c r="L31" s="107"/>
      <c r="M31" s="103"/>
    </row>
    <row r="32" spans="12:31" ht="20.100000000000001" customHeight="1" x14ac:dyDescent="0.2">
      <c r="L32" s="107"/>
      <c r="M32" s="103"/>
      <c r="N32" s="256"/>
      <c r="O32" s="253"/>
      <c r="P32" s="255"/>
      <c r="Q32" s="255"/>
      <c r="R32" s="250"/>
      <c r="S32" s="252"/>
      <c r="T32" s="250"/>
      <c r="U32" s="253"/>
      <c r="V32" s="250"/>
      <c r="W32" s="250"/>
      <c r="X32" s="250"/>
      <c r="Y32" s="250"/>
      <c r="Z32" s="250"/>
      <c r="AA32" s="253"/>
      <c r="AB32" s="250"/>
      <c r="AC32" s="250"/>
      <c r="AD32" s="250"/>
      <c r="AE32" s="257"/>
    </row>
    <row r="33" spans="12:31" ht="20.100000000000001" customHeight="1" x14ac:dyDescent="0.2">
      <c r="L33" s="107"/>
      <c r="M33" s="103"/>
      <c r="N33" s="256"/>
      <c r="O33" s="253"/>
      <c r="P33" s="255"/>
      <c r="Q33" s="254"/>
      <c r="R33" s="250"/>
      <c r="S33" s="252"/>
      <c r="T33" s="254"/>
      <c r="U33" s="253"/>
      <c r="V33" s="250"/>
      <c r="W33" s="254"/>
      <c r="X33" s="250"/>
      <c r="Y33" s="250"/>
      <c r="Z33" s="254"/>
      <c r="AA33" s="253"/>
      <c r="AB33" s="250"/>
      <c r="AC33" s="254"/>
      <c r="AD33" s="250"/>
      <c r="AE33" s="257"/>
    </row>
    <row r="34" spans="12:31" ht="20.100000000000001" customHeight="1" x14ac:dyDescent="0.2">
      <c r="L34" s="107"/>
      <c r="M34" s="103"/>
      <c r="N34" s="256"/>
      <c r="O34" s="253"/>
      <c r="P34" s="255"/>
      <c r="Q34" s="254"/>
      <c r="R34" s="250"/>
      <c r="S34" s="252"/>
      <c r="T34" s="254"/>
      <c r="U34" s="253"/>
      <c r="V34" s="250"/>
      <c r="W34" s="254"/>
      <c r="X34" s="250"/>
      <c r="Y34" s="250"/>
      <c r="Z34" s="254"/>
      <c r="AA34" s="253"/>
      <c r="AB34" s="250"/>
      <c r="AC34" s="254"/>
      <c r="AD34" s="250"/>
      <c r="AE34" s="257"/>
    </row>
    <row r="35" spans="12:31" ht="20.100000000000001" customHeight="1" x14ac:dyDescent="0.2">
      <c r="L35" s="107"/>
      <c r="M35" s="103"/>
      <c r="N35" s="256"/>
      <c r="O35" s="253"/>
      <c r="P35" s="255"/>
      <c r="Q35" s="254"/>
      <c r="R35" s="250"/>
      <c r="S35" s="252"/>
      <c r="T35" s="254"/>
      <c r="U35" s="253"/>
      <c r="V35" s="250"/>
      <c r="W35" s="254"/>
      <c r="X35" s="250"/>
      <c r="Y35" s="250"/>
      <c r="Z35" s="254"/>
      <c r="AA35" s="253"/>
      <c r="AB35" s="250"/>
      <c r="AC35" s="254"/>
      <c r="AD35" s="250"/>
      <c r="AE35" s="257"/>
    </row>
    <row r="36" spans="12:31" ht="20.100000000000001" customHeight="1" x14ac:dyDescent="0.2">
      <c r="L36" s="107"/>
      <c r="M36" s="103"/>
      <c r="N36" s="256"/>
      <c r="O36" s="253"/>
      <c r="P36" s="255"/>
      <c r="Q36" s="254"/>
      <c r="R36" s="250"/>
      <c r="S36" s="252"/>
      <c r="T36" s="254"/>
      <c r="U36" s="253"/>
      <c r="V36" s="250"/>
      <c r="W36" s="254"/>
      <c r="X36" s="250"/>
      <c r="Y36" s="250"/>
      <c r="Z36" s="254"/>
      <c r="AA36" s="253"/>
      <c r="AB36" s="250"/>
      <c r="AC36" s="254"/>
      <c r="AD36" s="250"/>
      <c r="AE36" s="257"/>
    </row>
    <row r="37" spans="12:31" ht="20.100000000000001" customHeight="1" x14ac:dyDescent="0.2">
      <c r="N37" s="258"/>
      <c r="O37" s="259"/>
      <c r="P37" s="260"/>
      <c r="Q37" s="261"/>
      <c r="R37" s="262"/>
      <c r="S37" s="263"/>
      <c r="T37" s="261"/>
      <c r="U37" s="259"/>
      <c r="V37" s="262"/>
      <c r="W37" s="261"/>
      <c r="X37" s="262"/>
      <c r="Y37" s="262"/>
      <c r="Z37" s="261"/>
      <c r="AA37" s="259"/>
      <c r="AB37" s="262"/>
      <c r="AC37" s="261"/>
      <c r="AD37" s="262"/>
      <c r="AE37" s="264"/>
    </row>
  </sheetData>
  <dataValidations count="6">
    <dataValidation type="list" allowBlank="1" showInputMessage="1" showErrorMessage="1" sqref="G4:G5 O32:O37 U32:U37 AA32:AA37 G7:G14">
      <formula1>FieldRef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C7">
      <formula1>$L$7:$L$7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10">
      <formula1>$L$17</formula1>
    </dataValidation>
    <dataValidation type="list" allowBlank="1" showInputMessage="1" showErrorMessage="1" sqref="D4:D14">
      <formula1>Field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B18" sqref="B18"/>
    </sheetView>
  </sheetViews>
  <sheetFormatPr defaultRowHeight="20.100000000000001" customHeight="1" x14ac:dyDescent="0.2"/>
  <cols>
    <col min="1" max="1" width="10.5703125" bestFit="1" customWidth="1"/>
    <col min="2" max="2" width="22.28515625" bestFit="1" customWidth="1"/>
    <col min="3" max="3" width="18.28515625" bestFit="1" customWidth="1"/>
    <col min="5" max="5" width="8" bestFit="1" customWidth="1"/>
    <col min="6" max="6" width="25.5703125" bestFit="1" customWidth="1"/>
    <col min="7" max="7" width="17.28515625" bestFit="1" customWidth="1"/>
    <col min="8" max="8" width="45.7109375" bestFit="1" customWidth="1"/>
    <col min="9" max="9" width="22.42578125" bestFit="1" customWidth="1"/>
    <col min="12" max="12" width="23.5703125" customWidth="1"/>
    <col min="13" max="13" width="8.5703125" customWidth="1"/>
    <col min="14" max="14" width="20.140625" bestFit="1" customWidth="1"/>
    <col min="15" max="15" width="9.5703125" bestFit="1" customWidth="1"/>
    <col min="16" max="16" width="18.28515625" bestFit="1" customWidth="1"/>
    <col min="17" max="17" width="71.140625" bestFit="1" customWidth="1"/>
    <col min="18" max="18" width="30.28515625" bestFit="1" customWidth="1"/>
    <col min="19" max="19" width="9.5703125" bestFit="1" customWidth="1"/>
    <col min="20" max="20" width="21.42578125" bestFit="1" customWidth="1"/>
  </cols>
  <sheetData>
    <row r="2" spans="1:20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74" t="s">
        <v>786</v>
      </c>
      <c r="L2" s="241" t="s">
        <v>730</v>
      </c>
      <c r="M2" s="2" t="s">
        <v>74</v>
      </c>
    </row>
    <row r="3" spans="1:20" ht="20.100000000000001" customHeight="1" x14ac:dyDescent="0.2">
      <c r="A3" s="298" t="s">
        <v>50</v>
      </c>
      <c r="B3" s="229" t="s">
        <v>730</v>
      </c>
      <c r="C3" s="230"/>
      <c r="D3" s="196"/>
      <c r="E3" s="249"/>
      <c r="F3" s="288"/>
      <c r="G3" s="179"/>
      <c r="H3" s="230"/>
      <c r="I3" s="230"/>
      <c r="J3" s="277" t="s">
        <v>788</v>
      </c>
      <c r="L3" s="3" t="s">
        <v>737</v>
      </c>
      <c r="M3" s="2">
        <v>0</v>
      </c>
    </row>
    <row r="4" spans="1:20" ht="20.100000000000001" customHeight="1" x14ac:dyDescent="0.2">
      <c r="A4" s="296" t="s">
        <v>76</v>
      </c>
      <c r="B4" s="272" t="s">
        <v>784</v>
      </c>
      <c r="C4" s="269"/>
      <c r="D4" s="273" t="s">
        <v>101</v>
      </c>
      <c r="E4" s="270" t="e">
        <f>VLOOKUP(Table2362847487680[[#This Row],[Data]],Table252[#Data],2,0)</f>
        <v>#N/A</v>
      </c>
      <c r="F4" s="290" t="s">
        <v>785</v>
      </c>
      <c r="G4" s="214" t="s">
        <v>66</v>
      </c>
      <c r="H4" s="269"/>
      <c r="I4" s="269"/>
      <c r="J4" s="279" t="s">
        <v>787</v>
      </c>
      <c r="L4" s="242" t="s">
        <v>675</v>
      </c>
      <c r="M4" s="2">
        <v>1</v>
      </c>
    </row>
    <row r="5" spans="1:20" ht="20.100000000000001" customHeight="1" x14ac:dyDescent="0.2">
      <c r="A5" s="298" t="s">
        <v>77</v>
      </c>
      <c r="B5" s="232" t="s">
        <v>730</v>
      </c>
      <c r="C5" s="243" t="s">
        <v>675</v>
      </c>
      <c r="D5" s="231" t="s">
        <v>100</v>
      </c>
      <c r="E5" s="245">
        <f>VLOOKUP(Table23628474876[[#This Row],[Data]],Table64[],2,0)</f>
        <v>1</v>
      </c>
      <c r="F5" s="208" t="s">
        <v>736</v>
      </c>
      <c r="G5" s="155" t="s">
        <v>67</v>
      </c>
      <c r="H5" s="243" t="s">
        <v>742</v>
      </c>
      <c r="I5" s="7" t="s">
        <v>746</v>
      </c>
      <c r="J5" s="279" t="s">
        <v>787</v>
      </c>
    </row>
    <row r="6" spans="1:20" ht="20.100000000000001" customHeight="1" x14ac:dyDescent="0.2">
      <c r="A6" s="296" t="s">
        <v>78</v>
      </c>
      <c r="B6" s="204" t="s">
        <v>675</v>
      </c>
      <c r="C6" s="194"/>
      <c r="D6" s="196"/>
      <c r="E6" s="246"/>
      <c r="F6" s="195"/>
      <c r="G6" s="179"/>
      <c r="H6" s="194"/>
      <c r="I6" s="194"/>
      <c r="J6" s="277" t="s">
        <v>788</v>
      </c>
      <c r="L6" s="227" t="s">
        <v>728</v>
      </c>
      <c r="M6" t="s">
        <v>74</v>
      </c>
    </row>
    <row r="7" spans="1:20" ht="20.100000000000001" customHeight="1" x14ac:dyDescent="0.2">
      <c r="A7" s="298" t="s">
        <v>79</v>
      </c>
      <c r="B7" s="67" t="s">
        <v>728</v>
      </c>
      <c r="C7" s="154" t="s">
        <v>739</v>
      </c>
      <c r="D7" s="153" t="s">
        <v>98</v>
      </c>
      <c r="E7" s="247">
        <f>VLOOKUP(Table23628474876[[#This Row],[Data]],Table6578[],2,0)</f>
        <v>2</v>
      </c>
      <c r="F7" s="7" t="s">
        <v>741</v>
      </c>
      <c r="G7" s="155" t="s">
        <v>66</v>
      </c>
      <c r="H7" s="157" t="s">
        <v>742</v>
      </c>
      <c r="I7" s="7" t="s">
        <v>743</v>
      </c>
      <c r="J7" s="279" t="s">
        <v>787</v>
      </c>
      <c r="L7" s="7" t="s">
        <v>739</v>
      </c>
      <c r="M7" s="7">
        <v>2</v>
      </c>
    </row>
    <row r="8" spans="1:20" ht="20.100000000000001" customHeight="1" x14ac:dyDescent="0.2">
      <c r="A8" s="296" t="s">
        <v>80</v>
      </c>
      <c r="B8" s="67" t="s">
        <v>729</v>
      </c>
      <c r="C8" s="154" t="s">
        <v>767</v>
      </c>
      <c r="D8" s="153" t="s">
        <v>98</v>
      </c>
      <c r="E8" s="247">
        <f>VLOOKUP(Table23628474876[[#This Row],[Data]],Table69[],2,0)</f>
        <v>1</v>
      </c>
      <c r="F8" s="7" t="s">
        <v>747</v>
      </c>
      <c r="G8" s="155" t="s">
        <v>66</v>
      </c>
      <c r="H8" s="157" t="s">
        <v>744</v>
      </c>
      <c r="I8" s="44" t="s">
        <v>745</v>
      </c>
      <c r="J8" s="279" t="s">
        <v>787</v>
      </c>
    </row>
    <row r="9" spans="1:20" ht="20.100000000000001" customHeight="1" x14ac:dyDescent="0.2">
      <c r="A9" s="298" t="s">
        <v>81</v>
      </c>
      <c r="B9" s="67" t="s">
        <v>731</v>
      </c>
      <c r="C9" s="157" t="s">
        <v>782</v>
      </c>
      <c r="D9" s="206" t="s">
        <v>97</v>
      </c>
      <c r="E9" s="247"/>
      <c r="F9" s="7" t="s">
        <v>748</v>
      </c>
      <c r="G9" s="155" t="s">
        <v>66</v>
      </c>
      <c r="H9" s="209"/>
      <c r="I9" s="209"/>
      <c r="J9" s="279" t="s">
        <v>787</v>
      </c>
      <c r="L9" s="67" t="s">
        <v>729</v>
      </c>
      <c r="M9" t="s">
        <v>74</v>
      </c>
    </row>
    <row r="10" spans="1:20" ht="20.100000000000001" customHeight="1" x14ac:dyDescent="0.2">
      <c r="A10" s="296" t="s">
        <v>82</v>
      </c>
      <c r="B10" s="67" t="s">
        <v>732</v>
      </c>
      <c r="C10" s="239" t="s">
        <v>765</v>
      </c>
      <c r="D10" s="153" t="s">
        <v>98</v>
      </c>
      <c r="E10" s="247">
        <f>VLOOKUP(Table23628474876[[#This Row],[Data]],Table67[],2,0)</f>
        <v>214</v>
      </c>
      <c r="F10" s="7" t="s">
        <v>751</v>
      </c>
      <c r="G10" s="150" t="s">
        <v>66</v>
      </c>
      <c r="H10" s="157" t="s">
        <v>749</v>
      </c>
      <c r="I10" s="44" t="s">
        <v>750</v>
      </c>
      <c r="J10" s="279" t="s">
        <v>787</v>
      </c>
      <c r="L10" s="7" t="s">
        <v>766</v>
      </c>
      <c r="M10" s="7">
        <v>52</v>
      </c>
    </row>
    <row r="11" spans="1:20" ht="20.100000000000001" customHeight="1" x14ac:dyDescent="0.2">
      <c r="A11" s="298" t="s">
        <v>83</v>
      </c>
      <c r="B11" s="237" t="s">
        <v>733</v>
      </c>
      <c r="C11" s="244" t="s">
        <v>754</v>
      </c>
      <c r="D11" s="37" t="s">
        <v>98</v>
      </c>
      <c r="E11" s="247">
        <f>VLOOKUP(Table23628474876[[#This Row],[Data]],Table6675[],2,0)</f>
        <v>20</v>
      </c>
      <c r="F11" s="7" t="s">
        <v>757</v>
      </c>
      <c r="G11" s="150" t="s">
        <v>66</v>
      </c>
      <c r="H11" s="236" t="s">
        <v>758</v>
      </c>
      <c r="I11" s="44" t="s">
        <v>759</v>
      </c>
      <c r="J11" s="279" t="s">
        <v>787</v>
      </c>
      <c r="L11" s="7" t="s">
        <v>767</v>
      </c>
      <c r="M11" s="7">
        <v>1</v>
      </c>
    </row>
    <row r="12" spans="1:20" ht="20.100000000000001" customHeight="1" x14ac:dyDescent="0.2">
      <c r="A12" s="296" t="s">
        <v>84</v>
      </c>
      <c r="B12" s="237" t="s">
        <v>734</v>
      </c>
      <c r="C12" s="247" t="str">
        <f>VLOOKUP(C11,Table6675[],3,0)</f>
        <v>007 : ศรีราชา</v>
      </c>
      <c r="D12" s="37" t="s">
        <v>98</v>
      </c>
      <c r="E12" s="247">
        <f>VLOOKUP(C11,Table6675[],4,0)</f>
        <v>569</v>
      </c>
      <c r="F12" s="7" t="s">
        <v>761</v>
      </c>
      <c r="G12" s="150" t="s">
        <v>66</v>
      </c>
      <c r="H12" s="236" t="s">
        <v>762</v>
      </c>
      <c r="I12" s="44" t="s">
        <v>760</v>
      </c>
      <c r="J12" s="279" t="s">
        <v>787</v>
      </c>
      <c r="L12" s="7" t="s">
        <v>768</v>
      </c>
      <c r="M12" s="7">
        <v>2</v>
      </c>
    </row>
    <row r="13" spans="1:20" ht="20.100000000000001" customHeight="1" x14ac:dyDescent="0.2">
      <c r="A13" s="298" t="s">
        <v>85</v>
      </c>
      <c r="B13" s="237" t="s">
        <v>735</v>
      </c>
      <c r="C13" s="247" t="str">
        <f>VLOOKUP(C11,Table6675[],7,0)</f>
        <v>007 : บางพระ</v>
      </c>
      <c r="D13" s="37" t="s">
        <v>98</v>
      </c>
      <c r="E13" s="247">
        <f>VLOOKUP(C11,Table6675[],8,0)</f>
        <v>1686</v>
      </c>
      <c r="F13" s="7" t="s">
        <v>764</v>
      </c>
      <c r="G13" s="150" t="s">
        <v>66</v>
      </c>
      <c r="H13" s="244" t="s">
        <v>763</v>
      </c>
      <c r="I13" s="236"/>
      <c r="J13" s="279" t="s">
        <v>787</v>
      </c>
      <c r="L13" s="7" t="s">
        <v>769</v>
      </c>
      <c r="M13" s="7">
        <v>3</v>
      </c>
      <c r="N13" s="103"/>
      <c r="O13" s="240"/>
      <c r="P13" s="240"/>
      <c r="Q13" s="240"/>
      <c r="R13" s="103"/>
      <c r="S13" s="240"/>
      <c r="T13" s="240"/>
    </row>
    <row r="14" spans="1:20" ht="20.100000000000001" customHeight="1" x14ac:dyDescent="0.2">
      <c r="A14" s="296" t="s">
        <v>86</v>
      </c>
      <c r="B14" s="306" t="s">
        <v>793</v>
      </c>
      <c r="C14" s="233"/>
      <c r="D14" s="28"/>
      <c r="E14" s="247"/>
      <c r="F14" s="7" t="s">
        <v>792</v>
      </c>
      <c r="G14" s="155" t="s">
        <v>67</v>
      </c>
      <c r="H14" s="244"/>
      <c r="I14" s="236"/>
      <c r="J14" s="279"/>
      <c r="L14" s="7" t="s">
        <v>770</v>
      </c>
      <c r="M14" s="7">
        <v>4</v>
      </c>
      <c r="N14" s="7"/>
      <c r="O14" s="7"/>
      <c r="P14" s="7"/>
      <c r="Q14" s="7"/>
      <c r="R14" s="7"/>
      <c r="S14" s="7"/>
      <c r="T14" s="7"/>
    </row>
    <row r="15" spans="1:20" ht="20.100000000000001" customHeight="1" x14ac:dyDescent="0.2">
      <c r="A15" s="298" t="s">
        <v>140</v>
      </c>
      <c r="B15" s="67" t="s">
        <v>794</v>
      </c>
      <c r="C15" s="233"/>
      <c r="D15" s="28"/>
      <c r="E15" s="247" t="e">
        <f>VLOOKUP(Table23628474876[[#This Row],[Data]],Table252[#Data],2,0)</f>
        <v>#N/A</v>
      </c>
      <c r="F15" s="100"/>
      <c r="G15" s="155"/>
      <c r="H15" s="244"/>
      <c r="I15" s="236"/>
      <c r="J15" s="279"/>
      <c r="N15" s="7"/>
      <c r="O15" s="7"/>
      <c r="P15" s="7"/>
      <c r="Q15" s="7"/>
      <c r="R15" s="7"/>
      <c r="S15" s="7"/>
      <c r="T15" s="7"/>
    </row>
    <row r="16" spans="1:20" ht="20.100000000000001" customHeight="1" x14ac:dyDescent="0.2">
      <c r="A16" s="296" t="s">
        <v>141</v>
      </c>
      <c r="B16" s="67" t="s">
        <v>795</v>
      </c>
      <c r="C16" s="233"/>
      <c r="D16" s="28"/>
      <c r="E16" s="247" t="e">
        <f>VLOOKUP(Table23628474876[[#This Row],[Data]],Table252[#Data],2,0)</f>
        <v>#N/A</v>
      </c>
      <c r="F16" s="100"/>
      <c r="G16" s="155"/>
      <c r="H16" s="244"/>
      <c r="I16" s="236"/>
      <c r="J16" s="279"/>
      <c r="L16" s="7"/>
      <c r="M16" s="7"/>
      <c r="N16" s="7"/>
      <c r="O16" s="7"/>
      <c r="P16" s="7"/>
      <c r="Q16" s="7"/>
      <c r="R16" s="7"/>
      <c r="S16" s="7"/>
      <c r="T16" s="7"/>
    </row>
    <row r="17" spans="1:20" ht="20.100000000000001" customHeight="1" x14ac:dyDescent="0.2">
      <c r="A17" s="298" t="s">
        <v>142</v>
      </c>
      <c r="B17" s="67" t="s">
        <v>796</v>
      </c>
      <c r="C17" s="233"/>
      <c r="D17" s="28"/>
      <c r="E17" s="247" t="e">
        <f>VLOOKUP(Table23628474876[[#This Row],[Data]],Table252[#Data],2,0)</f>
        <v>#N/A</v>
      </c>
      <c r="F17" s="100"/>
      <c r="G17" s="155"/>
      <c r="H17" s="244"/>
      <c r="I17" s="236"/>
      <c r="J17" s="279"/>
      <c r="L17" s="7"/>
      <c r="M17" s="7"/>
      <c r="N17" s="7"/>
      <c r="O17" s="7"/>
      <c r="P17" s="7"/>
      <c r="Q17" s="7"/>
      <c r="R17" s="7"/>
      <c r="S17" s="7"/>
      <c r="T17" s="7"/>
    </row>
    <row r="18" spans="1:20" ht="20.100000000000001" customHeight="1" x14ac:dyDescent="0.2">
      <c r="A18" s="298"/>
      <c r="B18" s="234"/>
      <c r="C18" s="233"/>
      <c r="D18" s="28"/>
      <c r="E18" s="247" t="e">
        <f>VLOOKUP(Table23628474876[[#This Row],[Data]],Table252[#Data],2,0)</f>
        <v>#N/A</v>
      </c>
      <c r="F18" s="100"/>
      <c r="G18" s="155"/>
      <c r="H18" s="244"/>
      <c r="I18" s="236"/>
      <c r="J18" s="279"/>
      <c r="L18" s="7"/>
      <c r="M18" s="7"/>
      <c r="N18" s="7"/>
      <c r="O18" s="7"/>
      <c r="P18" s="7"/>
      <c r="Q18" s="7"/>
      <c r="R18" s="7"/>
      <c r="S18" s="7"/>
      <c r="T18" s="7"/>
    </row>
    <row r="19" spans="1:20" ht="20.100000000000001" customHeight="1" x14ac:dyDescent="0.2">
      <c r="A19" s="298"/>
      <c r="B19" s="67" t="s">
        <v>797</v>
      </c>
      <c r="C19" s="233"/>
      <c r="D19" s="28"/>
      <c r="E19" s="247" t="e">
        <f>VLOOKUP(Table23628474876[[#This Row],[Data]],Table252[#Data],2,0)</f>
        <v>#N/A</v>
      </c>
      <c r="F19" s="100"/>
      <c r="G19" s="155"/>
      <c r="H19" s="244"/>
      <c r="I19" s="236"/>
      <c r="J19" s="279"/>
    </row>
    <row r="20" spans="1:20" ht="20.100000000000001" customHeight="1" x14ac:dyDescent="0.2">
      <c r="A20" s="296" t="s">
        <v>144</v>
      </c>
      <c r="B20" s="238" t="s">
        <v>790</v>
      </c>
      <c r="C20" s="293"/>
      <c r="D20" s="10" t="s">
        <v>101</v>
      </c>
      <c r="E20" s="292"/>
      <c r="F20" s="304"/>
      <c r="G20" s="155" t="s">
        <v>102</v>
      </c>
      <c r="H20" s="294" t="s">
        <v>791</v>
      </c>
      <c r="I20" s="228" t="s">
        <v>789</v>
      </c>
      <c r="J20" s="291" t="s">
        <v>787</v>
      </c>
    </row>
  </sheetData>
  <dataValidations count="6">
    <dataValidation type="list" allowBlank="1" showInputMessage="1" showErrorMessage="1" sqref="C10">
      <formula1>$L$17</formula1>
    </dataValidation>
    <dataValidation type="list" allowBlank="1" showInputMessage="1" showErrorMessage="1" sqref="G4:G5 G7:G20">
      <formula1>FieldRef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5">
      <formula1>$L$2:$L$3</formula1>
    </dataValidation>
    <dataValidation type="list" allowBlank="1" showInputMessage="1" showErrorMessage="1" sqref="D4:D20">
      <formula1>Field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H9" sqref="H9"/>
    </sheetView>
  </sheetViews>
  <sheetFormatPr defaultRowHeight="20.100000000000001" customHeight="1" x14ac:dyDescent="0.2"/>
  <cols>
    <col min="1" max="1" width="6" bestFit="1" customWidth="1"/>
    <col min="2" max="3" width="21.140625" bestFit="1" customWidth="1"/>
    <col min="5" max="5" width="5.7109375" bestFit="1" customWidth="1"/>
    <col min="6" max="6" width="21.42578125" bestFit="1" customWidth="1"/>
    <col min="7" max="7" width="13.7109375" customWidth="1"/>
    <col min="8" max="8" width="45.7109375" bestFit="1" customWidth="1"/>
    <col min="9" max="9" width="22.42578125" bestFit="1" customWidth="1"/>
    <col min="12" max="12" width="21.140625" bestFit="1" customWidth="1"/>
    <col min="13" max="13" width="9" customWidth="1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74" t="s">
        <v>786</v>
      </c>
      <c r="K2" s="275"/>
      <c r="L2" s="241" t="s">
        <v>730</v>
      </c>
      <c r="M2" s="2" t="s">
        <v>74</v>
      </c>
    </row>
    <row r="3" spans="1:13" ht="20.100000000000001" customHeight="1" x14ac:dyDescent="0.2">
      <c r="A3" s="297" t="s">
        <v>50</v>
      </c>
      <c r="B3" s="197" t="s">
        <v>730</v>
      </c>
      <c r="C3" s="194"/>
      <c r="D3" s="196"/>
      <c r="E3" s="246"/>
      <c r="F3" s="276"/>
      <c r="G3" s="179"/>
      <c r="H3" s="194"/>
      <c r="I3" s="194"/>
      <c r="J3" s="277" t="s">
        <v>788</v>
      </c>
      <c r="K3" s="233"/>
      <c r="L3" s="3" t="s">
        <v>737</v>
      </c>
      <c r="M3" s="2">
        <v>0</v>
      </c>
    </row>
    <row r="4" spans="1:13" ht="20.100000000000001" customHeight="1" x14ac:dyDescent="0.2">
      <c r="A4" s="295" t="s">
        <v>76</v>
      </c>
      <c r="B4" s="271" t="s">
        <v>784</v>
      </c>
      <c r="C4" s="267"/>
      <c r="D4" s="273" t="s">
        <v>101</v>
      </c>
      <c r="E4" s="268" t="e">
        <f>VLOOKUP(Table2362847487680[[#This Row],[Data]],Table252[#Data],2,0)</f>
        <v>#N/A</v>
      </c>
      <c r="F4" s="278" t="s">
        <v>785</v>
      </c>
      <c r="G4" s="214" t="s">
        <v>66</v>
      </c>
      <c r="H4" s="267"/>
      <c r="I4" s="267"/>
      <c r="J4" s="279" t="s">
        <v>787</v>
      </c>
      <c r="K4" s="233"/>
      <c r="L4" s="242" t="s">
        <v>675</v>
      </c>
      <c r="M4" s="2">
        <v>1</v>
      </c>
    </row>
    <row r="5" spans="1:13" ht="20.100000000000001" customHeight="1" x14ac:dyDescent="0.2">
      <c r="A5" s="297" t="s">
        <v>77</v>
      </c>
      <c r="B5" s="49" t="s">
        <v>730</v>
      </c>
      <c r="C5" s="243" t="s">
        <v>675</v>
      </c>
      <c r="D5" s="231" t="s">
        <v>100</v>
      </c>
      <c r="E5" s="281">
        <f>VLOOKUP(Table2362847487680[[#This Row],[Data]],Table64[],2,0)</f>
        <v>1</v>
      </c>
      <c r="F5" s="282" t="s">
        <v>736</v>
      </c>
      <c r="G5" s="155" t="s">
        <v>67</v>
      </c>
      <c r="H5" s="243"/>
      <c r="I5" s="284"/>
      <c r="J5" s="279" t="s">
        <v>787</v>
      </c>
      <c r="K5" s="233"/>
    </row>
    <row r="6" spans="1:13" ht="20.100000000000001" customHeight="1" x14ac:dyDescent="0.2">
      <c r="A6" s="295" t="s">
        <v>78</v>
      </c>
      <c r="B6" s="204" t="s">
        <v>675</v>
      </c>
      <c r="C6" s="194"/>
      <c r="D6" s="196"/>
      <c r="E6" s="246"/>
      <c r="F6" s="276"/>
      <c r="G6" s="179"/>
      <c r="H6" s="194"/>
      <c r="I6" s="194"/>
      <c r="J6" s="277" t="s">
        <v>788</v>
      </c>
      <c r="K6" s="233"/>
      <c r="L6" s="227" t="s">
        <v>728</v>
      </c>
      <c r="M6" t="s">
        <v>74</v>
      </c>
    </row>
    <row r="7" spans="1:13" ht="20.100000000000001" customHeight="1" x14ac:dyDescent="0.2">
      <c r="A7" s="297" t="s">
        <v>79</v>
      </c>
      <c r="B7" s="67" t="s">
        <v>728</v>
      </c>
      <c r="C7" s="280" t="s">
        <v>740</v>
      </c>
      <c r="D7" s="153" t="s">
        <v>98</v>
      </c>
      <c r="E7" s="281">
        <f>VLOOKUP(Table2362847487680[[#This Row],[Data]],Table6582[],2,0)</f>
        <v>1</v>
      </c>
      <c r="F7" s="283" t="s">
        <v>741</v>
      </c>
      <c r="G7" s="155" t="s">
        <v>66</v>
      </c>
      <c r="H7" s="280" t="s">
        <v>742</v>
      </c>
      <c r="I7" s="284" t="s">
        <v>743</v>
      </c>
      <c r="J7" s="279" t="s">
        <v>787</v>
      </c>
      <c r="K7" s="233"/>
      <c r="L7" s="7" t="s">
        <v>740</v>
      </c>
      <c r="M7">
        <v>1</v>
      </c>
    </row>
    <row r="8" spans="1:13" ht="20.100000000000001" customHeight="1" x14ac:dyDescent="0.2">
      <c r="A8" s="295" t="s">
        <v>80</v>
      </c>
      <c r="B8" s="67" t="s">
        <v>729</v>
      </c>
      <c r="C8" s="280" t="s">
        <v>783</v>
      </c>
      <c r="D8" s="153" t="s">
        <v>98</v>
      </c>
      <c r="E8" s="281">
        <f>VLOOKUP(Table2362847487680[[#This Row],[Data]],Table6984[],2,0)</f>
        <v>82</v>
      </c>
      <c r="F8" s="283" t="s">
        <v>747</v>
      </c>
      <c r="G8" s="155" t="s">
        <v>66</v>
      </c>
      <c r="H8" s="280" t="s">
        <v>744</v>
      </c>
      <c r="I8" s="284" t="s">
        <v>745</v>
      </c>
      <c r="J8" s="279" t="s">
        <v>787</v>
      </c>
      <c r="K8" s="233"/>
      <c r="L8" s="7"/>
    </row>
    <row r="9" spans="1:13" ht="20.100000000000001" customHeight="1" x14ac:dyDescent="0.2">
      <c r="A9" s="297" t="s">
        <v>81</v>
      </c>
      <c r="B9" s="67" t="s">
        <v>731</v>
      </c>
      <c r="C9" s="280"/>
      <c r="D9" s="206" t="s">
        <v>97</v>
      </c>
      <c r="E9" s="281"/>
      <c r="F9" s="283" t="s">
        <v>748</v>
      </c>
      <c r="G9" s="155" t="s">
        <v>66</v>
      </c>
      <c r="H9" s="285"/>
      <c r="I9" s="285"/>
      <c r="J9" s="279" t="s">
        <v>787</v>
      </c>
      <c r="K9" s="233"/>
      <c r="L9" s="67" t="s">
        <v>729</v>
      </c>
      <c r="M9" t="s">
        <v>74</v>
      </c>
    </row>
    <row r="10" spans="1:13" ht="20.100000000000001" customHeight="1" x14ac:dyDescent="0.2">
      <c r="A10" s="295" t="s">
        <v>82</v>
      </c>
      <c r="B10" s="67" t="s">
        <v>732</v>
      </c>
      <c r="C10" s="286" t="s">
        <v>765</v>
      </c>
      <c r="D10" s="153" t="s">
        <v>98</v>
      </c>
      <c r="E10" s="281">
        <f>VLOOKUP(Table2362847487680[[#This Row],[Data]],Table67[],2,0)</f>
        <v>214</v>
      </c>
      <c r="F10" s="283" t="s">
        <v>751</v>
      </c>
      <c r="G10" s="150" t="s">
        <v>66</v>
      </c>
      <c r="H10" s="280" t="s">
        <v>749</v>
      </c>
      <c r="I10" s="284" t="s">
        <v>750</v>
      </c>
      <c r="J10" s="279" t="s">
        <v>787</v>
      </c>
      <c r="K10" s="233"/>
      <c r="L10" s="7" t="s">
        <v>783</v>
      </c>
      <c r="M10" s="7">
        <v>82</v>
      </c>
    </row>
    <row r="11" spans="1:13" ht="20.100000000000001" customHeight="1" x14ac:dyDescent="0.2">
      <c r="A11" s="297" t="s">
        <v>83</v>
      </c>
      <c r="B11" s="237" t="s">
        <v>733</v>
      </c>
      <c r="C11" s="287" t="s">
        <v>756</v>
      </c>
      <c r="D11" s="37" t="s">
        <v>98</v>
      </c>
      <c r="E11" s="281">
        <f>VLOOKUP(Table2362847487680[[#This Row],[Data]],Table6675[],2,0)</f>
        <v>56</v>
      </c>
      <c r="F11" s="283" t="s">
        <v>757</v>
      </c>
      <c r="G11" s="150" t="s">
        <v>66</v>
      </c>
      <c r="H11" s="287" t="s">
        <v>758</v>
      </c>
      <c r="I11" s="284" t="s">
        <v>759</v>
      </c>
      <c r="J11" s="279" t="s">
        <v>787</v>
      </c>
      <c r="K11" s="233"/>
    </row>
    <row r="12" spans="1:13" ht="20.100000000000001" customHeight="1" x14ac:dyDescent="0.2">
      <c r="A12" s="295" t="s">
        <v>84</v>
      </c>
      <c r="B12" s="237" t="s">
        <v>734</v>
      </c>
      <c r="C12" s="281" t="str">
        <f>VLOOKUP(C11,Table6675[],3,0)</f>
        <v>001 : เมืองนครสวรรค์</v>
      </c>
      <c r="D12" s="37" t="s">
        <v>98</v>
      </c>
      <c r="E12" s="281">
        <f>VLOOKUP(C11,Table6675[],4,0)</f>
        <v>444</v>
      </c>
      <c r="F12" s="283" t="s">
        <v>761</v>
      </c>
      <c r="G12" s="150" t="s">
        <v>66</v>
      </c>
      <c r="H12" s="287" t="s">
        <v>762</v>
      </c>
      <c r="I12" s="284" t="s">
        <v>760</v>
      </c>
      <c r="J12" s="279" t="s">
        <v>787</v>
      </c>
      <c r="K12" s="233"/>
      <c r="L12" s="71" t="s">
        <v>732</v>
      </c>
      <c r="M12" t="s">
        <v>74</v>
      </c>
    </row>
    <row r="13" spans="1:13" ht="20.100000000000001" customHeight="1" x14ac:dyDescent="0.2">
      <c r="A13" s="297" t="s">
        <v>85</v>
      </c>
      <c r="B13" s="237" t="s">
        <v>735</v>
      </c>
      <c r="C13" s="281" t="str">
        <f>VLOOKUP(C11,Table6675[],7,0)</f>
        <v>001 : ปากน้ำโพ</v>
      </c>
      <c r="D13" s="37" t="s">
        <v>98</v>
      </c>
      <c r="E13" s="281">
        <f>VLOOKUP(C11,Table6675[],8,0)</f>
        <v>6425</v>
      </c>
      <c r="F13" s="283" t="s">
        <v>764</v>
      </c>
      <c r="G13" s="150" t="s">
        <v>66</v>
      </c>
      <c r="H13" s="287" t="s">
        <v>763</v>
      </c>
      <c r="I13" s="287"/>
      <c r="J13" s="279" t="s">
        <v>787</v>
      </c>
      <c r="K13" s="233"/>
      <c r="L13" s="7" t="s">
        <v>765</v>
      </c>
      <c r="M13" s="7">
        <v>214</v>
      </c>
    </row>
    <row r="14" spans="1:13" ht="20.100000000000001" customHeight="1" x14ac:dyDescent="0.2">
      <c r="A14" s="295" t="s">
        <v>86</v>
      </c>
      <c r="B14" s="237" t="s">
        <v>790</v>
      </c>
      <c r="C14" s="283"/>
      <c r="D14" s="28" t="s">
        <v>101</v>
      </c>
      <c r="E14" s="281"/>
      <c r="F14" s="303"/>
      <c r="G14" s="155" t="s">
        <v>102</v>
      </c>
      <c r="H14" s="287" t="s">
        <v>791</v>
      </c>
      <c r="I14" s="44" t="s">
        <v>789</v>
      </c>
      <c r="J14" s="279" t="s">
        <v>787</v>
      </c>
    </row>
  </sheetData>
  <dataValidations count="6">
    <dataValidation type="list" allowBlank="1" showInputMessage="1" showErrorMessage="1" sqref="D4:D14">
      <formula1>Field</formula1>
    </dataValidation>
    <dataValidation type="list" allowBlank="1" showInputMessage="1" showErrorMessage="1" sqref="G4:G5 G7:G14">
      <formula1>FieldRef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10">
      <formula1>$L$13</formula1>
    </dataValidation>
    <dataValidation type="list" allowBlank="1" showInputMessage="1" showErrorMessage="1" sqref="C8">
      <formula1>$L$10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D1" workbookViewId="0">
      <selection activeCell="A8" sqref="A8"/>
    </sheetView>
  </sheetViews>
  <sheetFormatPr defaultRowHeight="20.100000000000001" customHeight="1" x14ac:dyDescent="0.2"/>
  <cols>
    <col min="1" max="1" width="19.140625" bestFit="1" customWidth="1"/>
    <col min="2" max="2" width="8.5703125" customWidth="1"/>
    <col min="3" max="3" width="20.140625" bestFit="1" customWidth="1"/>
    <col min="4" max="4" width="9.5703125" bestFit="1" customWidth="1"/>
    <col min="5" max="5" width="18.28515625" bestFit="1" customWidth="1"/>
    <col min="6" max="6" width="71.140625" bestFit="1" customWidth="1"/>
    <col min="7" max="7" width="30.28515625" bestFit="1" customWidth="1"/>
    <col min="8" max="8" width="9.5703125" bestFit="1" customWidth="1"/>
    <col min="9" max="9" width="21.42578125" bestFit="1" customWidth="1"/>
  </cols>
  <sheetData>
    <row r="1" spans="1:9" ht="20.100000000000001" customHeight="1" x14ac:dyDescent="0.2">
      <c r="A1" s="240"/>
    </row>
    <row r="2" spans="1:9" ht="20.100000000000001" customHeight="1" x14ac:dyDescent="0.2">
      <c r="A2" s="235" t="s">
        <v>733</v>
      </c>
      <c r="B2" s="240" t="s">
        <v>48</v>
      </c>
      <c r="C2" s="103" t="s">
        <v>773</v>
      </c>
      <c r="D2" s="240" t="s">
        <v>388</v>
      </c>
      <c r="E2" s="240" t="s">
        <v>52</v>
      </c>
      <c r="F2" s="240" t="s">
        <v>380</v>
      </c>
      <c r="G2" s="103" t="s">
        <v>393</v>
      </c>
      <c r="H2" s="240" t="s">
        <v>391</v>
      </c>
      <c r="I2" s="240" t="s">
        <v>387</v>
      </c>
    </row>
    <row r="3" spans="1:9" ht="20.100000000000001" customHeight="1" x14ac:dyDescent="0.2">
      <c r="A3" s="7" t="s">
        <v>752</v>
      </c>
      <c r="B3" s="7">
        <v>8</v>
      </c>
      <c r="C3" s="7" t="s">
        <v>771</v>
      </c>
      <c r="D3" s="7">
        <v>640</v>
      </c>
      <c r="E3" s="7" t="s">
        <v>761</v>
      </c>
      <c r="F3" s="7" t="s">
        <v>760</v>
      </c>
      <c r="G3" s="7" t="s">
        <v>781</v>
      </c>
      <c r="H3" s="7">
        <v>1</v>
      </c>
      <c r="I3" s="7" t="s">
        <v>764</v>
      </c>
    </row>
    <row r="4" spans="1:9" ht="20.100000000000001" customHeight="1" x14ac:dyDescent="0.2">
      <c r="A4" s="7" t="s">
        <v>753</v>
      </c>
      <c r="B4" s="7">
        <v>10</v>
      </c>
      <c r="C4" s="7" t="s">
        <v>772</v>
      </c>
      <c r="D4" s="7">
        <v>652</v>
      </c>
      <c r="E4" s="7" t="s">
        <v>761</v>
      </c>
      <c r="F4" s="7" t="s">
        <v>760</v>
      </c>
      <c r="G4" s="7" t="s">
        <v>774</v>
      </c>
      <c r="H4" s="7">
        <v>90</v>
      </c>
      <c r="I4" s="7" t="s">
        <v>764</v>
      </c>
    </row>
    <row r="5" spans="1:9" ht="20.100000000000001" customHeight="1" x14ac:dyDescent="0.2">
      <c r="A5" s="7" t="s">
        <v>754</v>
      </c>
      <c r="B5" s="7">
        <v>20</v>
      </c>
      <c r="C5" s="7" t="s">
        <v>775</v>
      </c>
      <c r="D5" s="7">
        <v>569</v>
      </c>
      <c r="E5" s="7" t="s">
        <v>761</v>
      </c>
      <c r="F5" s="7" t="s">
        <v>760</v>
      </c>
      <c r="G5" s="7" t="s">
        <v>776</v>
      </c>
      <c r="H5" s="7">
        <v>1686</v>
      </c>
      <c r="I5" s="7" t="s">
        <v>764</v>
      </c>
    </row>
    <row r="6" spans="1:9" ht="20.100000000000001" customHeight="1" x14ac:dyDescent="0.2">
      <c r="A6" s="7" t="s">
        <v>755</v>
      </c>
      <c r="B6" s="7">
        <v>47</v>
      </c>
      <c r="C6" s="7" t="s">
        <v>777</v>
      </c>
      <c r="D6" s="7">
        <v>333</v>
      </c>
      <c r="E6" s="7" t="s">
        <v>761</v>
      </c>
      <c r="F6" s="7" t="s">
        <v>760</v>
      </c>
      <c r="G6" s="7" t="s">
        <v>778</v>
      </c>
      <c r="H6" s="7">
        <v>5527</v>
      </c>
      <c r="I6" s="7" t="s">
        <v>764</v>
      </c>
    </row>
    <row r="7" spans="1:9" ht="20.100000000000001" customHeight="1" x14ac:dyDescent="0.2">
      <c r="A7" s="7" t="s">
        <v>756</v>
      </c>
      <c r="B7" s="7">
        <v>56</v>
      </c>
      <c r="C7" s="7" t="s">
        <v>779</v>
      </c>
      <c r="D7" s="7">
        <v>444</v>
      </c>
      <c r="E7" s="7" t="s">
        <v>761</v>
      </c>
      <c r="F7" s="7" t="s">
        <v>760</v>
      </c>
      <c r="G7" s="7" t="s">
        <v>780</v>
      </c>
      <c r="H7" s="7">
        <v>6425</v>
      </c>
      <c r="I7" s="7" t="s">
        <v>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B20" sqref="B20"/>
    </sheetView>
  </sheetViews>
  <sheetFormatPr defaultColWidth="23" defaultRowHeight="20.100000000000001" customHeight="1" x14ac:dyDescent="0.2"/>
  <cols>
    <col min="1" max="1" width="6" style="16" bestFit="1" customWidth="1"/>
    <col min="2" max="2" width="23" style="16"/>
    <col min="3" max="3" width="38.28515625" style="16" bestFit="1" customWidth="1"/>
    <col min="4" max="4" width="23" style="16"/>
    <col min="5" max="5" width="17" style="16" hidden="1" customWidth="1"/>
    <col min="6" max="6" width="23" style="16" hidden="1" customWidth="1"/>
    <col min="7" max="7" width="15.42578125" style="17" hidden="1" customWidth="1"/>
    <col min="8" max="8" width="45.28515625" style="16" hidden="1" customWidth="1"/>
    <col min="9" max="9" width="0" style="16" hidden="1" customWidth="1"/>
    <col min="10" max="10" width="46.5703125" style="16" hidden="1" customWidth="1"/>
    <col min="11" max="11" width="9.85546875" style="16" hidden="1" customWidth="1"/>
    <col min="12" max="12" width="10.42578125" style="16" hidden="1" customWidth="1"/>
    <col min="13" max="13" width="28.140625" style="16" bestFit="1" customWidth="1"/>
    <col min="14" max="14" width="4.85546875" style="16" customWidth="1"/>
    <col min="15" max="16384" width="23" style="16"/>
  </cols>
  <sheetData>
    <row r="1" spans="1:11" ht="20.100000000000001" customHeight="1" x14ac:dyDescent="0.2">
      <c r="A1" s="15"/>
      <c r="B1" s="15"/>
      <c r="C1" s="15"/>
      <c r="D1" s="15"/>
      <c r="E1" s="15"/>
      <c r="F1" s="15"/>
      <c r="G1" s="15"/>
    </row>
    <row r="2" spans="1:11" ht="20.100000000000001" customHeight="1" x14ac:dyDescent="0.15">
      <c r="A2" s="31" t="s">
        <v>75</v>
      </c>
      <c r="B2" s="32" t="s">
        <v>46</v>
      </c>
      <c r="C2" s="32" t="s">
        <v>47</v>
      </c>
      <c r="D2" s="32" t="s">
        <v>49</v>
      </c>
      <c r="E2" s="32" t="s">
        <v>48</v>
      </c>
      <c r="F2" s="32" t="s">
        <v>52</v>
      </c>
      <c r="G2" s="33" t="s">
        <v>65</v>
      </c>
      <c r="H2" s="34" t="s">
        <v>62</v>
      </c>
      <c r="J2" s="11" t="s">
        <v>28</v>
      </c>
      <c r="K2" s="6"/>
    </row>
    <row r="3" spans="1:11" ht="20.100000000000001" customHeight="1" x14ac:dyDescent="0.2">
      <c r="A3" s="23" t="s">
        <v>50</v>
      </c>
      <c r="B3" s="117" t="s">
        <v>373</v>
      </c>
      <c r="C3" s="59"/>
      <c r="D3" s="59"/>
      <c r="E3" s="59"/>
      <c r="F3" s="59"/>
      <c r="G3" s="60"/>
      <c r="H3" s="61"/>
      <c r="J3" s="16" t="s">
        <v>87</v>
      </c>
      <c r="K3" s="18" t="s">
        <v>92</v>
      </c>
    </row>
    <row r="4" spans="1:11" ht="20.100000000000001" customHeight="1" x14ac:dyDescent="0.2">
      <c r="A4" s="23" t="s">
        <v>76</v>
      </c>
      <c r="B4" s="24" t="s">
        <v>51</v>
      </c>
      <c r="C4" s="25" t="s">
        <v>38</v>
      </c>
      <c r="D4" s="26" t="s">
        <v>98</v>
      </c>
      <c r="E4" s="27" t="str">
        <f>VLOOKUP(Table313[[#This Row],[Data]],tb_workflowcode14[],2,0)</f>
        <v>CSM</v>
      </c>
      <c r="F4" s="28" t="s">
        <v>28</v>
      </c>
      <c r="G4" s="26" t="s">
        <v>66</v>
      </c>
      <c r="H4" s="30" t="s">
        <v>71</v>
      </c>
      <c r="J4" s="16" t="s">
        <v>38</v>
      </c>
      <c r="K4" s="18" t="s">
        <v>39</v>
      </c>
    </row>
    <row r="5" spans="1:11" ht="20.100000000000001" customHeight="1" x14ac:dyDescent="0.2">
      <c r="A5" s="23" t="s">
        <v>77</v>
      </c>
      <c r="B5" s="28" t="s">
        <v>59</v>
      </c>
      <c r="C5" s="28" t="s">
        <v>60</v>
      </c>
      <c r="D5" s="26" t="s">
        <v>99</v>
      </c>
      <c r="E5" s="28"/>
      <c r="F5" s="35" t="s">
        <v>61</v>
      </c>
      <c r="G5" s="26" t="s">
        <v>67</v>
      </c>
      <c r="H5" s="30"/>
      <c r="J5" s="16" t="s">
        <v>88</v>
      </c>
      <c r="K5" s="18" t="s">
        <v>93</v>
      </c>
    </row>
    <row r="6" spans="1:11" ht="20.100000000000001" customHeight="1" x14ac:dyDescent="0.2">
      <c r="A6" s="23" t="s">
        <v>78</v>
      </c>
      <c r="B6" s="28" t="s">
        <v>53</v>
      </c>
      <c r="C6" s="28" t="s">
        <v>63</v>
      </c>
      <c r="D6" s="26" t="s">
        <v>100</v>
      </c>
      <c r="E6" s="27" t="str">
        <f>VLOOKUP(Table313[[#This Row],[Data]],Table24[#All],2,0)</f>
        <v>1</v>
      </c>
      <c r="F6" s="28" t="s">
        <v>29</v>
      </c>
      <c r="G6" s="26" t="s">
        <v>67</v>
      </c>
      <c r="H6" s="30"/>
      <c r="J6" s="16" t="s">
        <v>89</v>
      </c>
      <c r="K6" s="18" t="s">
        <v>94</v>
      </c>
    </row>
    <row r="7" spans="1:11" ht="20.100000000000001" customHeight="1" x14ac:dyDescent="0.2">
      <c r="A7" s="23" t="s">
        <v>79</v>
      </c>
      <c r="B7" s="28" t="s">
        <v>54</v>
      </c>
      <c r="C7" s="28" t="s">
        <v>40</v>
      </c>
      <c r="D7" s="26" t="s">
        <v>98</v>
      </c>
      <c r="E7" s="36" t="str">
        <f>VLOOKUP(Table313[[#This Row],[Data]],Table1115[#All],2,0)</f>
        <v>06</v>
      </c>
      <c r="F7" s="28" t="s">
        <v>30</v>
      </c>
      <c r="G7" s="26" t="s">
        <v>66</v>
      </c>
      <c r="H7" s="30" t="s">
        <v>72</v>
      </c>
      <c r="J7" s="16" t="s">
        <v>90</v>
      </c>
      <c r="K7" s="18" t="s">
        <v>95</v>
      </c>
    </row>
    <row r="8" spans="1:11" ht="20.100000000000001" customHeight="1" x14ac:dyDescent="0.2">
      <c r="A8" s="23" t="s">
        <v>80</v>
      </c>
      <c r="B8" s="28" t="s">
        <v>55</v>
      </c>
      <c r="C8" s="28" t="s">
        <v>64</v>
      </c>
      <c r="D8" s="26" t="s">
        <v>100</v>
      </c>
      <c r="E8" s="36" t="str">
        <f>VLOOKUP(Table313[[#This Row],[Data]],J16:K17,2,0)</f>
        <v>0</v>
      </c>
      <c r="F8" s="28" t="s">
        <v>31</v>
      </c>
      <c r="G8" s="26" t="s">
        <v>67</v>
      </c>
      <c r="H8" s="30"/>
      <c r="J8" s="16" t="s">
        <v>91</v>
      </c>
      <c r="K8" s="18" t="s">
        <v>96</v>
      </c>
    </row>
    <row r="9" spans="1:11" ht="20.100000000000001" customHeight="1" x14ac:dyDescent="0.2">
      <c r="A9" s="23" t="s">
        <v>81</v>
      </c>
      <c r="B9" s="28" t="s">
        <v>55</v>
      </c>
      <c r="C9" s="28" t="s">
        <v>68</v>
      </c>
      <c r="D9" s="26" t="s">
        <v>98</v>
      </c>
      <c r="E9" s="36" t="str">
        <f>VLOOKUP(Table313[[#This Row],[Data]],Table26[],2,0)</f>
        <v>FTH1</v>
      </c>
      <c r="F9" s="28" t="s">
        <v>69</v>
      </c>
      <c r="G9" s="29"/>
      <c r="H9" s="30" t="s">
        <v>73</v>
      </c>
      <c r="J9" s="16" t="s">
        <v>119</v>
      </c>
      <c r="K9" s="19" t="s">
        <v>120</v>
      </c>
    </row>
    <row r="10" spans="1:11" ht="20.100000000000001" customHeight="1" x14ac:dyDescent="0.2">
      <c r="A10" s="23" t="s">
        <v>82</v>
      </c>
      <c r="B10" s="118" t="s">
        <v>408</v>
      </c>
      <c r="C10" s="64"/>
      <c r="D10" s="64"/>
      <c r="E10" s="64"/>
      <c r="F10" s="64"/>
      <c r="G10" s="65"/>
      <c r="H10" s="66"/>
    </row>
    <row r="11" spans="1:11" ht="20.100000000000001" customHeight="1" x14ac:dyDescent="0.2">
      <c r="A11" s="23" t="s">
        <v>83</v>
      </c>
      <c r="B11" s="28" t="s">
        <v>56</v>
      </c>
      <c r="C11" s="28" t="s">
        <v>43</v>
      </c>
      <c r="D11" s="26" t="s">
        <v>97</v>
      </c>
      <c r="E11" s="28"/>
      <c r="F11" s="28" t="s">
        <v>32</v>
      </c>
      <c r="G11" s="29"/>
      <c r="H11" s="30"/>
      <c r="J11" s="11" t="s">
        <v>53</v>
      </c>
    </row>
    <row r="12" spans="1:11" ht="20.100000000000001" customHeight="1" x14ac:dyDescent="0.2">
      <c r="A12" s="23" t="s">
        <v>84</v>
      </c>
      <c r="B12" s="28" t="s">
        <v>57</v>
      </c>
      <c r="C12" s="28" t="s">
        <v>44</v>
      </c>
      <c r="D12" s="26" t="s">
        <v>97</v>
      </c>
      <c r="E12" s="28"/>
      <c r="F12" s="28" t="s">
        <v>33</v>
      </c>
      <c r="G12" s="29"/>
      <c r="H12" s="30"/>
      <c r="J12" s="5" t="s">
        <v>145</v>
      </c>
      <c r="K12" s="16" t="s">
        <v>42</v>
      </c>
    </row>
    <row r="13" spans="1:11" ht="20.100000000000001" customHeight="1" x14ac:dyDescent="0.2">
      <c r="A13" s="23" t="s">
        <v>85</v>
      </c>
      <c r="B13" s="28" t="s">
        <v>58</v>
      </c>
      <c r="C13" s="28" t="s">
        <v>45</v>
      </c>
      <c r="D13" s="26" t="s">
        <v>97</v>
      </c>
      <c r="E13" s="28"/>
      <c r="F13" s="28" t="s">
        <v>34</v>
      </c>
      <c r="G13" s="29"/>
      <c r="H13" s="30"/>
      <c r="J13" s="5" t="s">
        <v>63</v>
      </c>
      <c r="K13" s="16" t="s">
        <v>50</v>
      </c>
    </row>
    <row r="14" spans="1:11" ht="20.100000000000001" customHeight="1" x14ac:dyDescent="0.2">
      <c r="A14" s="23" t="s">
        <v>86</v>
      </c>
      <c r="B14" s="117" t="s">
        <v>374</v>
      </c>
      <c r="C14" s="59"/>
      <c r="D14" s="59"/>
      <c r="E14" s="59"/>
      <c r="F14" s="59"/>
      <c r="G14" s="60"/>
      <c r="H14" s="61"/>
    </row>
    <row r="15" spans="1:11" ht="20.100000000000001" customHeight="1" x14ac:dyDescent="0.2">
      <c r="A15" s="23" t="s">
        <v>140</v>
      </c>
      <c r="B15" s="28" t="s">
        <v>56</v>
      </c>
      <c r="C15" s="28" t="s">
        <v>43</v>
      </c>
      <c r="D15" s="26" t="s">
        <v>97</v>
      </c>
      <c r="E15" s="28"/>
      <c r="F15" s="28" t="s">
        <v>35</v>
      </c>
      <c r="G15" s="29"/>
      <c r="H15" s="30"/>
      <c r="J15" s="11" t="s">
        <v>55</v>
      </c>
      <c r="K15" s="16" t="s">
        <v>74</v>
      </c>
    </row>
    <row r="16" spans="1:11" ht="20.100000000000001" customHeight="1" x14ac:dyDescent="0.2">
      <c r="A16" s="23" t="s">
        <v>141</v>
      </c>
      <c r="B16" s="28" t="s">
        <v>57</v>
      </c>
      <c r="C16" s="28" t="s">
        <v>44</v>
      </c>
      <c r="D16" s="26" t="s">
        <v>97</v>
      </c>
      <c r="E16" s="28"/>
      <c r="F16" s="28" t="s">
        <v>36</v>
      </c>
      <c r="G16" s="29"/>
      <c r="H16" s="30"/>
      <c r="J16" s="5" t="s">
        <v>64</v>
      </c>
      <c r="K16" s="16" t="s">
        <v>42</v>
      </c>
    </row>
    <row r="17" spans="1:11" ht="20.100000000000001" customHeight="1" x14ac:dyDescent="0.2">
      <c r="A17" s="23" t="s">
        <v>142</v>
      </c>
      <c r="B17" s="37" t="s">
        <v>58</v>
      </c>
      <c r="C17" s="37" t="s">
        <v>45</v>
      </c>
      <c r="D17" s="26" t="s">
        <v>97</v>
      </c>
      <c r="E17" s="37"/>
      <c r="F17" s="37" t="s">
        <v>37</v>
      </c>
      <c r="G17" s="38"/>
      <c r="H17" s="39"/>
      <c r="J17" s="5" t="s">
        <v>146</v>
      </c>
      <c r="K17" s="16" t="s">
        <v>50</v>
      </c>
    </row>
    <row r="18" spans="1:11" ht="20.100000000000001" customHeight="1" x14ac:dyDescent="0.2">
      <c r="A18" s="23" t="s">
        <v>144</v>
      </c>
      <c r="B18" s="59"/>
      <c r="C18" s="59"/>
      <c r="D18" s="59"/>
      <c r="E18" s="59"/>
      <c r="F18" s="59"/>
      <c r="G18" s="60"/>
      <c r="H18" s="61"/>
    </row>
    <row r="19" spans="1:11" ht="20.100000000000001" customHeight="1" x14ac:dyDescent="0.2">
      <c r="J19" s="10" t="s">
        <v>147</v>
      </c>
      <c r="K19" s="16" t="s">
        <v>74</v>
      </c>
    </row>
    <row r="20" spans="1:11" ht="20.100000000000001" customHeight="1" x14ac:dyDescent="0.2">
      <c r="J20" s="16" t="s">
        <v>68</v>
      </c>
      <c r="K20" s="7" t="s">
        <v>70</v>
      </c>
    </row>
    <row r="22" spans="1:11" ht="20.100000000000001" customHeight="1" x14ac:dyDescent="0.15">
      <c r="J22" s="10" t="s">
        <v>54</v>
      </c>
      <c r="K22" s="6"/>
    </row>
    <row r="23" spans="1:11" ht="20.100000000000001" customHeight="1" x14ac:dyDescent="0.2">
      <c r="J23" s="20" t="s">
        <v>107</v>
      </c>
      <c r="K23" s="21" t="s">
        <v>113</v>
      </c>
    </row>
    <row r="24" spans="1:11" ht="20.100000000000001" customHeight="1" x14ac:dyDescent="0.2">
      <c r="J24" s="20" t="s">
        <v>108</v>
      </c>
      <c r="K24" s="21" t="s">
        <v>114</v>
      </c>
    </row>
    <row r="25" spans="1:11" ht="20.100000000000001" customHeight="1" x14ac:dyDescent="0.2">
      <c r="J25" s="20" t="s">
        <v>109</v>
      </c>
      <c r="K25" s="21" t="s">
        <v>115</v>
      </c>
    </row>
    <row r="26" spans="1:11" ht="20.100000000000001" customHeight="1" x14ac:dyDescent="0.2">
      <c r="J26" s="20" t="s">
        <v>110</v>
      </c>
      <c r="K26" s="21" t="s">
        <v>116</v>
      </c>
    </row>
    <row r="27" spans="1:11" ht="20.100000000000001" customHeight="1" x14ac:dyDescent="0.2">
      <c r="J27" s="20" t="s">
        <v>111</v>
      </c>
      <c r="K27" s="21" t="s">
        <v>117</v>
      </c>
    </row>
    <row r="28" spans="1:11" ht="20.100000000000001" customHeight="1" x14ac:dyDescent="0.2">
      <c r="J28" s="20" t="s">
        <v>40</v>
      </c>
      <c r="K28" s="21" t="s">
        <v>41</v>
      </c>
    </row>
    <row r="29" spans="1:11" ht="20.100000000000001" customHeight="1" x14ac:dyDescent="0.2">
      <c r="J29" s="20" t="s">
        <v>112</v>
      </c>
      <c r="K29" s="21" t="s">
        <v>118</v>
      </c>
    </row>
    <row r="32" spans="1:11" ht="20.100000000000001" customHeight="1" x14ac:dyDescent="0.2">
      <c r="C32" s="22"/>
    </row>
  </sheetData>
  <dataValidations count="8">
    <dataValidation type="list" allowBlank="1" showInputMessage="1" showErrorMessage="1" sqref="C4">
      <formula1>$J$3:$J$9</formula1>
    </dataValidation>
    <dataValidation type="list" allowBlank="1" showInputMessage="1" showErrorMessage="1" sqref="B32">
      <formula1>ccc</formula1>
    </dataValidation>
    <dataValidation type="list" allowBlank="1" showInputMessage="1" showErrorMessage="1" sqref="G4:G8">
      <formula1>FieldRef</formula1>
    </dataValidation>
    <dataValidation type="list" allowBlank="1" showInputMessage="1" showErrorMessage="1" sqref="C6">
      <formula1>$J$12:$J$13</formula1>
    </dataValidation>
    <dataValidation type="list" allowBlank="1" showInputMessage="1" showErrorMessage="1" sqref="C8">
      <formula1>$J$16:$J$17</formula1>
    </dataValidation>
    <dataValidation type="list" allowBlank="1" showInputMessage="1" showErrorMessage="1" sqref="C7">
      <formula1>$J$23:$J$29</formula1>
    </dataValidation>
    <dataValidation type="list" allowBlank="1" showInputMessage="1" showErrorMessage="1" sqref="C9">
      <formula1>$J$20</formula1>
    </dataValidation>
    <dataValidation type="list" allowBlank="1" showInputMessage="1" showErrorMessage="1" sqref="D3:D18">
      <formula1>Field</formula1>
    </dataValidation>
  </dataValidation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zoomScaleNormal="100" workbookViewId="0">
      <selection activeCell="F12" sqref="F12"/>
    </sheetView>
  </sheetViews>
  <sheetFormatPr defaultRowHeight="20.100000000000001" customHeight="1" x14ac:dyDescent="0.2"/>
  <cols>
    <col min="1" max="1" width="6" style="157" bestFit="1" customWidth="1"/>
    <col min="2" max="2" width="23" style="157" customWidth="1"/>
    <col min="3" max="3" width="23" style="157" bestFit="1" customWidth="1"/>
    <col min="4" max="5" width="9.140625" style="157"/>
    <col min="6" max="6" width="17.28515625" style="157" bestFit="1" customWidth="1"/>
    <col min="7" max="7" width="15.85546875" style="157" customWidth="1"/>
    <col min="8" max="8" width="21" style="157" customWidth="1"/>
    <col min="9" max="9" width="10" style="157" customWidth="1"/>
    <col min="10" max="10" width="9.140625" style="157"/>
    <col min="11" max="11" width="24.140625" style="157" customWidth="1"/>
    <col min="12" max="12" width="10.42578125" style="157" customWidth="1"/>
    <col min="13" max="16384" width="9.140625" style="157"/>
  </cols>
  <sheetData>
    <row r="2" spans="1:12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K2" s="222" t="s">
        <v>684</v>
      </c>
      <c r="L2" s="157" t="s">
        <v>74</v>
      </c>
    </row>
    <row r="3" spans="1:12" ht="20.100000000000001" customHeight="1" x14ac:dyDescent="0.2">
      <c r="A3" s="154" t="s">
        <v>50</v>
      </c>
      <c r="B3" s="218" t="s">
        <v>683</v>
      </c>
      <c r="C3" s="157" t="s">
        <v>681</v>
      </c>
      <c r="D3" s="153" t="s">
        <v>100</v>
      </c>
      <c r="E3" s="167" t="str">
        <f>VLOOKUP(Table2350[[#This Row],[Data]],Table151[],2,0)</f>
        <v>0</v>
      </c>
      <c r="F3" s="217" t="s">
        <v>682</v>
      </c>
      <c r="G3" s="155" t="s">
        <v>67</v>
      </c>
      <c r="K3" s="224" t="s">
        <v>681</v>
      </c>
      <c r="L3" s="154" t="s">
        <v>42</v>
      </c>
    </row>
    <row r="4" spans="1:12" ht="20.100000000000001" customHeight="1" x14ac:dyDescent="0.2">
      <c r="A4" s="154" t="s">
        <v>76</v>
      </c>
      <c r="B4" s="225" t="s">
        <v>148</v>
      </c>
      <c r="C4" s="154" t="s">
        <v>676</v>
      </c>
      <c r="D4" s="153" t="s">
        <v>100</v>
      </c>
      <c r="E4" s="167" t="str">
        <f>VLOOKUP(Table2350[[#This Row],[Data]],Table252[],2,0)</f>
        <v>0</v>
      </c>
      <c r="F4" s="217" t="s">
        <v>680</v>
      </c>
      <c r="G4" s="155" t="s">
        <v>67</v>
      </c>
      <c r="K4" s="224" t="s">
        <v>679</v>
      </c>
      <c r="L4" s="154" t="s">
        <v>50</v>
      </c>
    </row>
    <row r="5" spans="1:12" ht="20.100000000000001" customHeight="1" x14ac:dyDescent="0.2">
      <c r="A5" s="154" t="s">
        <v>77</v>
      </c>
      <c r="B5" s="218" t="s">
        <v>674</v>
      </c>
      <c r="C5" s="219" t="s">
        <v>673</v>
      </c>
      <c r="D5" s="153" t="s">
        <v>100</v>
      </c>
      <c r="E5" s="159" t="str">
        <f>VLOOKUP(Table2350[[#This Row],[Data]],Table353[],2,0)</f>
        <v>0</v>
      </c>
      <c r="F5" s="217" t="s">
        <v>678</v>
      </c>
      <c r="G5" s="155" t="s">
        <v>67</v>
      </c>
    </row>
    <row r="6" spans="1:12" ht="20.100000000000001" customHeight="1" x14ac:dyDescent="0.2">
      <c r="A6" s="154" t="s">
        <v>78</v>
      </c>
      <c r="B6" s="222" t="s">
        <v>671</v>
      </c>
      <c r="C6" s="219" t="s">
        <v>658</v>
      </c>
      <c r="D6" s="153" t="s">
        <v>100</v>
      </c>
      <c r="E6" s="159" t="str">
        <f>VLOOKUP(Table2350[[#This Row],[Data]],Table454[],2,0)</f>
        <v>8</v>
      </c>
      <c r="F6" s="217" t="s">
        <v>677</v>
      </c>
      <c r="G6" s="155" t="s">
        <v>67</v>
      </c>
      <c r="K6" s="223" t="s">
        <v>148</v>
      </c>
      <c r="L6" s="157" t="s">
        <v>74</v>
      </c>
    </row>
    <row r="7" spans="1:12" ht="20.100000000000001" customHeight="1" x14ac:dyDescent="0.2">
      <c r="A7" s="154" t="s">
        <v>79</v>
      </c>
      <c r="B7" s="221"/>
      <c r="D7" s="153"/>
      <c r="E7" s="159"/>
      <c r="F7" s="158"/>
      <c r="G7" s="155"/>
      <c r="K7" s="219" t="s">
        <v>676</v>
      </c>
      <c r="L7" s="154" t="s">
        <v>42</v>
      </c>
    </row>
    <row r="8" spans="1:12" ht="20.100000000000001" customHeight="1" x14ac:dyDescent="0.2">
      <c r="A8" s="154" t="s">
        <v>80</v>
      </c>
      <c r="B8" s="221"/>
      <c r="D8" s="153"/>
      <c r="E8" s="159"/>
      <c r="F8" s="158"/>
      <c r="G8" s="155"/>
      <c r="K8" s="219" t="s">
        <v>675</v>
      </c>
      <c r="L8" s="154" t="s">
        <v>50</v>
      </c>
    </row>
    <row r="9" spans="1:12" ht="20.100000000000001" customHeight="1" x14ac:dyDescent="0.2">
      <c r="A9" s="154" t="s">
        <v>81</v>
      </c>
      <c r="B9" s="221"/>
      <c r="D9" s="153"/>
      <c r="E9" s="159"/>
      <c r="F9" s="158"/>
      <c r="G9" s="155"/>
    </row>
    <row r="10" spans="1:12" ht="20.100000000000001" customHeight="1" x14ac:dyDescent="0.2">
      <c r="A10" s="154" t="s">
        <v>82</v>
      </c>
      <c r="B10" s="221"/>
      <c r="D10" s="153"/>
      <c r="E10" s="159"/>
      <c r="F10" s="158"/>
      <c r="G10" s="155"/>
      <c r="K10" s="222" t="s">
        <v>674</v>
      </c>
      <c r="L10" s="157" t="s">
        <v>74</v>
      </c>
    </row>
    <row r="11" spans="1:12" ht="20.100000000000001" customHeight="1" x14ac:dyDescent="0.2">
      <c r="A11" s="154" t="s">
        <v>83</v>
      </c>
      <c r="B11" s="221"/>
      <c r="D11" s="153"/>
      <c r="E11" s="159"/>
      <c r="F11" s="158"/>
      <c r="G11" s="155"/>
      <c r="K11" s="219" t="s">
        <v>673</v>
      </c>
      <c r="L11" s="154" t="s">
        <v>42</v>
      </c>
    </row>
    <row r="12" spans="1:12" ht="20.100000000000001" customHeight="1" x14ac:dyDescent="0.2">
      <c r="A12" s="154" t="s">
        <v>84</v>
      </c>
      <c r="B12" s="221"/>
      <c r="D12" s="153"/>
      <c r="E12" s="159"/>
      <c r="F12" s="158"/>
      <c r="G12" s="155"/>
      <c r="K12" s="219" t="s">
        <v>672</v>
      </c>
      <c r="L12" s="154" t="s">
        <v>50</v>
      </c>
    </row>
    <row r="13" spans="1:12" ht="20.100000000000001" customHeight="1" x14ac:dyDescent="0.2">
      <c r="A13" s="154" t="s">
        <v>85</v>
      </c>
      <c r="B13" s="221"/>
      <c r="D13" s="153"/>
      <c r="E13" s="159"/>
      <c r="F13" s="158"/>
      <c r="G13" s="155"/>
    </row>
    <row r="14" spans="1:12" ht="20.100000000000001" customHeight="1" x14ac:dyDescent="0.2">
      <c r="A14" s="154" t="s">
        <v>86</v>
      </c>
      <c r="B14" s="221"/>
      <c r="D14" s="153"/>
      <c r="E14" s="159"/>
      <c r="F14" s="158"/>
      <c r="G14" s="155"/>
      <c r="K14" s="157" t="s">
        <v>671</v>
      </c>
      <c r="L14" s="157" t="s">
        <v>74</v>
      </c>
    </row>
    <row r="15" spans="1:12" ht="20.100000000000001" customHeight="1" x14ac:dyDescent="0.2">
      <c r="A15" s="154" t="s">
        <v>140</v>
      </c>
      <c r="B15" s="221"/>
      <c r="D15" s="153"/>
      <c r="E15" s="159"/>
      <c r="F15" s="158"/>
      <c r="G15" s="155"/>
      <c r="K15" s="219" t="s">
        <v>670</v>
      </c>
      <c r="L15" s="154" t="s">
        <v>42</v>
      </c>
    </row>
    <row r="16" spans="1:12" ht="20.100000000000001" customHeight="1" x14ac:dyDescent="0.2">
      <c r="B16" s="221"/>
      <c r="D16" s="153"/>
      <c r="E16" s="159"/>
      <c r="F16" s="158"/>
      <c r="G16" s="155"/>
      <c r="K16" s="220" t="s">
        <v>669</v>
      </c>
      <c r="L16" s="154" t="s">
        <v>50</v>
      </c>
    </row>
    <row r="17" spans="1:12" ht="20.100000000000001" customHeight="1" x14ac:dyDescent="0.2">
      <c r="A17" s="154" t="s">
        <v>142</v>
      </c>
      <c r="B17" s="219" t="s">
        <v>658</v>
      </c>
      <c r="C17" s="164" t="s">
        <v>668</v>
      </c>
      <c r="D17" s="153" t="s">
        <v>97</v>
      </c>
      <c r="E17" s="159"/>
      <c r="F17" s="217" t="s">
        <v>667</v>
      </c>
      <c r="G17" s="155" t="s">
        <v>66</v>
      </c>
      <c r="K17" s="219" t="s">
        <v>666</v>
      </c>
      <c r="L17" s="154" t="s">
        <v>76</v>
      </c>
    </row>
    <row r="18" spans="1:12" ht="20.100000000000001" customHeight="1" x14ac:dyDescent="0.2">
      <c r="A18" s="154" t="s">
        <v>144</v>
      </c>
      <c r="B18" s="218" t="s">
        <v>657</v>
      </c>
      <c r="C18" s="154" t="s">
        <v>656</v>
      </c>
      <c r="D18" s="153" t="s">
        <v>98</v>
      </c>
      <c r="E18" s="159" t="str">
        <f>VLOOKUP(Table2350[[#This Row],[Data]],Table655[],2,0)</f>
        <v>B</v>
      </c>
      <c r="F18" s="217" t="s">
        <v>665</v>
      </c>
      <c r="G18" s="155" t="s">
        <v>66</v>
      </c>
      <c r="H18" s="154" t="s">
        <v>72</v>
      </c>
      <c r="K18" s="219" t="s">
        <v>664</v>
      </c>
      <c r="L18" s="154" t="s">
        <v>77</v>
      </c>
    </row>
    <row r="19" spans="1:12" ht="20.100000000000001" customHeight="1" x14ac:dyDescent="0.2">
      <c r="A19" s="154" t="s">
        <v>205</v>
      </c>
      <c r="B19" s="216" t="s">
        <v>652</v>
      </c>
      <c r="C19" s="188" t="s">
        <v>651</v>
      </c>
      <c r="D19" s="153" t="s">
        <v>100</v>
      </c>
      <c r="E19" s="159" t="str">
        <f>VLOOKUP(Table2350[[#This Row],[Data]],Table1156[],2,0)</f>
        <v>0</v>
      </c>
      <c r="F19" s="188" t="s">
        <v>663</v>
      </c>
      <c r="G19" s="155" t="s">
        <v>67</v>
      </c>
      <c r="K19" s="219" t="s">
        <v>662</v>
      </c>
      <c r="L19" s="154" t="s">
        <v>78</v>
      </c>
    </row>
    <row r="20" spans="1:12" ht="20.100000000000001" customHeight="1" x14ac:dyDescent="0.2">
      <c r="K20" s="219" t="s">
        <v>661</v>
      </c>
      <c r="L20" s="154" t="s">
        <v>79</v>
      </c>
    </row>
    <row r="21" spans="1:12" ht="20.100000000000001" customHeight="1" x14ac:dyDescent="0.2">
      <c r="K21" s="219" t="s">
        <v>660</v>
      </c>
      <c r="L21" s="154" t="s">
        <v>80</v>
      </c>
    </row>
    <row r="22" spans="1:12" ht="20.100000000000001" customHeight="1" x14ac:dyDescent="0.2">
      <c r="K22" s="219" t="s">
        <v>659</v>
      </c>
      <c r="L22" s="154" t="s">
        <v>81</v>
      </c>
    </row>
    <row r="23" spans="1:12" ht="20.100000000000001" customHeight="1" x14ac:dyDescent="0.2">
      <c r="K23" s="219" t="s">
        <v>658</v>
      </c>
      <c r="L23" s="154" t="s">
        <v>82</v>
      </c>
    </row>
    <row r="25" spans="1:12" ht="20.100000000000001" customHeight="1" x14ac:dyDescent="0.2">
      <c r="K25" s="218" t="s">
        <v>657</v>
      </c>
      <c r="L25" s="157" t="s">
        <v>74</v>
      </c>
    </row>
    <row r="26" spans="1:12" ht="20.100000000000001" customHeight="1" x14ac:dyDescent="0.2">
      <c r="K26" s="198" t="s">
        <v>656</v>
      </c>
      <c r="L26" s="217" t="s">
        <v>655</v>
      </c>
    </row>
    <row r="27" spans="1:12" ht="20.100000000000001" customHeight="1" x14ac:dyDescent="0.2">
      <c r="K27" s="217" t="s">
        <v>654</v>
      </c>
      <c r="L27" s="217" t="s">
        <v>653</v>
      </c>
    </row>
    <row r="29" spans="1:12" ht="20.100000000000001" customHeight="1" x14ac:dyDescent="0.2">
      <c r="K29" s="216" t="s">
        <v>652</v>
      </c>
      <c r="L29" s="157" t="s">
        <v>74</v>
      </c>
    </row>
    <row r="30" spans="1:12" ht="20.100000000000001" customHeight="1" x14ac:dyDescent="0.2">
      <c r="K30" s="215" t="s">
        <v>651</v>
      </c>
      <c r="L30" s="154" t="s">
        <v>42</v>
      </c>
    </row>
  </sheetData>
  <dataValidations count="8">
    <dataValidation type="list" allowBlank="1" showInputMessage="1" showErrorMessage="1" sqref="C19">
      <formula1>$K$30</formula1>
    </dataValidation>
    <dataValidation type="list" allowBlank="1" showInputMessage="1" showErrorMessage="1" sqref="C6">
      <formula1>$K$15:$K$23</formula1>
    </dataValidation>
    <dataValidation type="list" allowBlank="1" showInputMessage="1" showErrorMessage="1" sqref="G3:G15 G17:G19">
      <formula1>FieldRef</formula1>
    </dataValidation>
    <dataValidation type="list" allowBlank="1" showInputMessage="1" showErrorMessage="1" sqref="C18">
      <formula1>$K$26:$K$27</formula1>
    </dataValidation>
    <dataValidation type="list" allowBlank="1" showInputMessage="1" showErrorMessage="1" sqref="C5">
      <formula1>$K$11:$K$12</formula1>
    </dataValidation>
    <dataValidation type="list" allowBlank="1" showInputMessage="1" showErrorMessage="1" sqref="C4">
      <formula1>$K$7:$K$8</formula1>
    </dataValidation>
    <dataValidation type="list" allowBlank="1" showInputMessage="1" showErrorMessage="1" sqref="D3:D15 D17:D19">
      <formula1>Field</formula1>
    </dataValidation>
    <dataValidation type="list" allowBlank="1" showInputMessage="1" showErrorMessage="1" sqref="C3">
      <formula1>$K$3:$K$4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zoomScaleNormal="100" workbookViewId="0">
      <selection activeCell="E1" sqref="E1:O1048576"/>
    </sheetView>
  </sheetViews>
  <sheetFormatPr defaultColWidth="23" defaultRowHeight="20.100000000000001" customHeight="1" x14ac:dyDescent="0.2"/>
  <cols>
    <col min="1" max="1" width="6" style="16" bestFit="1" customWidth="1"/>
    <col min="2" max="2" width="23" style="16"/>
    <col min="3" max="3" width="38.28515625" style="16" bestFit="1" customWidth="1"/>
    <col min="4" max="4" width="23" style="16" customWidth="1"/>
    <col min="5" max="5" width="8.140625" style="16" hidden="1" customWidth="1"/>
    <col min="6" max="6" width="23" style="16" hidden="1" customWidth="1"/>
    <col min="7" max="7" width="15.42578125" style="17" hidden="1" customWidth="1"/>
    <col min="8" max="8" width="50" style="16" hidden="1" customWidth="1"/>
    <col min="9" max="9" width="15.140625" style="16" hidden="1" customWidth="1"/>
    <col min="10" max="10" width="46.5703125" style="16" hidden="1" customWidth="1"/>
    <col min="11" max="11" width="49.42578125" style="16" hidden="1" customWidth="1"/>
    <col min="12" max="12" width="10.140625" style="16" hidden="1" customWidth="1"/>
    <col min="13" max="13" width="10.42578125" style="16" hidden="1" customWidth="1"/>
    <col min="14" max="14" width="34.5703125" style="16" hidden="1" customWidth="1"/>
    <col min="15" max="15" width="2" style="16" hidden="1" customWidth="1"/>
    <col min="16" max="16" width="8.42578125" style="16" customWidth="1"/>
    <col min="17" max="17" width="28.140625" style="16" customWidth="1"/>
    <col min="18" max="18" width="3" style="16" customWidth="1"/>
    <col min="19" max="24" width="23" style="16" customWidth="1"/>
    <col min="25" max="16384" width="23" style="16"/>
  </cols>
  <sheetData>
    <row r="1" spans="1:14" ht="20.100000000000001" customHeight="1" x14ac:dyDescent="0.2">
      <c r="A1" s="15"/>
      <c r="B1" s="15"/>
      <c r="C1" s="15"/>
      <c r="D1" s="15"/>
      <c r="E1" s="15"/>
      <c r="F1" s="15"/>
      <c r="G1" s="15"/>
    </row>
    <row r="2" spans="1:14" ht="20.100000000000001" customHeight="1" x14ac:dyDescent="0.15">
      <c r="A2" s="31" t="s">
        <v>75</v>
      </c>
      <c r="B2" s="32" t="s">
        <v>46</v>
      </c>
      <c r="C2" s="32" t="s">
        <v>47</v>
      </c>
      <c r="D2" s="32" t="s">
        <v>49</v>
      </c>
      <c r="E2" s="32" t="s">
        <v>48</v>
      </c>
      <c r="F2" s="32" t="s">
        <v>52</v>
      </c>
      <c r="G2" s="33" t="s">
        <v>65</v>
      </c>
      <c r="H2" s="34" t="s">
        <v>262</v>
      </c>
      <c r="I2" s="43" t="s">
        <v>123</v>
      </c>
      <c r="K2" s="9" t="s">
        <v>51</v>
      </c>
      <c r="L2" s="6"/>
      <c r="M2" s="6"/>
    </row>
    <row r="3" spans="1:14" ht="20.100000000000001" customHeight="1" x14ac:dyDescent="0.2">
      <c r="A3" s="23" t="s">
        <v>50</v>
      </c>
      <c r="B3" s="117" t="s">
        <v>373</v>
      </c>
      <c r="C3" s="59"/>
      <c r="D3" s="59"/>
      <c r="E3" s="60"/>
      <c r="F3" s="61"/>
      <c r="G3" s="62"/>
      <c r="H3" s="63"/>
      <c r="I3" s="63"/>
      <c r="K3" s="16" t="s">
        <v>87</v>
      </c>
      <c r="L3" s="18" t="s">
        <v>92</v>
      </c>
      <c r="M3" s="18"/>
    </row>
    <row r="4" spans="1:14" ht="20.100000000000001" customHeight="1" x14ac:dyDescent="0.2">
      <c r="A4" s="23" t="s">
        <v>76</v>
      </c>
      <c r="B4" s="24" t="s">
        <v>51</v>
      </c>
      <c r="C4" s="25" t="s">
        <v>87</v>
      </c>
      <c r="D4" s="26" t="s">
        <v>98</v>
      </c>
      <c r="E4" s="51" t="str">
        <f>VLOOKUP(Table31316[[#This Row],[Data]],tb_workflowcode1417[],2,0)</f>
        <v>HP</v>
      </c>
      <c r="F4" s="28" t="s">
        <v>28</v>
      </c>
      <c r="G4" s="14" t="s">
        <v>66</v>
      </c>
      <c r="H4" s="30" t="s">
        <v>71</v>
      </c>
      <c r="I4" s="41" t="s">
        <v>124</v>
      </c>
      <c r="K4" s="16" t="s">
        <v>38</v>
      </c>
      <c r="L4" s="18" t="s">
        <v>39</v>
      </c>
      <c r="M4" s="18"/>
    </row>
    <row r="5" spans="1:14" ht="20.100000000000001" customHeight="1" x14ac:dyDescent="0.2">
      <c r="A5" s="23" t="s">
        <v>77</v>
      </c>
      <c r="B5" s="24" t="s">
        <v>121</v>
      </c>
      <c r="C5" s="28" t="s">
        <v>126</v>
      </c>
      <c r="D5" s="28" t="s">
        <v>98</v>
      </c>
      <c r="E5" s="52" t="str">
        <f>VLOOKUP(Table31316[[#This Row],[Data]],Table18[#All],2,0)</f>
        <v>1</v>
      </c>
      <c r="F5" s="28" t="s">
        <v>122</v>
      </c>
      <c r="G5" s="14" t="s">
        <v>66</v>
      </c>
      <c r="H5" s="30" t="s">
        <v>125</v>
      </c>
      <c r="I5" s="40" t="s">
        <v>407</v>
      </c>
      <c r="K5" s="16" t="s">
        <v>88</v>
      </c>
      <c r="L5" s="18" t="s">
        <v>93</v>
      </c>
      <c r="M5" s="18"/>
    </row>
    <row r="6" spans="1:14" ht="20.100000000000001" customHeight="1" x14ac:dyDescent="0.2">
      <c r="A6" s="23" t="s">
        <v>78</v>
      </c>
      <c r="B6" s="28" t="s">
        <v>59</v>
      </c>
      <c r="C6" s="116" t="s">
        <v>268</v>
      </c>
      <c r="D6" s="26" t="s">
        <v>99</v>
      </c>
      <c r="E6" s="29"/>
      <c r="F6" s="35" t="s">
        <v>61</v>
      </c>
      <c r="G6" s="14" t="s">
        <v>67</v>
      </c>
      <c r="H6" s="30"/>
      <c r="I6" s="40"/>
      <c r="K6" s="16" t="s">
        <v>89</v>
      </c>
      <c r="L6" s="18" t="s">
        <v>94</v>
      </c>
      <c r="M6" s="18"/>
    </row>
    <row r="7" spans="1:14" ht="20.100000000000001" customHeight="1" x14ac:dyDescent="0.2">
      <c r="A7" s="23" t="s">
        <v>79</v>
      </c>
      <c r="B7" s="28" t="s">
        <v>54</v>
      </c>
      <c r="C7" s="28" t="s">
        <v>111</v>
      </c>
      <c r="D7" s="26" t="s">
        <v>98</v>
      </c>
      <c r="E7" s="52" t="str">
        <f>VLOOKUP(Table31316[[#This Row],[Data]],Table111518[#All],2,0)</f>
        <v>05</v>
      </c>
      <c r="F7" s="28" t="s">
        <v>30</v>
      </c>
      <c r="G7" s="14" t="s">
        <v>66</v>
      </c>
      <c r="H7" s="30" t="s">
        <v>72</v>
      </c>
      <c r="I7" s="40" t="s">
        <v>407</v>
      </c>
      <c r="K7" s="16" t="s">
        <v>90</v>
      </c>
      <c r="L7" s="18" t="s">
        <v>95</v>
      </c>
      <c r="M7" s="18"/>
      <c r="N7" s="18"/>
    </row>
    <row r="8" spans="1:14" ht="20.100000000000001" customHeight="1" x14ac:dyDescent="0.2">
      <c r="A8" s="23" t="s">
        <v>80</v>
      </c>
      <c r="B8" s="118" t="s">
        <v>408</v>
      </c>
      <c r="C8" s="59"/>
      <c r="D8" s="59"/>
      <c r="E8" s="60"/>
      <c r="F8" s="61"/>
      <c r="G8" s="62"/>
      <c r="H8" s="63"/>
      <c r="I8" s="63"/>
      <c r="K8" s="16" t="s">
        <v>91</v>
      </c>
      <c r="L8" s="18" t="s">
        <v>96</v>
      </c>
      <c r="M8" s="18"/>
      <c r="N8" s="18"/>
    </row>
    <row r="9" spans="1:14" ht="20.100000000000001" customHeight="1" x14ac:dyDescent="0.2">
      <c r="A9" s="23" t="s">
        <v>81</v>
      </c>
      <c r="B9" s="28" t="s">
        <v>56</v>
      </c>
      <c r="C9" s="28" t="s">
        <v>43</v>
      </c>
      <c r="D9" s="26" t="s">
        <v>97</v>
      </c>
      <c r="E9" s="29"/>
      <c r="F9" s="28" t="s">
        <v>32</v>
      </c>
      <c r="G9" s="14" t="s">
        <v>66</v>
      </c>
      <c r="H9" s="30"/>
      <c r="I9" s="40"/>
      <c r="K9" s="16" t="s">
        <v>119</v>
      </c>
      <c r="L9" s="19" t="s">
        <v>120</v>
      </c>
      <c r="M9" s="19"/>
      <c r="N9" s="45"/>
    </row>
    <row r="10" spans="1:14" ht="20.100000000000001" customHeight="1" x14ac:dyDescent="0.2">
      <c r="A10" s="23" t="s">
        <v>82</v>
      </c>
      <c r="B10" s="28" t="s">
        <v>57</v>
      </c>
      <c r="C10" s="28" t="s">
        <v>44</v>
      </c>
      <c r="D10" s="26" t="s">
        <v>97</v>
      </c>
      <c r="E10" s="29"/>
      <c r="F10" s="28" t="s">
        <v>33</v>
      </c>
      <c r="G10" s="14" t="s">
        <v>66</v>
      </c>
      <c r="H10" s="30"/>
      <c r="I10" s="40"/>
    </row>
    <row r="11" spans="1:14" ht="20.100000000000001" customHeight="1" x14ac:dyDescent="0.2">
      <c r="A11" s="23" t="s">
        <v>83</v>
      </c>
      <c r="B11" s="28" t="s">
        <v>58</v>
      </c>
      <c r="C11" s="28" t="s">
        <v>45</v>
      </c>
      <c r="D11" s="26" t="s">
        <v>97</v>
      </c>
      <c r="E11" s="29"/>
      <c r="F11" s="28" t="s">
        <v>34</v>
      </c>
      <c r="G11" s="14" t="s">
        <v>66</v>
      </c>
      <c r="H11" s="30"/>
      <c r="I11" s="40"/>
      <c r="K11" s="8" t="s">
        <v>121</v>
      </c>
      <c r="M11" s="22"/>
      <c r="N11" s="22"/>
    </row>
    <row r="12" spans="1:14" ht="20.100000000000001" customHeight="1" x14ac:dyDescent="0.2">
      <c r="A12" s="23" t="s">
        <v>84</v>
      </c>
      <c r="B12" s="117" t="s">
        <v>131</v>
      </c>
      <c r="C12" s="59"/>
      <c r="D12" s="59"/>
      <c r="E12" s="60"/>
      <c r="F12" s="61"/>
      <c r="G12" s="62"/>
      <c r="H12" s="63"/>
      <c r="I12" s="63"/>
      <c r="K12" s="44" t="s">
        <v>126</v>
      </c>
      <c r="L12" s="16" t="s">
        <v>50</v>
      </c>
    </row>
    <row r="13" spans="1:14" ht="20.100000000000001" customHeight="1" x14ac:dyDescent="0.2">
      <c r="A13" s="23" t="s">
        <v>85</v>
      </c>
      <c r="B13" s="47" t="s">
        <v>131</v>
      </c>
      <c r="C13" s="28" t="s">
        <v>133</v>
      </c>
      <c r="D13" s="28" t="s">
        <v>100</v>
      </c>
      <c r="E13" s="52">
        <f>VLOOKUP(Table31316[[#This Row],[Data]],K26:L27,2,0)</f>
        <v>1</v>
      </c>
      <c r="F13" s="7" t="s">
        <v>132</v>
      </c>
      <c r="G13" s="46" t="s">
        <v>67</v>
      </c>
      <c r="H13" s="40"/>
      <c r="I13" s="40"/>
      <c r="K13" s="44" t="s">
        <v>127</v>
      </c>
      <c r="L13" s="16" t="s">
        <v>76</v>
      </c>
    </row>
    <row r="14" spans="1:14" ht="20.100000000000001" customHeight="1" x14ac:dyDescent="0.2">
      <c r="A14" s="23" t="s">
        <v>86</v>
      </c>
      <c r="B14" s="50" t="s">
        <v>129</v>
      </c>
      <c r="C14" s="28" t="s">
        <v>130</v>
      </c>
      <c r="D14" s="28" t="s">
        <v>97</v>
      </c>
      <c r="E14" s="29"/>
      <c r="F14" s="7" t="s">
        <v>143</v>
      </c>
      <c r="G14" s="46" t="s">
        <v>66</v>
      </c>
      <c r="H14" s="40"/>
      <c r="I14" s="40"/>
      <c r="K14" s="44" t="s">
        <v>128</v>
      </c>
      <c r="L14" s="16" t="s">
        <v>77</v>
      </c>
    </row>
    <row r="15" spans="1:14" ht="20.100000000000001" customHeight="1" x14ac:dyDescent="0.2">
      <c r="A15" s="23" t="s">
        <v>140</v>
      </c>
      <c r="B15" s="5" t="s">
        <v>133</v>
      </c>
      <c r="C15" s="116" t="s">
        <v>409</v>
      </c>
      <c r="D15" s="28" t="s">
        <v>97</v>
      </c>
      <c r="E15" s="29"/>
      <c r="F15" s="30"/>
      <c r="G15" s="46"/>
      <c r="H15" s="40"/>
      <c r="I15" s="40"/>
    </row>
    <row r="16" spans="1:14" ht="20.100000000000001" customHeight="1" x14ac:dyDescent="0.15">
      <c r="A16" s="23" t="s">
        <v>141</v>
      </c>
      <c r="B16" s="28" t="s">
        <v>56</v>
      </c>
      <c r="C16" s="28" t="s">
        <v>43</v>
      </c>
      <c r="D16" s="26" t="s">
        <v>97</v>
      </c>
      <c r="E16" s="29"/>
      <c r="F16" s="28" t="s">
        <v>134</v>
      </c>
      <c r="G16" s="14" t="s">
        <v>66</v>
      </c>
      <c r="H16" s="30"/>
      <c r="I16" s="40"/>
      <c r="K16" s="10" t="s">
        <v>54</v>
      </c>
      <c r="L16" s="6"/>
    </row>
    <row r="17" spans="1:12" ht="20.100000000000001" customHeight="1" x14ac:dyDescent="0.2">
      <c r="A17" s="23" t="s">
        <v>142</v>
      </c>
      <c r="B17" s="28" t="s">
        <v>57</v>
      </c>
      <c r="C17" s="28" t="s">
        <v>44</v>
      </c>
      <c r="D17" s="26" t="s">
        <v>97</v>
      </c>
      <c r="E17" s="29"/>
      <c r="F17" s="28" t="s">
        <v>135</v>
      </c>
      <c r="G17" s="14" t="s">
        <v>66</v>
      </c>
      <c r="H17" s="30"/>
      <c r="I17" s="40"/>
      <c r="K17" s="20" t="s">
        <v>107</v>
      </c>
      <c r="L17" s="21" t="s">
        <v>113</v>
      </c>
    </row>
    <row r="18" spans="1:12" ht="20.100000000000001" customHeight="1" x14ac:dyDescent="0.2">
      <c r="A18" s="23" t="s">
        <v>144</v>
      </c>
      <c r="B18" s="37" t="s">
        <v>58</v>
      </c>
      <c r="C18" s="37" t="s">
        <v>45</v>
      </c>
      <c r="D18" s="26" t="s">
        <v>97</v>
      </c>
      <c r="E18" s="38"/>
      <c r="F18" s="37" t="s">
        <v>136</v>
      </c>
      <c r="G18" s="14" t="s">
        <v>66</v>
      </c>
      <c r="H18" s="39"/>
      <c r="I18" s="42"/>
      <c r="K18" s="20" t="s">
        <v>108</v>
      </c>
      <c r="L18" s="21" t="s">
        <v>114</v>
      </c>
    </row>
    <row r="19" spans="1:12" ht="20.100000000000001" customHeight="1" x14ac:dyDescent="0.2">
      <c r="A19" s="23" t="s">
        <v>205</v>
      </c>
      <c r="B19" s="117" t="s">
        <v>374</v>
      </c>
      <c r="C19" s="59"/>
      <c r="D19" s="59"/>
      <c r="E19" s="60"/>
      <c r="F19" s="61"/>
      <c r="G19" s="62"/>
      <c r="H19" s="63"/>
      <c r="I19" s="63"/>
      <c r="K19" s="20" t="s">
        <v>109</v>
      </c>
      <c r="L19" s="21" t="s">
        <v>115</v>
      </c>
    </row>
    <row r="20" spans="1:12" ht="20.100000000000001" customHeight="1" x14ac:dyDescent="0.2">
      <c r="A20" s="23" t="s">
        <v>206</v>
      </c>
      <c r="B20" s="28" t="s">
        <v>56</v>
      </c>
      <c r="C20" s="28" t="s">
        <v>43</v>
      </c>
      <c r="D20" s="26" t="s">
        <v>97</v>
      </c>
      <c r="E20" s="29"/>
      <c r="F20" s="7" t="s">
        <v>137</v>
      </c>
      <c r="G20" s="46" t="s">
        <v>66</v>
      </c>
      <c r="H20" s="40"/>
      <c r="I20" s="40"/>
      <c r="K20" s="20" t="s">
        <v>110</v>
      </c>
      <c r="L20" s="21" t="s">
        <v>116</v>
      </c>
    </row>
    <row r="21" spans="1:12" ht="20.100000000000001" customHeight="1" x14ac:dyDescent="0.2">
      <c r="A21" s="23" t="s">
        <v>207</v>
      </c>
      <c r="B21" s="28" t="s">
        <v>57</v>
      </c>
      <c r="C21" s="28" t="s">
        <v>44</v>
      </c>
      <c r="D21" s="26" t="s">
        <v>97</v>
      </c>
      <c r="E21" s="29"/>
      <c r="F21" s="7" t="s">
        <v>138</v>
      </c>
      <c r="G21" s="46" t="s">
        <v>66</v>
      </c>
      <c r="H21" s="40"/>
      <c r="I21" s="40"/>
      <c r="K21" s="20" t="s">
        <v>111</v>
      </c>
      <c r="L21" s="21" t="s">
        <v>117</v>
      </c>
    </row>
    <row r="22" spans="1:12" ht="20.100000000000001" customHeight="1" x14ac:dyDescent="0.2">
      <c r="A22" s="23" t="s">
        <v>224</v>
      </c>
      <c r="B22" s="37" t="s">
        <v>58</v>
      </c>
      <c r="C22" s="37" t="s">
        <v>45</v>
      </c>
      <c r="D22" s="26" t="s">
        <v>97</v>
      </c>
      <c r="E22" s="29"/>
      <c r="F22" s="7" t="s">
        <v>139</v>
      </c>
      <c r="G22" s="46" t="s">
        <v>66</v>
      </c>
      <c r="H22" s="40"/>
      <c r="I22" s="40"/>
      <c r="K22" s="20" t="s">
        <v>40</v>
      </c>
      <c r="L22" s="21" t="s">
        <v>41</v>
      </c>
    </row>
    <row r="23" spans="1:12" ht="20.100000000000001" customHeight="1" x14ac:dyDescent="0.2">
      <c r="A23" s="23" t="s">
        <v>225</v>
      </c>
      <c r="B23" s="59"/>
      <c r="C23" s="59"/>
      <c r="D23" s="59"/>
      <c r="E23" s="60"/>
      <c r="F23" s="61"/>
      <c r="G23" s="62"/>
      <c r="H23" s="63"/>
      <c r="I23" s="63"/>
      <c r="K23" s="20" t="s">
        <v>112</v>
      </c>
      <c r="L23" s="21" t="s">
        <v>118</v>
      </c>
    </row>
    <row r="25" spans="1:12" ht="20.100000000000001" customHeight="1" x14ac:dyDescent="0.2">
      <c r="K25" s="48" t="s">
        <v>131</v>
      </c>
    </row>
    <row r="26" spans="1:12" ht="20.100000000000001" customHeight="1" x14ac:dyDescent="0.2">
      <c r="K26" s="49" t="s">
        <v>129</v>
      </c>
      <c r="L26" s="7">
        <v>0</v>
      </c>
    </row>
    <row r="27" spans="1:12" ht="20.100000000000001" customHeight="1" x14ac:dyDescent="0.2">
      <c r="K27" s="5" t="s">
        <v>133</v>
      </c>
      <c r="L27" s="7">
        <v>1</v>
      </c>
    </row>
    <row r="37" spans="3:3" ht="20.100000000000001" customHeight="1" x14ac:dyDescent="0.2">
      <c r="C37" s="22"/>
    </row>
  </sheetData>
  <dataValidations count="7">
    <dataValidation type="list" allowBlank="1" showInputMessage="1" showErrorMessage="1" sqref="B37">
      <formula1>ccc</formula1>
    </dataValidation>
    <dataValidation type="list" allowBlank="1" showInputMessage="1" showErrorMessage="1" sqref="C4">
      <formula1>$K$3:$K$9</formula1>
    </dataValidation>
    <dataValidation type="list" allowBlank="1" showInputMessage="1" showErrorMessage="1" sqref="C5">
      <formula1>$K$12:$K$14</formula1>
    </dataValidation>
    <dataValidation type="list" allowBlank="1" showInputMessage="1" showErrorMessage="1" sqref="C7:C8">
      <formula1>$K$17:$K$23</formula1>
    </dataValidation>
    <dataValidation type="list" allowBlank="1" showInputMessage="1" showErrorMessage="1" sqref="C13">
      <formula1>$K$26:$K$27</formula1>
    </dataValidation>
    <dataValidation type="list" allowBlank="1" showInputMessage="1" showErrorMessage="1" sqref="D4:D23">
      <formula1>Field</formula1>
    </dataValidation>
    <dataValidation type="list" allowBlank="1" showInputMessage="1" showErrorMessage="1" sqref="G3:G23">
      <formula1>FieldRef</formula1>
    </dataValidation>
  </dataValidation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C24" sqref="C24"/>
    </sheetView>
  </sheetViews>
  <sheetFormatPr defaultRowHeight="20.100000000000001" customHeight="1" x14ac:dyDescent="0.2"/>
  <cols>
    <col min="1" max="1" width="6" style="69" bestFit="1" customWidth="1"/>
    <col min="2" max="2" width="22.85546875" style="69" bestFit="1" customWidth="1"/>
    <col min="3" max="3" width="32.140625" style="69" customWidth="1"/>
    <col min="4" max="4" width="9.140625" style="69"/>
    <col min="5" max="5" width="8.42578125" style="69" customWidth="1"/>
    <col min="6" max="6" width="19.28515625" style="69" customWidth="1"/>
    <col min="7" max="7" width="13.85546875" style="69" customWidth="1"/>
    <col min="8" max="8" width="33" style="69" customWidth="1"/>
    <col min="9" max="9" width="35.85546875" style="69" customWidth="1"/>
    <col min="10" max="10" width="9.140625" style="69" customWidth="1"/>
    <col min="11" max="11" width="36.28515625" style="69" customWidth="1"/>
    <col min="12" max="12" width="10.42578125" style="69" customWidth="1"/>
    <col min="13" max="15" width="9.140625" style="69" customWidth="1"/>
    <col min="16" max="16384" width="9.140625" style="69"/>
  </cols>
  <sheetData>
    <row r="2" spans="1:12" ht="20.100000000000001" customHeight="1" x14ac:dyDescent="0.2">
      <c r="A2" s="54" t="s">
        <v>75</v>
      </c>
      <c r="B2" s="55" t="s">
        <v>46</v>
      </c>
      <c r="C2" s="55" t="s">
        <v>47</v>
      </c>
      <c r="D2" s="55" t="s">
        <v>49</v>
      </c>
      <c r="E2" s="55" t="s">
        <v>48</v>
      </c>
      <c r="F2" s="55" t="s">
        <v>52</v>
      </c>
      <c r="G2" s="56" t="s">
        <v>65</v>
      </c>
      <c r="H2" s="57" t="s">
        <v>262</v>
      </c>
      <c r="I2" s="58" t="s">
        <v>123</v>
      </c>
      <c r="K2" s="88" t="s">
        <v>149</v>
      </c>
      <c r="L2" s="69" t="s">
        <v>74</v>
      </c>
    </row>
    <row r="3" spans="1:12" ht="20.100000000000001" customHeight="1" x14ac:dyDescent="0.2">
      <c r="A3" s="73" t="s">
        <v>50</v>
      </c>
      <c r="B3" s="83" t="s">
        <v>410</v>
      </c>
      <c r="C3" s="83"/>
      <c r="D3" s="84"/>
      <c r="E3" s="83"/>
      <c r="F3" s="86"/>
      <c r="G3" s="81"/>
      <c r="H3" s="83"/>
      <c r="I3" s="83"/>
      <c r="K3" s="91" t="s">
        <v>126</v>
      </c>
      <c r="L3" s="70" t="s">
        <v>50</v>
      </c>
    </row>
    <row r="4" spans="1:12" ht="20.100000000000001" customHeight="1" x14ac:dyDescent="0.2">
      <c r="A4" s="73" t="s">
        <v>76</v>
      </c>
      <c r="B4" s="89" t="s">
        <v>149</v>
      </c>
      <c r="C4" s="74" t="s">
        <v>126</v>
      </c>
      <c r="D4" s="28" t="s">
        <v>98</v>
      </c>
      <c r="E4" s="87" t="str">
        <f>VLOOKUP(Table23[[#This Row],[Data]],Table28[],2,0)</f>
        <v>1</v>
      </c>
      <c r="F4" s="90" t="s">
        <v>150</v>
      </c>
      <c r="G4" s="68" t="s">
        <v>66</v>
      </c>
      <c r="H4" s="74" t="s">
        <v>151</v>
      </c>
      <c r="I4" s="90" t="s">
        <v>152</v>
      </c>
      <c r="K4" s="91" t="s">
        <v>127</v>
      </c>
      <c r="L4" s="70" t="s">
        <v>76</v>
      </c>
    </row>
    <row r="5" spans="1:12" ht="20.100000000000001" customHeight="1" x14ac:dyDescent="0.2">
      <c r="A5" s="73" t="s">
        <v>77</v>
      </c>
      <c r="B5" s="92" t="s">
        <v>153</v>
      </c>
      <c r="C5" s="74" t="s">
        <v>154</v>
      </c>
      <c r="D5" s="28" t="s">
        <v>98</v>
      </c>
      <c r="E5" s="73" t="str">
        <f>VLOOKUP(Table23[[#This Row],[Data]],K8:L9,2,0)</f>
        <v>COM</v>
      </c>
      <c r="F5" s="93" t="s">
        <v>158</v>
      </c>
      <c r="G5" s="68" t="s">
        <v>66</v>
      </c>
      <c r="H5" s="74" t="s">
        <v>159</v>
      </c>
      <c r="I5" s="93" t="s">
        <v>160</v>
      </c>
      <c r="K5" s="91" t="s">
        <v>128</v>
      </c>
      <c r="L5" s="70" t="s">
        <v>77</v>
      </c>
    </row>
    <row r="6" spans="1:12" ht="20.100000000000001" customHeight="1" x14ac:dyDescent="0.2">
      <c r="A6" s="73" t="s">
        <v>78</v>
      </c>
      <c r="B6" s="92" t="s">
        <v>161</v>
      </c>
      <c r="C6" s="73" t="s">
        <v>166</v>
      </c>
      <c r="D6" s="28" t="s">
        <v>98</v>
      </c>
      <c r="E6" s="73" t="str">
        <f>MID(Table23[[#This Row],[Data]],1,4)</f>
        <v>8100</v>
      </c>
      <c r="F6" s="93" t="s">
        <v>164</v>
      </c>
      <c r="G6" s="68" t="s">
        <v>66</v>
      </c>
      <c r="H6" s="74" t="s">
        <v>162</v>
      </c>
      <c r="I6" s="93" t="s">
        <v>163</v>
      </c>
    </row>
    <row r="7" spans="1:12" ht="20.100000000000001" customHeight="1" x14ac:dyDescent="0.2">
      <c r="A7" s="73" t="s">
        <v>79</v>
      </c>
      <c r="B7" s="92" t="s">
        <v>171</v>
      </c>
      <c r="C7" s="74" t="s">
        <v>175</v>
      </c>
      <c r="D7" s="28" t="s">
        <v>98</v>
      </c>
      <c r="E7" s="73" t="str">
        <f>MID(Table23[[#This Row],[Data]],1,5)</f>
        <v>40001</v>
      </c>
      <c r="F7" s="93" t="s">
        <v>174</v>
      </c>
      <c r="G7" s="68" t="s">
        <v>66</v>
      </c>
      <c r="H7" s="74" t="s">
        <v>172</v>
      </c>
      <c r="I7" s="93" t="s">
        <v>173</v>
      </c>
      <c r="K7" s="94" t="s">
        <v>153</v>
      </c>
      <c r="L7" s="70" t="s">
        <v>74</v>
      </c>
    </row>
    <row r="8" spans="1:12" ht="20.100000000000001" customHeight="1" x14ac:dyDescent="0.2">
      <c r="A8" s="73" t="s">
        <v>80</v>
      </c>
      <c r="B8" s="92" t="s">
        <v>177</v>
      </c>
      <c r="C8" s="74" t="s">
        <v>182</v>
      </c>
      <c r="D8" s="28" t="s">
        <v>98</v>
      </c>
      <c r="E8" s="73" t="str">
        <f>MID(Table23[[#This Row],[Data]],1,4)</f>
        <v>1082</v>
      </c>
      <c r="F8" s="93" t="s">
        <v>180</v>
      </c>
      <c r="G8" s="68" t="s">
        <v>66</v>
      </c>
      <c r="H8" s="74" t="s">
        <v>178</v>
      </c>
      <c r="I8" s="93" t="s">
        <v>179</v>
      </c>
      <c r="K8" s="95" t="s">
        <v>154</v>
      </c>
      <c r="L8" s="95" t="s">
        <v>156</v>
      </c>
    </row>
    <row r="9" spans="1:12" ht="20.100000000000001" customHeight="1" x14ac:dyDescent="0.2">
      <c r="A9" s="73" t="s">
        <v>81</v>
      </c>
      <c r="B9" s="92" t="s">
        <v>190</v>
      </c>
      <c r="C9" s="73" t="s">
        <v>191</v>
      </c>
      <c r="D9" s="28" t="s">
        <v>97</v>
      </c>
      <c r="E9" s="73"/>
      <c r="F9" s="93" t="s">
        <v>192</v>
      </c>
      <c r="G9" s="68" t="s">
        <v>66</v>
      </c>
      <c r="H9" s="74"/>
      <c r="I9" s="74"/>
      <c r="K9" s="95" t="s">
        <v>155</v>
      </c>
      <c r="L9" s="95" t="s">
        <v>157</v>
      </c>
    </row>
    <row r="10" spans="1:12" ht="20.100000000000001" customHeight="1" x14ac:dyDescent="0.2">
      <c r="A10" s="73" t="s">
        <v>82</v>
      </c>
      <c r="B10" s="92" t="s">
        <v>193</v>
      </c>
      <c r="C10" s="73" t="s">
        <v>84</v>
      </c>
      <c r="D10" s="28" t="s">
        <v>97</v>
      </c>
      <c r="E10" s="73"/>
      <c r="F10" s="93" t="s">
        <v>194</v>
      </c>
      <c r="G10" s="68" t="s">
        <v>66</v>
      </c>
      <c r="H10" s="74"/>
      <c r="I10" s="74"/>
    </row>
    <row r="11" spans="1:12" ht="20.100000000000001" customHeight="1" x14ac:dyDescent="0.2">
      <c r="A11" s="73" t="s">
        <v>83</v>
      </c>
      <c r="B11" s="92" t="s">
        <v>193</v>
      </c>
      <c r="C11" s="73" t="s">
        <v>199</v>
      </c>
      <c r="D11" s="28" t="s">
        <v>98</v>
      </c>
      <c r="E11" s="73" t="str">
        <f>VLOOKUP(Table23[[#This Row],[Data]],Table33[],2,0)</f>
        <v>Y</v>
      </c>
      <c r="F11" s="93" t="s">
        <v>196</v>
      </c>
      <c r="G11" s="68" t="s">
        <v>66</v>
      </c>
      <c r="H11" s="74" t="s">
        <v>195</v>
      </c>
      <c r="I11" s="73" t="s">
        <v>407</v>
      </c>
      <c r="K11" s="98" t="s">
        <v>161</v>
      </c>
      <c r="L11" s="69" t="s">
        <v>74</v>
      </c>
    </row>
    <row r="12" spans="1:12" ht="20.100000000000001" customHeight="1" x14ac:dyDescent="0.2">
      <c r="A12" s="73" t="s">
        <v>84</v>
      </c>
      <c r="B12" s="96"/>
      <c r="C12" s="77"/>
      <c r="D12" s="59"/>
      <c r="E12" s="77"/>
      <c r="F12" s="97"/>
      <c r="G12" s="81"/>
      <c r="H12" s="82"/>
      <c r="I12" s="82"/>
      <c r="K12" s="95" t="s">
        <v>165</v>
      </c>
      <c r="L12" s="95">
        <v>8011</v>
      </c>
    </row>
    <row r="13" spans="1:12" ht="20.100000000000001" customHeight="1" x14ac:dyDescent="0.2">
      <c r="B13" s="99" t="s">
        <v>148</v>
      </c>
      <c r="K13" s="95" t="s">
        <v>166</v>
      </c>
      <c r="L13" s="95">
        <v>8100</v>
      </c>
    </row>
    <row r="14" spans="1:12" ht="20.100000000000001" customHeight="1" x14ac:dyDescent="0.2">
      <c r="K14" s="95" t="s">
        <v>167</v>
      </c>
      <c r="L14" s="95">
        <v>8200</v>
      </c>
    </row>
    <row r="15" spans="1:12" ht="20.100000000000001" customHeight="1" x14ac:dyDescent="0.2">
      <c r="K15" s="95" t="s">
        <v>168</v>
      </c>
      <c r="L15" s="95">
        <v>8300</v>
      </c>
    </row>
    <row r="16" spans="1:12" ht="20.100000000000001" customHeight="1" x14ac:dyDescent="0.2">
      <c r="K16" s="95" t="s">
        <v>169</v>
      </c>
      <c r="L16" s="95">
        <v>8400</v>
      </c>
    </row>
    <row r="17" spans="11:12" ht="20.100000000000001" customHeight="1" x14ac:dyDescent="0.2">
      <c r="K17" s="95" t="s">
        <v>170</v>
      </c>
      <c r="L17" s="95">
        <v>8900</v>
      </c>
    </row>
    <row r="19" spans="11:12" ht="20.100000000000001" customHeight="1" x14ac:dyDescent="0.15">
      <c r="K19" s="94" t="s">
        <v>171</v>
      </c>
      <c r="L19" s="69" t="s">
        <v>74</v>
      </c>
    </row>
    <row r="20" spans="11:12" ht="20.100000000000001" customHeight="1" x14ac:dyDescent="0.2">
      <c r="K20" s="95" t="s">
        <v>175</v>
      </c>
      <c r="L20" s="95">
        <v>40001</v>
      </c>
    </row>
    <row r="21" spans="11:12" ht="20.100000000000001" customHeight="1" x14ac:dyDescent="0.2">
      <c r="K21" s="95" t="s">
        <v>176</v>
      </c>
      <c r="L21" s="95">
        <v>40004</v>
      </c>
    </row>
    <row r="23" spans="11:12" ht="20.100000000000001" customHeight="1" x14ac:dyDescent="0.15">
      <c r="K23" s="94" t="s">
        <v>177</v>
      </c>
      <c r="L23" s="69" t="s">
        <v>74</v>
      </c>
    </row>
    <row r="24" spans="11:12" ht="20.100000000000001" customHeight="1" x14ac:dyDescent="0.2">
      <c r="K24" s="100" t="s">
        <v>181</v>
      </c>
      <c r="L24" s="95">
        <v>1029</v>
      </c>
    </row>
    <row r="25" spans="11:12" ht="20.100000000000001" customHeight="1" x14ac:dyDescent="0.2">
      <c r="K25" s="100" t="s">
        <v>182</v>
      </c>
      <c r="L25" s="95">
        <v>1082</v>
      </c>
    </row>
    <row r="26" spans="11:12" ht="20.100000000000001" customHeight="1" x14ac:dyDescent="0.2">
      <c r="K26" s="100" t="s">
        <v>183</v>
      </c>
      <c r="L26" s="95">
        <v>1084</v>
      </c>
    </row>
    <row r="27" spans="11:12" ht="20.100000000000001" customHeight="1" x14ac:dyDescent="0.2">
      <c r="K27" s="100" t="s">
        <v>184</v>
      </c>
      <c r="L27" s="95">
        <v>1085</v>
      </c>
    </row>
    <row r="28" spans="11:12" ht="20.100000000000001" customHeight="1" x14ac:dyDescent="0.2">
      <c r="K28" s="100" t="s">
        <v>185</v>
      </c>
      <c r="L28" s="95">
        <v>1123</v>
      </c>
    </row>
    <row r="29" spans="11:12" ht="20.100000000000001" customHeight="1" x14ac:dyDescent="0.2">
      <c r="K29" s="100" t="s">
        <v>186</v>
      </c>
      <c r="L29" s="95">
        <v>1124</v>
      </c>
    </row>
    <row r="30" spans="11:12" ht="20.100000000000001" customHeight="1" x14ac:dyDescent="0.2">
      <c r="K30" s="100" t="s">
        <v>187</v>
      </c>
      <c r="L30" s="95">
        <v>1134</v>
      </c>
    </row>
    <row r="31" spans="11:12" ht="20.100000000000001" customHeight="1" x14ac:dyDescent="0.2">
      <c r="K31" s="100" t="s">
        <v>188</v>
      </c>
      <c r="L31" s="95">
        <v>1135</v>
      </c>
    </row>
    <row r="32" spans="11:12" ht="20.100000000000001" customHeight="1" x14ac:dyDescent="0.2">
      <c r="K32" s="100" t="s">
        <v>189</v>
      </c>
      <c r="L32" s="95">
        <v>1155</v>
      </c>
    </row>
    <row r="34" spans="11:12" ht="20.100000000000001" customHeight="1" x14ac:dyDescent="0.15">
      <c r="K34" s="101" t="s">
        <v>193</v>
      </c>
      <c r="L34" s="69" t="s">
        <v>74</v>
      </c>
    </row>
    <row r="35" spans="11:12" ht="20.100000000000001" customHeight="1" x14ac:dyDescent="0.2">
      <c r="K35" s="95" t="s">
        <v>197</v>
      </c>
      <c r="L35" s="70" t="s">
        <v>200</v>
      </c>
    </row>
    <row r="36" spans="11:12" ht="20.100000000000001" customHeight="1" x14ac:dyDescent="0.2">
      <c r="K36" s="95" t="s">
        <v>198</v>
      </c>
      <c r="L36" s="70" t="s">
        <v>201</v>
      </c>
    </row>
    <row r="37" spans="11:12" ht="20.100000000000001" customHeight="1" x14ac:dyDescent="0.2">
      <c r="K37" s="95" t="s">
        <v>199</v>
      </c>
      <c r="L37" s="70" t="s">
        <v>202</v>
      </c>
    </row>
  </sheetData>
  <dataValidations count="5">
    <dataValidation type="list" allowBlank="1" showInputMessage="1" showErrorMessage="1" sqref="G3:G12">
      <formula1>FieldRef</formula1>
    </dataValidation>
    <dataValidation type="list" allowBlank="1" showInputMessage="1" showErrorMessage="1" sqref="D3:D12">
      <formula1>Field</formula1>
    </dataValidation>
    <dataValidation type="list" allowBlank="1" showInputMessage="1" showErrorMessage="1" sqref="C4">
      <formula1>$K$3:$K$5</formula1>
    </dataValidation>
    <dataValidation type="list" allowBlank="1" showInputMessage="1" showErrorMessage="1" sqref="C5">
      <formula1>$K$8:$K$9</formula1>
    </dataValidation>
    <dataValidation type="list" allowBlank="1" showInputMessage="1" showErrorMessage="1" sqref="C11">
      <formula1>$K$35:$K$37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1"/>
  <sheetViews>
    <sheetView zoomScaleNormal="100" workbookViewId="0">
      <selection activeCell="B9" sqref="B9"/>
    </sheetView>
  </sheetViews>
  <sheetFormatPr defaultRowHeight="20.100000000000001" customHeight="1" x14ac:dyDescent="0.2"/>
  <cols>
    <col min="1" max="1" width="6" style="69" bestFit="1" customWidth="1"/>
    <col min="2" max="2" width="43.28515625" style="69" bestFit="1" customWidth="1"/>
    <col min="3" max="3" width="54" style="69" bestFit="1" customWidth="1"/>
    <col min="4" max="4" width="10.7109375" style="110" bestFit="1" customWidth="1"/>
    <col min="5" max="5" width="7.28515625" style="69" customWidth="1"/>
    <col min="6" max="6" width="19.28515625" style="69" customWidth="1"/>
    <col min="7" max="7" width="13.85546875" style="69" customWidth="1"/>
    <col min="8" max="8" width="33" style="69" customWidth="1"/>
    <col min="9" max="9" width="35.85546875" style="69" customWidth="1"/>
    <col min="10" max="10" width="9.140625" style="69" customWidth="1"/>
    <col min="11" max="11" width="29.140625" style="69" customWidth="1"/>
    <col min="12" max="12" width="10.42578125" style="110" customWidth="1"/>
    <col min="13" max="13" width="25.28515625" style="69" customWidth="1"/>
    <col min="14" max="14" width="22.42578125" style="69" bestFit="1" customWidth="1"/>
    <col min="15" max="15" width="6.85546875" style="69" customWidth="1"/>
    <col min="16" max="16" width="41" style="69" bestFit="1" customWidth="1"/>
    <col min="17" max="18" width="9.140625" style="69" customWidth="1"/>
    <col min="19" max="19" width="29.28515625" style="69" customWidth="1"/>
    <col min="20" max="21" width="8.42578125" style="69" customWidth="1"/>
    <col min="22" max="22" width="7.28515625" style="69" customWidth="1"/>
    <col min="23" max="23" width="9.85546875" style="69" customWidth="1"/>
    <col min="24" max="24" width="9.140625" style="69" customWidth="1"/>
    <col min="25" max="25" width="26.7109375" style="69" customWidth="1"/>
    <col min="26" max="30" width="9.140625" style="69" customWidth="1"/>
    <col min="31" max="16384" width="9.140625" style="69"/>
  </cols>
  <sheetData>
    <row r="2" spans="1:34" ht="20.100000000000001" customHeight="1" x14ac:dyDescent="0.2">
      <c r="A2" s="54" t="s">
        <v>75</v>
      </c>
      <c r="B2" s="55" t="s">
        <v>46</v>
      </c>
      <c r="C2" s="55" t="s">
        <v>47</v>
      </c>
      <c r="D2" s="56" t="s">
        <v>49</v>
      </c>
      <c r="E2" s="55" t="s">
        <v>48</v>
      </c>
      <c r="F2" s="55" t="s">
        <v>52</v>
      </c>
      <c r="G2" s="56" t="s">
        <v>65</v>
      </c>
      <c r="H2" s="57" t="s">
        <v>62</v>
      </c>
      <c r="I2" s="58" t="s">
        <v>123</v>
      </c>
      <c r="K2" s="71" t="s">
        <v>209</v>
      </c>
      <c r="L2" s="110" t="s">
        <v>74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20.100000000000001" customHeight="1" x14ac:dyDescent="0.2">
      <c r="A3" s="73" t="s">
        <v>50</v>
      </c>
      <c r="B3" s="122" t="s">
        <v>259</v>
      </c>
      <c r="C3" s="83"/>
      <c r="D3" s="126"/>
      <c r="E3" s="85"/>
      <c r="F3" s="86"/>
      <c r="G3" s="81"/>
      <c r="H3" s="83"/>
      <c r="I3" s="83"/>
      <c r="K3" s="7" t="s">
        <v>213</v>
      </c>
      <c r="L3" s="111" t="s">
        <v>215</v>
      </c>
      <c r="N3" s="109" t="s">
        <v>417</v>
      </c>
      <c r="O3" s="103" t="s">
        <v>378</v>
      </c>
      <c r="P3" s="103" t="s">
        <v>47</v>
      </c>
      <c r="Q3" s="103" t="s">
        <v>65</v>
      </c>
      <c r="R3" s="103" t="s">
        <v>52</v>
      </c>
      <c r="S3" s="103" t="s">
        <v>48</v>
      </c>
      <c r="T3" s="103" t="s">
        <v>379</v>
      </c>
      <c r="U3" s="103" t="s">
        <v>380</v>
      </c>
      <c r="V3" s="135" t="s">
        <v>393</v>
      </c>
      <c r="W3" s="135" t="s">
        <v>386</v>
      </c>
      <c r="X3" s="136" t="s">
        <v>387</v>
      </c>
      <c r="Y3" s="135" t="s">
        <v>391</v>
      </c>
      <c r="Z3" s="135" t="s">
        <v>389</v>
      </c>
      <c r="AA3" s="135" t="s">
        <v>390</v>
      </c>
      <c r="AB3" s="135" t="s">
        <v>395</v>
      </c>
      <c r="AC3" s="135" t="s">
        <v>396</v>
      </c>
      <c r="AD3" s="135" t="s">
        <v>397</v>
      </c>
      <c r="AE3" s="135" t="s">
        <v>388</v>
      </c>
      <c r="AF3" s="135" t="s">
        <v>398</v>
      </c>
      <c r="AG3" s="135" t="s">
        <v>394</v>
      </c>
      <c r="AH3"/>
    </row>
    <row r="4" spans="1:34" ht="20.100000000000001" customHeight="1" x14ac:dyDescent="0.2">
      <c r="A4" s="73" t="s">
        <v>76</v>
      </c>
      <c r="B4" s="67" t="s">
        <v>203</v>
      </c>
      <c r="C4" s="116" t="s">
        <v>409</v>
      </c>
      <c r="D4" s="29" t="s">
        <v>97</v>
      </c>
      <c r="E4" s="76"/>
      <c r="F4" s="7" t="s">
        <v>685</v>
      </c>
      <c r="G4" s="68" t="s">
        <v>66</v>
      </c>
      <c r="H4" s="74"/>
      <c r="I4" s="74"/>
      <c r="K4" s="7" t="s">
        <v>214</v>
      </c>
      <c r="L4" s="111" t="s">
        <v>216</v>
      </c>
      <c r="N4" s="107" t="s">
        <v>310</v>
      </c>
      <c r="O4" s="103" t="s">
        <v>50</v>
      </c>
      <c r="P4" s="128" t="s">
        <v>375</v>
      </c>
      <c r="Q4" s="120" t="s">
        <v>66</v>
      </c>
      <c r="R4" s="129" t="s">
        <v>377</v>
      </c>
      <c r="S4" s="129">
        <v>3</v>
      </c>
      <c r="T4" s="130" t="s">
        <v>376</v>
      </c>
      <c r="U4" s="131" t="s">
        <v>381</v>
      </c>
      <c r="V4" s="133" t="s">
        <v>382</v>
      </c>
      <c r="W4" s="134" t="s">
        <v>66</v>
      </c>
      <c r="X4" s="133" t="s">
        <v>383</v>
      </c>
      <c r="Y4" s="133" t="s">
        <v>384</v>
      </c>
      <c r="Z4" s="133" t="s">
        <v>392</v>
      </c>
      <c r="AA4" s="133" t="s">
        <v>385</v>
      </c>
      <c r="AB4" s="137" t="s">
        <v>399</v>
      </c>
      <c r="AC4" s="121" t="s">
        <v>66</v>
      </c>
      <c r="AD4" s="137" t="s">
        <v>400</v>
      </c>
      <c r="AE4" s="137" t="s">
        <v>401</v>
      </c>
      <c r="AF4" s="137" t="s">
        <v>402</v>
      </c>
      <c r="AG4" s="137" t="s">
        <v>407</v>
      </c>
      <c r="AH4"/>
    </row>
    <row r="5" spans="1:34" ht="20.100000000000001" customHeight="1" x14ac:dyDescent="0.2">
      <c r="A5" s="73" t="s">
        <v>77</v>
      </c>
      <c r="B5" s="53" t="s">
        <v>230</v>
      </c>
      <c r="C5" s="116" t="s">
        <v>409</v>
      </c>
      <c r="D5" s="29" t="s">
        <v>97</v>
      </c>
      <c r="E5" s="76"/>
      <c r="F5" s="7" t="s">
        <v>686</v>
      </c>
      <c r="G5" s="68" t="s">
        <v>66</v>
      </c>
      <c r="H5" s="74"/>
      <c r="I5" s="74"/>
      <c r="K5" s="7" t="s">
        <v>263</v>
      </c>
      <c r="L5" s="111" t="s">
        <v>264</v>
      </c>
      <c r="N5" s="107" t="s">
        <v>311</v>
      </c>
      <c r="O5" s="103" t="s">
        <v>76</v>
      </c>
      <c r="P5" s="128" t="s">
        <v>403</v>
      </c>
      <c r="Q5" s="120" t="s">
        <v>66</v>
      </c>
      <c r="R5" s="129" t="s">
        <v>377</v>
      </c>
      <c r="S5" s="128" t="s">
        <v>79</v>
      </c>
      <c r="T5" s="130" t="s">
        <v>376</v>
      </c>
      <c r="U5" s="131" t="s">
        <v>381</v>
      </c>
      <c r="V5" s="132" t="s">
        <v>404</v>
      </c>
      <c r="W5" s="134" t="s">
        <v>66</v>
      </c>
      <c r="X5" s="133" t="s">
        <v>383</v>
      </c>
      <c r="Y5" s="132" t="s">
        <v>83</v>
      </c>
      <c r="Z5" s="133" t="s">
        <v>392</v>
      </c>
      <c r="AA5" s="133" t="s">
        <v>385</v>
      </c>
      <c r="AB5" s="138" t="s">
        <v>405</v>
      </c>
      <c r="AC5" s="121" t="s">
        <v>66</v>
      </c>
      <c r="AD5" s="137" t="s">
        <v>400</v>
      </c>
      <c r="AE5" s="138" t="s">
        <v>406</v>
      </c>
      <c r="AF5" s="137" t="s">
        <v>402</v>
      </c>
      <c r="AG5" s="137" t="s">
        <v>407</v>
      </c>
      <c r="AH5"/>
    </row>
    <row r="6" spans="1:34" ht="20.100000000000001" customHeight="1" x14ac:dyDescent="0.2">
      <c r="A6" s="73" t="s">
        <v>78</v>
      </c>
      <c r="B6" s="53" t="s">
        <v>231</v>
      </c>
      <c r="C6" s="116" t="s">
        <v>409</v>
      </c>
      <c r="D6" s="29" t="s">
        <v>97</v>
      </c>
      <c r="E6" s="76"/>
      <c r="F6" s="7" t="s">
        <v>687</v>
      </c>
      <c r="G6" s="68" t="s">
        <v>66</v>
      </c>
      <c r="H6" s="74"/>
      <c r="I6" s="74"/>
      <c r="N6" s="107" t="s">
        <v>312</v>
      </c>
      <c r="O6" s="103" t="s">
        <v>77</v>
      </c>
      <c r="P6" s="128" t="s">
        <v>415</v>
      </c>
      <c r="Q6" s="120" t="s">
        <v>66</v>
      </c>
      <c r="R6" s="129" t="s">
        <v>377</v>
      </c>
      <c r="S6" s="128" t="s">
        <v>416</v>
      </c>
      <c r="T6" s="130" t="s">
        <v>376</v>
      </c>
      <c r="U6" s="131" t="s">
        <v>381</v>
      </c>
      <c r="V6" s="132" t="s">
        <v>418</v>
      </c>
      <c r="W6" s="134" t="s">
        <v>66</v>
      </c>
      <c r="X6" s="133" t="s">
        <v>383</v>
      </c>
      <c r="Y6" s="132" t="s">
        <v>419</v>
      </c>
      <c r="Z6" s="133" t="s">
        <v>392</v>
      </c>
      <c r="AA6" s="133" t="s">
        <v>385</v>
      </c>
      <c r="AB6" s="138" t="s">
        <v>420</v>
      </c>
      <c r="AC6" s="121" t="s">
        <v>66</v>
      </c>
      <c r="AD6" s="137" t="s">
        <v>400</v>
      </c>
      <c r="AE6" s="138" t="s">
        <v>421</v>
      </c>
      <c r="AF6" s="137" t="s">
        <v>402</v>
      </c>
      <c r="AG6" s="137" t="s">
        <v>407</v>
      </c>
      <c r="AH6"/>
    </row>
    <row r="7" spans="1:34" ht="20.100000000000001" customHeight="1" x14ac:dyDescent="0.2">
      <c r="A7" s="73" t="s">
        <v>79</v>
      </c>
      <c r="B7" s="53" t="s">
        <v>232</v>
      </c>
      <c r="C7" s="116" t="s">
        <v>409</v>
      </c>
      <c r="D7" s="29" t="s">
        <v>97</v>
      </c>
      <c r="E7" s="76"/>
      <c r="F7" s="7" t="s">
        <v>688</v>
      </c>
      <c r="G7" s="68" t="s">
        <v>66</v>
      </c>
      <c r="H7" s="74"/>
      <c r="I7" s="74"/>
      <c r="K7" s="53" t="s">
        <v>217</v>
      </c>
      <c r="L7" s="110" t="s">
        <v>74</v>
      </c>
      <c r="N7" s="107" t="s">
        <v>313</v>
      </c>
      <c r="O7" s="103" t="s">
        <v>78</v>
      </c>
      <c r="P7" s="128" t="s">
        <v>422</v>
      </c>
      <c r="Q7" s="120" t="s">
        <v>66</v>
      </c>
      <c r="R7" s="129" t="s">
        <v>377</v>
      </c>
      <c r="S7" s="128" t="s">
        <v>427</v>
      </c>
      <c r="T7" s="130" t="s">
        <v>376</v>
      </c>
      <c r="U7" s="131" t="s">
        <v>381</v>
      </c>
      <c r="V7" s="132" t="s">
        <v>423</v>
      </c>
      <c r="W7" s="134" t="s">
        <v>66</v>
      </c>
      <c r="X7" s="133" t="s">
        <v>383</v>
      </c>
      <c r="Y7" s="132" t="s">
        <v>426</v>
      </c>
      <c r="Z7" s="133" t="s">
        <v>392</v>
      </c>
      <c r="AA7" s="133" t="s">
        <v>385</v>
      </c>
      <c r="AB7" s="138" t="s">
        <v>424</v>
      </c>
      <c r="AC7" s="121" t="s">
        <v>66</v>
      </c>
      <c r="AD7" s="137" t="s">
        <v>400</v>
      </c>
      <c r="AE7" s="138" t="s">
        <v>425</v>
      </c>
      <c r="AF7" s="137" t="s">
        <v>402</v>
      </c>
      <c r="AG7" s="137" t="s">
        <v>407</v>
      </c>
      <c r="AH7"/>
    </row>
    <row r="8" spans="1:34" ht="20.100000000000001" customHeight="1" x14ac:dyDescent="0.2">
      <c r="A8" s="73" t="s">
        <v>80</v>
      </c>
      <c r="B8" s="123" t="s">
        <v>260</v>
      </c>
      <c r="C8" s="77"/>
      <c r="D8" s="60"/>
      <c r="E8" s="79"/>
      <c r="F8" s="80"/>
      <c r="G8" s="81"/>
      <c r="H8" s="82"/>
      <c r="I8" s="82"/>
      <c r="K8" s="70" t="s">
        <v>219</v>
      </c>
      <c r="L8" s="103" t="s">
        <v>42</v>
      </c>
      <c r="N8" s="107" t="s">
        <v>314</v>
      </c>
      <c r="O8" s="103" t="s">
        <v>79</v>
      </c>
      <c r="P8" s="128" t="s">
        <v>428</v>
      </c>
      <c r="Q8" s="120" t="s">
        <v>66</v>
      </c>
      <c r="R8" s="129" t="s">
        <v>377</v>
      </c>
      <c r="S8" s="128" t="s">
        <v>429</v>
      </c>
      <c r="T8" s="130" t="s">
        <v>376</v>
      </c>
      <c r="U8" s="131" t="s">
        <v>381</v>
      </c>
      <c r="V8" s="132" t="s">
        <v>430</v>
      </c>
      <c r="W8" s="134" t="s">
        <v>66</v>
      </c>
      <c r="X8" s="133" t="s">
        <v>383</v>
      </c>
      <c r="Y8" s="132" t="s">
        <v>431</v>
      </c>
      <c r="Z8" s="133" t="s">
        <v>392</v>
      </c>
      <c r="AA8" s="133" t="s">
        <v>385</v>
      </c>
      <c r="AB8" s="138" t="s">
        <v>432</v>
      </c>
      <c r="AC8" s="121" t="s">
        <v>66</v>
      </c>
      <c r="AD8" s="137" t="s">
        <v>400</v>
      </c>
      <c r="AE8" s="138" t="s">
        <v>433</v>
      </c>
      <c r="AF8" s="137" t="s">
        <v>402</v>
      </c>
      <c r="AG8" s="137" t="s">
        <v>407</v>
      </c>
      <c r="AH8"/>
    </row>
    <row r="9" spans="1:34" ht="20.100000000000001" customHeight="1" x14ac:dyDescent="0.2">
      <c r="A9" s="73" t="s">
        <v>81</v>
      </c>
      <c r="B9" s="67" t="s">
        <v>204</v>
      </c>
      <c r="C9" s="116" t="s">
        <v>409</v>
      </c>
      <c r="D9" s="29" t="s">
        <v>97</v>
      </c>
      <c r="E9" s="76"/>
      <c r="F9" s="7" t="s">
        <v>192</v>
      </c>
      <c r="G9" s="68" t="s">
        <v>66</v>
      </c>
      <c r="H9" s="74"/>
      <c r="I9" s="74"/>
      <c r="K9" s="70" t="s">
        <v>220</v>
      </c>
      <c r="L9" s="103" t="s">
        <v>50</v>
      </c>
      <c r="N9" s="107" t="s">
        <v>315</v>
      </c>
      <c r="O9" s="103" t="s">
        <v>80</v>
      </c>
      <c r="P9" s="128" t="s">
        <v>434</v>
      </c>
      <c r="Q9" s="120" t="s">
        <v>66</v>
      </c>
      <c r="R9" s="129" t="s">
        <v>377</v>
      </c>
      <c r="S9" s="128" t="s">
        <v>435</v>
      </c>
      <c r="T9" s="130" t="s">
        <v>376</v>
      </c>
      <c r="U9" s="131" t="s">
        <v>381</v>
      </c>
      <c r="V9" s="132" t="s">
        <v>436</v>
      </c>
      <c r="W9" s="134" t="s">
        <v>66</v>
      </c>
      <c r="X9" s="133" t="s">
        <v>383</v>
      </c>
      <c r="Y9" s="132" t="s">
        <v>437</v>
      </c>
      <c r="Z9" s="133" t="s">
        <v>392</v>
      </c>
      <c r="AA9" s="133" t="s">
        <v>385</v>
      </c>
      <c r="AB9" s="138" t="s">
        <v>438</v>
      </c>
      <c r="AC9" s="121" t="s">
        <v>66</v>
      </c>
      <c r="AD9" s="137" t="s">
        <v>400</v>
      </c>
      <c r="AE9" s="138" t="s">
        <v>439</v>
      </c>
      <c r="AF9" s="137" t="s">
        <v>402</v>
      </c>
      <c r="AG9" s="137" t="s">
        <v>407</v>
      </c>
      <c r="AH9"/>
    </row>
    <row r="10" spans="1:34" ht="20.100000000000001" customHeight="1" x14ac:dyDescent="0.2">
      <c r="A10" s="73" t="s">
        <v>82</v>
      </c>
      <c r="B10" s="53" t="s">
        <v>193</v>
      </c>
      <c r="C10" s="116" t="s">
        <v>409</v>
      </c>
      <c r="D10" s="29" t="s">
        <v>97</v>
      </c>
      <c r="E10" s="76"/>
      <c r="F10" s="7" t="s">
        <v>194</v>
      </c>
      <c r="G10" s="68" t="s">
        <v>66</v>
      </c>
      <c r="H10" s="74"/>
      <c r="I10" s="74"/>
      <c r="K10" s="7"/>
      <c r="L10" s="11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20.100000000000001" customHeight="1" x14ac:dyDescent="0.2">
      <c r="A11" s="73" t="s">
        <v>83</v>
      </c>
      <c r="B11" s="53" t="s">
        <v>193</v>
      </c>
      <c r="C11" s="116" t="s">
        <v>409</v>
      </c>
      <c r="D11" s="29" t="s">
        <v>98</v>
      </c>
      <c r="E11" s="76"/>
      <c r="F11" s="7" t="s">
        <v>689</v>
      </c>
      <c r="G11" s="68" t="s">
        <v>66</v>
      </c>
      <c r="H11" s="74" t="s">
        <v>693</v>
      </c>
      <c r="I11" s="74"/>
      <c r="K11" s="106" t="s">
        <v>235</v>
      </c>
      <c r="L11" s="111" t="s">
        <v>74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20.100000000000001" customHeight="1" x14ac:dyDescent="0.2">
      <c r="A12" s="73" t="s">
        <v>84</v>
      </c>
      <c r="B12" s="53" t="s">
        <v>208</v>
      </c>
      <c r="C12" s="116" t="s">
        <v>409</v>
      </c>
      <c r="D12" s="29" t="s">
        <v>97</v>
      </c>
      <c r="E12" s="76"/>
      <c r="F12" s="7" t="s">
        <v>690</v>
      </c>
      <c r="G12" s="68" t="s">
        <v>66</v>
      </c>
      <c r="H12" s="74"/>
      <c r="I12" s="74"/>
      <c r="K12" s="7" t="s">
        <v>280</v>
      </c>
      <c r="L12" s="111">
        <v>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20.100000000000001" customHeight="1" x14ac:dyDescent="0.2">
      <c r="A13" s="73" t="s">
        <v>85</v>
      </c>
      <c r="B13" s="53" t="s">
        <v>208</v>
      </c>
      <c r="C13" s="116" t="s">
        <v>409</v>
      </c>
      <c r="D13" s="29" t="s">
        <v>98</v>
      </c>
      <c r="E13" s="76"/>
      <c r="F13" s="7" t="s">
        <v>691</v>
      </c>
      <c r="G13" s="68" t="s">
        <v>66</v>
      </c>
      <c r="H13" s="74" t="s">
        <v>694</v>
      </c>
      <c r="I13" s="74"/>
      <c r="K13" s="7" t="s">
        <v>281</v>
      </c>
      <c r="L13" s="111">
        <v>2</v>
      </c>
    </row>
    <row r="14" spans="1:34" ht="20.100000000000001" customHeight="1" x14ac:dyDescent="0.2">
      <c r="A14" s="73" t="s">
        <v>86</v>
      </c>
      <c r="B14" s="53" t="s">
        <v>233</v>
      </c>
      <c r="C14" s="116" t="s">
        <v>409</v>
      </c>
      <c r="D14" s="29" t="s">
        <v>97</v>
      </c>
      <c r="E14" s="76"/>
      <c r="F14" s="7" t="s">
        <v>692</v>
      </c>
      <c r="G14" s="68" t="s">
        <v>66</v>
      </c>
      <c r="H14" s="74"/>
      <c r="I14" s="74"/>
      <c r="K14" s="7" t="s">
        <v>282</v>
      </c>
      <c r="L14" s="111">
        <v>15</v>
      </c>
    </row>
    <row r="15" spans="1:34" ht="20.100000000000001" customHeight="1" x14ac:dyDescent="0.2">
      <c r="A15" s="73" t="s">
        <v>140</v>
      </c>
      <c r="B15" s="67" t="s">
        <v>209</v>
      </c>
      <c r="C15" s="73" t="s">
        <v>213</v>
      </c>
      <c r="D15" s="29" t="s">
        <v>98</v>
      </c>
      <c r="E15" s="76" t="str">
        <f>VLOOKUP(Table2337[[#This Row],[Data]],Table3444[],2,0)</f>
        <v>LN0100</v>
      </c>
      <c r="F15" s="44" t="s">
        <v>211</v>
      </c>
      <c r="G15" s="68" t="s">
        <v>66</v>
      </c>
      <c r="H15" s="74" t="s">
        <v>210</v>
      </c>
      <c r="I15" s="44" t="s">
        <v>212</v>
      </c>
      <c r="K15" s="44"/>
      <c r="L15" s="111"/>
    </row>
    <row r="16" spans="1:34" ht="20.100000000000001" customHeight="1" x14ac:dyDescent="0.2">
      <c r="A16" s="73" t="s">
        <v>141</v>
      </c>
      <c r="B16" s="53" t="s">
        <v>217</v>
      </c>
      <c r="C16" s="73" t="s">
        <v>219</v>
      </c>
      <c r="D16" s="29" t="s">
        <v>100</v>
      </c>
      <c r="E16" s="76" t="str">
        <f>VLOOKUP(Table2337[[#This Row],[Data]],Table3545[],2,0)</f>
        <v>0</v>
      </c>
      <c r="F16" s="44" t="s">
        <v>218</v>
      </c>
      <c r="G16" s="68" t="s">
        <v>66</v>
      </c>
      <c r="H16" s="74"/>
      <c r="I16" s="74"/>
      <c r="K16" s="72" t="s">
        <v>236</v>
      </c>
      <c r="L16" s="111" t="s">
        <v>74</v>
      </c>
    </row>
    <row r="17" spans="1:12" ht="20.100000000000001" customHeight="1" x14ac:dyDescent="0.2">
      <c r="A17" s="73" t="s">
        <v>142</v>
      </c>
      <c r="B17" s="53" t="s">
        <v>221</v>
      </c>
      <c r="C17" s="73" t="s">
        <v>223</v>
      </c>
      <c r="D17" s="29" t="s">
        <v>97</v>
      </c>
      <c r="E17" s="76"/>
      <c r="F17" s="44" t="s">
        <v>222</v>
      </c>
      <c r="G17" s="68" t="s">
        <v>67</v>
      </c>
      <c r="H17" s="44"/>
      <c r="I17" s="74"/>
      <c r="K17" s="7" t="s">
        <v>197</v>
      </c>
      <c r="L17" s="111" t="s">
        <v>200</v>
      </c>
    </row>
    <row r="18" spans="1:12" ht="20.100000000000001" customHeight="1" x14ac:dyDescent="0.2">
      <c r="A18" s="73" t="s">
        <v>144</v>
      </c>
      <c r="B18" s="53" t="s">
        <v>234</v>
      </c>
      <c r="C18" s="116" t="s">
        <v>409</v>
      </c>
      <c r="D18" s="29" t="s">
        <v>97</v>
      </c>
      <c r="E18" s="76"/>
      <c r="F18" s="44" t="s">
        <v>695</v>
      </c>
      <c r="G18" s="68" t="s">
        <v>67</v>
      </c>
      <c r="H18" s="74"/>
      <c r="I18" s="74"/>
      <c r="K18" s="7" t="s">
        <v>198</v>
      </c>
      <c r="L18" s="111" t="s">
        <v>201</v>
      </c>
    </row>
    <row r="19" spans="1:12" ht="20.100000000000001" customHeight="1" x14ac:dyDescent="0.2">
      <c r="A19" s="73" t="s">
        <v>205</v>
      </c>
      <c r="B19" s="53" t="s">
        <v>234</v>
      </c>
      <c r="C19" s="116" t="s">
        <v>409</v>
      </c>
      <c r="D19" s="29" t="s">
        <v>97</v>
      </c>
      <c r="E19" s="76"/>
      <c r="F19" s="44" t="s">
        <v>696</v>
      </c>
      <c r="G19" s="68" t="s">
        <v>67</v>
      </c>
      <c r="H19" s="74"/>
      <c r="I19" s="74"/>
      <c r="K19" s="7" t="s">
        <v>286</v>
      </c>
      <c r="L19" s="111" t="s">
        <v>288</v>
      </c>
    </row>
    <row r="20" spans="1:12" ht="20.100000000000001" customHeight="1" x14ac:dyDescent="0.2">
      <c r="A20" s="73" t="s">
        <v>206</v>
      </c>
      <c r="B20" s="124" t="s">
        <v>260</v>
      </c>
      <c r="C20" s="77"/>
      <c r="D20" s="60"/>
      <c r="E20" s="79"/>
      <c r="F20" s="80"/>
      <c r="G20" s="81"/>
      <c r="H20" s="82"/>
      <c r="I20" s="82"/>
      <c r="K20" s="7" t="s">
        <v>287</v>
      </c>
      <c r="L20" s="103" t="s">
        <v>289</v>
      </c>
    </row>
    <row r="21" spans="1:12" ht="20.100000000000001" customHeight="1" x14ac:dyDescent="0.2">
      <c r="A21" s="73" t="s">
        <v>207</v>
      </c>
      <c r="B21" s="105" t="s">
        <v>235</v>
      </c>
      <c r="C21" s="73" t="s">
        <v>280</v>
      </c>
      <c r="D21" s="29" t="s">
        <v>98</v>
      </c>
      <c r="E21" s="73">
        <f>VLOOKUP(Table2337[[#This Row],[Data]],Table2[],2,0)</f>
        <v>1</v>
      </c>
      <c r="F21" s="44" t="s">
        <v>279</v>
      </c>
      <c r="G21" s="68" t="s">
        <v>66</v>
      </c>
      <c r="H21" s="73" t="s">
        <v>277</v>
      </c>
      <c r="I21" s="44" t="s">
        <v>278</v>
      </c>
      <c r="K21" s="7" t="s">
        <v>199</v>
      </c>
      <c r="L21" s="103" t="s">
        <v>202</v>
      </c>
    </row>
    <row r="22" spans="1:12" ht="20.100000000000001" customHeight="1" x14ac:dyDescent="0.2">
      <c r="A22" s="73" t="s">
        <v>224</v>
      </c>
      <c r="B22" s="67" t="s">
        <v>236</v>
      </c>
      <c r="C22" s="73" t="s">
        <v>50</v>
      </c>
      <c r="D22" s="29" t="s">
        <v>97</v>
      </c>
      <c r="E22" s="76"/>
      <c r="F22" s="7" t="s">
        <v>283</v>
      </c>
      <c r="G22" s="68" t="s">
        <v>66</v>
      </c>
      <c r="H22" s="74"/>
      <c r="I22" s="74"/>
    </row>
    <row r="23" spans="1:12" ht="20.100000000000001" customHeight="1" x14ac:dyDescent="0.2">
      <c r="A23" s="73" t="s">
        <v>225</v>
      </c>
      <c r="B23" s="67" t="s">
        <v>236</v>
      </c>
      <c r="C23" s="73" t="s">
        <v>198</v>
      </c>
      <c r="D23" s="29" t="s">
        <v>98</v>
      </c>
      <c r="E23" s="76" t="str">
        <f>VLOOKUP(Table2337[[#This Row],[Data]],Table3[],2,0)</f>
        <v>M</v>
      </c>
      <c r="F23" s="7" t="s">
        <v>290</v>
      </c>
      <c r="G23" s="68" t="s">
        <v>66</v>
      </c>
      <c r="H23" s="74" t="s">
        <v>284</v>
      </c>
      <c r="I23" s="7" t="s">
        <v>285</v>
      </c>
      <c r="K23" s="67" t="s">
        <v>291</v>
      </c>
      <c r="L23" s="103" t="s">
        <v>74</v>
      </c>
    </row>
    <row r="24" spans="1:12" ht="20.100000000000001" customHeight="1" x14ac:dyDescent="0.2">
      <c r="A24" s="73" t="s">
        <v>226</v>
      </c>
      <c r="B24" s="67" t="s">
        <v>237</v>
      </c>
      <c r="C24" s="73" t="s">
        <v>295</v>
      </c>
      <c r="D24" s="29" t="s">
        <v>98</v>
      </c>
      <c r="E24" s="76" t="str">
        <f>VLOOKUP(Table2337[[#This Row],[Data]],Table4[],2,0)</f>
        <v>N</v>
      </c>
      <c r="F24" s="7" t="s">
        <v>292</v>
      </c>
      <c r="G24" s="68" t="s">
        <v>67</v>
      </c>
      <c r="H24" s="74" t="s">
        <v>308</v>
      </c>
      <c r="I24" s="73" t="s">
        <v>407</v>
      </c>
      <c r="K24" s="7" t="s">
        <v>293</v>
      </c>
      <c r="L24" s="103" t="s">
        <v>296</v>
      </c>
    </row>
    <row r="25" spans="1:12" ht="20.100000000000001" customHeight="1" x14ac:dyDescent="0.2">
      <c r="A25" s="73" t="s">
        <v>227</v>
      </c>
      <c r="B25" s="67" t="s">
        <v>241</v>
      </c>
      <c r="C25" s="73" t="s">
        <v>300</v>
      </c>
      <c r="D25" s="29" t="s">
        <v>98</v>
      </c>
      <c r="E25" s="76" t="str">
        <f>VLOOKUP(Table2337[[#This Row],[Data]],Table5[],2,0)</f>
        <v>E</v>
      </c>
      <c r="F25" s="7" t="s">
        <v>307</v>
      </c>
      <c r="G25" s="68" t="s">
        <v>67</v>
      </c>
      <c r="H25" s="73" t="s">
        <v>309</v>
      </c>
      <c r="I25" s="73" t="s">
        <v>407</v>
      </c>
      <c r="K25" s="7" t="s">
        <v>294</v>
      </c>
      <c r="L25" s="103" t="s">
        <v>298</v>
      </c>
    </row>
    <row r="26" spans="1:12" ht="20.100000000000001" customHeight="1" x14ac:dyDescent="0.2">
      <c r="A26" s="73" t="s">
        <v>228</v>
      </c>
      <c r="B26" s="53" t="s">
        <v>242</v>
      </c>
      <c r="C26" s="116" t="s">
        <v>409</v>
      </c>
      <c r="D26" s="29" t="s">
        <v>97</v>
      </c>
      <c r="E26" s="76"/>
      <c r="F26" s="7" t="s">
        <v>697</v>
      </c>
      <c r="G26" s="68" t="s">
        <v>66</v>
      </c>
      <c r="H26" s="74"/>
      <c r="I26" s="74"/>
      <c r="K26" s="7" t="s">
        <v>295</v>
      </c>
      <c r="L26" s="103" t="s">
        <v>297</v>
      </c>
    </row>
    <row r="27" spans="1:12" ht="20.100000000000001" customHeight="1" x14ac:dyDescent="0.2">
      <c r="A27" s="73" t="s">
        <v>229</v>
      </c>
      <c r="B27" s="53" t="s">
        <v>243</v>
      </c>
      <c r="C27" s="116" t="s">
        <v>409</v>
      </c>
      <c r="D27" s="29" t="s">
        <v>97</v>
      </c>
      <c r="E27" s="76"/>
      <c r="F27" s="7" t="s">
        <v>698</v>
      </c>
      <c r="G27" s="68" t="s">
        <v>66</v>
      </c>
      <c r="H27" s="74"/>
      <c r="I27" s="74"/>
    </row>
    <row r="28" spans="1:12" ht="20.100000000000001" customHeight="1" x14ac:dyDescent="0.2">
      <c r="A28" s="73" t="s">
        <v>238</v>
      </c>
      <c r="B28" s="53" t="s">
        <v>244</v>
      </c>
      <c r="C28" s="116" t="s">
        <v>409</v>
      </c>
      <c r="D28" s="29" t="s">
        <v>99</v>
      </c>
      <c r="E28" s="76"/>
      <c r="F28" s="7" t="s">
        <v>699</v>
      </c>
      <c r="G28" s="68" t="s">
        <v>66</v>
      </c>
      <c r="H28" s="74"/>
      <c r="I28" s="74"/>
      <c r="K28" s="67" t="s">
        <v>299</v>
      </c>
      <c r="L28" s="110" t="s">
        <v>74</v>
      </c>
    </row>
    <row r="29" spans="1:12" ht="20.100000000000001" customHeight="1" x14ac:dyDescent="0.2">
      <c r="A29" s="73" t="s">
        <v>239</v>
      </c>
      <c r="B29" s="53" t="s">
        <v>245</v>
      </c>
      <c r="C29" s="116" t="s">
        <v>409</v>
      </c>
      <c r="D29" s="29" t="s">
        <v>99</v>
      </c>
      <c r="E29" s="76"/>
      <c r="F29" s="7" t="s">
        <v>700</v>
      </c>
      <c r="G29" s="68" t="s">
        <v>67</v>
      </c>
      <c r="H29" s="74"/>
      <c r="I29" s="74"/>
      <c r="K29" s="7" t="s">
        <v>300</v>
      </c>
      <c r="L29" s="103" t="s">
        <v>306</v>
      </c>
    </row>
    <row r="30" spans="1:12" ht="20.100000000000001" customHeight="1" x14ac:dyDescent="0.2">
      <c r="A30" s="73" t="s">
        <v>240</v>
      </c>
      <c r="B30" s="123" t="s">
        <v>258</v>
      </c>
      <c r="C30" s="77"/>
      <c r="D30" s="60"/>
      <c r="E30" s="79"/>
      <c r="F30" s="80"/>
      <c r="G30" s="81"/>
      <c r="H30" s="82"/>
      <c r="I30" s="82"/>
      <c r="K30" s="7" t="s">
        <v>301</v>
      </c>
      <c r="L30" s="103" t="s">
        <v>50</v>
      </c>
    </row>
    <row r="31" spans="1:12" ht="20.100000000000001" customHeight="1" x14ac:dyDescent="0.2">
      <c r="A31" s="73" t="s">
        <v>246</v>
      </c>
      <c r="B31" s="53" t="s">
        <v>257</v>
      </c>
      <c r="C31" s="73"/>
      <c r="D31" s="29" t="s">
        <v>97</v>
      </c>
      <c r="E31" s="76"/>
      <c r="F31" s="7" t="s">
        <v>701</v>
      </c>
      <c r="G31" s="68" t="s">
        <v>67</v>
      </c>
      <c r="H31" s="74"/>
      <c r="I31" s="74"/>
      <c r="K31" s="7" t="s">
        <v>302</v>
      </c>
      <c r="L31" s="103" t="s">
        <v>142</v>
      </c>
    </row>
    <row r="32" spans="1:12" ht="20.100000000000001" customHeight="1" x14ac:dyDescent="0.2">
      <c r="A32" s="73" t="s">
        <v>247</v>
      </c>
      <c r="B32" s="53" t="s">
        <v>258</v>
      </c>
      <c r="C32" s="73"/>
      <c r="D32" s="29" t="s">
        <v>97</v>
      </c>
      <c r="E32" s="76"/>
      <c r="F32" s="7" t="s">
        <v>702</v>
      </c>
      <c r="G32" s="68" t="s">
        <v>66</v>
      </c>
      <c r="H32" s="74"/>
      <c r="I32" s="74"/>
      <c r="K32" s="7" t="s">
        <v>303</v>
      </c>
      <c r="L32" s="103" t="s">
        <v>248</v>
      </c>
    </row>
    <row r="33" spans="1:12" ht="20.100000000000001" customHeight="1" x14ac:dyDescent="0.2">
      <c r="A33" s="73" t="s">
        <v>248</v>
      </c>
      <c r="B33" s="123" t="s">
        <v>261</v>
      </c>
      <c r="C33" s="77"/>
      <c r="D33" s="60"/>
      <c r="E33" s="79"/>
      <c r="F33" s="80"/>
      <c r="G33" s="81"/>
      <c r="H33" s="82"/>
      <c r="I33" s="82"/>
      <c r="K33" s="7" t="s">
        <v>304</v>
      </c>
      <c r="L33" s="111" t="s">
        <v>305</v>
      </c>
    </row>
    <row r="34" spans="1:12" ht="20.100000000000001" customHeight="1" x14ac:dyDescent="0.2">
      <c r="A34" s="73" t="s">
        <v>249</v>
      </c>
      <c r="B34" s="139" t="s">
        <v>266</v>
      </c>
      <c r="C34" s="140" t="s">
        <v>315</v>
      </c>
      <c r="D34" s="141" t="s">
        <v>98</v>
      </c>
      <c r="E34" s="140" t="str">
        <f>VLOOKUP(Table2337[[#This Row],[Data]],Table1[],2,0)</f>
        <v>6</v>
      </c>
      <c r="F34" s="142"/>
      <c r="G34" s="143"/>
      <c r="H34" s="140"/>
      <c r="I34" s="140"/>
    </row>
    <row r="35" spans="1:12" ht="20.100000000000001" customHeight="1" x14ac:dyDescent="0.15">
      <c r="A35" s="73"/>
      <c r="B35" s="67" t="s">
        <v>267</v>
      </c>
      <c r="C35" s="76" t="str">
        <f>VLOOKUP(C34,Table1[],3,0)</f>
        <v>P85 : การศึกษา</v>
      </c>
      <c r="D35" s="29" t="s">
        <v>98</v>
      </c>
      <c r="E35" s="76" t="str">
        <f>VLOOKUP(C34,Table1[],6,0)</f>
        <v>80</v>
      </c>
      <c r="F35" s="75" t="str">
        <f>VLOOKUP(C34,Table1[],5,0)</f>
        <v>isic1Id</v>
      </c>
      <c r="G35" s="127" t="str">
        <f>VLOOKUP(C34,Table1[],4,0)</f>
        <v>id</v>
      </c>
      <c r="H35" s="76" t="str">
        <f>VLOOKUP(C34,Table1[],7,0)</f>
        <v>//*[@id="internationalStandardIndustrialClassificationDiv"]/div[3]/input</v>
      </c>
      <c r="I35" s="102" t="str">
        <f>VLOOKUP(C34,Table1[],8,0)</f>
        <v xml:space="preserve">populateIsic2(this.value,'' ,'isic2Id','isic3Id'); </v>
      </c>
      <c r="K35" s="67" t="s">
        <v>317</v>
      </c>
      <c r="L35" s="110" t="s">
        <v>74</v>
      </c>
    </row>
    <row r="36" spans="1:12" ht="20.100000000000001" customHeight="1" x14ac:dyDescent="0.2">
      <c r="A36" s="73"/>
      <c r="B36" s="67" t="s">
        <v>440</v>
      </c>
      <c r="C36" s="76" t="str">
        <f>VLOOKUP(C34,Table1[],9,0)</f>
        <v>3 : การศึกษาระดับอุดมศึกษา</v>
      </c>
      <c r="D36" s="29" t="s">
        <v>98</v>
      </c>
      <c r="E36" s="76" t="str">
        <f>VLOOKUP(C34,Table1[],12,0)</f>
        <v>373</v>
      </c>
      <c r="F36" s="75" t="str">
        <f>VLOOKUP(C34,Table1[],11,0)</f>
        <v>isic2Id</v>
      </c>
      <c r="G36" s="127" t="str">
        <f>VLOOKUP(C34,Table1[],10,0)</f>
        <v>id</v>
      </c>
      <c r="H36" s="102" t="str">
        <f>VLOOKUP(C34,Table1[],13,0)</f>
        <v>//*[@id="internationalStandardIndustrialClassificationDiv"]/div[5]/input</v>
      </c>
      <c r="I36" s="102" t="str">
        <f>VLOOKUP(C34,Table1[],14,0)</f>
        <v xml:space="preserve">populateIsic3(this.value,'' ,'isic3Id'); </v>
      </c>
      <c r="K36" s="7" t="s">
        <v>265</v>
      </c>
      <c r="L36" s="103" t="s">
        <v>50</v>
      </c>
    </row>
    <row r="37" spans="1:12" ht="20.100000000000001" customHeight="1" x14ac:dyDescent="0.2">
      <c r="A37" s="73"/>
      <c r="B37" s="67" t="s">
        <v>441</v>
      </c>
      <c r="C37" s="76" t="str">
        <f>VLOOKUP(C34,Table1[],15,0)</f>
        <v>030 : การศึกษาระดับปริญญาโทขึ้นไป</v>
      </c>
      <c r="D37" s="29" t="s">
        <v>98</v>
      </c>
      <c r="E37" s="76" t="str">
        <f>VLOOKUP(C34,Table1[],18,0)</f>
        <v>491</v>
      </c>
      <c r="F37" s="75" t="str">
        <f>VLOOKUP(C34,Table1[],17,0)</f>
        <v>isic3Id</v>
      </c>
      <c r="G37" s="127" t="str">
        <f>VLOOKUP(C34,Table1[],16,0)</f>
        <v>id</v>
      </c>
      <c r="H37" s="102" t="str">
        <f>VLOOKUP(C34,Table1[],19,0)</f>
        <v>//*[@id="internationalStandardIndustrialClassificationDiv"]/div[7]/input</v>
      </c>
      <c r="I37" s="102" t="str">
        <f>VLOOKUP(C34,Table1[],20,0)</f>
        <v>null</v>
      </c>
      <c r="K37" s="7" t="s">
        <v>327</v>
      </c>
      <c r="L37" s="103" t="s">
        <v>76</v>
      </c>
    </row>
    <row r="38" spans="1:12" ht="20.100000000000001" customHeight="1" x14ac:dyDescent="0.2">
      <c r="A38" s="73" t="s">
        <v>250</v>
      </c>
      <c r="B38" s="123" t="s">
        <v>316</v>
      </c>
      <c r="C38" s="77"/>
      <c r="D38" s="60"/>
      <c r="E38" s="79"/>
      <c r="F38" s="80"/>
      <c r="G38" s="81"/>
      <c r="H38" s="82"/>
      <c r="I38" s="82"/>
      <c r="K38" s="7" t="s">
        <v>328</v>
      </c>
      <c r="L38" s="103" t="s">
        <v>77</v>
      </c>
    </row>
    <row r="39" spans="1:12" ht="20.100000000000001" customHeight="1" x14ac:dyDescent="0.2">
      <c r="A39" s="73" t="s">
        <v>251</v>
      </c>
      <c r="B39" s="67" t="s">
        <v>317</v>
      </c>
      <c r="C39" s="73" t="s">
        <v>265</v>
      </c>
      <c r="D39" s="29" t="s">
        <v>98</v>
      </c>
      <c r="E39" s="76" t="str">
        <f>VLOOKUP(Table2337[[#This Row],[Data]],Table6[],2,0)</f>
        <v>1</v>
      </c>
      <c r="F39" s="7" t="s">
        <v>326</v>
      </c>
      <c r="G39" s="68" t="s">
        <v>66</v>
      </c>
      <c r="H39" s="74" t="s">
        <v>324</v>
      </c>
      <c r="I39" s="7" t="s">
        <v>325</v>
      </c>
      <c r="K39" s="7" t="s">
        <v>329</v>
      </c>
      <c r="L39" s="103" t="s">
        <v>78</v>
      </c>
    </row>
    <row r="40" spans="1:12" ht="20.100000000000001" customHeight="1" x14ac:dyDescent="0.2">
      <c r="A40" s="73" t="s">
        <v>252</v>
      </c>
      <c r="B40" s="53" t="s">
        <v>322</v>
      </c>
      <c r="C40" s="116" t="s">
        <v>409</v>
      </c>
      <c r="D40" s="29" t="s">
        <v>98</v>
      </c>
      <c r="E40" s="76"/>
      <c r="F40" s="7" t="s">
        <v>703</v>
      </c>
      <c r="G40" s="68" t="s">
        <v>66</v>
      </c>
      <c r="H40" s="74" t="s">
        <v>705</v>
      </c>
      <c r="I40" s="74"/>
      <c r="K40" s="7" t="s">
        <v>330</v>
      </c>
      <c r="L40" s="103" t="s">
        <v>79</v>
      </c>
    </row>
    <row r="41" spans="1:12" ht="20.100000000000001" customHeight="1" x14ac:dyDescent="0.2">
      <c r="A41" s="73" t="s">
        <v>253</v>
      </c>
      <c r="B41" s="53" t="s">
        <v>323</v>
      </c>
      <c r="C41" s="116" t="s">
        <v>409</v>
      </c>
      <c r="D41" s="29" t="s">
        <v>98</v>
      </c>
      <c r="E41" s="76"/>
      <c r="F41" s="7" t="s">
        <v>704</v>
      </c>
      <c r="G41" s="68" t="s">
        <v>66</v>
      </c>
      <c r="H41" s="74" t="s">
        <v>706</v>
      </c>
      <c r="I41" s="74"/>
      <c r="K41" s="7" t="s">
        <v>331</v>
      </c>
      <c r="L41" s="103" t="s">
        <v>80</v>
      </c>
    </row>
    <row r="42" spans="1:12" ht="20.100000000000001" customHeight="1" x14ac:dyDescent="0.2">
      <c r="A42" s="73" t="s">
        <v>254</v>
      </c>
      <c r="B42" s="119" t="s">
        <v>269</v>
      </c>
      <c r="C42" s="104"/>
      <c r="D42" s="60"/>
      <c r="E42" s="79"/>
      <c r="F42" s="80"/>
      <c r="G42" s="81"/>
      <c r="H42" s="82"/>
      <c r="I42" s="82"/>
      <c r="K42" s="7" t="s">
        <v>332</v>
      </c>
      <c r="L42" s="103" t="s">
        <v>81</v>
      </c>
    </row>
    <row r="43" spans="1:12" ht="20.100000000000001" customHeight="1" x14ac:dyDescent="0.2">
      <c r="A43" s="73" t="s">
        <v>255</v>
      </c>
      <c r="B43" s="53" t="s">
        <v>270</v>
      </c>
      <c r="C43" s="73"/>
      <c r="D43" s="29" t="s">
        <v>98</v>
      </c>
      <c r="E43" s="76"/>
      <c r="F43" s="7" t="s">
        <v>708</v>
      </c>
      <c r="G43" s="68" t="s">
        <v>67</v>
      </c>
      <c r="H43" s="74" t="s">
        <v>707</v>
      </c>
      <c r="I43" s="74"/>
      <c r="K43" s="7" t="s">
        <v>333</v>
      </c>
      <c r="L43" s="103" t="s">
        <v>82</v>
      </c>
    </row>
    <row r="44" spans="1:12" ht="20.100000000000001" customHeight="1" x14ac:dyDescent="0.2">
      <c r="A44" s="73" t="s">
        <v>256</v>
      </c>
      <c r="B44" s="67" t="s">
        <v>271</v>
      </c>
      <c r="C44" s="73" t="s">
        <v>336</v>
      </c>
      <c r="D44" s="29" t="s">
        <v>98</v>
      </c>
      <c r="E44" s="76" t="str">
        <f>VLOOKUP(Table2337[[#This Row],[Data]],K48:L49,2,0)</f>
        <v>0</v>
      </c>
      <c r="F44" s="7" t="s">
        <v>339</v>
      </c>
      <c r="G44" s="68" t="s">
        <v>67</v>
      </c>
      <c r="H44" s="74" t="s">
        <v>338</v>
      </c>
      <c r="I44" s="73" t="s">
        <v>407</v>
      </c>
      <c r="K44" s="7" t="s">
        <v>334</v>
      </c>
      <c r="L44" s="103" t="s">
        <v>83</v>
      </c>
    </row>
    <row r="45" spans="1:12" ht="20.100000000000001" customHeight="1" x14ac:dyDescent="0.2">
      <c r="A45" s="73" t="s">
        <v>318</v>
      </c>
      <c r="B45" s="67" t="s">
        <v>272</v>
      </c>
      <c r="C45" s="116" t="s">
        <v>409</v>
      </c>
      <c r="D45" s="29" t="s">
        <v>97</v>
      </c>
      <c r="E45" s="76"/>
      <c r="F45" s="7" t="s">
        <v>709</v>
      </c>
      <c r="G45" s="68" t="s">
        <v>66</v>
      </c>
      <c r="H45" s="74"/>
      <c r="I45" s="74"/>
      <c r="K45" s="7" t="s">
        <v>335</v>
      </c>
      <c r="L45" s="103" t="s">
        <v>85</v>
      </c>
    </row>
    <row r="46" spans="1:12" ht="20.100000000000001" customHeight="1" x14ac:dyDescent="0.2">
      <c r="A46" s="73" t="s">
        <v>319</v>
      </c>
      <c r="B46" s="67" t="s">
        <v>273</v>
      </c>
      <c r="C46" s="116" t="s">
        <v>409</v>
      </c>
      <c r="D46" s="29" t="s">
        <v>97</v>
      </c>
      <c r="E46" s="76"/>
      <c r="F46" s="7" t="s">
        <v>710</v>
      </c>
      <c r="G46" s="68" t="s">
        <v>66</v>
      </c>
      <c r="H46" s="74"/>
      <c r="I46" s="74"/>
    </row>
    <row r="47" spans="1:12" ht="20.100000000000001" customHeight="1" x14ac:dyDescent="0.2">
      <c r="A47" s="73" t="s">
        <v>320</v>
      </c>
      <c r="B47" s="53" t="s">
        <v>274</v>
      </c>
      <c r="C47" s="116" t="s">
        <v>409</v>
      </c>
      <c r="D47" s="29" t="s">
        <v>97</v>
      </c>
      <c r="E47" s="76"/>
      <c r="F47" s="7" t="s">
        <v>711</v>
      </c>
      <c r="G47" s="68" t="s">
        <v>66</v>
      </c>
      <c r="H47" s="74"/>
      <c r="I47" s="74"/>
      <c r="K47" s="67" t="s">
        <v>271</v>
      </c>
      <c r="L47" s="110" t="s">
        <v>74</v>
      </c>
    </row>
    <row r="48" spans="1:12" ht="20.100000000000001" customHeight="1" x14ac:dyDescent="0.2">
      <c r="A48" s="73" t="s">
        <v>321</v>
      </c>
      <c r="B48" s="67" t="s">
        <v>275</v>
      </c>
      <c r="C48" s="73" t="s">
        <v>345</v>
      </c>
      <c r="D48" s="29" t="s">
        <v>98</v>
      </c>
      <c r="E48" s="76" t="str">
        <f>VLOOKUP(Table2337[[#This Row],[Data]],Table19[],2,0)</f>
        <v>05</v>
      </c>
      <c r="F48" s="7" t="s">
        <v>348</v>
      </c>
      <c r="G48" s="68" t="s">
        <v>67</v>
      </c>
      <c r="H48" s="74" t="s">
        <v>340</v>
      </c>
      <c r="I48" s="73" t="s">
        <v>407</v>
      </c>
      <c r="K48" s="7" t="s">
        <v>336</v>
      </c>
      <c r="L48" s="103" t="s">
        <v>42</v>
      </c>
    </row>
    <row r="49" spans="1:12" ht="20.100000000000001" customHeight="1" x14ac:dyDescent="0.2">
      <c r="A49" s="73" t="s">
        <v>360</v>
      </c>
      <c r="B49" s="53" t="s">
        <v>276</v>
      </c>
      <c r="C49" s="108" t="s">
        <v>268</v>
      </c>
      <c r="D49" s="29" t="s">
        <v>97</v>
      </c>
      <c r="E49" s="76"/>
      <c r="F49" s="7" t="s">
        <v>712</v>
      </c>
      <c r="G49" s="68" t="s">
        <v>66</v>
      </c>
      <c r="H49" s="74"/>
      <c r="I49" s="74"/>
      <c r="K49" s="7" t="s">
        <v>337</v>
      </c>
      <c r="L49" s="103" t="s">
        <v>50</v>
      </c>
    </row>
    <row r="50" spans="1:12" ht="20.100000000000001" customHeight="1" x14ac:dyDescent="0.15">
      <c r="A50" s="73" t="s">
        <v>361</v>
      </c>
      <c r="B50" s="119" t="s">
        <v>346</v>
      </c>
      <c r="C50" s="77"/>
      <c r="D50" s="60"/>
      <c r="E50" s="79"/>
      <c r="F50" s="80"/>
      <c r="G50" s="81"/>
      <c r="H50" s="82"/>
      <c r="I50" s="82"/>
    </row>
    <row r="51" spans="1:12" ht="20.100000000000001" customHeight="1" x14ac:dyDescent="0.2">
      <c r="A51" s="73" t="s">
        <v>362</v>
      </c>
      <c r="B51" s="67" t="s">
        <v>347</v>
      </c>
      <c r="C51" s="73" t="s">
        <v>356</v>
      </c>
      <c r="D51" s="29" t="s">
        <v>98</v>
      </c>
      <c r="E51" s="76" t="str">
        <f>VLOOKUP(Table2337[[#This Row],[Data]],Table20[],2,0)</f>
        <v>0</v>
      </c>
      <c r="F51" s="7" t="s">
        <v>350</v>
      </c>
      <c r="G51" s="68" t="s">
        <v>66</v>
      </c>
      <c r="H51" s="73" t="s">
        <v>349</v>
      </c>
      <c r="I51" s="73" t="s">
        <v>407</v>
      </c>
      <c r="K51" s="67" t="s">
        <v>275</v>
      </c>
      <c r="L51" s="110" t="s">
        <v>74</v>
      </c>
    </row>
    <row r="52" spans="1:12" ht="20.100000000000001" customHeight="1" x14ac:dyDescent="0.2">
      <c r="A52" s="73" t="s">
        <v>364</v>
      </c>
      <c r="B52" s="113" t="s">
        <v>357</v>
      </c>
      <c r="C52" s="116" t="s">
        <v>409</v>
      </c>
      <c r="D52" s="38" t="s">
        <v>97</v>
      </c>
      <c r="E52" s="114"/>
      <c r="F52" s="7" t="s">
        <v>713</v>
      </c>
      <c r="G52" s="115" t="s">
        <v>66</v>
      </c>
      <c r="H52" s="112"/>
      <c r="I52" s="112"/>
      <c r="K52" s="7" t="s">
        <v>341</v>
      </c>
      <c r="L52" s="103" t="s">
        <v>113</v>
      </c>
    </row>
    <row r="53" spans="1:12" ht="20.100000000000001" customHeight="1" x14ac:dyDescent="0.2">
      <c r="A53" s="73" t="s">
        <v>365</v>
      </c>
      <c r="B53" s="113" t="s">
        <v>358</v>
      </c>
      <c r="C53" s="116" t="s">
        <v>409</v>
      </c>
      <c r="D53" s="38" t="s">
        <v>97</v>
      </c>
      <c r="E53" s="114"/>
      <c r="F53" s="7" t="s">
        <v>714</v>
      </c>
      <c r="G53" s="115" t="s">
        <v>66</v>
      </c>
      <c r="H53" s="112"/>
      <c r="I53" s="112"/>
      <c r="K53" s="7" t="s">
        <v>342</v>
      </c>
      <c r="L53" s="103" t="s">
        <v>114</v>
      </c>
    </row>
    <row r="54" spans="1:12" ht="20.100000000000001" customHeight="1" x14ac:dyDescent="0.2">
      <c r="A54" s="73" t="s">
        <v>366</v>
      </c>
      <c r="B54" s="113" t="s">
        <v>359</v>
      </c>
      <c r="C54" s="116" t="s">
        <v>409</v>
      </c>
      <c r="D54" s="38" t="s">
        <v>97</v>
      </c>
      <c r="E54" s="114"/>
      <c r="F54" s="7" t="s">
        <v>715</v>
      </c>
      <c r="G54" s="115" t="s">
        <v>66</v>
      </c>
      <c r="H54" s="112"/>
      <c r="I54" s="112"/>
      <c r="K54" s="7" t="s">
        <v>343</v>
      </c>
      <c r="L54" s="103" t="s">
        <v>115</v>
      </c>
    </row>
    <row r="55" spans="1:12" ht="20.100000000000001" customHeight="1" x14ac:dyDescent="0.2">
      <c r="A55" s="73" t="s">
        <v>367</v>
      </c>
      <c r="B55" s="119" t="s">
        <v>363</v>
      </c>
      <c r="C55" s="82"/>
      <c r="D55" s="60"/>
      <c r="E55" s="125"/>
      <c r="F55" s="97"/>
      <c r="G55" s="81"/>
      <c r="H55" s="82"/>
      <c r="I55" s="82"/>
      <c r="K55" s="7" t="s">
        <v>344</v>
      </c>
      <c r="L55" s="103" t="s">
        <v>116</v>
      </c>
    </row>
    <row r="56" spans="1:12" ht="20.100000000000001" customHeight="1" x14ac:dyDescent="0.2">
      <c r="A56" s="73" t="s">
        <v>368</v>
      </c>
      <c r="B56" s="53" t="s">
        <v>369</v>
      </c>
      <c r="C56" s="74" t="s">
        <v>718</v>
      </c>
      <c r="D56" s="29" t="s">
        <v>98</v>
      </c>
      <c r="E56" s="102" t="str">
        <f>VLOOKUP(Table2337[[#This Row],[Data]],Table63[],2,0)</f>
        <v>5</v>
      </c>
      <c r="F56" s="7" t="s">
        <v>716</v>
      </c>
      <c r="G56" s="68" t="s">
        <v>66</v>
      </c>
      <c r="H56" s="74" t="s">
        <v>717</v>
      </c>
      <c r="I56" s="74"/>
      <c r="K56" s="7" t="s">
        <v>345</v>
      </c>
      <c r="L56" s="103" t="s">
        <v>117</v>
      </c>
    </row>
    <row r="57" spans="1:12" ht="20.100000000000001" customHeight="1" x14ac:dyDescent="0.2">
      <c r="A57" s="73" t="s">
        <v>411</v>
      </c>
      <c r="B57" s="53" t="s">
        <v>370</v>
      </c>
      <c r="C57" s="116" t="s">
        <v>409</v>
      </c>
      <c r="D57" s="29" t="s">
        <v>97</v>
      </c>
      <c r="E57" s="102"/>
      <c r="F57" s="7" t="s">
        <v>725</v>
      </c>
      <c r="G57" s="68" t="s">
        <v>66</v>
      </c>
      <c r="H57" s="74" t="s">
        <v>724</v>
      </c>
      <c r="I57" s="74"/>
    </row>
    <row r="58" spans="1:12" ht="20.100000000000001" customHeight="1" x14ac:dyDescent="0.2">
      <c r="A58" s="73" t="s">
        <v>412</v>
      </c>
      <c r="B58" s="53" t="s">
        <v>371</v>
      </c>
      <c r="C58" s="116" t="s">
        <v>409</v>
      </c>
      <c r="D58" s="29" t="s">
        <v>97</v>
      </c>
      <c r="E58" s="102"/>
      <c r="F58" s="7" t="s">
        <v>726</v>
      </c>
      <c r="G58" s="68" t="s">
        <v>66</v>
      </c>
      <c r="H58" s="74" t="s">
        <v>727</v>
      </c>
      <c r="I58" s="74"/>
      <c r="K58" s="67" t="s">
        <v>347</v>
      </c>
      <c r="L58" s="110" t="s">
        <v>74</v>
      </c>
    </row>
    <row r="59" spans="1:12" ht="20.100000000000001" customHeight="1" x14ac:dyDescent="0.2">
      <c r="A59" s="73" t="s">
        <v>413</v>
      </c>
      <c r="B59" s="53" t="s">
        <v>372</v>
      </c>
      <c r="C59" s="74"/>
      <c r="D59" s="29" t="s">
        <v>97</v>
      </c>
      <c r="E59" s="102"/>
      <c r="F59" s="7" t="s">
        <v>723</v>
      </c>
      <c r="G59" s="68" t="s">
        <v>66</v>
      </c>
      <c r="H59" s="74"/>
      <c r="I59" s="74"/>
      <c r="K59" s="7" t="s">
        <v>356</v>
      </c>
      <c r="L59" s="103" t="s">
        <v>42</v>
      </c>
    </row>
    <row r="60" spans="1:12" ht="20.100000000000001" customHeight="1" x14ac:dyDescent="0.2">
      <c r="A60" s="73" t="s">
        <v>414</v>
      </c>
      <c r="B60" s="78"/>
      <c r="C60" s="82"/>
      <c r="D60" s="60"/>
      <c r="E60" s="125"/>
      <c r="F60" s="97"/>
      <c r="G60" s="81"/>
      <c r="H60" s="82"/>
      <c r="I60" s="82"/>
      <c r="K60" s="7" t="s">
        <v>351</v>
      </c>
      <c r="L60" s="103" t="s">
        <v>50</v>
      </c>
    </row>
    <row r="61" spans="1:12" ht="20.100000000000001" customHeight="1" x14ac:dyDescent="0.2">
      <c r="K61" s="7" t="s">
        <v>352</v>
      </c>
      <c r="L61" s="103" t="s">
        <v>76</v>
      </c>
    </row>
    <row r="62" spans="1:12" ht="20.100000000000001" customHeight="1" x14ac:dyDescent="0.2">
      <c r="K62" s="7" t="s">
        <v>353</v>
      </c>
      <c r="L62" s="103" t="s">
        <v>77</v>
      </c>
    </row>
    <row r="63" spans="1:12" ht="20.100000000000001" customHeight="1" x14ac:dyDescent="0.2">
      <c r="K63" s="7" t="s">
        <v>354</v>
      </c>
      <c r="L63" s="103" t="s">
        <v>78</v>
      </c>
    </row>
    <row r="64" spans="1:12" ht="20.100000000000001" customHeight="1" x14ac:dyDescent="0.2">
      <c r="K64" s="7" t="s">
        <v>355</v>
      </c>
      <c r="L64" s="103" t="s">
        <v>79</v>
      </c>
    </row>
    <row r="66" spans="11:12" ht="20.100000000000001" customHeight="1" x14ac:dyDescent="0.15">
      <c r="K66" s="67" t="s">
        <v>369</v>
      </c>
      <c r="L66" s="110" t="s">
        <v>74</v>
      </c>
    </row>
    <row r="67" spans="11:12" ht="20.100000000000001" customHeight="1" x14ac:dyDescent="0.2">
      <c r="K67" s="7" t="s">
        <v>718</v>
      </c>
      <c r="L67" s="103" t="s">
        <v>79</v>
      </c>
    </row>
    <row r="68" spans="11:12" ht="20.100000000000001" customHeight="1" x14ac:dyDescent="0.2">
      <c r="K68" s="7" t="s">
        <v>719</v>
      </c>
      <c r="L68" s="103" t="s">
        <v>50</v>
      </c>
    </row>
    <row r="69" spans="11:12" ht="20.100000000000001" customHeight="1" x14ac:dyDescent="0.2">
      <c r="K69" s="7" t="s">
        <v>720</v>
      </c>
      <c r="L69" s="103" t="s">
        <v>76</v>
      </c>
    </row>
    <row r="70" spans="11:12" ht="20.100000000000001" customHeight="1" x14ac:dyDescent="0.2">
      <c r="K70" s="7" t="s">
        <v>721</v>
      </c>
      <c r="L70" s="103" t="s">
        <v>77</v>
      </c>
    </row>
    <row r="71" spans="11:12" ht="20.100000000000001" customHeight="1" x14ac:dyDescent="0.2">
      <c r="K71" s="7" t="s">
        <v>722</v>
      </c>
      <c r="L71" s="103" t="s">
        <v>78</v>
      </c>
    </row>
  </sheetData>
  <dataConsolidate/>
  <dataValidations count="13">
    <dataValidation type="list" allowBlank="1" showInputMessage="1" showErrorMessage="1" sqref="G3:G34 G38:G60 Q4:Q9 W4:W9 AC4:AC9">
      <formula1>FieldRef</formula1>
    </dataValidation>
    <dataValidation type="list" allowBlank="1" showInputMessage="1" showErrorMessage="1" sqref="D3:D60">
      <formula1>Field</formula1>
    </dataValidation>
    <dataValidation type="list" allowBlank="1" showInputMessage="1" showErrorMessage="1" sqref="C16">
      <formula1>$K$8:$K$9</formula1>
    </dataValidation>
    <dataValidation type="list" allowBlank="1" showInputMessage="1" showErrorMessage="1" sqref="C15">
      <formula1>$K$3:$K$5</formula1>
    </dataValidation>
    <dataValidation type="list" allowBlank="1" showInputMessage="1" showErrorMessage="1" sqref="C21">
      <formula1>$K$12:$K$14</formula1>
    </dataValidation>
    <dataValidation type="list" allowBlank="1" showInputMessage="1" showErrorMessage="1" sqref="C23">
      <formula1>$K$17:$K$21</formula1>
    </dataValidation>
    <dataValidation type="list" allowBlank="1" showInputMessage="1" showErrorMessage="1" sqref="C24">
      <formula1>$K$24:$K$26</formula1>
    </dataValidation>
    <dataValidation type="list" allowBlank="1" showInputMessage="1" showErrorMessage="1" sqref="C25">
      <formula1>$K$29:$K$33</formula1>
    </dataValidation>
    <dataValidation type="list" allowBlank="1" showInputMessage="1" showErrorMessage="1" sqref="C39">
      <formula1>$K$36:$K$45</formula1>
    </dataValidation>
    <dataValidation type="list" allowBlank="1" showInputMessage="1" showErrorMessage="1" sqref="C44">
      <formula1>$K$48:$K$49</formula1>
    </dataValidation>
    <dataValidation type="list" allowBlank="1" showInputMessage="1" showErrorMessage="1" sqref="C48">
      <formula1>$K$52:$K$56</formula1>
    </dataValidation>
    <dataValidation type="list" allowBlank="1" showInputMessage="1" showErrorMessage="1" sqref="C51">
      <formula1>$K$59:$K$64</formula1>
    </dataValidation>
    <dataValidation type="list" allowBlank="1" showInputMessage="1" showErrorMessage="1" sqref="C56">
      <formula1>$K$67:$K$71</formula1>
    </dataValidation>
  </dataValidation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ISIC!$A$3:$A$8</xm:f>
          </x14:formula1>
          <xm:sqref>C34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zoomScaleNormal="100" workbookViewId="0">
      <selection activeCell="C14" sqref="C14"/>
    </sheetView>
  </sheetViews>
  <sheetFormatPr defaultRowHeight="20.100000000000001" customHeight="1" x14ac:dyDescent="0.2"/>
  <cols>
    <col min="1" max="1" width="22.28515625" bestFit="1" customWidth="1"/>
    <col min="2" max="2" width="4.42578125" bestFit="1" customWidth="1"/>
    <col min="3" max="3" width="41" bestFit="1" customWidth="1"/>
    <col min="4" max="4" width="15.42578125" bestFit="1" customWidth="1"/>
    <col min="5" max="5" width="10.85546875" bestFit="1" customWidth="1"/>
    <col min="6" max="6" width="6.28515625" bestFit="1" customWidth="1"/>
    <col min="7" max="7" width="75.28515625" bestFit="1" customWidth="1"/>
    <col min="8" max="8" width="52.42578125" bestFit="1" customWidth="1"/>
    <col min="9" max="9" width="47.140625" bestFit="1" customWidth="1"/>
    <col min="10" max="10" width="16.42578125" bestFit="1" customWidth="1"/>
    <col min="11" max="11" width="11.85546875" bestFit="1" customWidth="1"/>
    <col min="12" max="12" width="7.28515625" bestFit="1" customWidth="1"/>
    <col min="13" max="13" width="75.28515625" bestFit="1" customWidth="1"/>
    <col min="14" max="14" width="42.140625" bestFit="1" customWidth="1"/>
    <col min="15" max="15" width="30.42578125" bestFit="1" customWidth="1"/>
    <col min="16" max="16" width="16.42578125" bestFit="1" customWidth="1"/>
    <col min="17" max="17" width="11.85546875" bestFit="1" customWidth="1"/>
    <col min="18" max="18" width="7.28515625" bestFit="1" customWidth="1"/>
    <col min="19" max="19" width="75.28515625" bestFit="1" customWidth="1"/>
    <col min="20" max="20" width="9.28515625" bestFit="1" customWidth="1"/>
  </cols>
  <sheetData>
    <row r="2" spans="1:20" ht="20.100000000000001" customHeight="1" x14ac:dyDescent="0.2">
      <c r="A2" s="109" t="s">
        <v>417</v>
      </c>
      <c r="B2" s="103" t="s">
        <v>378</v>
      </c>
      <c r="C2" s="103" t="s">
        <v>47</v>
      </c>
      <c r="D2" s="103" t="s">
        <v>65</v>
      </c>
      <c r="E2" s="103" t="s">
        <v>52</v>
      </c>
      <c r="F2" s="103" t="s">
        <v>48</v>
      </c>
      <c r="G2" s="103" t="s">
        <v>379</v>
      </c>
      <c r="H2" s="103" t="s">
        <v>380</v>
      </c>
      <c r="I2" s="135" t="s">
        <v>393</v>
      </c>
      <c r="J2" s="135" t="s">
        <v>386</v>
      </c>
      <c r="K2" s="136" t="s">
        <v>387</v>
      </c>
      <c r="L2" s="135" t="s">
        <v>391</v>
      </c>
      <c r="M2" s="135" t="s">
        <v>389</v>
      </c>
      <c r="N2" s="135" t="s">
        <v>390</v>
      </c>
      <c r="O2" s="135" t="s">
        <v>395</v>
      </c>
      <c r="P2" s="135" t="s">
        <v>396</v>
      </c>
      <c r="Q2" s="135" t="s">
        <v>397</v>
      </c>
      <c r="R2" s="135" t="s">
        <v>388</v>
      </c>
      <c r="S2" s="135" t="s">
        <v>398</v>
      </c>
      <c r="T2" s="135" t="s">
        <v>394</v>
      </c>
    </row>
    <row r="3" spans="1:20" ht="20.100000000000001" customHeight="1" x14ac:dyDescent="0.2">
      <c r="A3" s="107" t="s">
        <v>310</v>
      </c>
      <c r="B3" s="103" t="s">
        <v>50</v>
      </c>
      <c r="C3" s="128" t="s">
        <v>375</v>
      </c>
      <c r="D3" s="120" t="s">
        <v>66</v>
      </c>
      <c r="E3" s="129" t="s">
        <v>377</v>
      </c>
      <c r="F3" s="129">
        <v>3</v>
      </c>
      <c r="G3" s="130" t="s">
        <v>376</v>
      </c>
      <c r="H3" s="131" t="s">
        <v>381</v>
      </c>
      <c r="I3" s="133" t="s">
        <v>382</v>
      </c>
      <c r="J3" s="134" t="s">
        <v>66</v>
      </c>
      <c r="K3" s="133" t="s">
        <v>383</v>
      </c>
      <c r="L3" s="133" t="s">
        <v>384</v>
      </c>
      <c r="M3" s="133" t="s">
        <v>392</v>
      </c>
      <c r="N3" s="133" t="s">
        <v>385</v>
      </c>
      <c r="O3" s="137" t="s">
        <v>399</v>
      </c>
      <c r="P3" s="121" t="s">
        <v>66</v>
      </c>
      <c r="Q3" s="137" t="s">
        <v>400</v>
      </c>
      <c r="R3" s="137" t="s">
        <v>401</v>
      </c>
      <c r="S3" s="137" t="s">
        <v>402</v>
      </c>
      <c r="T3" s="137" t="s">
        <v>407</v>
      </c>
    </row>
    <row r="4" spans="1:20" ht="20.100000000000001" customHeight="1" x14ac:dyDescent="0.2">
      <c r="A4" s="107" t="s">
        <v>311</v>
      </c>
      <c r="B4" s="103" t="s">
        <v>76</v>
      </c>
      <c r="C4" s="128" t="s">
        <v>403</v>
      </c>
      <c r="D4" s="120" t="s">
        <v>66</v>
      </c>
      <c r="E4" s="129" t="s">
        <v>377</v>
      </c>
      <c r="F4" s="128" t="s">
        <v>79</v>
      </c>
      <c r="G4" s="130" t="s">
        <v>376</v>
      </c>
      <c r="H4" s="131" t="s">
        <v>381</v>
      </c>
      <c r="I4" s="132" t="s">
        <v>404</v>
      </c>
      <c r="J4" s="134" t="s">
        <v>66</v>
      </c>
      <c r="K4" s="133" t="s">
        <v>383</v>
      </c>
      <c r="L4" s="132" t="s">
        <v>83</v>
      </c>
      <c r="M4" s="133" t="s">
        <v>392</v>
      </c>
      <c r="N4" s="133" t="s">
        <v>385</v>
      </c>
      <c r="O4" s="138" t="s">
        <v>405</v>
      </c>
      <c r="P4" s="121" t="s">
        <v>66</v>
      </c>
      <c r="Q4" s="137" t="s">
        <v>400</v>
      </c>
      <c r="R4" s="138" t="s">
        <v>406</v>
      </c>
      <c r="S4" s="137" t="s">
        <v>402</v>
      </c>
      <c r="T4" s="137" t="s">
        <v>407</v>
      </c>
    </row>
    <row r="5" spans="1:20" ht="20.100000000000001" customHeight="1" x14ac:dyDescent="0.2">
      <c r="A5" s="107" t="s">
        <v>312</v>
      </c>
      <c r="B5" s="103" t="s">
        <v>77</v>
      </c>
      <c r="C5" s="128" t="s">
        <v>415</v>
      </c>
      <c r="D5" s="120" t="s">
        <v>66</v>
      </c>
      <c r="E5" s="129" t="s">
        <v>377</v>
      </c>
      <c r="F5" s="128" t="s">
        <v>416</v>
      </c>
      <c r="G5" s="130" t="s">
        <v>376</v>
      </c>
      <c r="H5" s="131" t="s">
        <v>381</v>
      </c>
      <c r="I5" s="132" t="s">
        <v>418</v>
      </c>
      <c r="J5" s="134" t="s">
        <v>66</v>
      </c>
      <c r="K5" s="133" t="s">
        <v>383</v>
      </c>
      <c r="L5" s="132" t="s">
        <v>419</v>
      </c>
      <c r="M5" s="133" t="s">
        <v>392</v>
      </c>
      <c r="N5" s="133" t="s">
        <v>385</v>
      </c>
      <c r="O5" s="138" t="s">
        <v>420</v>
      </c>
      <c r="P5" s="121" t="s">
        <v>66</v>
      </c>
      <c r="Q5" s="137" t="s">
        <v>400</v>
      </c>
      <c r="R5" s="138" t="s">
        <v>421</v>
      </c>
      <c r="S5" s="137" t="s">
        <v>402</v>
      </c>
      <c r="T5" s="137" t="s">
        <v>407</v>
      </c>
    </row>
    <row r="6" spans="1:20" ht="20.100000000000001" customHeight="1" x14ac:dyDescent="0.2">
      <c r="A6" s="107" t="s">
        <v>313</v>
      </c>
      <c r="B6" s="103" t="s">
        <v>78</v>
      </c>
      <c r="C6" s="128" t="s">
        <v>422</v>
      </c>
      <c r="D6" s="120" t="s">
        <v>66</v>
      </c>
      <c r="E6" s="129" t="s">
        <v>377</v>
      </c>
      <c r="F6" s="128" t="s">
        <v>427</v>
      </c>
      <c r="G6" s="130" t="s">
        <v>376</v>
      </c>
      <c r="H6" s="131" t="s">
        <v>381</v>
      </c>
      <c r="I6" s="132" t="s">
        <v>423</v>
      </c>
      <c r="J6" s="134" t="s">
        <v>66</v>
      </c>
      <c r="K6" s="133" t="s">
        <v>383</v>
      </c>
      <c r="L6" s="132" t="s">
        <v>426</v>
      </c>
      <c r="M6" s="133" t="s">
        <v>392</v>
      </c>
      <c r="N6" s="133" t="s">
        <v>385</v>
      </c>
      <c r="O6" s="138" t="s">
        <v>424</v>
      </c>
      <c r="P6" s="121" t="s">
        <v>66</v>
      </c>
      <c r="Q6" s="137" t="s">
        <v>400</v>
      </c>
      <c r="R6" s="138" t="s">
        <v>425</v>
      </c>
      <c r="S6" s="137" t="s">
        <v>402</v>
      </c>
      <c r="T6" s="137" t="s">
        <v>407</v>
      </c>
    </row>
    <row r="7" spans="1:20" ht="20.100000000000001" customHeight="1" x14ac:dyDescent="0.2">
      <c r="A7" s="107" t="s">
        <v>314</v>
      </c>
      <c r="B7" s="103" t="s">
        <v>79</v>
      </c>
      <c r="C7" s="128" t="s">
        <v>428</v>
      </c>
      <c r="D7" s="120" t="s">
        <v>66</v>
      </c>
      <c r="E7" s="129" t="s">
        <v>377</v>
      </c>
      <c r="F7" s="128" t="s">
        <v>429</v>
      </c>
      <c r="G7" s="130" t="s">
        <v>376</v>
      </c>
      <c r="H7" s="131" t="s">
        <v>381</v>
      </c>
      <c r="I7" s="132" t="s">
        <v>430</v>
      </c>
      <c r="J7" s="134" t="s">
        <v>66</v>
      </c>
      <c r="K7" s="133" t="s">
        <v>383</v>
      </c>
      <c r="L7" s="132" t="s">
        <v>431</v>
      </c>
      <c r="M7" s="133" t="s">
        <v>392</v>
      </c>
      <c r="N7" s="133" t="s">
        <v>385</v>
      </c>
      <c r="O7" s="138" t="s">
        <v>432</v>
      </c>
      <c r="P7" s="121" t="s">
        <v>66</v>
      </c>
      <c r="Q7" s="137" t="s">
        <v>400</v>
      </c>
      <c r="R7" s="138" t="s">
        <v>433</v>
      </c>
      <c r="S7" s="137" t="s">
        <v>402</v>
      </c>
      <c r="T7" s="137" t="s">
        <v>407</v>
      </c>
    </row>
    <row r="8" spans="1:20" ht="20.100000000000001" customHeight="1" x14ac:dyDescent="0.2">
      <c r="A8" s="107" t="s">
        <v>315</v>
      </c>
      <c r="B8" s="103" t="s">
        <v>80</v>
      </c>
      <c r="C8" s="128" t="s">
        <v>434</v>
      </c>
      <c r="D8" s="120" t="s">
        <v>66</v>
      </c>
      <c r="E8" s="129" t="s">
        <v>377</v>
      </c>
      <c r="F8" s="128" t="s">
        <v>435</v>
      </c>
      <c r="G8" s="130" t="s">
        <v>376</v>
      </c>
      <c r="H8" s="131" t="s">
        <v>381</v>
      </c>
      <c r="I8" s="132" t="s">
        <v>436</v>
      </c>
      <c r="J8" s="134" t="s">
        <v>66</v>
      </c>
      <c r="K8" s="133" t="s">
        <v>383</v>
      </c>
      <c r="L8" s="132" t="s">
        <v>437</v>
      </c>
      <c r="M8" s="133" t="s">
        <v>392</v>
      </c>
      <c r="N8" s="133" t="s">
        <v>385</v>
      </c>
      <c r="O8" s="138" t="s">
        <v>438</v>
      </c>
      <c r="P8" s="121" t="s">
        <v>66</v>
      </c>
      <c r="Q8" s="137" t="s">
        <v>400</v>
      </c>
      <c r="R8" s="138" t="s">
        <v>439</v>
      </c>
      <c r="S8" s="137" t="s">
        <v>402</v>
      </c>
      <c r="T8" s="137" t="s">
        <v>407</v>
      </c>
    </row>
  </sheetData>
  <dataValidations count="1">
    <dataValidation type="list" allowBlank="1" showInputMessage="1" showErrorMessage="1" sqref="D3:D8 J3:J8 P3:P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5" sqref="D5"/>
    </sheetView>
  </sheetViews>
  <sheetFormatPr defaultRowHeight="20.100000000000001" customHeight="1" x14ac:dyDescent="0.2"/>
  <cols>
    <col min="1" max="1" width="12.140625" style="12" customWidth="1"/>
    <col min="2" max="2" width="9.140625" style="12"/>
    <col min="3" max="3" width="11.85546875" style="12" bestFit="1" customWidth="1"/>
    <col min="4" max="16384" width="9.140625" style="12"/>
  </cols>
  <sheetData>
    <row r="1" spans="1:3" ht="20.100000000000001" customHeight="1" x14ac:dyDescent="0.2">
      <c r="A1" s="12" t="s">
        <v>103</v>
      </c>
      <c r="C1" s="12" t="s">
        <v>104</v>
      </c>
    </row>
    <row r="2" spans="1:3" ht="20.100000000000001" customHeight="1" x14ac:dyDescent="0.2">
      <c r="A2" s="12" t="s">
        <v>97</v>
      </c>
      <c r="C2" s="12" t="s">
        <v>66</v>
      </c>
    </row>
    <row r="4" spans="1:3" ht="20.100000000000001" customHeight="1" x14ac:dyDescent="0.2">
      <c r="A4" s="12" t="s">
        <v>105</v>
      </c>
      <c r="C4" s="12" t="s">
        <v>106</v>
      </c>
    </row>
    <row r="5" spans="1:3" ht="20.100000000000001" customHeight="1" x14ac:dyDescent="0.2">
      <c r="A5" s="13" t="s">
        <v>97</v>
      </c>
      <c r="C5" s="12" t="s">
        <v>66</v>
      </c>
    </row>
    <row r="6" spans="1:3" ht="20.100000000000001" customHeight="1" x14ac:dyDescent="0.2">
      <c r="A6" s="12" t="s">
        <v>98</v>
      </c>
      <c r="C6" s="12" t="s">
        <v>67</v>
      </c>
    </row>
    <row r="7" spans="1:3" ht="20.100000000000001" customHeight="1" x14ac:dyDescent="0.2">
      <c r="A7" s="12" t="s">
        <v>99</v>
      </c>
      <c r="C7" s="12" t="s">
        <v>102</v>
      </c>
    </row>
    <row r="8" spans="1:3" ht="20.100000000000001" customHeight="1" x14ac:dyDescent="0.2">
      <c r="A8" s="12" t="s">
        <v>100</v>
      </c>
    </row>
    <row r="9" spans="1:3" ht="20.100000000000001" customHeight="1" x14ac:dyDescent="0.2">
      <c r="A9" s="12" t="s">
        <v>101</v>
      </c>
    </row>
  </sheetData>
  <dataValidations count="2">
    <dataValidation type="list" allowBlank="1" showInputMessage="1" showErrorMessage="1" sqref="C2">
      <formula1>FieldRef</formula1>
    </dataValidation>
    <dataValidation type="list" allowBlank="1" showInputMessage="1" showErrorMessage="1" sqref="A2">
      <formula1>Field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A2" sqref="A2"/>
    </sheetView>
  </sheetViews>
  <sheetFormatPr defaultRowHeight="20.100000000000001" customHeight="1" x14ac:dyDescent="0.2"/>
  <cols>
    <col min="1" max="1" width="6.5703125" style="144" customWidth="1"/>
    <col min="2" max="2" width="30.42578125" style="144" customWidth="1"/>
    <col min="3" max="3" width="31.7109375" style="144" customWidth="1"/>
    <col min="4" max="4" width="9.140625" style="144"/>
    <col min="5" max="5" width="9.140625" style="145"/>
    <col min="6" max="6" width="25.140625" style="144" customWidth="1"/>
    <col min="7" max="7" width="28.5703125" style="144" customWidth="1"/>
    <col min="8" max="8" width="29.5703125" style="144" customWidth="1"/>
    <col min="9" max="10" width="9.140625" style="144"/>
    <col min="11" max="11" width="36.85546875" style="144" customWidth="1"/>
    <col min="12" max="12" width="10.42578125" style="144" customWidth="1"/>
    <col min="13" max="16384" width="9.140625" style="144"/>
  </cols>
  <sheetData>
    <row r="2" spans="1:12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12" ht="20.100000000000001" customHeight="1" x14ac:dyDescent="0.2">
      <c r="A3" s="154" t="s">
        <v>50</v>
      </c>
      <c r="B3" s="144" t="s">
        <v>518</v>
      </c>
      <c r="C3" s="157"/>
      <c r="D3" s="153" t="s">
        <v>97</v>
      </c>
      <c r="E3" s="167"/>
      <c r="F3" s="158"/>
      <c r="G3" s="155"/>
      <c r="H3" s="157"/>
      <c r="I3" s="157"/>
      <c r="K3" s="156" t="s">
        <v>517</v>
      </c>
      <c r="L3" s="144" t="s">
        <v>74</v>
      </c>
    </row>
    <row r="4" spans="1:12" ht="20.100000000000001" customHeight="1" x14ac:dyDescent="0.2">
      <c r="A4" s="154" t="s">
        <v>76</v>
      </c>
      <c r="B4" s="166" t="s">
        <v>516</v>
      </c>
      <c r="C4" s="154" t="s">
        <v>79</v>
      </c>
      <c r="D4" s="153" t="s">
        <v>97</v>
      </c>
      <c r="E4" s="167"/>
      <c r="F4" s="158" t="s">
        <v>515</v>
      </c>
      <c r="G4" s="155" t="s">
        <v>66</v>
      </c>
      <c r="H4" s="157"/>
      <c r="I4" s="157"/>
      <c r="K4" s="144" t="s">
        <v>511</v>
      </c>
      <c r="L4" s="144">
        <v>1</v>
      </c>
    </row>
    <row r="5" spans="1:12" ht="20.100000000000001" customHeight="1" x14ac:dyDescent="0.2">
      <c r="A5" s="154" t="s">
        <v>77</v>
      </c>
      <c r="B5" s="165" t="s">
        <v>514</v>
      </c>
      <c r="C5" s="154"/>
      <c r="D5" s="153" t="s">
        <v>97</v>
      </c>
      <c r="E5" s="167"/>
      <c r="F5" s="158"/>
      <c r="G5" s="155"/>
      <c r="H5" s="157"/>
      <c r="I5" s="157"/>
      <c r="K5" s="144" t="s">
        <v>513</v>
      </c>
      <c r="L5" s="144">
        <v>2</v>
      </c>
    </row>
    <row r="6" spans="1:12" ht="20.100000000000001" customHeight="1" x14ac:dyDescent="0.2">
      <c r="A6" s="154" t="s">
        <v>78</v>
      </c>
      <c r="B6" s="166" t="s">
        <v>512</v>
      </c>
      <c r="C6" s="164" t="s">
        <v>511</v>
      </c>
      <c r="D6" s="153" t="s">
        <v>98</v>
      </c>
      <c r="E6" s="159">
        <f>VLOOKUP(Table236[[#This Row],[Data]],Table1935[],2,0)</f>
        <v>1</v>
      </c>
      <c r="F6" s="158" t="s">
        <v>510</v>
      </c>
      <c r="G6" s="155" t="s">
        <v>66</v>
      </c>
      <c r="H6" s="157"/>
      <c r="I6" s="154" t="s">
        <v>407</v>
      </c>
      <c r="K6" s="144" t="s">
        <v>509</v>
      </c>
      <c r="L6" s="144">
        <v>4</v>
      </c>
    </row>
    <row r="7" spans="1:12" ht="20.100000000000001" customHeight="1" x14ac:dyDescent="0.2">
      <c r="A7" s="154" t="s">
        <v>79</v>
      </c>
      <c r="B7" s="166" t="s">
        <v>508</v>
      </c>
      <c r="C7" s="164" t="s">
        <v>477</v>
      </c>
      <c r="D7" s="153" t="s">
        <v>98</v>
      </c>
      <c r="E7" s="167" t="str">
        <f>VLOOKUP(Table236[[#This Row],[Data]],Table2036[],2,0)</f>
        <v>04</v>
      </c>
      <c r="F7" s="158" t="s">
        <v>507</v>
      </c>
      <c r="G7" s="155" t="s">
        <v>66</v>
      </c>
      <c r="H7" s="157"/>
      <c r="I7" s="154" t="s">
        <v>407</v>
      </c>
    </row>
    <row r="8" spans="1:12" ht="20.100000000000001" customHeight="1" x14ac:dyDescent="0.2">
      <c r="A8" s="154" t="s">
        <v>80</v>
      </c>
      <c r="B8" s="166" t="s">
        <v>506</v>
      </c>
      <c r="C8" s="157" t="s">
        <v>481</v>
      </c>
      <c r="D8" s="153" t="s">
        <v>98</v>
      </c>
      <c r="E8" s="159" t="str">
        <f>VLOOKUP(Table236[[#This Row],[Data]],Table21[],2,0)</f>
        <v>02</v>
      </c>
      <c r="F8" s="158" t="s">
        <v>505</v>
      </c>
      <c r="G8" s="155" t="s">
        <v>66</v>
      </c>
      <c r="H8" s="157"/>
      <c r="I8" s="154" t="s">
        <v>407</v>
      </c>
      <c r="K8" s="156" t="s">
        <v>504</v>
      </c>
      <c r="L8" s="144" t="s">
        <v>74</v>
      </c>
    </row>
    <row r="9" spans="1:12" ht="20.100000000000001" customHeight="1" x14ac:dyDescent="0.2">
      <c r="A9" s="154" t="s">
        <v>81</v>
      </c>
      <c r="B9" s="166" t="s">
        <v>503</v>
      </c>
      <c r="C9" s="154" t="s">
        <v>76</v>
      </c>
      <c r="D9" s="153" t="s">
        <v>97</v>
      </c>
      <c r="E9" s="159"/>
      <c r="F9" s="158" t="s">
        <v>502</v>
      </c>
      <c r="G9" s="155" t="s">
        <v>66</v>
      </c>
      <c r="H9" s="157"/>
      <c r="I9" s="157"/>
      <c r="K9" s="144" t="s">
        <v>483</v>
      </c>
      <c r="L9" s="146" t="s">
        <v>113</v>
      </c>
    </row>
    <row r="10" spans="1:12" ht="20.100000000000001" customHeight="1" x14ac:dyDescent="0.2">
      <c r="A10" s="154" t="s">
        <v>82</v>
      </c>
      <c r="B10" s="165" t="s">
        <v>501</v>
      </c>
      <c r="C10" s="154" t="s">
        <v>50</v>
      </c>
      <c r="D10" s="153" t="s">
        <v>97</v>
      </c>
      <c r="E10" s="159"/>
      <c r="F10" s="158" t="s">
        <v>500</v>
      </c>
      <c r="G10" s="155" t="s">
        <v>66</v>
      </c>
      <c r="H10" s="157"/>
      <c r="I10" s="157"/>
      <c r="K10" s="144" t="s">
        <v>481</v>
      </c>
      <c r="L10" s="146" t="s">
        <v>114</v>
      </c>
    </row>
    <row r="11" spans="1:12" ht="20.100000000000001" customHeight="1" x14ac:dyDescent="0.2">
      <c r="A11" s="154" t="s">
        <v>83</v>
      </c>
      <c r="B11" s="166" t="s">
        <v>499</v>
      </c>
      <c r="C11" s="154" t="s">
        <v>77</v>
      </c>
      <c r="D11" s="153" t="s">
        <v>97</v>
      </c>
      <c r="E11" s="159"/>
      <c r="F11" s="158" t="s">
        <v>498</v>
      </c>
      <c r="G11" s="155" t="s">
        <v>66</v>
      </c>
      <c r="H11" s="157"/>
      <c r="I11" s="157"/>
      <c r="K11" s="144" t="s">
        <v>479</v>
      </c>
      <c r="L11" s="146" t="s">
        <v>115</v>
      </c>
    </row>
    <row r="12" spans="1:12" ht="20.100000000000001" customHeight="1" x14ac:dyDescent="0.2">
      <c r="A12" s="154" t="s">
        <v>84</v>
      </c>
      <c r="B12" s="165" t="s">
        <v>497</v>
      </c>
      <c r="C12" s="154" t="s">
        <v>76</v>
      </c>
      <c r="D12" s="153" t="s">
        <v>97</v>
      </c>
      <c r="E12" s="159"/>
      <c r="F12" s="158" t="s">
        <v>496</v>
      </c>
      <c r="G12" s="155" t="s">
        <v>66</v>
      </c>
      <c r="H12" s="157"/>
      <c r="I12" s="157"/>
      <c r="K12" s="144" t="s">
        <v>477</v>
      </c>
      <c r="L12" s="146" t="s">
        <v>116</v>
      </c>
    </row>
    <row r="13" spans="1:12" ht="20.100000000000001" customHeight="1" x14ac:dyDescent="0.2">
      <c r="A13" s="154" t="s">
        <v>85</v>
      </c>
      <c r="B13" s="166" t="s">
        <v>495</v>
      </c>
      <c r="C13" s="157" t="s">
        <v>469</v>
      </c>
      <c r="D13" s="153" t="s">
        <v>98</v>
      </c>
      <c r="E13" s="167" t="str">
        <f>VLOOKUP(Table236[[#This Row],[Data]],Table25[],2,0)</f>
        <v>01</v>
      </c>
      <c r="F13" s="158" t="s">
        <v>494</v>
      </c>
      <c r="G13" s="155" t="s">
        <v>66</v>
      </c>
      <c r="H13" s="157"/>
      <c r="I13" s="154" t="s">
        <v>407</v>
      </c>
      <c r="K13" s="144" t="s">
        <v>475</v>
      </c>
      <c r="L13" s="146" t="s">
        <v>117</v>
      </c>
    </row>
    <row r="14" spans="1:12" ht="20.100000000000001" customHeight="1" x14ac:dyDescent="0.2">
      <c r="A14" s="154" t="s">
        <v>86</v>
      </c>
      <c r="B14" s="166" t="s">
        <v>493</v>
      </c>
      <c r="C14" s="157" t="s">
        <v>450</v>
      </c>
      <c r="D14" s="153" t="s">
        <v>98</v>
      </c>
      <c r="E14" s="167" t="str">
        <f>VLOOKUP(Table236[[#This Row],[Data]],Table2640[],2,0)</f>
        <v>05</v>
      </c>
      <c r="F14" s="158" t="s">
        <v>492</v>
      </c>
      <c r="G14" s="155" t="s">
        <v>66</v>
      </c>
      <c r="H14" s="157"/>
      <c r="I14" s="154" t="s">
        <v>407</v>
      </c>
      <c r="K14" s="144" t="s">
        <v>474</v>
      </c>
      <c r="L14" s="146" t="s">
        <v>41</v>
      </c>
    </row>
    <row r="15" spans="1:12" ht="20.100000000000001" customHeight="1" x14ac:dyDescent="0.2">
      <c r="A15" s="154" t="s">
        <v>140</v>
      </c>
      <c r="B15" s="166" t="s">
        <v>491</v>
      </c>
      <c r="C15" s="154" t="s">
        <v>76</v>
      </c>
      <c r="D15" s="153" t="s">
        <v>97</v>
      </c>
      <c r="E15" s="159"/>
      <c r="F15" s="158" t="s">
        <v>490</v>
      </c>
      <c r="G15" s="155" t="s">
        <v>66</v>
      </c>
      <c r="H15" s="157"/>
      <c r="I15" s="157"/>
      <c r="K15" s="144" t="s">
        <v>472</v>
      </c>
      <c r="L15" s="146" t="s">
        <v>118</v>
      </c>
    </row>
    <row r="16" spans="1:12" ht="20.100000000000001" customHeight="1" x14ac:dyDescent="0.2">
      <c r="A16" s="154" t="s">
        <v>141</v>
      </c>
      <c r="B16" s="165" t="s">
        <v>489</v>
      </c>
      <c r="C16" s="154" t="s">
        <v>50</v>
      </c>
      <c r="D16" s="153" t="s">
        <v>97</v>
      </c>
      <c r="E16" s="159"/>
      <c r="F16" s="158" t="s">
        <v>488</v>
      </c>
      <c r="G16" s="155" t="s">
        <v>66</v>
      </c>
      <c r="H16" s="157"/>
      <c r="I16" s="157"/>
    </row>
    <row r="17" spans="1:12" ht="20.100000000000001" customHeight="1" x14ac:dyDescent="0.2">
      <c r="A17" s="154" t="s">
        <v>142</v>
      </c>
      <c r="B17" s="166" t="s">
        <v>487</v>
      </c>
      <c r="C17" s="154" t="s">
        <v>77</v>
      </c>
      <c r="D17" s="153" t="s">
        <v>97</v>
      </c>
      <c r="E17" s="159"/>
      <c r="F17" s="158" t="s">
        <v>484</v>
      </c>
      <c r="G17" s="155" t="s">
        <v>66</v>
      </c>
      <c r="H17" s="157"/>
      <c r="I17" s="157"/>
      <c r="K17" s="156" t="s">
        <v>486</v>
      </c>
      <c r="L17" s="144" t="s">
        <v>74</v>
      </c>
    </row>
    <row r="18" spans="1:12" ht="20.100000000000001" customHeight="1" x14ac:dyDescent="0.2">
      <c r="A18" s="154" t="s">
        <v>144</v>
      </c>
      <c r="B18" s="165" t="s">
        <v>485</v>
      </c>
      <c r="C18" s="154" t="s">
        <v>50</v>
      </c>
      <c r="D18" s="153" t="s">
        <v>97</v>
      </c>
      <c r="E18" s="159"/>
      <c r="F18" s="158" t="s">
        <v>484</v>
      </c>
      <c r="G18" s="155" t="s">
        <v>66</v>
      </c>
      <c r="H18" s="157"/>
      <c r="I18" s="157"/>
      <c r="K18" s="162" t="s">
        <v>483</v>
      </c>
      <c r="L18" s="146" t="s">
        <v>113</v>
      </c>
    </row>
    <row r="19" spans="1:12" ht="20.100000000000001" customHeight="1" x14ac:dyDescent="0.2">
      <c r="A19" s="154" t="s">
        <v>205</v>
      </c>
      <c r="B19" s="146" t="s">
        <v>482</v>
      </c>
      <c r="C19" s="157"/>
      <c r="D19" s="153" t="s">
        <v>98</v>
      </c>
      <c r="E19" s="159"/>
      <c r="F19" s="158"/>
      <c r="G19" s="155"/>
      <c r="H19" s="157"/>
      <c r="I19" s="157"/>
      <c r="K19" s="161" t="s">
        <v>481</v>
      </c>
      <c r="L19" s="146" t="s">
        <v>114</v>
      </c>
    </row>
    <row r="20" spans="1:12" ht="20.100000000000001" customHeight="1" x14ac:dyDescent="0.2">
      <c r="A20" s="154" t="s">
        <v>206</v>
      </c>
      <c r="B20" s="146" t="s">
        <v>480</v>
      </c>
      <c r="C20" s="164"/>
      <c r="D20" s="153" t="s">
        <v>97</v>
      </c>
      <c r="E20" s="159"/>
      <c r="F20" s="158"/>
      <c r="G20" s="155"/>
      <c r="H20" s="157"/>
      <c r="I20" s="157"/>
      <c r="K20" s="162" t="s">
        <v>479</v>
      </c>
      <c r="L20" s="146" t="s">
        <v>115</v>
      </c>
    </row>
    <row r="21" spans="1:12" ht="20.100000000000001" customHeight="1" x14ac:dyDescent="0.2">
      <c r="A21" s="154" t="s">
        <v>207</v>
      </c>
      <c r="B21" s="146" t="s">
        <v>478</v>
      </c>
      <c r="C21" s="154"/>
      <c r="D21" s="153" t="s">
        <v>98</v>
      </c>
      <c r="E21" s="159"/>
      <c r="F21" s="158"/>
      <c r="G21" s="155"/>
      <c r="H21" s="154"/>
      <c r="I21" s="157"/>
      <c r="K21" s="161" t="s">
        <v>477</v>
      </c>
      <c r="L21" s="146" t="s">
        <v>116</v>
      </c>
    </row>
    <row r="22" spans="1:12" ht="20.100000000000001" customHeight="1" x14ac:dyDescent="0.2">
      <c r="A22" s="154" t="s">
        <v>224</v>
      </c>
      <c r="B22" s="146" t="s">
        <v>476</v>
      </c>
      <c r="C22" s="163"/>
      <c r="D22" s="153" t="s">
        <v>98</v>
      </c>
      <c r="E22" s="159"/>
      <c r="F22" s="163"/>
      <c r="G22" s="155"/>
      <c r="H22" s="157"/>
      <c r="I22" s="157"/>
      <c r="K22" s="162" t="s">
        <v>475</v>
      </c>
      <c r="L22" s="146" t="s">
        <v>117</v>
      </c>
    </row>
    <row r="23" spans="1:12" ht="20.100000000000001" customHeight="1" x14ac:dyDescent="0.2">
      <c r="A23" s="154" t="s">
        <v>225</v>
      </c>
      <c r="B23" s="146" t="s">
        <v>451</v>
      </c>
      <c r="C23" s="158"/>
      <c r="D23" s="153" t="s">
        <v>97</v>
      </c>
      <c r="E23" s="159"/>
      <c r="F23" s="158"/>
      <c r="G23" s="155"/>
      <c r="H23" s="157"/>
      <c r="I23" s="157"/>
      <c r="K23" s="161" t="s">
        <v>474</v>
      </c>
      <c r="L23" s="146" t="s">
        <v>41</v>
      </c>
    </row>
    <row r="24" spans="1:12" ht="20.100000000000001" customHeight="1" x14ac:dyDescent="0.2">
      <c r="A24" s="154" t="s">
        <v>226</v>
      </c>
      <c r="B24" s="146" t="s">
        <v>473</v>
      </c>
      <c r="C24" s="157"/>
      <c r="D24" s="153" t="s">
        <v>98</v>
      </c>
      <c r="E24" s="159"/>
      <c r="F24" s="158"/>
      <c r="G24" s="155"/>
      <c r="H24" s="157"/>
      <c r="I24" s="157"/>
      <c r="K24" s="160" t="s">
        <v>472</v>
      </c>
      <c r="L24" s="146" t="s">
        <v>118</v>
      </c>
    </row>
    <row r="25" spans="1:12" ht="20.100000000000001" customHeight="1" x14ac:dyDescent="0.2">
      <c r="A25" s="154" t="s">
        <v>227</v>
      </c>
      <c r="B25" s="146" t="s">
        <v>451</v>
      </c>
      <c r="C25" s="157"/>
      <c r="D25" s="153" t="s">
        <v>97</v>
      </c>
      <c r="E25" s="159"/>
      <c r="F25" s="158"/>
      <c r="G25" s="155"/>
      <c r="H25" s="157"/>
      <c r="I25" s="157"/>
    </row>
    <row r="26" spans="1:12" ht="20.100000000000001" customHeight="1" x14ac:dyDescent="0.2">
      <c r="A26" s="154" t="s">
        <v>228</v>
      </c>
      <c r="B26" s="146" t="s">
        <v>471</v>
      </c>
      <c r="C26" s="157"/>
      <c r="D26" s="153" t="s">
        <v>98</v>
      </c>
      <c r="E26" s="159"/>
      <c r="F26" s="158"/>
      <c r="G26" s="155"/>
      <c r="H26" s="157"/>
      <c r="I26" s="157"/>
      <c r="K26" s="156" t="s">
        <v>470</v>
      </c>
      <c r="L26" s="144" t="s">
        <v>74</v>
      </c>
    </row>
    <row r="27" spans="1:12" ht="20.100000000000001" customHeight="1" x14ac:dyDescent="0.2">
      <c r="A27" s="154" t="s">
        <v>229</v>
      </c>
      <c r="B27" s="146" t="s">
        <v>451</v>
      </c>
      <c r="C27" s="157"/>
      <c r="D27" s="153" t="s">
        <v>97</v>
      </c>
      <c r="E27" s="159"/>
      <c r="F27" s="158"/>
      <c r="G27" s="155"/>
      <c r="H27" s="157"/>
      <c r="I27" s="157"/>
      <c r="K27" s="144" t="s">
        <v>469</v>
      </c>
      <c r="L27" s="147" t="s">
        <v>113</v>
      </c>
    </row>
    <row r="28" spans="1:12" ht="20.100000000000001" customHeight="1" x14ac:dyDescent="0.2">
      <c r="A28" s="154" t="s">
        <v>238</v>
      </c>
      <c r="B28" s="146" t="s">
        <v>468</v>
      </c>
      <c r="C28" s="157"/>
      <c r="D28" s="153" t="s">
        <v>98</v>
      </c>
      <c r="E28" s="159"/>
      <c r="F28" s="158"/>
      <c r="G28" s="155"/>
      <c r="H28" s="157"/>
      <c r="I28" s="157"/>
      <c r="K28" s="144" t="s">
        <v>467</v>
      </c>
      <c r="L28" s="148" t="s">
        <v>114</v>
      </c>
    </row>
    <row r="29" spans="1:12" ht="20.100000000000001" customHeight="1" x14ac:dyDescent="0.2">
      <c r="A29" s="154" t="s">
        <v>239</v>
      </c>
      <c r="B29" s="146" t="s">
        <v>451</v>
      </c>
      <c r="C29" s="157"/>
      <c r="D29" s="153" t="s">
        <v>97</v>
      </c>
      <c r="E29" s="159"/>
      <c r="F29" s="158"/>
      <c r="G29" s="155"/>
      <c r="H29" s="157"/>
      <c r="I29" s="157"/>
      <c r="K29" s="144" t="s">
        <v>466</v>
      </c>
      <c r="L29" s="147" t="s">
        <v>115</v>
      </c>
    </row>
    <row r="30" spans="1:12" ht="20.100000000000001" customHeight="1" x14ac:dyDescent="0.2">
      <c r="A30" s="154" t="s">
        <v>240</v>
      </c>
      <c r="B30" s="146" t="s">
        <v>465</v>
      </c>
      <c r="C30" s="157"/>
      <c r="D30" s="153" t="s">
        <v>98</v>
      </c>
      <c r="E30" s="159"/>
      <c r="F30" s="158"/>
      <c r="G30" s="155"/>
      <c r="H30" s="157"/>
      <c r="I30" s="157"/>
      <c r="K30" s="144" t="s">
        <v>464</v>
      </c>
      <c r="L30" s="148" t="s">
        <v>116</v>
      </c>
    </row>
    <row r="31" spans="1:12" ht="20.100000000000001" customHeight="1" x14ac:dyDescent="0.2">
      <c r="A31" s="154" t="s">
        <v>246</v>
      </c>
      <c r="B31" s="146" t="s">
        <v>451</v>
      </c>
      <c r="C31" s="157"/>
      <c r="D31" s="153" t="s">
        <v>97</v>
      </c>
      <c r="E31" s="159"/>
      <c r="F31" s="158"/>
      <c r="G31" s="155"/>
      <c r="H31" s="157"/>
      <c r="I31" s="157"/>
      <c r="K31" s="144" t="s">
        <v>463</v>
      </c>
      <c r="L31" s="147" t="s">
        <v>117</v>
      </c>
    </row>
    <row r="32" spans="1:12" ht="20.100000000000001" customHeight="1" x14ac:dyDescent="0.2">
      <c r="A32" s="154" t="s">
        <v>247</v>
      </c>
      <c r="B32" s="146" t="s">
        <v>462</v>
      </c>
      <c r="C32" s="157"/>
      <c r="D32" s="153" t="s">
        <v>98</v>
      </c>
      <c r="E32" s="159"/>
      <c r="F32" s="158"/>
      <c r="G32" s="155"/>
      <c r="H32" s="157"/>
      <c r="I32" s="157"/>
      <c r="K32" s="144" t="s">
        <v>461</v>
      </c>
      <c r="L32" s="148" t="s">
        <v>41</v>
      </c>
    </row>
    <row r="33" spans="1:12" ht="20.100000000000001" customHeight="1" x14ac:dyDescent="0.2">
      <c r="A33" s="154" t="s">
        <v>248</v>
      </c>
      <c r="B33" s="146" t="s">
        <v>451</v>
      </c>
      <c r="C33" s="157"/>
      <c r="D33" s="153" t="s">
        <v>97</v>
      </c>
      <c r="E33" s="159"/>
      <c r="F33" s="158"/>
      <c r="G33" s="155"/>
      <c r="H33" s="157"/>
      <c r="I33" s="157"/>
      <c r="K33" s="144" t="s">
        <v>460</v>
      </c>
      <c r="L33" s="147" t="s">
        <v>118</v>
      </c>
    </row>
    <row r="34" spans="1:12" ht="20.100000000000001" customHeight="1" x14ac:dyDescent="0.2">
      <c r="A34" s="154" t="s">
        <v>249</v>
      </c>
      <c r="B34" s="146" t="s">
        <v>456</v>
      </c>
      <c r="C34" s="157"/>
      <c r="D34" s="153" t="s">
        <v>98</v>
      </c>
      <c r="E34" s="159"/>
      <c r="F34" s="158"/>
      <c r="G34" s="155"/>
      <c r="H34" s="157"/>
      <c r="I34" s="157"/>
      <c r="K34" s="144" t="s">
        <v>459</v>
      </c>
      <c r="L34" s="146" t="s">
        <v>442</v>
      </c>
    </row>
    <row r="35" spans="1:12" ht="20.100000000000001" customHeight="1" x14ac:dyDescent="0.2">
      <c r="A35" s="154" t="s">
        <v>250</v>
      </c>
      <c r="B35" s="146" t="s">
        <v>451</v>
      </c>
      <c r="C35" s="157"/>
      <c r="D35" s="153" t="s">
        <v>97</v>
      </c>
      <c r="E35" s="159"/>
      <c r="F35" s="158"/>
      <c r="G35" s="155"/>
      <c r="H35" s="157"/>
      <c r="I35" s="157"/>
    </row>
    <row r="36" spans="1:12" ht="20.100000000000001" customHeight="1" x14ac:dyDescent="0.2">
      <c r="A36" s="154" t="s">
        <v>251</v>
      </c>
      <c r="B36" s="146" t="s">
        <v>453</v>
      </c>
      <c r="C36" s="149"/>
      <c r="D36" s="153" t="s">
        <v>98</v>
      </c>
      <c r="E36" s="152"/>
      <c r="F36" s="151"/>
      <c r="G36" s="155"/>
      <c r="H36" s="149"/>
      <c r="I36" s="149"/>
      <c r="K36" s="156" t="s">
        <v>458</v>
      </c>
      <c r="L36" s="144" t="s">
        <v>74</v>
      </c>
    </row>
    <row r="37" spans="1:12" ht="20.100000000000001" customHeight="1" x14ac:dyDescent="0.2">
      <c r="A37" s="154" t="s">
        <v>252</v>
      </c>
      <c r="B37" s="146" t="s">
        <v>451</v>
      </c>
      <c r="C37" s="149"/>
      <c r="D37" s="153" t="s">
        <v>97</v>
      </c>
      <c r="E37" s="152"/>
      <c r="F37" s="151"/>
      <c r="G37" s="155"/>
      <c r="H37" s="149"/>
      <c r="I37" s="149"/>
      <c r="K37" s="144" t="s">
        <v>457</v>
      </c>
      <c r="L37" s="147" t="s">
        <v>113</v>
      </c>
    </row>
    <row r="38" spans="1:12" ht="20.100000000000001" customHeight="1" x14ac:dyDescent="0.2">
      <c r="A38" s="154" t="s">
        <v>253</v>
      </c>
      <c r="B38" s="146" t="s">
        <v>456</v>
      </c>
      <c r="C38" s="149"/>
      <c r="D38" s="153" t="s">
        <v>98</v>
      </c>
      <c r="E38" s="152"/>
      <c r="F38" s="151"/>
      <c r="G38" s="155"/>
      <c r="H38" s="149"/>
      <c r="I38" s="149"/>
      <c r="K38" s="144" t="s">
        <v>455</v>
      </c>
      <c r="L38" s="148" t="s">
        <v>114</v>
      </c>
    </row>
    <row r="39" spans="1:12" ht="20.100000000000001" customHeight="1" x14ac:dyDescent="0.2">
      <c r="A39" s="154" t="s">
        <v>254</v>
      </c>
      <c r="B39" s="146" t="s">
        <v>451</v>
      </c>
      <c r="C39" s="149"/>
      <c r="D39" s="153" t="s">
        <v>97</v>
      </c>
      <c r="E39" s="152"/>
      <c r="F39" s="151"/>
      <c r="G39" s="155"/>
      <c r="H39" s="149"/>
      <c r="I39" s="149"/>
      <c r="K39" s="144" t="s">
        <v>454</v>
      </c>
      <c r="L39" s="147" t="s">
        <v>115</v>
      </c>
    </row>
    <row r="40" spans="1:12" ht="20.100000000000001" customHeight="1" x14ac:dyDescent="0.2">
      <c r="A40" s="154" t="s">
        <v>255</v>
      </c>
      <c r="B40" s="146" t="s">
        <v>453</v>
      </c>
      <c r="C40" s="149"/>
      <c r="D40" s="153" t="s">
        <v>98</v>
      </c>
      <c r="E40" s="152"/>
      <c r="F40" s="151"/>
      <c r="G40" s="155"/>
      <c r="H40" s="149"/>
      <c r="I40" s="149"/>
      <c r="K40" s="144" t="s">
        <v>452</v>
      </c>
      <c r="L40" s="148" t="s">
        <v>116</v>
      </c>
    </row>
    <row r="41" spans="1:12" ht="20.100000000000001" customHeight="1" x14ac:dyDescent="0.2">
      <c r="A41" s="154" t="s">
        <v>256</v>
      </c>
      <c r="B41" s="146" t="s">
        <v>451</v>
      </c>
      <c r="C41" s="149"/>
      <c r="D41" s="153" t="s">
        <v>97</v>
      </c>
      <c r="E41" s="152"/>
      <c r="F41" s="151"/>
      <c r="G41" s="150"/>
      <c r="H41" s="149"/>
      <c r="I41" s="149"/>
      <c r="K41" s="144" t="s">
        <v>450</v>
      </c>
      <c r="L41" s="147" t="s">
        <v>117</v>
      </c>
    </row>
    <row r="42" spans="1:12" ht="20.100000000000001" customHeight="1" x14ac:dyDescent="0.2">
      <c r="K42" s="144" t="s">
        <v>449</v>
      </c>
      <c r="L42" s="148" t="s">
        <v>41</v>
      </c>
    </row>
    <row r="43" spans="1:12" ht="20.100000000000001" customHeight="1" x14ac:dyDescent="0.2">
      <c r="K43" s="144" t="s">
        <v>448</v>
      </c>
      <c r="L43" s="147" t="s">
        <v>118</v>
      </c>
    </row>
    <row r="44" spans="1:12" ht="20.100000000000001" customHeight="1" x14ac:dyDescent="0.2">
      <c r="K44" s="144" t="s">
        <v>447</v>
      </c>
      <c r="L44" s="148" t="s">
        <v>446</v>
      </c>
    </row>
    <row r="45" spans="1:12" ht="20.100000000000001" customHeight="1" x14ac:dyDescent="0.2">
      <c r="K45" s="144" t="s">
        <v>445</v>
      </c>
      <c r="L45" s="147" t="s">
        <v>444</v>
      </c>
    </row>
    <row r="46" spans="1:12" ht="20.100000000000001" customHeight="1" x14ac:dyDescent="0.2">
      <c r="K46" s="144" t="s">
        <v>443</v>
      </c>
      <c r="L46" s="146" t="s">
        <v>442</v>
      </c>
    </row>
  </sheetData>
  <dataValidations count="9">
    <dataValidation type="list" allowBlank="1" showInputMessage="1" showErrorMessage="1" sqref="C14">
      <formula1>$K$37:$K$46</formula1>
    </dataValidation>
    <dataValidation type="list" allowBlank="1" showInputMessage="1" showErrorMessage="1" sqref="C13">
      <formula1>$K$27:$K$34</formula1>
    </dataValidation>
    <dataValidation type="list" allowBlank="1" showInputMessage="1" showErrorMessage="1" sqref="C8">
      <formula1>$K$18:$K$24</formula1>
    </dataValidation>
    <dataValidation type="list" allowBlank="1" showInputMessage="1" showErrorMessage="1" sqref="C6">
      <formula1>$K$4:$K$6</formula1>
    </dataValidation>
    <dataValidation type="list" allowBlank="1" showInputMessage="1" showErrorMessage="1" sqref="C21">
      <formula1>$K$28:$K$29</formula1>
    </dataValidation>
    <dataValidation type="list" allowBlank="1" showInputMessage="1" showErrorMessage="1" sqref="C7">
      <formula1>$K$9:$K$15</formula1>
    </dataValidation>
    <dataValidation type="list" allowBlank="1" showInputMessage="1" showErrorMessage="1" sqref="C22:C23">
      <formula1>$K$32</formula1>
    </dataValidation>
    <dataValidation type="list" allowBlank="1" showInputMessage="1" showErrorMessage="1" sqref="D3:D41">
      <formula1>Field</formula1>
    </dataValidation>
    <dataValidation type="list" allowBlank="1" showInputMessage="1" showErrorMessage="1" sqref="G4:G23">
      <formula1>FieldRef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</vt:lpstr>
      <vt:lpstr>register_csm</vt:lpstr>
      <vt:lpstr>customer_add</vt:lpstr>
      <vt:lpstr>register_com</vt:lpstr>
      <vt:lpstr>loan_add</vt:lpstr>
      <vt:lpstr>loan_config</vt:lpstr>
      <vt:lpstr>ISIC</vt:lpstr>
      <vt:lpstr>ext</vt:lpstr>
      <vt:lpstr>otherInfo</vt:lpstr>
      <vt:lpstr>incomefromsalary</vt:lpstr>
      <vt:lpstr>incomefromcareer</vt:lpstr>
      <vt:lpstr>expense</vt:lpstr>
      <vt:lpstr>Non NCB</vt:lpstr>
      <vt:lpstr>warrantoradd</vt:lpstr>
      <vt:lpstr>collateralAddLand</vt:lpstr>
      <vt:lpstr>collateralAddLandandBuilding</vt:lpstr>
      <vt:lpstr>collateralAddBuilding</vt:lpstr>
      <vt:lpstr>landProvince</vt:lpstr>
      <vt:lpstr>register_com!Field</vt:lpstr>
      <vt:lpstr>register_csm!Field</vt:lpstr>
      <vt:lpstr>Field</vt:lpstr>
      <vt:lpstr>register_com!FieldRef</vt:lpstr>
      <vt:lpstr>register_csm!FieldRef</vt:lpstr>
      <vt:lpstr>FieldRef</vt:lpstr>
      <vt:lpstr>sdasd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Omsub Sukkhee</dc:creator>
  <cp:lastModifiedBy>EthanHuntTB1</cp:lastModifiedBy>
  <dcterms:created xsi:type="dcterms:W3CDTF">2015-09-07T02:35:54Z</dcterms:created>
  <dcterms:modified xsi:type="dcterms:W3CDTF">2015-09-14T09:13:46Z</dcterms:modified>
</cp:coreProperties>
</file>