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RespostasXResiduos-ANO" sheetId="2" r:id="rId5"/>
    <sheet state="visible" name="Q-Q plot -Distribuído" sheetId="3" r:id="rId6"/>
  </sheets>
  <definedNames/>
  <calcPr/>
  <extLst>
    <ext uri="GoogleSheetsCustomDataVersion1">
      <go:sheetsCustomData xmlns:go="http://customooxmlschemas.google.com/" r:id="rId7" roundtripDataSignature="AMtx7mjLgYZ/+GGjjR5rbRdiwf33EGu+9g=="/>
    </ext>
  </extLst>
</workbook>
</file>

<file path=xl/sharedStrings.xml><?xml version="1.0" encoding="utf-8"?>
<sst xmlns="http://schemas.openxmlformats.org/spreadsheetml/2006/main" count="77" uniqueCount="74">
  <si>
    <t>I</t>
  </si>
  <si>
    <t>A</t>
  </si>
  <si>
    <t>B</t>
  </si>
  <si>
    <t>AB</t>
  </si>
  <si>
    <t>Yi1</t>
  </si>
  <si>
    <t>Yi2</t>
  </si>
  <si>
    <t>Yi3</t>
  </si>
  <si>
    <t>Y^</t>
  </si>
  <si>
    <t>Ei1</t>
  </si>
  <si>
    <t>Ei2</t>
  </si>
  <si>
    <t>Ei3</t>
  </si>
  <si>
    <t>MAX MAX/ MIN MIN</t>
  </si>
  <si>
    <t>log de tudo</t>
  </si>
  <si>
    <t>#Respostas</t>
  </si>
  <si>
    <t>#Resíduo</t>
  </si>
  <si>
    <t>resíduos</t>
  </si>
  <si>
    <t>classificação</t>
  </si>
  <si>
    <t>percentil</t>
  </si>
  <si>
    <t>Z-score</t>
  </si>
  <si>
    <t>Relação de Efeito</t>
  </si>
  <si>
    <t>q0</t>
  </si>
  <si>
    <t>qA</t>
  </si>
  <si>
    <t>qB</t>
  </si>
  <si>
    <t>qAB</t>
  </si>
  <si>
    <t>Auxiliares p/ calcular q0, qA..</t>
  </si>
  <si>
    <t>auxA</t>
  </si>
  <si>
    <t>auxB</t>
  </si>
  <si>
    <t>auxAB</t>
  </si>
  <si>
    <t>auxEi1</t>
  </si>
  <si>
    <t>auxEi2</t>
  </si>
  <si>
    <t>auxEi3</t>
  </si>
  <si>
    <t>K=</t>
  </si>
  <si>
    <t>R=</t>
  </si>
  <si>
    <t>fator de erro tem que ser menor que 5%</t>
  </si>
  <si>
    <t>SS0</t>
  </si>
  <si>
    <t>SSA</t>
  </si>
  <si>
    <t>SSB</t>
  </si>
  <si>
    <t>SSAB</t>
  </si>
  <si>
    <t>SSE</t>
  </si>
  <si>
    <t>R = 3 -&gt; numero de replicações</t>
  </si>
  <si>
    <t>k = 2 -&gt; recursos</t>
  </si>
  <si>
    <t>SSY:</t>
  </si>
  <si>
    <t>2^k*R =</t>
  </si>
  <si>
    <t>SST:</t>
  </si>
  <si>
    <t>Tabela t=</t>
  </si>
  <si>
    <t>t*Sqi=</t>
  </si>
  <si>
    <t>FATOR 0:</t>
  </si>
  <si>
    <t>FATOR A:</t>
  </si>
  <si>
    <t>FATOR B:</t>
  </si>
  <si>
    <t>FATOR AB:</t>
  </si>
  <si>
    <t>FATOR E:</t>
  </si>
  <si>
    <t>t*Sy^=</t>
  </si>
  <si>
    <t>h=</t>
  </si>
  <si>
    <t>MSE =</t>
  </si>
  <si>
    <t>(Variância)</t>
  </si>
  <si>
    <t>SE =</t>
  </si>
  <si>
    <t>(Desvio Padrao dos erros)</t>
  </si>
  <si>
    <t>Sq0 = Sqi=</t>
  </si>
  <si>
    <t>(Variância de Efeitos)</t>
  </si>
  <si>
    <t>Sy^i=</t>
  </si>
  <si>
    <t>(Desvio Padrao Das Respostas)</t>
  </si>
  <si>
    <t>Intervalo de Confiança dos Efeitos =</t>
  </si>
  <si>
    <t>INT DIR</t>
  </si>
  <si>
    <t>INT ESQ</t>
  </si>
  <si>
    <t>Intervalo de Confiança das Respostas =</t>
  </si>
  <si>
    <t>Erros:</t>
  </si>
  <si>
    <t>Erro Máx ideal=</t>
  </si>
  <si>
    <t>r1</t>
  </si>
  <si>
    <t>r2</t>
  </si>
  <si>
    <t>r3</t>
  </si>
  <si>
    <t>r4</t>
  </si>
  <si>
    <t xml:space="preserve">replicações máx = </t>
  </si>
  <si>
    <t>Conclusões</t>
  </si>
  <si>
    <t>Com relação ao Benchmark, percebemos que os melhores desempenhos se dão para o SPEC CPU Suite, sendo sendo que o Linpack é mais demorado e possui uma execução mais demorada. Além disso, ao analisarmos os processadores, podemos observar que o melhor resultado se dá com a utilização do Intel Core i9. Em sequêcia, percebemos que o FATOR A e o FATOR B têm o a mesma influência e o mesmo efeito. Como o teste de MÁXÍMO DOS MÁXIMOS Y/ MÍNIMO DOS MÍNIMOS Y não foi satisfeito, por possuir mais de duas ordens de grandeza, não podemos calcular o número de replicações ideal, o que foi encontrado, se caso a ordem de grandeza atingisse duas casas seria de mais de 2 bilhões de replicações para atingir o nosso objetivo de ter um erro máximo menor do que 5%, o que seria inviável. Assim, pegamos os valores e tiramos LOG na base 10 para plotarmos os gráficos QQ-PLOT E RESIDUO VS RESPOSTA. O nosso QQ-PLOT, apesar de ter alguns outliers se parece com um gráfico linear. Já o gráfico de resposta, se parece com um sem tendências(no trend)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</si>
</sst>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.00_-;\-* #,##0.00_-;_-* &quot;-&quot;??_-;_-@"/>
    <numFmt numFmtId="165" formatCode="_-* #,##0.0000_-;\-* #,##0.0000_-;_-* &quot;-&quot;??.00_-;_-@"/>
    <numFmt numFmtId="166" formatCode="_-* #,##0.000_-;\-* #,##0.000_-;_-* &quot;-&quot;??.0_-;_-@"/>
    <numFmt numFmtId="167" formatCode="0.000"/>
    <numFmt numFmtId="168" formatCode="0.0000"/>
    <numFmt numFmtId="169" formatCode="0.00000"/>
  </numFmts>
  <fonts count="10"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/>
    <font>
      <sz val="11.0"/>
      <color theme="1"/>
      <name val="Calibri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0" fillId="3" fontId="1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2" numFmtId="165" xfId="0" applyAlignment="1" applyBorder="1" applyFont="1" applyNumberFormat="1">
      <alignment horizontal="center" readingOrder="0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1" fillId="2" fontId="1" numFmtId="166" xfId="0" applyBorder="1" applyFont="1" applyNumberFormat="1"/>
    <xf borderId="0" fillId="3" fontId="3" numFmtId="0" xfId="0" applyFont="1"/>
    <xf borderId="0" fillId="0" fontId="3" numFmtId="0" xfId="0" applyAlignment="1" applyFont="1">
      <alignment readingOrder="0"/>
    </xf>
    <xf borderId="0" fillId="0" fontId="4" numFmtId="2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7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2" fillId="0" fontId="4" numFmtId="2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2" fillId="0" fontId="5" numFmtId="2" xfId="0" applyAlignment="1" applyBorder="1" applyFont="1" applyNumberFormat="1">
      <alignment shrinkToFit="0" vertical="bottom" wrapText="0"/>
    </xf>
    <xf borderId="0" fillId="0" fontId="4" numFmtId="168" xfId="0" applyAlignment="1" applyFont="1" applyNumberFormat="1">
      <alignment shrinkToFit="0" vertical="bottom" wrapText="0"/>
    </xf>
    <xf borderId="1" fillId="2" fontId="2" numFmtId="169" xfId="0" applyAlignment="1" applyBorder="1" applyFont="1" applyNumberFormat="1">
      <alignment horizontal="right" readingOrder="0"/>
    </xf>
    <xf borderId="1" fillId="2" fontId="1" numFmtId="165" xfId="0" applyBorder="1" applyFont="1" applyNumberFormat="1"/>
    <xf borderId="0" fillId="0" fontId="5" numFmtId="2" xfId="0" applyAlignment="1" applyFont="1" applyNumberFormat="1">
      <alignment shrinkToFit="0" vertical="bottom" wrapText="0"/>
    </xf>
    <xf borderId="1" fillId="4" fontId="1" numFmtId="164" xfId="0" applyAlignment="1" applyBorder="1" applyFill="1" applyFont="1" applyNumberFormat="1">
      <alignment horizontal="center"/>
    </xf>
    <xf borderId="1" fillId="4" fontId="2" numFmtId="165" xfId="0" applyAlignment="1" applyBorder="1" applyFont="1" applyNumberFormat="1">
      <alignment horizontal="center" readingOrder="0"/>
    </xf>
    <xf borderId="0" fillId="0" fontId="6" numFmtId="167" xfId="0" applyAlignment="1" applyFont="1" applyNumberFormat="1">
      <alignment shrinkToFit="0" vertical="bottom" wrapText="0"/>
    </xf>
    <xf borderId="1" fillId="4" fontId="1" numFmtId="165" xfId="0" applyAlignment="1" applyBorder="1" applyFont="1" applyNumberFormat="1">
      <alignment horizontal="center"/>
    </xf>
    <xf borderId="1" fillId="5" fontId="1" numFmtId="164" xfId="0" applyAlignment="1" applyBorder="1" applyFill="1" applyFont="1" applyNumberFormat="1">
      <alignment horizontal="center"/>
    </xf>
    <xf borderId="1" fillId="4" fontId="1" numFmtId="164" xfId="0" applyBorder="1" applyFont="1" applyNumberFormat="1"/>
    <xf borderId="3" fillId="6" fontId="1" numFmtId="164" xfId="0" applyAlignment="1" applyBorder="1" applyFill="1" applyFont="1" applyNumberFormat="1">
      <alignment horizontal="center"/>
    </xf>
    <xf borderId="4" fillId="0" fontId="7" numFmtId="0" xfId="0" applyBorder="1" applyFont="1"/>
    <xf borderId="5" fillId="0" fontId="4" numFmtId="2" xfId="0" applyAlignment="1" applyBorder="1" applyFont="1" applyNumberFormat="1">
      <alignment shrinkToFit="0" vertical="bottom" wrapText="0"/>
    </xf>
    <xf borderId="6" fillId="0" fontId="7" numFmtId="0" xfId="0" applyBorder="1" applyFont="1"/>
    <xf borderId="0" fillId="0" fontId="1" numFmtId="164" xfId="0" applyFont="1" applyNumberFormat="1"/>
    <xf borderId="5" fillId="0" fontId="5" numFmtId="2" xfId="0" applyAlignment="1" applyBorder="1" applyFont="1" applyNumberFormat="1">
      <alignment shrinkToFit="0" vertical="bottom" wrapText="0"/>
    </xf>
    <xf borderId="1" fillId="6" fontId="1" numFmtId="164" xfId="0" applyBorder="1" applyFont="1" applyNumberFormat="1"/>
    <xf borderId="1" fillId="6" fontId="1" numFmtId="164" xfId="0" applyAlignment="1" applyBorder="1" applyFont="1" applyNumberFormat="1">
      <alignment horizontal="center"/>
    </xf>
    <xf borderId="7" fillId="4" fontId="8" numFmtId="164" xfId="0" applyAlignment="1" applyBorder="1" applyFont="1" applyNumberFormat="1">
      <alignment horizontal="center" vertical="bottom"/>
    </xf>
    <xf borderId="8" fillId="6" fontId="1" numFmtId="164" xfId="0" applyBorder="1" applyFont="1" applyNumberFormat="1"/>
    <xf borderId="1" fillId="7" fontId="2" numFmtId="164" xfId="0" applyAlignment="1" applyBorder="1" applyFill="1" applyFont="1" applyNumberFormat="1">
      <alignment horizontal="center" readingOrder="0" shrinkToFit="0" wrapText="1"/>
    </xf>
    <xf borderId="1" fillId="7" fontId="1" numFmtId="164" xfId="0" applyBorder="1" applyFont="1" applyNumberFormat="1"/>
    <xf borderId="1" fillId="4" fontId="8" numFmtId="164" xfId="0" applyAlignment="1" applyBorder="1" applyFont="1" applyNumberFormat="1">
      <alignment horizontal="center" vertical="bottom"/>
    </xf>
    <xf borderId="1" fillId="7" fontId="1" numFmtId="165" xfId="0" applyBorder="1" applyFont="1" applyNumberFormat="1"/>
    <xf borderId="1" fillId="8" fontId="1" numFmtId="164" xfId="0" applyBorder="1" applyFill="1" applyFont="1" applyNumberFormat="1"/>
    <xf borderId="1" fillId="8" fontId="2" numFmtId="164" xfId="0" applyAlignment="1" applyBorder="1" applyFont="1" applyNumberFormat="1">
      <alignment readingOrder="0"/>
    </xf>
    <xf borderId="1" fillId="9" fontId="1" numFmtId="164" xfId="0" applyBorder="1" applyFill="1" applyFont="1" applyNumberFormat="1"/>
    <xf borderId="0" fillId="0" fontId="3" numFmtId="0" xfId="0" applyFont="1"/>
    <xf borderId="0" fillId="0" fontId="9" numFmtId="0" xfId="0" applyAlignment="1" applyFont="1">
      <alignment readingOrder="0"/>
    </xf>
    <xf borderId="1" fillId="10" fontId="1" numFmtId="164" xfId="0" applyBorder="1" applyFill="1" applyFont="1" applyNumberFormat="1"/>
    <xf borderId="1" fillId="11" fontId="1" numFmtId="0" xfId="0" applyBorder="1" applyFill="1" applyFont="1"/>
    <xf borderId="1" fillId="11" fontId="1" numFmtId="164" xfId="0" applyBorder="1" applyFont="1" applyNumberFormat="1"/>
    <xf borderId="1" fillId="11" fontId="2" numFmtId="164" xfId="0" applyAlignment="1" applyBorder="1" applyFont="1" applyNumberFormat="1">
      <alignment readingOrder="0"/>
    </xf>
    <xf borderId="1" fillId="12" fontId="1" numFmtId="164" xfId="0" applyBorder="1" applyFill="1" applyFont="1" applyNumberFormat="1"/>
    <xf borderId="1" fillId="12" fontId="1" numFmtId="10" xfId="0" applyBorder="1" applyFont="1" applyNumberFormat="1"/>
    <xf borderId="1" fillId="13" fontId="1" numFmtId="0" xfId="0" applyBorder="1" applyFill="1" applyFont="1"/>
    <xf borderId="1" fillId="13" fontId="1" numFmtId="164" xfId="0" applyBorder="1" applyFont="1" applyNumberFormat="1"/>
    <xf borderId="1" fillId="8" fontId="1" numFmtId="0" xfId="0" applyBorder="1" applyFont="1"/>
    <xf borderId="1" fillId="14" fontId="2" numFmtId="0" xfId="0" applyAlignment="1" applyBorder="1" applyFill="1" applyFont="1">
      <alignment readingOrder="0"/>
    </xf>
    <xf borderId="1" fillId="14" fontId="1" numFmtId="164" xfId="0" applyBorder="1" applyFont="1" applyNumberFormat="1"/>
    <xf borderId="1" fillId="15" fontId="2" numFmtId="0" xfId="0" applyAlignment="1" applyBorder="1" applyFill="1" applyFont="1">
      <alignment readingOrder="0"/>
    </xf>
    <xf borderId="1" fillId="15" fontId="1" numFmtId="164" xfId="0" applyBorder="1" applyFont="1" applyNumberFormat="1"/>
    <xf borderId="3" fillId="16" fontId="3" numFmtId="0" xfId="0" applyAlignment="1" applyBorder="1" applyFill="1" applyFont="1">
      <alignment horizontal="center" vertical="center"/>
    </xf>
    <xf borderId="9" fillId="16" fontId="9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'RespostasXResiduos-ANO'!$B$1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'RespostasXResiduos-ANO'!$A$2:$A$41</c:f>
            </c:numRef>
          </c:xVal>
          <c:yVal>
            <c:numRef>
              <c:f>'RespostasXResiduos-ANO'!$B$2:$B$41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86263"/>
        <c:axId val="1266205524"/>
      </c:scatterChart>
      <c:valAx>
        <c:axId val="1089186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66205524"/>
      </c:valAx>
      <c:valAx>
        <c:axId val="1266205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8918626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'Q-Q plot -Distribuído'!$E$1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'Q-Q plot -Distribuído'!$D$2:$D$41</c:f>
            </c:numRef>
          </c:xVal>
          <c:yVal>
            <c:numRef>
              <c:f>'Q-Q plot -Distribuído'!$E$2:$E$41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14082"/>
        <c:axId val="987581691"/>
      </c:scatterChart>
      <c:valAx>
        <c:axId val="866014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87581691"/>
      </c:valAx>
      <c:valAx>
        <c:axId val="987581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660140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</xdr:row>
      <xdr:rowOff>57150</xdr:rowOff>
    </xdr:from>
    <xdr:ext cx="5438775" cy="3238500"/>
    <xdr:graphicFrame>
      <xdr:nvGraphicFramePr>
        <xdr:cNvPr id="18962359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180975</xdr:rowOff>
    </xdr:from>
    <xdr:ext cx="4305300" cy="3190875"/>
    <xdr:graphicFrame>
      <xdr:nvGraphicFramePr>
        <xdr:cNvPr id="185435283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3.86"/>
    <col customWidth="1" min="3" max="3" width="30.57"/>
    <col customWidth="1" min="4" max="4" width="18.57"/>
    <col customWidth="1" min="5" max="5" width="19.0"/>
    <col customWidth="1" min="6" max="6" width="19.43"/>
    <col customWidth="1" min="7" max="7" width="15.71"/>
    <col customWidth="1" min="8" max="8" width="15.0"/>
    <col customWidth="1" min="9" max="9" width="18.0"/>
    <col customWidth="1" hidden="1" min="10" max="10" width="15.86"/>
    <col customWidth="1" min="11" max="11" width="14.0"/>
    <col customWidth="1" min="12" max="12" width="16.14"/>
    <col customWidth="1" min="13" max="13" width="13.57"/>
    <col customWidth="1" min="14" max="14" width="8.71"/>
    <col customWidth="1" min="15" max="15" width="13.71"/>
    <col customWidth="1" min="16" max="17" width="12.0"/>
    <col customWidth="1" min="18" max="18" width="8.71"/>
    <col customWidth="1" min="19" max="19" width="13.57"/>
    <col customWidth="1" min="20" max="26" width="8.71"/>
  </cols>
  <sheetData>
    <row r="1" ht="24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/>
      <c r="I1" s="1" t="s">
        <v>4</v>
      </c>
      <c r="J1" s="1"/>
      <c r="K1" s="1" t="s">
        <v>5</v>
      </c>
      <c r="L1" s="1" t="s">
        <v>6</v>
      </c>
      <c r="M1" s="1" t="s">
        <v>7</v>
      </c>
      <c r="N1" s="1"/>
      <c r="O1" s="1" t="s">
        <v>8</v>
      </c>
      <c r="P1" s="1" t="s">
        <v>9</v>
      </c>
      <c r="Q1" s="1" t="s">
        <v>10</v>
      </c>
      <c r="R1" s="2"/>
      <c r="S1" s="3" t="s">
        <v>11</v>
      </c>
      <c r="T1" s="2"/>
      <c r="U1" s="4"/>
      <c r="V1" s="4"/>
      <c r="W1" s="4"/>
      <c r="X1" s="4"/>
      <c r="Y1" s="4"/>
      <c r="Z1" s="4"/>
    </row>
    <row r="2" ht="14.25" customHeight="1">
      <c r="A2" s="1">
        <v>1.0</v>
      </c>
      <c r="B2" s="1">
        <v>-1.0</v>
      </c>
      <c r="C2" s="1">
        <v>-1.0</v>
      </c>
      <c r="D2" s="1"/>
      <c r="E2" s="1">
        <f t="shared" ref="E2:E5" si="1">B2*C2</f>
        <v>1</v>
      </c>
      <c r="F2" s="1"/>
      <c r="G2" s="1"/>
      <c r="H2" s="1"/>
      <c r="I2" s="5">
        <f>LOG(85.1,10)</f>
        <v>1.92992956</v>
      </c>
      <c r="J2" s="6"/>
      <c r="K2" s="5">
        <f>LOG(79.5,10)</f>
        <v>1.900367129</v>
      </c>
      <c r="L2" s="5">
        <f>LOG(147.9,10)</f>
        <v>2.169968174</v>
      </c>
      <c r="M2" s="7">
        <f t="shared" ref="M2:M4" si="2">(I2+K2+L2)/3</f>
        <v>2.000088288</v>
      </c>
      <c r="N2" s="8"/>
      <c r="O2" s="8">
        <f t="shared" ref="O2:O5" si="3">I2-M2</f>
        <v>-0.07015872749</v>
      </c>
      <c r="P2" s="8">
        <f t="shared" ref="P2:P5" si="4">K2-M2</f>
        <v>-0.09972115892</v>
      </c>
      <c r="Q2" s="8">
        <f t="shared" ref="Q2:Q5" si="5">L2-M2</f>
        <v>0.1698798864</v>
      </c>
      <c r="R2" s="9"/>
      <c r="S2" s="9">
        <f>147.9/0.0126</f>
        <v>11738.09524</v>
      </c>
      <c r="T2" s="9"/>
    </row>
    <row r="3" ht="14.25" customHeight="1">
      <c r="A3" s="1">
        <v>1.0</v>
      </c>
      <c r="B3" s="1">
        <v>1.0</v>
      </c>
      <c r="C3" s="1">
        <v>-1.0</v>
      </c>
      <c r="D3" s="1"/>
      <c r="E3" s="1">
        <f t="shared" si="1"/>
        <v>-1</v>
      </c>
      <c r="F3" s="1"/>
      <c r="G3" s="1"/>
      <c r="H3" s="1"/>
      <c r="I3" s="5">
        <f>LOG(0.955,10)</f>
        <v>-0.01999662842</v>
      </c>
      <c r="J3" s="1"/>
      <c r="K3" s="5">
        <f>LOG(0.933,10)</f>
        <v>-0.03011835625</v>
      </c>
      <c r="L3" s="5">
        <f>LOG(1.122,10)</f>
        <v>0.04999285692</v>
      </c>
      <c r="M3" s="7">
        <f t="shared" si="2"/>
        <v>-0.00004070924987</v>
      </c>
      <c r="N3" s="8"/>
      <c r="O3" s="8">
        <f t="shared" si="3"/>
        <v>-0.01995591917</v>
      </c>
      <c r="P3" s="8">
        <f t="shared" si="4"/>
        <v>-0.030077647</v>
      </c>
      <c r="Q3" s="8">
        <f t="shared" si="5"/>
        <v>0.05003356617</v>
      </c>
      <c r="S3" s="10" t="s">
        <v>12</v>
      </c>
    </row>
    <row r="4" ht="14.25" customHeight="1">
      <c r="A4" s="1">
        <v>1.0</v>
      </c>
      <c r="B4" s="1">
        <v>-1.0</v>
      </c>
      <c r="C4" s="1">
        <v>1.0</v>
      </c>
      <c r="D4" s="1"/>
      <c r="E4" s="1">
        <f t="shared" si="1"/>
        <v>-1</v>
      </c>
      <c r="F4" s="1"/>
      <c r="G4" s="1"/>
      <c r="H4" s="1"/>
      <c r="I4" s="5">
        <f>LOG(0.891,10)</f>
        <v>-0.05012229596</v>
      </c>
      <c r="J4" s="1"/>
      <c r="K4" s="5">
        <f>LOG(1.047,10)</f>
        <v>0.01994668168</v>
      </c>
      <c r="L4" s="5">
        <f>LOG(1.072,10)</f>
        <v>0.03019478536</v>
      </c>
      <c r="M4" s="7">
        <f t="shared" si="2"/>
        <v>0.000006390357489</v>
      </c>
      <c r="N4" s="8"/>
      <c r="O4" s="8">
        <f t="shared" si="3"/>
        <v>-0.05012868632</v>
      </c>
      <c r="P4" s="8">
        <f t="shared" si="4"/>
        <v>0.01994029132</v>
      </c>
      <c r="Q4" s="8">
        <f t="shared" si="5"/>
        <v>0.030188395</v>
      </c>
    </row>
    <row r="5" ht="14.25" customHeight="1">
      <c r="A5" s="1">
        <v>1.0</v>
      </c>
      <c r="B5" s="1">
        <v>1.0</v>
      </c>
      <c r="C5" s="1">
        <v>1.0</v>
      </c>
      <c r="D5" s="1"/>
      <c r="E5" s="1">
        <f t="shared" si="1"/>
        <v>1</v>
      </c>
      <c r="F5" s="1"/>
      <c r="G5" s="1"/>
      <c r="H5" s="1"/>
      <c r="I5" s="5">
        <f>LOG(0.0148,10)</f>
        <v>-1.829738285</v>
      </c>
      <c r="J5" s="1"/>
      <c r="K5" s="5">
        <f>LOG(0.0126,10)</f>
        <v>-1.899629455</v>
      </c>
      <c r="L5" s="5">
        <f>LOG(0.0118,10)</f>
        <v>-1.928117993</v>
      </c>
      <c r="M5" s="20">
        <f>(I5+K5+L5)/3</f>
        <v>-1.885828577</v>
      </c>
      <c r="N5" s="8"/>
      <c r="O5" s="8">
        <f t="shared" si="3"/>
        <v>0.05609029279</v>
      </c>
      <c r="P5" s="21">
        <f t="shared" si="4"/>
        <v>-0.01380087749</v>
      </c>
      <c r="Q5" s="8">
        <f t="shared" si="5"/>
        <v>-0.0422894153</v>
      </c>
    </row>
    <row r="6" ht="14.25" hidden="1" customHeight="1">
      <c r="A6" s="23"/>
      <c r="B6" s="23"/>
      <c r="C6" s="23"/>
      <c r="D6" s="23"/>
      <c r="E6" s="23"/>
      <c r="F6" s="23"/>
      <c r="G6" s="23"/>
      <c r="H6" s="23"/>
      <c r="I6" s="24"/>
      <c r="J6" s="26"/>
      <c r="K6" s="24"/>
      <c r="L6" s="24"/>
      <c r="M6" s="27"/>
      <c r="N6" s="28"/>
      <c r="O6" s="28"/>
      <c r="P6" s="28"/>
      <c r="Q6" s="28"/>
    </row>
    <row r="7" ht="14.25" hidden="1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6"/>
      <c r="M7" s="23"/>
      <c r="N7" s="28"/>
      <c r="O7" s="28"/>
      <c r="P7" s="28"/>
      <c r="Q7" s="28"/>
    </row>
    <row r="8" ht="14.25" hidden="1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6"/>
      <c r="M8" s="27"/>
      <c r="N8" s="28"/>
      <c r="O8" s="28"/>
      <c r="P8" s="28"/>
      <c r="Q8" s="28"/>
    </row>
    <row r="9" ht="14.25" hidden="1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6"/>
      <c r="M9" s="23"/>
      <c r="N9" s="28"/>
      <c r="O9" s="28"/>
      <c r="P9" s="28"/>
      <c r="Q9" s="28"/>
    </row>
    <row r="10" ht="14.25" customHeight="1">
      <c r="A10" s="29" t="s">
        <v>19</v>
      </c>
      <c r="B10" s="30"/>
      <c r="C10" s="30"/>
      <c r="D10" s="30"/>
      <c r="E10" s="30"/>
      <c r="F10" s="30"/>
      <c r="G10" s="30"/>
      <c r="H10" s="32"/>
      <c r="I10" s="33"/>
      <c r="J10" s="33"/>
      <c r="K10" s="33"/>
      <c r="L10" s="33"/>
      <c r="M10" s="33"/>
      <c r="N10" s="33"/>
      <c r="O10" s="33"/>
      <c r="P10" s="33"/>
      <c r="Q10" s="33"/>
    </row>
    <row r="11" ht="14.25" customHeight="1">
      <c r="A11" s="35">
        <f>SUM(M2:M5)/4</f>
        <v>0.02855634782</v>
      </c>
      <c r="B11" s="35">
        <f t="shared" ref="B11:C11" si="6">SUM(B14:B17)/4</f>
        <v>-0.9714909911</v>
      </c>
      <c r="C11" s="35">
        <f t="shared" si="6"/>
        <v>-0.9714674413</v>
      </c>
      <c r="D11" s="35"/>
      <c r="E11" s="36">
        <f>SUM(E14:E17)/4</f>
        <v>0.02857350727</v>
      </c>
      <c r="F11" s="36"/>
      <c r="G11" s="36"/>
      <c r="H11" s="36"/>
      <c r="I11" s="33"/>
      <c r="J11" s="33"/>
      <c r="K11" s="33"/>
      <c r="L11" s="33"/>
      <c r="M11" s="33"/>
      <c r="N11" s="33"/>
      <c r="O11" s="33"/>
      <c r="P11" s="33"/>
      <c r="Q11" s="33"/>
    </row>
    <row r="12" ht="14.25" customHeight="1">
      <c r="A12" s="38" t="s">
        <v>20</v>
      </c>
      <c r="B12" s="38" t="s">
        <v>21</v>
      </c>
      <c r="C12" s="38" t="s">
        <v>22</v>
      </c>
      <c r="D12" s="38"/>
      <c r="E12" s="38" t="s">
        <v>23</v>
      </c>
      <c r="F12" s="38"/>
      <c r="G12" s="38"/>
      <c r="H12" s="38"/>
      <c r="I12" s="33"/>
      <c r="J12" s="33"/>
      <c r="K12" s="33"/>
      <c r="L12" s="33"/>
      <c r="M12" s="33"/>
      <c r="N12" s="33"/>
      <c r="O12" s="33"/>
      <c r="P12" s="33"/>
      <c r="Q12" s="33"/>
    </row>
    <row r="13" ht="25.5" customHeight="1">
      <c r="A13" s="39" t="s">
        <v>24</v>
      </c>
      <c r="B13" s="40" t="s">
        <v>25</v>
      </c>
      <c r="C13" s="40" t="s">
        <v>26</v>
      </c>
      <c r="D13" s="40"/>
      <c r="E13" s="40" t="s">
        <v>27</v>
      </c>
      <c r="F13" s="40"/>
      <c r="G13" s="40"/>
      <c r="H13" s="40"/>
      <c r="I13" s="40" t="s">
        <v>28</v>
      </c>
      <c r="J13" s="40"/>
      <c r="K13" s="40" t="s">
        <v>29</v>
      </c>
      <c r="L13" s="40" t="s">
        <v>30</v>
      </c>
      <c r="M13" s="33"/>
      <c r="N13" s="33"/>
      <c r="O13" s="33"/>
      <c r="P13" s="33"/>
      <c r="Q13" s="33"/>
    </row>
    <row r="14" ht="14.25" customHeight="1">
      <c r="A14" s="40"/>
      <c r="B14" s="42">
        <f t="shared" ref="B14:B17" si="8">M2*B2</f>
        <v>-2.000088288</v>
      </c>
      <c r="C14" s="42">
        <f t="shared" ref="C14:C17" si="9">M2*C2</f>
        <v>-2.000088288</v>
      </c>
      <c r="D14" s="42"/>
      <c r="E14" s="42">
        <f t="shared" ref="E14:E17" si="10">M2*E2</f>
        <v>2.000088288</v>
      </c>
      <c r="F14" s="42"/>
      <c r="G14" s="42"/>
      <c r="H14" s="42"/>
      <c r="I14" s="42">
        <f t="shared" ref="I14:I17" si="11">O2^2</f>
        <v>0.004922247044</v>
      </c>
      <c r="J14" s="42"/>
      <c r="K14" s="42">
        <f t="shared" ref="K14:L14" si="7">P2^2</f>
        <v>0.009944309537</v>
      </c>
      <c r="L14" s="42">
        <f t="shared" si="7"/>
        <v>0.02885917581</v>
      </c>
      <c r="M14" s="33"/>
      <c r="N14" s="33"/>
      <c r="O14" s="33"/>
      <c r="P14" s="33"/>
      <c r="Q14" s="33"/>
    </row>
    <row r="15" ht="14.25" customHeight="1">
      <c r="A15" s="40"/>
      <c r="B15" s="42">
        <f t="shared" si="8"/>
        <v>-0.00004070924987</v>
      </c>
      <c r="C15" s="42">
        <f t="shared" si="9"/>
        <v>0.00004070924987</v>
      </c>
      <c r="D15" s="42"/>
      <c r="E15" s="42">
        <f t="shared" si="10"/>
        <v>0.00004070924987</v>
      </c>
      <c r="F15" s="42"/>
      <c r="G15" s="42"/>
      <c r="H15" s="42"/>
      <c r="I15" s="42">
        <f t="shared" si="11"/>
        <v>0.0003982387098</v>
      </c>
      <c r="J15" s="42"/>
      <c r="K15" s="42">
        <f t="shared" ref="K15:L15" si="12">P3^2</f>
        <v>0.0009046648493</v>
      </c>
      <c r="L15" s="42">
        <f t="shared" si="12"/>
        <v>0.002503357744</v>
      </c>
      <c r="M15" s="33"/>
      <c r="N15" s="33"/>
      <c r="O15" s="33"/>
      <c r="P15" s="33"/>
      <c r="Q15" s="33"/>
    </row>
    <row r="16" ht="14.25" customHeight="1">
      <c r="A16" s="40"/>
      <c r="B16" s="42">
        <f t="shared" si="8"/>
        <v>-0.000006390357489</v>
      </c>
      <c r="C16" s="42">
        <f t="shared" si="9"/>
        <v>0.000006390357489</v>
      </c>
      <c r="D16" s="42"/>
      <c r="E16" s="42">
        <f t="shared" si="10"/>
        <v>-0.000006390357489</v>
      </c>
      <c r="F16" s="42"/>
      <c r="G16" s="42"/>
      <c r="H16" s="42"/>
      <c r="I16" s="42">
        <f t="shared" si="11"/>
        <v>0.002512885192</v>
      </c>
      <c r="J16" s="42"/>
      <c r="K16" s="42">
        <f t="shared" ref="K16:L16" si="13">P4^2</f>
        <v>0.000397615218</v>
      </c>
      <c r="L16" s="42">
        <f t="shared" si="13"/>
        <v>0.0009113391926</v>
      </c>
      <c r="M16" s="33"/>
      <c r="N16" s="33"/>
      <c r="O16" s="33"/>
      <c r="P16" s="33"/>
      <c r="Q16" s="33"/>
    </row>
    <row r="17" ht="14.25" customHeight="1">
      <c r="A17" s="40"/>
      <c r="B17" s="42">
        <f t="shared" si="8"/>
        <v>-1.885828577</v>
      </c>
      <c r="C17" s="42">
        <f t="shared" si="9"/>
        <v>-1.885828577</v>
      </c>
      <c r="D17" s="42"/>
      <c r="E17" s="42">
        <f t="shared" si="10"/>
        <v>-1.885828577</v>
      </c>
      <c r="F17" s="42"/>
      <c r="G17" s="42"/>
      <c r="H17" s="42"/>
      <c r="I17" s="42">
        <f t="shared" si="11"/>
        <v>0.003146120945</v>
      </c>
      <c r="J17" s="42"/>
      <c r="K17" s="42">
        <f t="shared" ref="K17:L17" si="14">P5^2</f>
        <v>0.0001904642195</v>
      </c>
      <c r="L17" s="42">
        <f t="shared" si="14"/>
        <v>0.001788394646</v>
      </c>
      <c r="M17" s="33"/>
      <c r="N17" s="43" t="s">
        <v>31</v>
      </c>
      <c r="O17" s="44">
        <v>2.0</v>
      </c>
      <c r="P17" s="33"/>
      <c r="Q17" s="33"/>
    </row>
    <row r="18" ht="14.2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33"/>
      <c r="N18" s="43" t="s">
        <v>32</v>
      </c>
      <c r="O18" s="43">
        <v>3.0</v>
      </c>
      <c r="P18" s="33"/>
      <c r="Q18" s="33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33"/>
      <c r="N19" s="33"/>
      <c r="O19" s="33"/>
      <c r="P19" s="33"/>
      <c r="Q19" s="33"/>
    </row>
    <row r="20" ht="14.2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33"/>
      <c r="N20" s="33"/>
      <c r="O20" s="33"/>
      <c r="P20" s="33"/>
      <c r="Q20" s="33"/>
    </row>
    <row r="21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33"/>
      <c r="N21" s="33"/>
      <c r="O21" s="33"/>
      <c r="P21" s="33"/>
      <c r="Q21" s="33"/>
    </row>
    <row r="22" ht="14.2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46" t="s">
        <v>33</v>
      </c>
      <c r="O22" s="33"/>
      <c r="P22" s="33"/>
      <c r="Q22" s="33"/>
    </row>
    <row r="23" ht="14.25" customHeight="1">
      <c r="A23" s="43" t="s">
        <v>34</v>
      </c>
      <c r="B23" s="43" t="s">
        <v>35</v>
      </c>
      <c r="C23" s="43" t="s">
        <v>36</v>
      </c>
      <c r="D23" s="43"/>
      <c r="E23" s="43" t="s">
        <v>37</v>
      </c>
      <c r="F23" s="43"/>
      <c r="G23" s="43"/>
      <c r="H23" s="43"/>
      <c r="I23" s="43" t="s">
        <v>38</v>
      </c>
      <c r="J23" s="33"/>
      <c r="K23" s="33"/>
      <c r="L23" s="33"/>
      <c r="M23" s="33"/>
      <c r="N23" s="46" t="s">
        <v>39</v>
      </c>
      <c r="O23" s="33"/>
      <c r="P23" s="33"/>
      <c r="Q23" s="33"/>
    </row>
    <row r="24" ht="14.25" customHeight="1">
      <c r="A24" s="43">
        <f>O25*(A11^2)</f>
        <v>0.009785580012</v>
      </c>
      <c r="B24" s="43">
        <f>O25*(B11^2)</f>
        <v>11.32553695</v>
      </c>
      <c r="C24" s="43">
        <f>O25*(C11^2)</f>
        <v>11.32498788</v>
      </c>
      <c r="D24" s="43"/>
      <c r="E24" s="43">
        <f>O25*(E11^2)</f>
        <v>0.009797343812</v>
      </c>
      <c r="F24" s="43"/>
      <c r="G24" s="43"/>
      <c r="H24" s="43"/>
      <c r="I24" s="43">
        <f>SUM(I14:L21)</f>
        <v>0.05647881311</v>
      </c>
      <c r="J24" s="33"/>
      <c r="K24" s="33"/>
      <c r="L24" s="33"/>
      <c r="M24" s="33"/>
      <c r="N24" s="47" t="s">
        <v>40</v>
      </c>
      <c r="O24" s="33"/>
      <c r="P24" s="33"/>
      <c r="Q24" s="33"/>
    </row>
    <row r="25" ht="14.25" customHeight="1">
      <c r="A25" s="48" t="s">
        <v>41</v>
      </c>
      <c r="B25" s="48">
        <f>SUM(A24:I24)</f>
        <v>22.72658656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49" t="s">
        <v>42</v>
      </c>
      <c r="O25" s="50">
        <f>(2^O17)*O18</f>
        <v>12</v>
      </c>
      <c r="P25" s="33"/>
      <c r="Q25" s="33"/>
    </row>
    <row r="26" ht="14.25" customHeight="1">
      <c r="A26" s="48" t="s">
        <v>43</v>
      </c>
      <c r="B26" s="48">
        <f>B25-A24</f>
        <v>22.71680098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49" t="s">
        <v>44</v>
      </c>
      <c r="O26" s="51">
        <v>1.746</v>
      </c>
      <c r="P26" s="33"/>
      <c r="Q26" s="33"/>
    </row>
    <row r="27" ht="14.2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50" t="s">
        <v>45</v>
      </c>
      <c r="O27" s="50">
        <f>O26*B33</f>
        <v>0.04234980389</v>
      </c>
      <c r="P27" s="33"/>
      <c r="Q27" s="33"/>
    </row>
    <row r="28" ht="14.25" customHeight="1">
      <c r="A28" s="52" t="s">
        <v>46</v>
      </c>
      <c r="B28" s="52" t="s">
        <v>47</v>
      </c>
      <c r="C28" s="52" t="s">
        <v>48</v>
      </c>
      <c r="D28" s="52"/>
      <c r="E28" s="52" t="s">
        <v>49</v>
      </c>
      <c r="F28" s="52"/>
      <c r="G28" s="52"/>
      <c r="H28" s="52"/>
      <c r="I28" s="52" t="s">
        <v>50</v>
      </c>
      <c r="J28" s="33"/>
      <c r="K28" s="33"/>
      <c r="L28" s="33"/>
      <c r="M28" s="33"/>
      <c r="N28" s="50" t="s">
        <v>51</v>
      </c>
      <c r="O28" s="50">
        <f>O26*B34</f>
        <v>0.08469960779</v>
      </c>
      <c r="P28" s="33"/>
      <c r="Q28" s="33"/>
    </row>
    <row r="29" ht="14.25" customHeight="1">
      <c r="A29" s="53">
        <f>A24/B26</f>
        <v>0.000430763998</v>
      </c>
      <c r="B29" s="53">
        <f>B24/B26</f>
        <v>0.4985533376</v>
      </c>
      <c r="C29" s="53">
        <f>C24/B26</f>
        <v>0.4985291672</v>
      </c>
      <c r="D29" s="53"/>
      <c r="E29" s="53">
        <f>E24/B26</f>
        <v>0.0004312818438</v>
      </c>
      <c r="F29" s="53"/>
      <c r="G29" s="53"/>
      <c r="H29" s="53"/>
      <c r="I29" s="53">
        <f>I24/B26</f>
        <v>0.002486213316</v>
      </c>
      <c r="J29" s="33"/>
      <c r="K29" s="33"/>
      <c r="L29" s="33"/>
      <c r="M29" s="33"/>
      <c r="N29" s="50" t="s">
        <v>52</v>
      </c>
      <c r="O29" s="50">
        <f>2^O17</f>
        <v>4</v>
      </c>
      <c r="P29" s="33"/>
      <c r="Q29" s="33"/>
    </row>
    <row r="30" ht="14.25" customHeight="1"/>
    <row r="31" ht="14.25" customHeight="1">
      <c r="A31" s="54" t="s">
        <v>53</v>
      </c>
      <c r="B31" s="55">
        <f>I24/(2^O17*(O18-1))</f>
        <v>0.007059851638</v>
      </c>
      <c r="C31" s="54" t="s">
        <v>54</v>
      </c>
    </row>
    <row r="32" ht="14.25" customHeight="1">
      <c r="A32" s="54" t="s">
        <v>55</v>
      </c>
      <c r="B32" s="54">
        <f>SQRT(B31)</f>
        <v>0.08402292329</v>
      </c>
      <c r="C32" s="54" t="s">
        <v>56</v>
      </c>
    </row>
    <row r="33" ht="14.25" customHeight="1">
      <c r="A33" s="54" t="s">
        <v>57</v>
      </c>
      <c r="B33" s="55">
        <f>B32/(SQRT((2^O17)*O18))</f>
        <v>0.02425532869</v>
      </c>
      <c r="C33" s="54" t="s">
        <v>58</v>
      </c>
    </row>
    <row r="34" ht="14.25" customHeight="1">
      <c r="A34" s="54" t="s">
        <v>59</v>
      </c>
      <c r="B34" s="54">
        <f>SQRT(((B32^2)*O29)/O25)</f>
        <v>0.04851065738</v>
      </c>
      <c r="C34" s="54" t="s">
        <v>60</v>
      </c>
    </row>
    <row r="35" ht="14.25" customHeight="1"/>
    <row r="36" ht="14.25" customHeight="1">
      <c r="A36" s="49" t="s">
        <v>61</v>
      </c>
      <c r="B36" s="49"/>
      <c r="C36" s="49"/>
      <c r="D36" s="49"/>
      <c r="E36" s="49"/>
      <c r="F36" s="49"/>
      <c r="G36" s="49"/>
      <c r="H36" s="49"/>
      <c r="I36" s="49"/>
    </row>
    <row r="37" ht="14.25" customHeight="1">
      <c r="A37" s="50">
        <f t="shared" ref="A37:C37" si="15">A11+$O$27</f>
        <v>0.07090615172</v>
      </c>
      <c r="B37" s="50">
        <f t="shared" si="15"/>
        <v>-0.9291411873</v>
      </c>
      <c r="C37" s="50">
        <f t="shared" si="15"/>
        <v>-0.9291176374</v>
      </c>
      <c r="D37" s="50"/>
      <c r="E37" s="50">
        <f>E11+$O$27</f>
        <v>0.07092331116</v>
      </c>
      <c r="F37" s="50"/>
      <c r="G37" s="50"/>
      <c r="H37" s="50"/>
      <c r="I37" s="49" t="s">
        <v>62</v>
      </c>
    </row>
    <row r="38" ht="14.25" customHeight="1">
      <c r="A38" s="50">
        <f t="shared" ref="A38:C38" si="16">A11-$O$27</f>
        <v>-0.01379345607</v>
      </c>
      <c r="B38" s="50">
        <f t="shared" si="16"/>
        <v>-1.013840795</v>
      </c>
      <c r="C38" s="50">
        <f t="shared" si="16"/>
        <v>-1.013817245</v>
      </c>
      <c r="D38" s="50"/>
      <c r="E38" s="50">
        <f>E11-$O$27</f>
        <v>-0.01377629662</v>
      </c>
      <c r="F38" s="50"/>
      <c r="G38" s="50"/>
      <c r="H38" s="50"/>
      <c r="I38" s="49" t="s">
        <v>63</v>
      </c>
    </row>
    <row r="39" ht="14.25" customHeight="1">
      <c r="A39" s="49" t="s">
        <v>64</v>
      </c>
      <c r="B39" s="49"/>
      <c r="C39" s="49"/>
      <c r="D39" s="49"/>
      <c r="E39" s="49"/>
      <c r="F39" s="49"/>
      <c r="G39" s="49"/>
      <c r="H39" s="49"/>
      <c r="I39" s="49"/>
    </row>
    <row r="40" ht="14.25" customHeight="1">
      <c r="A40" s="50">
        <f>M2+$O$28</f>
        <v>2.084787895</v>
      </c>
      <c r="B40" s="50">
        <f>M3+$O$28</f>
        <v>0.08465889854</v>
      </c>
      <c r="C40" s="50">
        <f>M4+$O$28</f>
        <v>0.08470599814</v>
      </c>
      <c r="D40" s="50">
        <f>M5+$O$28</f>
        <v>-1.80112897</v>
      </c>
      <c r="E40" s="50"/>
      <c r="F40" s="50"/>
      <c r="G40" s="50"/>
      <c r="H40" s="50"/>
      <c r="I40" s="49" t="s">
        <v>62</v>
      </c>
    </row>
    <row r="41" ht="14.25" customHeight="1">
      <c r="A41" s="50">
        <f>M2-$O$28</f>
        <v>1.91538868</v>
      </c>
      <c r="B41" s="50">
        <f>M3-$O$28</f>
        <v>-0.08474031704</v>
      </c>
      <c r="C41" s="50">
        <f>M4-$O$28</f>
        <v>-0.08469321743</v>
      </c>
      <c r="D41" s="50">
        <f>M5-$O$28</f>
        <v>-1.970528185</v>
      </c>
      <c r="E41" s="50"/>
      <c r="F41" s="50"/>
      <c r="G41" s="50"/>
      <c r="H41" s="50"/>
      <c r="I41" s="49" t="s">
        <v>63</v>
      </c>
    </row>
    <row r="42" ht="14.25" customHeight="1"/>
    <row r="43" ht="14.25" customHeight="1">
      <c r="A43" s="56" t="s">
        <v>65</v>
      </c>
      <c r="B43" s="56"/>
      <c r="C43" s="56"/>
      <c r="D43" s="56"/>
      <c r="E43" s="56"/>
      <c r="F43" s="56"/>
      <c r="G43" s="56"/>
      <c r="H43" s="56"/>
    </row>
    <row r="44" ht="14.25" customHeight="1">
      <c r="A44" s="43">
        <f>$O$28/M2</f>
        <v>0.04234793449</v>
      </c>
      <c r="B44" s="43">
        <f>$O$28/M3</f>
        <v>-2080.598588</v>
      </c>
      <c r="C44" s="43">
        <f>$O$28/M4</f>
        <v>13254.28318</v>
      </c>
      <c r="D44" s="43">
        <f>M5</f>
        <v>-1.885828577</v>
      </c>
      <c r="E44" s="43"/>
      <c r="F44" s="43"/>
      <c r="G44" s="43"/>
      <c r="H44" s="43"/>
    </row>
    <row r="45" ht="14.25" customHeight="1">
      <c r="A45" s="57" t="s">
        <v>66</v>
      </c>
      <c r="B45" s="58">
        <v>0.05</v>
      </c>
      <c r="C45" s="56"/>
      <c r="D45" s="56"/>
      <c r="E45" s="56"/>
      <c r="F45" s="56"/>
      <c r="G45" s="56"/>
      <c r="H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</row>
    <row r="47" ht="14.25" customHeight="1">
      <c r="A47" s="43" t="s">
        <v>67</v>
      </c>
      <c r="B47" s="56" t="s">
        <v>68</v>
      </c>
      <c r="C47" s="56" t="s">
        <v>69</v>
      </c>
      <c r="D47" s="56" t="s">
        <v>70</v>
      </c>
      <c r="E47" s="56"/>
      <c r="F47" s="56"/>
      <c r="G47" s="56"/>
      <c r="H47" s="56"/>
    </row>
    <row r="48" ht="14.25" customHeight="1">
      <c r="A48" s="43">
        <f>((O26^2)*((B32^2)*O29))/(((B45*M2)^2)*2^O17)</f>
        <v>2.152017067</v>
      </c>
      <c r="B48" s="43">
        <f>((O26^2)*((B32^2)*O29))/(((B45*M3)^2)*2^O17)</f>
        <v>5194668580</v>
      </c>
      <c r="C48" s="43">
        <f>((O26^2)*((B32^2)*O29))/(((B45*M4)^2)*2^O17)</f>
        <v>210811227133</v>
      </c>
      <c r="D48" s="44">
        <f>((O26^2)*((B32^2)*O29))/(((B45*M5)^2)*2^O17)</f>
        <v>2.42069247</v>
      </c>
      <c r="E48" s="43"/>
      <c r="F48" s="43"/>
      <c r="G48" s="43"/>
      <c r="H48" s="43"/>
    </row>
    <row r="49" ht="14.25" customHeight="1">
      <c r="A49" s="59" t="s">
        <v>71</v>
      </c>
      <c r="B49" s="60">
        <f>MAX(A48:H48)</f>
        <v>210811227133</v>
      </c>
      <c r="C49" s="56"/>
      <c r="D49" s="56"/>
      <c r="E49" s="56"/>
      <c r="F49" s="56"/>
      <c r="G49" s="56"/>
      <c r="H49" s="56"/>
    </row>
    <row r="50" ht="14.25" customHeight="1"/>
    <row r="51" ht="14.25" customHeight="1">
      <c r="A51" s="61" t="s">
        <v>72</v>
      </c>
      <c r="B51" s="30"/>
      <c r="C51" s="30"/>
      <c r="D51" s="30"/>
      <c r="E51" s="30"/>
      <c r="F51" s="30"/>
      <c r="G51" s="30"/>
      <c r="H51" s="30"/>
      <c r="I51" s="30"/>
      <c r="J51" s="30"/>
      <c r="K51" s="32"/>
    </row>
    <row r="52" ht="14.25" customHeight="1">
      <c r="A52" s="62" t="s">
        <v>73</v>
      </c>
      <c r="B52" s="63"/>
      <c r="C52" s="63"/>
      <c r="D52" s="63"/>
      <c r="E52" s="63"/>
      <c r="F52" s="63"/>
      <c r="G52" s="63"/>
      <c r="H52" s="63"/>
      <c r="I52" s="63"/>
      <c r="J52" s="63"/>
      <c r="K52" s="64"/>
    </row>
    <row r="53" ht="14.25" customHeight="1">
      <c r="A53" s="65"/>
      <c r="K53" s="66"/>
    </row>
    <row r="54" ht="14.25" customHeight="1">
      <c r="A54" s="65"/>
      <c r="K54" s="66"/>
    </row>
    <row r="55" ht="14.25" customHeight="1">
      <c r="A55" s="65"/>
      <c r="K55" s="66"/>
    </row>
    <row r="56" ht="14.25" customHeight="1">
      <c r="A56" s="65"/>
      <c r="K56" s="66"/>
    </row>
    <row r="57" ht="14.25" customHeight="1">
      <c r="A57" s="65"/>
      <c r="K57" s="66"/>
    </row>
    <row r="58" ht="14.25" customHeight="1">
      <c r="A58" s="65"/>
      <c r="K58" s="66"/>
    </row>
    <row r="59" ht="14.25" customHeight="1">
      <c r="A59" s="65"/>
      <c r="K59" s="66"/>
    </row>
    <row r="60" ht="14.25" customHeight="1">
      <c r="A60" s="65"/>
      <c r="K60" s="66"/>
    </row>
    <row r="61" ht="14.25" customHeight="1">
      <c r="A61" s="65"/>
      <c r="K61" s="66"/>
    </row>
    <row r="62" ht="14.25" customHeight="1">
      <c r="A62" s="65"/>
      <c r="K62" s="66"/>
    </row>
    <row r="63" ht="14.25" customHeight="1">
      <c r="A63" s="65"/>
      <c r="K63" s="66"/>
    </row>
    <row r="64" ht="14.2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0:H10"/>
    <mergeCell ref="A51:K51"/>
    <mergeCell ref="A52:K6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5" width="11.57"/>
    <col customWidth="1" min="16" max="26" width="8.71"/>
  </cols>
  <sheetData>
    <row r="1" ht="15.0" customHeight="1">
      <c r="A1" s="11" t="s">
        <v>13</v>
      </c>
      <c r="B1" s="11" t="s">
        <v>14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5">
        <f>LOG(85.1,10)</f>
        <v>1.92992956</v>
      </c>
      <c r="B2" s="13">
        <v>-0.07015872749472885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customHeight="1">
      <c r="A3" s="5">
        <f>LOG(0.955,10)</f>
        <v>-0.01999662842</v>
      </c>
      <c r="B3" s="13">
        <v>-0.01995591916638332</v>
      </c>
      <c r="C3" s="12"/>
      <c r="D3" s="12"/>
      <c r="E3" s="16">
        <v>164.05798</v>
      </c>
      <c r="F3" s="16">
        <v>160.381864</v>
      </c>
      <c r="G3" s="16">
        <v>161.788764</v>
      </c>
      <c r="H3" s="16">
        <v>162.486587</v>
      </c>
      <c r="I3" s="16">
        <v>159.49173</v>
      </c>
      <c r="J3" s="18">
        <f t="shared" ref="J3:J10" si="1">SUM(E3:I3)/5</f>
        <v>161.641385</v>
      </c>
      <c r="K3" s="16"/>
      <c r="L3" s="16"/>
      <c r="M3" s="16"/>
      <c r="N3" s="16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customHeight="1">
      <c r="A4" s="5">
        <f>LOG(0.891,10)</f>
        <v>-0.05012229596</v>
      </c>
      <c r="B4" s="13">
        <v>-0.05012868632061465</v>
      </c>
      <c r="C4" s="12"/>
      <c r="D4" s="12"/>
      <c r="E4" s="11">
        <v>124.067955</v>
      </c>
      <c r="F4" s="11">
        <v>123.475681</v>
      </c>
      <c r="G4" s="11">
        <v>123.708199</v>
      </c>
      <c r="H4" s="11">
        <v>123.15827</v>
      </c>
      <c r="I4" s="11">
        <v>123.299234</v>
      </c>
      <c r="J4" s="22">
        <f t="shared" si="1"/>
        <v>123.5418678</v>
      </c>
      <c r="K4" s="11"/>
      <c r="L4" s="11"/>
      <c r="M4" s="11"/>
      <c r="N4" s="11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customHeight="1">
      <c r="A5" s="5">
        <f>LOG(0.0148,10)</f>
        <v>-1.829738285</v>
      </c>
      <c r="B5" s="25">
        <v>0.056090292788742335</v>
      </c>
      <c r="C5" s="12"/>
      <c r="D5" s="12"/>
      <c r="E5" s="11">
        <v>122.201614</v>
      </c>
      <c r="F5" s="11">
        <v>122.10698</v>
      </c>
      <c r="G5" s="11">
        <v>122.59785</v>
      </c>
      <c r="H5" s="11">
        <v>123.343239</v>
      </c>
      <c r="I5" s="11">
        <v>123.263476</v>
      </c>
      <c r="J5" s="22">
        <f t="shared" si="1"/>
        <v>122.7026318</v>
      </c>
      <c r="K5" s="11"/>
      <c r="L5" s="11"/>
      <c r="M5" s="11"/>
      <c r="N5" s="11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customHeight="1">
      <c r="A6" s="5">
        <f>LOG(79.5,10)</f>
        <v>1.900367129</v>
      </c>
      <c r="B6" s="13">
        <v>-0.09972115892284639</v>
      </c>
      <c r="C6" s="12"/>
      <c r="D6" s="12"/>
      <c r="E6" s="11">
        <v>119.665898</v>
      </c>
      <c r="F6" s="11">
        <v>121.165625</v>
      </c>
      <c r="G6" s="11">
        <v>125.120233</v>
      </c>
      <c r="H6" s="11">
        <v>120.537749</v>
      </c>
      <c r="I6" s="11">
        <v>117.193017</v>
      </c>
      <c r="J6" s="22">
        <f t="shared" si="1"/>
        <v>120.7365044</v>
      </c>
      <c r="K6" s="11"/>
      <c r="L6" s="11"/>
      <c r="M6" s="11"/>
      <c r="N6" s="11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customHeight="1">
      <c r="A7" s="5">
        <f>LOG(0.933,10)</f>
        <v>-0.03011835625</v>
      </c>
      <c r="B7" s="13">
        <v>-0.030077647003629675</v>
      </c>
      <c r="C7" s="12"/>
      <c r="D7" s="12"/>
      <c r="E7" s="11">
        <v>214.51421</v>
      </c>
      <c r="F7" s="11">
        <v>218.552798</v>
      </c>
      <c r="G7" s="11">
        <v>212.909433</v>
      </c>
      <c r="H7" s="11">
        <v>216.240736</v>
      </c>
      <c r="I7" s="11">
        <v>209.012826</v>
      </c>
      <c r="J7" s="22">
        <f t="shared" si="1"/>
        <v>214.2460006</v>
      </c>
      <c r="K7" s="11"/>
      <c r="L7" s="11"/>
      <c r="M7" s="11"/>
      <c r="N7" s="11"/>
      <c r="O7" s="1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0" customHeight="1">
      <c r="A8" s="5">
        <f>LOG(1.047,10)</f>
        <v>0.01994668168</v>
      </c>
      <c r="B8" s="13">
        <v>0.019940291321352856</v>
      </c>
      <c r="C8" s="12"/>
      <c r="D8" s="12"/>
      <c r="E8" s="11">
        <v>137.387068</v>
      </c>
      <c r="F8" s="11">
        <v>138.165258</v>
      </c>
      <c r="G8" s="11">
        <v>137.079305</v>
      </c>
      <c r="H8" s="11">
        <v>137.625476</v>
      </c>
      <c r="I8" s="11">
        <v>137.68238</v>
      </c>
      <c r="J8" s="22">
        <f t="shared" si="1"/>
        <v>137.5878974</v>
      </c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0" customHeight="1">
      <c r="A9" s="5">
        <f>LOG(0.0126,10)</f>
        <v>-1.899629455</v>
      </c>
      <c r="B9" s="19">
        <v>-0.013800877488651997</v>
      </c>
      <c r="C9" s="12"/>
      <c r="D9" s="12"/>
      <c r="E9" s="11">
        <v>133.325846</v>
      </c>
      <c r="F9" s="11">
        <v>133.488029</v>
      </c>
      <c r="G9" s="11">
        <v>140.000832</v>
      </c>
      <c r="H9" s="11">
        <v>132.240071</v>
      </c>
      <c r="I9" s="11">
        <v>136.412091</v>
      </c>
      <c r="J9" s="22">
        <f t="shared" si="1"/>
        <v>135.0933738</v>
      </c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0" customHeight="1">
      <c r="A10" s="5">
        <f>LOG(147.9,10)</f>
        <v>2.169968174</v>
      </c>
      <c r="B10" s="13">
        <v>0.16987988641757568</v>
      </c>
      <c r="C10" s="12"/>
      <c r="D10" s="12"/>
      <c r="E10" s="31">
        <v>125.948166</v>
      </c>
      <c r="F10" s="31">
        <v>124.942244</v>
      </c>
      <c r="G10" s="31">
        <v>128.849849</v>
      </c>
      <c r="H10" s="31">
        <v>127.820646</v>
      </c>
      <c r="I10" s="31">
        <v>132.86445</v>
      </c>
      <c r="J10" s="34">
        <f t="shared" si="1"/>
        <v>128.085071</v>
      </c>
      <c r="K10" s="31"/>
      <c r="L10" s="31"/>
      <c r="M10" s="31"/>
      <c r="N10" s="31"/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customHeight="1">
      <c r="A11" s="5">
        <f>LOG(1.122,10)</f>
        <v>0.04999285692</v>
      </c>
      <c r="B11" s="11">
        <v>0.050033566170013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0" customHeight="1">
      <c r="A12" s="5">
        <f>LOG(1.072,10)</f>
        <v>0.03019478536</v>
      </c>
      <c r="B12" s="11">
        <v>0.030188394999261795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0" customHeight="1">
      <c r="A13" s="5">
        <f>LOG(0.0118,10)</f>
        <v>-1.928117993</v>
      </c>
      <c r="B13" s="13">
        <v>-0.04228941530008945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0" customHeight="1">
      <c r="A14" s="37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customHeight="1">
      <c r="A15" s="37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0" customHeight="1">
      <c r="A16" s="37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0" customHeight="1">
      <c r="A17" s="37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0" customHeight="1">
      <c r="A18" s="41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0" customHeight="1">
      <c r="A19" s="37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0" customHeight="1">
      <c r="A20" s="37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7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7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7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7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1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4.71"/>
    <col customWidth="1" min="3" max="6" width="11.57"/>
    <col customWidth="1" min="7" max="25" width="8.71"/>
  </cols>
  <sheetData>
    <row r="1" ht="15.0" customHeight="1">
      <c r="A1" s="14" t="s">
        <v>15</v>
      </c>
      <c r="B1" s="15" t="s">
        <v>16</v>
      </c>
      <c r="C1" s="14" t="s">
        <v>17</v>
      </c>
      <c r="D1" s="14" t="s">
        <v>18</v>
      </c>
      <c r="E1" s="14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5.0" customHeight="1">
      <c r="A2" s="13">
        <v>-0.07015872749472885</v>
      </c>
      <c r="B2" s="17">
        <v>1.0</v>
      </c>
      <c r="C2" s="19">
        <f t="shared" ref="C2:C13" si="1">(B2 - 0.5)/COUNT($B$2:$B$13)</f>
        <v>0.04166666667</v>
      </c>
      <c r="D2" s="11">
        <f t="shared" ref="D2:D13" si="2">NORMSINV(C2)</f>
        <v>-1.731664397</v>
      </c>
      <c r="E2" s="11">
        <f t="shared" ref="E2:E25" si="3">A2</f>
        <v>-0.07015872749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15.0" customHeight="1">
      <c r="A3" s="13">
        <v>-0.01995591916638332</v>
      </c>
      <c r="B3" s="17">
        <f t="shared" ref="B3:B13" si="4">B2+1</f>
        <v>2</v>
      </c>
      <c r="C3" s="19">
        <f t="shared" si="1"/>
        <v>0.125</v>
      </c>
      <c r="D3" s="11">
        <f t="shared" si="2"/>
        <v>-1.150349381</v>
      </c>
      <c r="E3" s="11">
        <f t="shared" si="3"/>
        <v>-0.01995591917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15.0" customHeight="1">
      <c r="A4" s="13">
        <v>-0.05012868632061465</v>
      </c>
      <c r="B4" s="17">
        <f t="shared" si="4"/>
        <v>3</v>
      </c>
      <c r="C4" s="19">
        <f t="shared" si="1"/>
        <v>0.2083333333</v>
      </c>
      <c r="D4" s="11">
        <f t="shared" si="2"/>
        <v>-0.8122178006</v>
      </c>
      <c r="E4" s="11">
        <f t="shared" si="3"/>
        <v>-0.05012868632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5.0" customHeight="1">
      <c r="A5" s="25">
        <v>0.056090292788742335</v>
      </c>
      <c r="B5" s="17">
        <f t="shared" si="4"/>
        <v>4</v>
      </c>
      <c r="C5" s="19">
        <f t="shared" si="1"/>
        <v>0.2916666667</v>
      </c>
      <c r="D5" s="11">
        <f t="shared" si="2"/>
        <v>-0.5485222833</v>
      </c>
      <c r="E5" s="11">
        <f t="shared" si="3"/>
        <v>0.05609029279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5.0" customHeight="1">
      <c r="A6" s="13">
        <v>-0.09972115892284639</v>
      </c>
      <c r="B6" s="17">
        <f t="shared" si="4"/>
        <v>5</v>
      </c>
      <c r="C6" s="19">
        <f t="shared" si="1"/>
        <v>0.375</v>
      </c>
      <c r="D6" s="11">
        <f t="shared" si="2"/>
        <v>-0.3186393636</v>
      </c>
      <c r="E6" s="11">
        <f t="shared" si="3"/>
        <v>-0.09972115892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5.0" customHeight="1">
      <c r="A7" s="13">
        <v>-0.030077647003629675</v>
      </c>
      <c r="B7" s="17">
        <f t="shared" si="4"/>
        <v>6</v>
      </c>
      <c r="C7" s="19">
        <f t="shared" si="1"/>
        <v>0.4583333333</v>
      </c>
      <c r="D7" s="11">
        <f t="shared" si="2"/>
        <v>-0.1046334557</v>
      </c>
      <c r="E7" s="11">
        <f t="shared" si="3"/>
        <v>-0.030077647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5.0" customHeight="1">
      <c r="A8" s="13">
        <v>0.019940291321352856</v>
      </c>
      <c r="B8" s="17">
        <f t="shared" si="4"/>
        <v>7</v>
      </c>
      <c r="C8" s="19">
        <f t="shared" si="1"/>
        <v>0.5416666667</v>
      </c>
      <c r="D8" s="11">
        <f t="shared" si="2"/>
        <v>0.1046334557</v>
      </c>
      <c r="E8" s="11">
        <f t="shared" si="3"/>
        <v>0.01994029132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5.0" customHeight="1">
      <c r="A9" s="19">
        <v>-0.013800877488651997</v>
      </c>
      <c r="B9" s="17">
        <f t="shared" si="4"/>
        <v>8</v>
      </c>
      <c r="C9" s="19">
        <f t="shared" si="1"/>
        <v>0.625</v>
      </c>
      <c r="D9" s="11">
        <f t="shared" si="2"/>
        <v>0.3186393636</v>
      </c>
      <c r="E9" s="11">
        <f t="shared" si="3"/>
        <v>-0.01380087749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5.0" customHeight="1">
      <c r="A10" s="13">
        <v>0.16987988641757568</v>
      </c>
      <c r="B10" s="17">
        <f t="shared" si="4"/>
        <v>9</v>
      </c>
      <c r="C10" s="19">
        <f t="shared" si="1"/>
        <v>0.7083333333</v>
      </c>
      <c r="D10" s="11">
        <f t="shared" si="2"/>
        <v>0.5485222833</v>
      </c>
      <c r="E10" s="11">
        <f t="shared" si="3"/>
        <v>0.1698798864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5.0" customHeight="1">
      <c r="A11" s="11">
        <v>0.050033566170013</v>
      </c>
      <c r="B11" s="17">
        <f t="shared" si="4"/>
        <v>10</v>
      </c>
      <c r="C11" s="19">
        <f t="shared" si="1"/>
        <v>0.7916666667</v>
      </c>
      <c r="D11" s="11">
        <f t="shared" si="2"/>
        <v>0.8122178006</v>
      </c>
      <c r="E11" s="11">
        <f t="shared" si="3"/>
        <v>0.05003356617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5.0" customHeight="1">
      <c r="A12" s="11">
        <v>0.030188394999261795</v>
      </c>
      <c r="B12" s="17">
        <f t="shared" si="4"/>
        <v>11</v>
      </c>
      <c r="C12" s="19">
        <f t="shared" si="1"/>
        <v>0.875</v>
      </c>
      <c r="D12" s="11">
        <f t="shared" si="2"/>
        <v>1.150349381</v>
      </c>
      <c r="E12" s="11">
        <f t="shared" si="3"/>
        <v>0.030188395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5.0" customHeight="1">
      <c r="A13" s="13">
        <v>-0.04228941530008945</v>
      </c>
      <c r="B13" s="17">
        <f t="shared" si="4"/>
        <v>12</v>
      </c>
      <c r="C13" s="19">
        <f t="shared" si="1"/>
        <v>0.9583333333</v>
      </c>
      <c r="D13" s="11">
        <f t="shared" si="2"/>
        <v>1.731664397</v>
      </c>
      <c r="E13" s="11">
        <f t="shared" si="3"/>
        <v>-0.0422894153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0" customHeight="1">
      <c r="A14" s="11"/>
      <c r="B14" s="17"/>
      <c r="C14" s="19"/>
      <c r="D14" s="11"/>
      <c r="E14" s="11" t="str">
        <f t="shared" si="3"/>
        <v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0" customHeight="1">
      <c r="A15" s="11"/>
      <c r="B15" s="17"/>
      <c r="C15" s="19"/>
      <c r="D15" s="11"/>
      <c r="E15" s="11" t="str">
        <f t="shared" si="3"/>
        <v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0" customHeight="1">
      <c r="A16" s="11"/>
      <c r="B16" s="17"/>
      <c r="C16" s="19"/>
      <c r="D16" s="11"/>
      <c r="E16" s="11" t="str">
        <f t="shared" si="3"/>
        <v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5.0" customHeight="1">
      <c r="A17" s="11"/>
      <c r="B17" s="17"/>
      <c r="C17" s="19"/>
      <c r="D17" s="11"/>
      <c r="E17" s="11" t="str">
        <f t="shared" si="3"/>
        <v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0" customHeight="1">
      <c r="A18" s="11"/>
      <c r="B18" s="17"/>
      <c r="C18" s="19"/>
      <c r="D18" s="11"/>
      <c r="E18" s="11" t="str">
        <f t="shared" si="3"/>
        <v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5.0" customHeight="1">
      <c r="A19" s="11"/>
      <c r="B19" s="17"/>
      <c r="C19" s="19"/>
      <c r="D19" s="11"/>
      <c r="E19" s="11" t="str">
        <f t="shared" si="3"/>
        <v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5.0" customHeight="1">
      <c r="A20" s="11"/>
      <c r="B20" s="17"/>
      <c r="C20" s="19"/>
      <c r="D20" s="11"/>
      <c r="E20" s="11" t="str">
        <f t="shared" si="3"/>
        <v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5.75" customHeight="1">
      <c r="A21" s="11"/>
      <c r="B21" s="17"/>
      <c r="C21" s="19"/>
      <c r="D21" s="11"/>
      <c r="E21" s="11" t="str">
        <f t="shared" si="3"/>
        <v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5.75" customHeight="1">
      <c r="A22" s="11"/>
      <c r="B22" s="17"/>
      <c r="C22" s="19"/>
      <c r="D22" s="11"/>
      <c r="E22" s="11" t="str">
        <f t="shared" si="3"/>
        <v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5.75" customHeight="1">
      <c r="A23" s="11"/>
      <c r="B23" s="17"/>
      <c r="C23" s="19"/>
      <c r="D23" s="11"/>
      <c r="E23" s="11" t="str">
        <f t="shared" si="3"/>
        <v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5.75" customHeight="1">
      <c r="A24" s="11"/>
      <c r="B24" s="17"/>
      <c r="C24" s="19"/>
      <c r="D24" s="11"/>
      <c r="E24" s="11" t="str">
        <f t="shared" si="3"/>
        <v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75" customHeight="1">
      <c r="A25" s="12"/>
      <c r="B25" s="17"/>
      <c r="C25" s="19"/>
      <c r="D25" s="11"/>
      <c r="E25" s="12" t="str">
        <f t="shared" si="3"/>
        <v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75" customHeight="1">
      <c r="A26" s="11"/>
      <c r="B26" s="17"/>
      <c r="C26" s="19"/>
      <c r="D26" s="11"/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75" customHeight="1">
      <c r="A27" s="11"/>
      <c r="B27" s="17"/>
      <c r="C27" s="19"/>
      <c r="D27" s="11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5.75" customHeight="1">
      <c r="A28" s="11"/>
      <c r="B28" s="17"/>
      <c r="C28" s="19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5.75" customHeight="1">
      <c r="A29" s="11"/>
      <c r="B29" s="17"/>
      <c r="C29" s="19"/>
      <c r="D29" s="11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5.75" customHeight="1">
      <c r="A30" s="11"/>
      <c r="B30" s="17"/>
      <c r="C30" s="19"/>
      <c r="D30" s="11"/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5.75" customHeight="1">
      <c r="A31" s="11"/>
      <c r="B31" s="17"/>
      <c r="C31" s="19"/>
      <c r="D31" s="11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5.75" customHeight="1">
      <c r="A32" s="11"/>
      <c r="B32" s="17"/>
      <c r="C32" s="19"/>
      <c r="D32" s="11"/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5.75" customHeight="1">
      <c r="A33" s="11"/>
      <c r="B33" s="17"/>
      <c r="C33" s="19"/>
      <c r="D33" s="11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5.75" customHeight="1">
      <c r="A34" s="11"/>
      <c r="B34" s="17"/>
      <c r="C34" s="19"/>
      <c r="D34" s="11"/>
      <c r="E34" s="1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5.75" customHeight="1">
      <c r="A35" s="11"/>
      <c r="B35" s="17"/>
      <c r="C35" s="19"/>
      <c r="D35" s="11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11"/>
      <c r="B36" s="17"/>
      <c r="C36" s="19"/>
      <c r="D36" s="11"/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5.75" customHeight="1">
      <c r="A37" s="11"/>
      <c r="B37" s="17"/>
      <c r="C37" s="19"/>
      <c r="D37" s="11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5.75" customHeight="1">
      <c r="A38" s="11"/>
      <c r="B38" s="17"/>
      <c r="C38" s="19"/>
      <c r="D38" s="11"/>
      <c r="E38" s="1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15.75" customHeight="1">
      <c r="A39" s="11"/>
      <c r="B39" s="17"/>
      <c r="C39" s="19"/>
      <c r="D39" s="11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5.75" customHeight="1">
      <c r="A40" s="11"/>
      <c r="B40" s="17"/>
      <c r="C40" s="19"/>
      <c r="D40" s="11"/>
      <c r="E40" s="11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5.75" customHeight="1">
      <c r="A41" s="11"/>
      <c r="B41" s="17"/>
      <c r="C41" s="19"/>
      <c r="D41" s="11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