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autoCompressPictures="0" defaultThemeVersion="124226"/>
  <mc:AlternateContent xmlns:mc="http://schemas.openxmlformats.org/markup-compatibility/2006">
    <mc:Choice Requires="x15">
      <x15ac:absPath xmlns:x15ac="http://schemas.microsoft.com/office/spreadsheetml/2010/11/ac" url="C:\Users\418023\Desktop\"/>
    </mc:Choice>
  </mc:AlternateContent>
  <xr:revisionPtr revIDLastSave="0" documentId="10_ncr:100000_{801DC553-C250-4B5A-ACA5-D0BE58B5BBA2}" xr6:coauthVersionLast="31" xr6:coauthVersionMax="31" xr10:uidLastSave="{00000000-0000-0000-0000-000000000000}"/>
  <bookViews>
    <workbookView xWindow="0" yWindow="0" windowWidth="19200" windowHeight="5868" xr2:uid="{00000000-000D-0000-FFFF-FFFF00000000}"/>
  </bookViews>
  <sheets>
    <sheet name="Setup" sheetId="1" r:id="rId1"/>
    <sheet name="Sheet4" sheetId="5" state="hidden" r:id="rId2"/>
    <sheet name="Contribution Tracking" sheetId="2" r:id="rId3"/>
    <sheet name="Calc" sheetId="3" state="hidden" r:id="rId4"/>
    <sheet name="Projector" sheetId="4" r:id="rId5"/>
  </sheets>
  <externalReferences>
    <externalReference r:id="rId6"/>
  </externalReferences>
  <definedNames>
    <definedName name="_xlnm.Print_Area" localSheetId="4">Projector!$G$1:$T$38</definedName>
    <definedName name="scBalance">Calc!$J$5</definedName>
    <definedName name="scChartWidth">Calc!$G$15</definedName>
    <definedName name="scContributionRows">Calc!$G$2</definedName>
    <definedName name="scContributionTop">'Contribution Tracking'!$C$3</definedName>
    <definedName name="scCurrentBalance">Calc!$G$14</definedName>
    <definedName name="scCurrentSprint">Calc!$G$12</definedName>
    <definedName name="scDaysInSprint">Setup!$J$10</definedName>
    <definedName name="scFirstSprint">Setup!$J$4</definedName>
    <definedName name="scGoalDate">Setup!$J$8</definedName>
    <definedName name="scGoalProj">Calc!$J$9</definedName>
    <definedName name="scGoalPSCon">Calc!$G$26</definedName>
    <definedName name="scGoalSprintCount">Calc!$G$11</definedName>
    <definedName name="scMaxHead">Calc!$J$11</definedName>
    <definedName name="scMaxPSCon">Calc!$G$30</definedName>
    <definedName name="scMaxSprints">Calc!$G$29</definedName>
    <definedName name="scMinHead">Calc!$J$12</definedName>
    <definedName name="scMinPSCon">Calc!$G$28</definedName>
    <definedName name="scMinSprints">Calc!$G$27</definedName>
    <definedName name="scOriginalEstimate">Setup!$J$6</definedName>
    <definedName name="scPeriodLabels">Calc!$J$4</definedName>
    <definedName name="scPlotBalance">OFFSET(scBalance,0,0,1,MAX(1,scChartWidth))</definedName>
    <definedName name="scPlotGoalProj">OFFSET(scGoalProj,0,0,1,MAX(1,scChartWidth))</definedName>
    <definedName name="scPlotLabels">OFFSET(scPeriodLabels,0,0,1,MAX(1,scChartWidth))</definedName>
    <definedName name="scPlotMax">OFFSET(scMaxHead,0,0,1,MAX(1,scChartWidth))</definedName>
    <definedName name="scPlotMin">OFFSET(scMinHead,0,0,1,MAX(1,scChartWidth))</definedName>
    <definedName name="scPlotProgMarker">OFFSET(scProgMarker,0,0,1,MAX(1,scChartWidth))</definedName>
    <definedName name="scPlotR3Proj">OFFSET(scR3Proj,0,0,1,MAX(1,scChartWidth))</definedName>
    <definedName name="scPlotScope">OFFSET(scScope,0,0,1,MAX(1,scChartWidth))</definedName>
    <definedName name="scPlotTAProj">OFFSET(scTAProj,0,0,1,MAX(1,scChartWidth))</definedName>
    <definedName name="scPlotVelMarker">OFFSET(scVelMarker,0,0,1,MAX(1,scChartWidth))</definedName>
    <definedName name="scPlotVelProj">OFFSET(scVelProj,0,0,1,MAX(1,scChartWidth))</definedName>
    <definedName name="scPlotYWMarker">OFFSET(scYWMarker,0,0,1,MAX(1,scChartWidth))</definedName>
    <definedName name="scPlotYWProj">OFFSET([0]!scYWProj,0,0,1,MAX(1,scChartWidth))</definedName>
    <definedName name="scPlotZone">OFFSET(scZoneBase,0,0,1,IF(NOT(scChartWidth&gt;0),NA(),scChartWidth))</definedName>
    <definedName name="scPlotZoneMarker">OFFSET(scZoneMarker,0,0,1,MAX(1,scChartWidth))</definedName>
    <definedName name="scProgMarker">Calc!$J$18</definedName>
    <definedName name="scR3Proj">Calc!$J$7</definedName>
    <definedName name="scRolling3Contribution">Calc!$G$5</definedName>
    <definedName name="scRolling3Projection">Calc!$G$19</definedName>
    <definedName name="scRolling3PSCon">Calc!$G$21</definedName>
    <definedName name="scRolling3SprintsLeft">Calc!$G$20</definedName>
    <definedName name="scRolling3Velocity">Calc!$G$6</definedName>
    <definedName name="scScope">Calc!$J$16</definedName>
    <definedName name="scScopeChange">Calc!$G$13</definedName>
    <definedName name="scScopeTop">'Contribution Tracking'!$F$3</definedName>
    <definedName name="scShade">Projector!$V$1</definedName>
    <definedName name="scShow3RCon">Projector!$G$5</definedName>
    <definedName name="scShow3RVel">Projector!$G$9</definedName>
    <definedName name="scShowOrig">Projector!$G$3</definedName>
    <definedName name="scShowOTProj">Projector!$G$4</definedName>
    <definedName name="scShowTACon">Projector!$G$6</definedName>
    <definedName name="scShowTAVel">Projector!$G$10</definedName>
    <definedName name="scShowYWCon">Projector!$G$7</definedName>
    <definedName name="scShowYWVel">Projector!$G$11</definedName>
    <definedName name="scTAProj">Calc!$J$8</definedName>
    <definedName name="scTitle">Setup!$J$2</definedName>
    <definedName name="scTotalAvgContribution">Calc!$G$7</definedName>
    <definedName name="scTotalAvgVelocity">Calc!$G$8</definedName>
    <definedName name="scTotAvgProjection">Calc!$G$22</definedName>
    <definedName name="scTotAvgPSCon">Calc!$G$24</definedName>
    <definedName name="scTotAvgSprintsLeft">Calc!$G$23</definedName>
    <definedName name="scVelMarker">Calc!$J$20</definedName>
    <definedName name="scVelocityRows">Calc!$G$3</definedName>
    <definedName name="scVelocityTop">'Contribution Tracking'!$E$3</definedName>
    <definedName name="scVelProj">Calc!$J$14</definedName>
    <definedName name="scVelSprintsLeft">Calc!$G$31</definedName>
    <definedName name="scWeekdayChart">Setup!$R$3:$S$11</definedName>
    <definedName name="scWeekdayCodes">Setup!$R$3:$R$11</definedName>
    <definedName name="scYesterdaysWeather">Calc!$G$4</definedName>
    <definedName name="scYWMarker">Calc!$J$19</definedName>
    <definedName name="scYWProj">Calc!$J$6</definedName>
    <definedName name="scYWProjection">Calc!$G$16</definedName>
    <definedName name="scYWPSCon">Calc!$G$18</definedName>
    <definedName name="scYWSprintsLeft">Calc!$G$17</definedName>
    <definedName name="scZoneBase">Calc!$J$22</definedName>
    <definedName name="scZoneMarker">Calc!$J$23</definedName>
  </definedNames>
  <calcPr calcId="179017"/>
</workbook>
</file>

<file path=xl/calcChain.xml><?xml version="1.0" encoding="utf-8"?>
<calcChain xmlns="http://schemas.openxmlformats.org/spreadsheetml/2006/main">
  <c r="G26" i="2" l="1"/>
  <c r="D26" i="2"/>
  <c r="G25" i="2"/>
  <c r="D25" i="2"/>
  <c r="G24" i="2"/>
  <c r="D24" i="2"/>
  <c r="G23" i="2"/>
  <c r="D23" i="2"/>
  <c r="D21" i="2" l="1"/>
  <c r="D22" i="2"/>
  <c r="D20" i="2" l="1"/>
  <c r="D18" i="2"/>
  <c r="D19" i="2"/>
  <c r="D8" i="2"/>
  <c r="D6" i="2" l="1"/>
  <c r="D17" i="2" l="1"/>
  <c r="D16" i="2"/>
  <c r="D15" i="2"/>
  <c r="D14" i="2"/>
  <c r="D13" i="2"/>
  <c r="D12" i="2"/>
  <c r="D11" i="2" l="1"/>
  <c r="D10" i="2" l="1"/>
  <c r="D9" i="2" l="1"/>
  <c r="D7" i="2"/>
  <c r="D5" i="2"/>
  <c r="B3" i="2" l="1"/>
  <c r="C2" i="2" l="1"/>
  <c r="B4" i="2"/>
  <c r="B5" i="2" s="1"/>
  <c r="B6" i="2" s="1"/>
  <c r="B7" i="2" s="1"/>
  <c r="B8" i="2" s="1"/>
  <c r="G4" i="2"/>
  <c r="G5" i="2" s="1"/>
  <c r="G6" i="2" s="1"/>
  <c r="A4" i="2"/>
  <c r="A5" i="2"/>
  <c r="A6" i="2"/>
  <c r="A7" i="2"/>
  <c r="A8" i="2"/>
  <c r="A9" i="2"/>
  <c r="A10" i="2"/>
  <c r="A11" i="2"/>
  <c r="A12" i="2"/>
  <c r="A13" i="2"/>
  <c r="A14" i="2"/>
  <c r="A15" i="2"/>
  <c r="A16" i="2"/>
  <c r="A17" i="2"/>
  <c r="A18" i="2"/>
  <c r="A19" i="2"/>
  <c r="A20" i="2"/>
  <c r="A21" i="2"/>
  <c r="A22" i="2"/>
  <c r="A23" i="2"/>
  <c r="A24" i="2"/>
  <c r="A25" i="2"/>
  <c r="A26" i="2"/>
  <c r="A27" i="2"/>
  <c r="A28" i="2"/>
  <c r="G28" i="2"/>
  <c r="A29" i="2"/>
  <c r="G29" i="2"/>
  <c r="A30" i="2"/>
  <c r="G30" i="2"/>
  <c r="A31" i="2"/>
  <c r="G31" i="2"/>
  <c r="A32" i="2"/>
  <c r="G32" i="2"/>
  <c r="A33" i="2"/>
  <c r="G33" i="2"/>
  <c r="A34" i="2"/>
  <c r="G34" i="2"/>
  <c r="A35" i="2"/>
  <c r="G35" i="2"/>
  <c r="A36" i="2"/>
  <c r="G36" i="2"/>
  <c r="A37" i="2"/>
  <c r="G37" i="2"/>
  <c r="A38" i="2"/>
  <c r="G38" i="2"/>
  <c r="A39" i="2"/>
  <c r="G39" i="2"/>
  <c r="A40" i="2"/>
  <c r="G40" i="2"/>
  <c r="A41" i="2"/>
  <c r="G41" i="2"/>
  <c r="A42" i="2"/>
  <c r="G42" i="2"/>
  <c r="A43" i="2"/>
  <c r="G43" i="2"/>
  <c r="A44" i="2"/>
  <c r="G44" i="2"/>
  <c r="A45" i="2"/>
  <c r="G45" i="2"/>
  <c r="A46" i="2"/>
  <c r="G46" i="2"/>
  <c r="A47" i="2"/>
  <c r="G47" i="2"/>
  <c r="A48" i="2"/>
  <c r="G48" i="2"/>
  <c r="A49" i="2"/>
  <c r="G49" i="2"/>
  <c r="A50" i="2"/>
  <c r="G50" i="2"/>
  <c r="A51" i="2"/>
  <c r="G51" i="2"/>
  <c r="A52" i="2"/>
  <c r="G52" i="2"/>
  <c r="A53" i="2"/>
  <c r="G53" i="2"/>
  <c r="A54" i="2"/>
  <c r="G54" i="2"/>
  <c r="G11" i="3"/>
  <c r="G27" i="3" s="1"/>
  <c r="G28" i="3" s="1"/>
  <c r="K3" i="3"/>
  <c r="L3" i="3"/>
  <c r="J23" i="3"/>
  <c r="J3" i="3"/>
  <c r="M3" i="3"/>
  <c r="N3" i="3"/>
  <c r="B12" i="1"/>
  <c r="L8" i="1"/>
  <c r="L4" i="1"/>
  <c r="O3" i="3"/>
  <c r="P3" i="3"/>
  <c r="Q3" i="3"/>
  <c r="R3" i="3"/>
  <c r="J6" i="3"/>
  <c r="J19" i="3" s="1"/>
  <c r="S3" i="3"/>
  <c r="G4" i="4"/>
  <c r="J11" i="3" s="1"/>
  <c r="G5" i="4"/>
  <c r="G6" i="4"/>
  <c r="G7" i="4"/>
  <c r="G9" i="4"/>
  <c r="G10" i="4"/>
  <c r="G11" i="4"/>
  <c r="G3" i="4"/>
  <c r="J14" i="3"/>
  <c r="G25" i="3"/>
  <c r="J2" i="3"/>
  <c r="T3" i="3"/>
  <c r="J8" i="3"/>
  <c r="J7" i="3"/>
  <c r="J5"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BJ3" i="3"/>
  <c r="K4" i="3"/>
  <c r="G10" i="3"/>
  <c r="G9" i="3"/>
  <c r="G2" i="3"/>
  <c r="G5" i="3" s="1"/>
  <c r="J16" i="3"/>
  <c r="J12" i="3" l="1"/>
  <c r="K12" i="3" s="1"/>
  <c r="L12" i="3" s="1"/>
  <c r="M12" i="3" s="1"/>
  <c r="N12" i="3" s="1"/>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AS12" i="3" s="1"/>
  <c r="AT12" i="3" s="1"/>
  <c r="AU12" i="3" s="1"/>
  <c r="AV12" i="3" s="1"/>
  <c r="AW12" i="3" s="1"/>
  <c r="AX12" i="3" s="1"/>
  <c r="AY12" i="3" s="1"/>
  <c r="AZ12" i="3" s="1"/>
  <c r="BA12" i="3" s="1"/>
  <c r="BB12" i="3" s="1"/>
  <c r="BC12" i="3" s="1"/>
  <c r="BD12" i="3" s="1"/>
  <c r="BE12" i="3" s="1"/>
  <c r="BF12" i="3" s="1"/>
  <c r="BG12" i="3" s="1"/>
  <c r="BH12" i="3" s="1"/>
  <c r="BI12" i="3" s="1"/>
  <c r="BJ12" i="3" s="1"/>
  <c r="G26" i="3"/>
  <c r="J9" i="3"/>
  <c r="A3" i="2"/>
  <c r="G4" i="3" s="1"/>
  <c r="BE9" i="3"/>
  <c r="B9" i="2"/>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AW9" i="3"/>
  <c r="BI9" i="3"/>
  <c r="BA9" i="3"/>
  <c r="BG9" i="3"/>
  <c r="BC9" i="3"/>
  <c r="AY9" i="3"/>
  <c r="G29" i="3"/>
  <c r="Y22" i="3" s="1"/>
  <c r="BJ9" i="3"/>
  <c r="BH9" i="3"/>
  <c r="BF9" i="3"/>
  <c r="BD9" i="3"/>
  <c r="BB9" i="3"/>
  <c r="AZ9" i="3"/>
  <c r="AX9" i="3"/>
  <c r="AV9" i="3"/>
  <c r="I3" i="2"/>
  <c r="G3" i="3"/>
  <c r="G6" i="3" s="1"/>
  <c r="G32" i="3" s="1"/>
  <c r="G7" i="2"/>
  <c r="G8" i="2" s="1"/>
  <c r="G9" i="2" s="1"/>
  <c r="G10" i="2" s="1"/>
  <c r="G11" i="2" s="1"/>
  <c r="G12" i="2" s="1"/>
  <c r="G13" i="2" s="1"/>
  <c r="G14" i="2" s="1"/>
  <c r="G15" i="2" s="1"/>
  <c r="G16" i="2" s="1"/>
  <c r="G17" i="2" s="1"/>
  <c r="G18" i="2" s="1"/>
  <c r="G19" i="2" s="1"/>
  <c r="G20" i="2" s="1"/>
  <c r="G21" i="2" s="1"/>
  <c r="G22" i="2" s="1"/>
  <c r="G13" i="3"/>
  <c r="G14" i="3"/>
  <c r="V1" i="4"/>
  <c r="G7" i="3"/>
  <c r="G1" i="4"/>
  <c r="L4" i="3"/>
  <c r="M4" i="3" s="1"/>
  <c r="N4" i="3" s="1"/>
  <c r="O4" i="3" s="1"/>
  <c r="P4" i="3" s="1"/>
  <c r="Q4" i="3" s="1"/>
  <c r="R4" i="3" s="1"/>
  <c r="I4" i="2"/>
  <c r="I5" i="2" s="1"/>
  <c r="I6" i="2" s="1"/>
  <c r="K9" i="3" l="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AS9" i="3" s="1"/>
  <c r="AT9" i="3" s="1"/>
  <c r="AU9" i="3" s="1"/>
  <c r="M22" i="3"/>
  <c r="G12" i="3"/>
  <c r="G19" i="3" s="1"/>
  <c r="K7" i="3" s="1"/>
  <c r="G17" i="3"/>
  <c r="G18" i="3" s="1"/>
  <c r="AU22" i="3"/>
  <c r="G30" i="3"/>
  <c r="K11" i="3" s="1"/>
  <c r="L11" i="3" s="1"/>
  <c r="M11" i="3" s="1"/>
  <c r="N11" i="3" s="1"/>
  <c r="O11" i="3" s="1"/>
  <c r="P11" i="3" s="1"/>
  <c r="Q11" i="3" s="1"/>
  <c r="R11" i="3" s="1"/>
  <c r="S11" i="3" s="1"/>
  <c r="T11" i="3" s="1"/>
  <c r="U11" i="3" s="1"/>
  <c r="V11" i="3" s="1"/>
  <c r="W11" i="3" s="1"/>
  <c r="X11" i="3" s="1"/>
  <c r="Y11" i="3" s="1"/>
  <c r="Z11" i="3" s="1"/>
  <c r="AA11" i="3" s="1"/>
  <c r="AB11" i="3" s="1"/>
  <c r="AC11" i="3" s="1"/>
  <c r="AD11" i="3" s="1"/>
  <c r="AE11" i="3" s="1"/>
  <c r="AF11" i="3" s="1"/>
  <c r="AG11" i="3" s="1"/>
  <c r="AH11" i="3" s="1"/>
  <c r="AI11" i="3" s="1"/>
  <c r="AJ11" i="3" s="1"/>
  <c r="AK11" i="3" s="1"/>
  <c r="AL11" i="3" s="1"/>
  <c r="AM11" i="3" s="1"/>
  <c r="AN11" i="3" s="1"/>
  <c r="AO11" i="3" s="1"/>
  <c r="AP11" i="3" s="1"/>
  <c r="AQ11" i="3" s="1"/>
  <c r="AR11" i="3" s="1"/>
  <c r="AS11" i="3" s="1"/>
  <c r="AT11" i="3" s="1"/>
  <c r="AU11" i="3" s="1"/>
  <c r="AV11" i="3" s="1"/>
  <c r="AW11" i="3" s="1"/>
  <c r="AX11" i="3" s="1"/>
  <c r="AY11" i="3" s="1"/>
  <c r="AZ11" i="3" s="1"/>
  <c r="BA11" i="3" s="1"/>
  <c r="BB11" i="3" s="1"/>
  <c r="BC11" i="3" s="1"/>
  <c r="BD11" i="3" s="1"/>
  <c r="BE11" i="3" s="1"/>
  <c r="BF11" i="3" s="1"/>
  <c r="BG11" i="3" s="1"/>
  <c r="BH11" i="3" s="1"/>
  <c r="BI11" i="3" s="1"/>
  <c r="BJ11" i="3" s="1"/>
  <c r="AG22" i="3"/>
  <c r="W22" i="3"/>
  <c r="AQ22" i="3"/>
  <c r="AP22" i="3"/>
  <c r="BG22" i="3"/>
  <c r="Q22" i="3"/>
  <c r="AY22" i="3"/>
  <c r="BF22" i="3"/>
  <c r="AB22" i="3"/>
  <c r="N22" i="3"/>
  <c r="AZ22" i="3"/>
  <c r="V22" i="3"/>
  <c r="Z22" i="3"/>
  <c r="BJ22" i="3"/>
  <c r="BD22" i="3"/>
  <c r="AI22" i="3"/>
  <c r="AM22" i="3"/>
  <c r="L22" i="3"/>
  <c r="BC22" i="3"/>
  <c r="AT22" i="3"/>
  <c r="AW22" i="3"/>
  <c r="AV22" i="3"/>
  <c r="AR22" i="3"/>
  <c r="AC22" i="3"/>
  <c r="AS22" i="3"/>
  <c r="K22" i="3"/>
  <c r="AO22" i="3"/>
  <c r="T22" i="3"/>
  <c r="AN22" i="3"/>
  <c r="BI22" i="3"/>
  <c r="AK22" i="3"/>
  <c r="AF22" i="3"/>
  <c r="S22" i="3"/>
  <c r="AJ22" i="3"/>
  <c r="AA22" i="3"/>
  <c r="AE22" i="3"/>
  <c r="AX22" i="3"/>
  <c r="BA22" i="3"/>
  <c r="U22" i="3"/>
  <c r="BH22" i="3"/>
  <c r="AL22" i="3"/>
  <c r="P22" i="3"/>
  <c r="BE22" i="3"/>
  <c r="AD22" i="3"/>
  <c r="R22" i="3"/>
  <c r="X22" i="3"/>
  <c r="O22" i="3"/>
  <c r="J22" i="3"/>
  <c r="BB22" i="3"/>
  <c r="AH22" i="3"/>
  <c r="G31" i="3"/>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K14" i="3" s="1"/>
  <c r="AL14" i="3" s="1"/>
  <c r="AM14" i="3" s="1"/>
  <c r="AN14" i="3" s="1"/>
  <c r="AO14" i="3" s="1"/>
  <c r="AP14" i="3" s="1"/>
  <c r="AQ14" i="3" s="1"/>
  <c r="AR14" i="3" s="1"/>
  <c r="AS14" i="3" s="1"/>
  <c r="AT14" i="3" s="1"/>
  <c r="AU14" i="3" s="1"/>
  <c r="AV14" i="3" s="1"/>
  <c r="AW14" i="3" s="1"/>
  <c r="AX14" i="3" s="1"/>
  <c r="AY14" i="3" s="1"/>
  <c r="AZ14" i="3" s="1"/>
  <c r="BA14" i="3" s="1"/>
  <c r="BB14" i="3" s="1"/>
  <c r="BC14" i="3" s="1"/>
  <c r="BD14" i="3" s="1"/>
  <c r="BE14" i="3" s="1"/>
  <c r="BF14" i="3" s="1"/>
  <c r="BG14" i="3" s="1"/>
  <c r="BH14" i="3" s="1"/>
  <c r="BI14" i="3" s="1"/>
  <c r="BJ14" i="3" s="1"/>
  <c r="I7" i="2"/>
  <c r="I8" i="2" s="1"/>
  <c r="I9" i="2" s="1"/>
  <c r="I10" i="2" s="1"/>
  <c r="I11" i="2" s="1"/>
  <c r="I12" i="2" s="1"/>
  <c r="I13" i="2" s="1"/>
  <c r="I14" i="2" s="1"/>
  <c r="I15" i="2" s="1"/>
  <c r="I16" i="2" s="1"/>
  <c r="I17" i="2" s="1"/>
  <c r="I18" i="2" s="1"/>
  <c r="I19" i="2" s="1"/>
  <c r="I20" i="2" s="1"/>
  <c r="I21" i="2" s="1"/>
  <c r="I22" i="2" s="1"/>
  <c r="I23" i="2" s="1"/>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I52" i="2" s="1"/>
  <c r="I53" i="2" s="1"/>
  <c r="I54" i="2" s="1"/>
  <c r="G8" i="3"/>
  <c r="G20" i="3"/>
  <c r="G21" i="3" s="1"/>
  <c r="G23" i="3"/>
  <c r="G24" i="3" s="1"/>
  <c r="S4" i="3"/>
  <c r="K5" i="3" l="1"/>
  <c r="L5" i="3" s="1"/>
  <c r="M5" i="3" s="1"/>
  <c r="N5" i="3" s="1"/>
  <c r="O5" i="3" s="1"/>
  <c r="P5" i="3" s="1"/>
  <c r="Q5" i="3" s="1"/>
  <c r="R5" i="3" s="1"/>
  <c r="S5" i="3" s="1"/>
  <c r="G16" i="3"/>
  <c r="K6" i="3" s="1"/>
  <c r="G22" i="3"/>
  <c r="K8" i="3" s="1"/>
  <c r="K23" i="3"/>
  <c r="L23" i="3" s="1"/>
  <c r="M23" i="3" s="1"/>
  <c r="L7" i="3"/>
  <c r="M7" i="3" s="1"/>
  <c r="N7" i="3" s="1"/>
  <c r="O7" i="3" s="1"/>
  <c r="P7" i="3" s="1"/>
  <c r="Q7" i="3" s="1"/>
  <c r="R7" i="3" s="1"/>
  <c r="S7" i="3" s="1"/>
  <c r="K2" i="3"/>
  <c r="L2" i="3" s="1"/>
  <c r="T4" i="3"/>
  <c r="L6" i="3" l="1"/>
  <c r="M6" i="3" s="1"/>
  <c r="N6" i="3" s="1"/>
  <c r="O6" i="3" s="1"/>
  <c r="P6" i="3" s="1"/>
  <c r="Q6" i="3" s="1"/>
  <c r="L8" i="3"/>
  <c r="M8" i="3" s="1"/>
  <c r="N8" i="3" s="1"/>
  <c r="O8" i="3" s="1"/>
  <c r="P8" i="3" s="1"/>
  <c r="Q8" i="3" s="1"/>
  <c r="R8" i="3" s="1"/>
  <c r="S8" i="3" s="1"/>
  <c r="T8" i="3" s="1"/>
  <c r="T7" i="3"/>
  <c r="K19" i="3"/>
  <c r="N23" i="3"/>
  <c r="U4" i="3"/>
  <c r="T5" i="3"/>
  <c r="M2" i="3"/>
  <c r="L16" i="3"/>
  <c r="K16" i="3"/>
  <c r="U8" i="3" l="1"/>
  <c r="L19" i="3"/>
  <c r="N19" i="3"/>
  <c r="P19" i="3"/>
  <c r="O19" i="3"/>
  <c r="M19" i="3"/>
  <c r="U7" i="3"/>
  <c r="Q19" i="3"/>
  <c r="R6" i="3"/>
  <c r="R19" i="3" s="1"/>
  <c r="U5" i="3"/>
  <c r="V4" i="3"/>
  <c r="O23" i="3"/>
  <c r="P23" i="3" s="1"/>
  <c r="N2" i="3"/>
  <c r="M16" i="3"/>
  <c r="V8" i="3" l="1"/>
  <c r="Q23" i="3"/>
  <c r="R23" i="3" s="1"/>
  <c r="S23" i="3" s="1"/>
  <c r="S6" i="3"/>
  <c r="S19" i="3" s="1"/>
  <c r="W4" i="3"/>
  <c r="V5" i="3"/>
  <c r="V7" i="3"/>
  <c r="O2" i="3"/>
  <c r="N16" i="3"/>
  <c r="W7" i="3" l="1"/>
  <c r="T6" i="3"/>
  <c r="T19" i="3" s="1"/>
  <c r="X4" i="3"/>
  <c r="W5" i="3"/>
  <c r="W8" i="3"/>
  <c r="T23" i="3"/>
  <c r="U23" i="3" s="1"/>
  <c r="P2" i="3"/>
  <c r="O16" i="3"/>
  <c r="X8" i="3" l="1"/>
  <c r="U6" i="3"/>
  <c r="U19" i="3" s="1"/>
  <c r="V23" i="3"/>
  <c r="W23" i="3" s="1"/>
  <c r="X23" i="3" s="1"/>
  <c r="Y23" i="3" s="1"/>
  <c r="Z23" i="3" s="1"/>
  <c r="AA23" i="3" s="1"/>
  <c r="AB23" i="3" s="1"/>
  <c r="AC23" i="3" s="1"/>
  <c r="AD23" i="3" s="1"/>
  <c r="AE23" i="3" s="1"/>
  <c r="AF23" i="3" s="1"/>
  <c r="AG23" i="3" s="1"/>
  <c r="AH23" i="3" s="1"/>
  <c r="AI23" i="3" s="1"/>
  <c r="AJ23" i="3" s="1"/>
  <c r="AK23" i="3" s="1"/>
  <c r="AL23" i="3" s="1"/>
  <c r="AM23" i="3" s="1"/>
  <c r="AN23" i="3" s="1"/>
  <c r="AO23" i="3" s="1"/>
  <c r="AP23" i="3" s="1"/>
  <c r="AQ23" i="3" s="1"/>
  <c r="AR23" i="3" s="1"/>
  <c r="AS23" i="3" s="1"/>
  <c r="AT23" i="3" s="1"/>
  <c r="AU23" i="3" s="1"/>
  <c r="AV23" i="3" s="1"/>
  <c r="AW23" i="3" s="1"/>
  <c r="AX23" i="3" s="1"/>
  <c r="AY23" i="3" s="1"/>
  <c r="AZ23" i="3" s="1"/>
  <c r="BA23" i="3" s="1"/>
  <c r="BB23" i="3" s="1"/>
  <c r="BC23" i="3" s="1"/>
  <c r="BD23" i="3" s="1"/>
  <c r="BE23" i="3" s="1"/>
  <c r="BF23" i="3" s="1"/>
  <c r="BG23" i="3" s="1"/>
  <c r="BH23" i="3" s="1"/>
  <c r="BI23" i="3" s="1"/>
  <c r="BJ23" i="3" s="1"/>
  <c r="Y4" i="3"/>
  <c r="X5" i="3"/>
  <c r="X7" i="3"/>
  <c r="Q2" i="3"/>
  <c r="P16" i="3"/>
  <c r="V6" i="3" l="1"/>
  <c r="V19" i="3" s="1"/>
  <c r="Z4" i="3"/>
  <c r="Y5" i="3"/>
  <c r="Y7" i="3"/>
  <c r="Y8" i="3"/>
  <c r="R2" i="3"/>
  <c r="Q16" i="3"/>
  <c r="W6" i="3" l="1"/>
  <c r="X6" i="3" s="1"/>
  <c r="AA4" i="3"/>
  <c r="Z5" i="3"/>
  <c r="Z7" i="3"/>
  <c r="Z8" i="3"/>
  <c r="S2" i="3"/>
  <c r="R16" i="3"/>
  <c r="W19" i="3" l="1"/>
  <c r="X19" i="3"/>
  <c r="Y6" i="3"/>
  <c r="Z6" i="3" s="1"/>
  <c r="AA6" i="3" s="1"/>
  <c r="AB4" i="3"/>
  <c r="AA5" i="3"/>
  <c r="AA8" i="3"/>
  <c r="AA7" i="3"/>
  <c r="T2" i="3"/>
  <c r="S16" i="3"/>
  <c r="Z19" i="3" l="1"/>
  <c r="Y19" i="3"/>
  <c r="AA19" i="3"/>
  <c r="AC4" i="3"/>
  <c r="AB5" i="3"/>
  <c r="AB8" i="3"/>
  <c r="AB7" i="3"/>
  <c r="AB6" i="3"/>
  <c r="AB19" i="3" s="1"/>
  <c r="U2" i="3"/>
  <c r="T16" i="3"/>
  <c r="AD4" i="3" l="1"/>
  <c r="AC5" i="3"/>
  <c r="AC6" i="3"/>
  <c r="AC19" i="3" s="1"/>
  <c r="AC7" i="3"/>
  <c r="AC8" i="3"/>
  <c r="V2" i="3"/>
  <c r="U16" i="3"/>
  <c r="AE4" i="3" l="1"/>
  <c r="AD5" i="3"/>
  <c r="AD6" i="3"/>
  <c r="AD19" i="3" s="1"/>
  <c r="AD7" i="3"/>
  <c r="AD8" i="3"/>
  <c r="W2" i="3"/>
  <c r="V16" i="3"/>
  <c r="AF4" i="3" l="1"/>
  <c r="AE5" i="3"/>
  <c r="AE7" i="3"/>
  <c r="AE8" i="3"/>
  <c r="AE6" i="3"/>
  <c r="X2" i="3"/>
  <c r="W16" i="3"/>
  <c r="AG4" i="3" l="1"/>
  <c r="AF5" i="3"/>
  <c r="AF8" i="3"/>
  <c r="AF7" i="3"/>
  <c r="AF6" i="3"/>
  <c r="AE19" i="3"/>
  <c r="Y2" i="3"/>
  <c r="X16" i="3"/>
  <c r="AG5" i="3" l="1"/>
  <c r="AH4" i="3"/>
  <c r="AG7" i="3"/>
  <c r="AG8" i="3"/>
  <c r="AG6" i="3"/>
  <c r="AF19" i="3"/>
  <c r="Z2" i="3"/>
  <c r="Y16" i="3"/>
  <c r="AI4" i="3" l="1"/>
  <c r="AH5" i="3"/>
  <c r="AH6" i="3"/>
  <c r="AH8" i="3"/>
  <c r="AH7" i="3"/>
  <c r="AG19" i="3"/>
  <c r="AA2" i="3"/>
  <c r="AB2" i="3" s="1"/>
  <c r="AC2" i="3" s="1"/>
  <c r="Z16" i="3"/>
  <c r="AC16" i="3"/>
  <c r="AD2" i="3" l="1"/>
  <c r="AJ4" i="3"/>
  <c r="AI5" i="3"/>
  <c r="AI6" i="3"/>
  <c r="AI7" i="3"/>
  <c r="AI8" i="3"/>
  <c r="AH19" i="3"/>
  <c r="AD16" i="3"/>
  <c r="AB16" i="3"/>
  <c r="AA16" i="3"/>
  <c r="AE2" i="3" l="1"/>
  <c r="AF2" i="3" s="1"/>
  <c r="AG2" i="3" s="1"/>
  <c r="AK4" i="3"/>
  <c r="AJ5" i="3"/>
  <c r="AJ7" i="3"/>
  <c r="AJ6" i="3"/>
  <c r="AJ19" i="3" s="1"/>
  <c r="AJ8" i="3"/>
  <c r="AI19" i="3"/>
  <c r="AG16" i="3"/>
  <c r="AH2" i="3" l="1"/>
  <c r="AL4" i="3"/>
  <c r="AK5" i="3"/>
  <c r="AK6" i="3"/>
  <c r="AK19" i="3" s="1"/>
  <c r="AK7" i="3"/>
  <c r="AK8" i="3"/>
  <c r="AE16" i="3"/>
  <c r="AH16" i="3"/>
  <c r="AF16" i="3"/>
  <c r="AI2" i="3" l="1"/>
  <c r="AM4" i="3"/>
  <c r="AL5" i="3"/>
  <c r="AL8" i="3"/>
  <c r="AL6" i="3"/>
  <c r="AL19" i="3" s="1"/>
  <c r="AL7" i="3"/>
  <c r="AI16" i="3"/>
  <c r="AJ2" i="3" l="1"/>
  <c r="AN4" i="3"/>
  <c r="AM5" i="3"/>
  <c r="AM8" i="3"/>
  <c r="AM6" i="3"/>
  <c r="AM7" i="3"/>
  <c r="AJ16" i="3"/>
  <c r="AK2" i="3" l="1"/>
  <c r="AM19" i="3"/>
  <c r="AO4" i="3"/>
  <c r="AN5" i="3"/>
  <c r="AN7" i="3"/>
  <c r="AN8" i="3"/>
  <c r="AN6" i="3"/>
  <c r="AK16" i="3"/>
  <c r="AL2" i="3" l="1"/>
  <c r="AP4" i="3"/>
  <c r="AO5" i="3"/>
  <c r="AO7" i="3"/>
  <c r="AO6" i="3"/>
  <c r="AO8" i="3"/>
  <c r="AN19" i="3"/>
  <c r="AL16" i="3"/>
  <c r="AM2" i="3" l="1"/>
  <c r="AQ4" i="3"/>
  <c r="AP5" i="3"/>
  <c r="AP8" i="3"/>
  <c r="AP7" i="3"/>
  <c r="AP6" i="3"/>
  <c r="AP19" i="3" s="1"/>
  <c r="AO19" i="3"/>
  <c r="AM16" i="3"/>
  <c r="AN2" i="3" l="1"/>
  <c r="AR4" i="3"/>
  <c r="AQ5" i="3"/>
  <c r="AQ8" i="3"/>
  <c r="AQ7" i="3"/>
  <c r="AQ6" i="3"/>
  <c r="AQ19" i="3" s="1"/>
  <c r="AN16" i="3"/>
  <c r="AO2" i="3" l="1"/>
  <c r="AS4" i="3"/>
  <c r="AR5" i="3"/>
  <c r="AR7" i="3"/>
  <c r="AR6" i="3"/>
  <c r="AR8" i="3"/>
  <c r="AO16" i="3"/>
  <c r="AP2" i="3" l="1"/>
  <c r="AT4" i="3"/>
  <c r="AS5" i="3"/>
  <c r="AS7" i="3"/>
  <c r="AS6" i="3"/>
  <c r="AS8" i="3"/>
  <c r="AR19" i="3"/>
  <c r="AP16" i="3"/>
  <c r="AQ2" i="3" l="1"/>
  <c r="AU4" i="3"/>
  <c r="AT5" i="3"/>
  <c r="AT6" i="3"/>
  <c r="AT19" i="3" s="1"/>
  <c r="AT7" i="3"/>
  <c r="AT8" i="3"/>
  <c r="AS19" i="3"/>
  <c r="AQ16" i="3"/>
  <c r="AR2" i="3" l="1"/>
  <c r="AV4" i="3"/>
  <c r="AU5" i="3"/>
  <c r="AU8" i="3"/>
  <c r="AU7" i="3"/>
  <c r="AU6" i="3"/>
  <c r="AU19" i="3" s="1"/>
  <c r="AR16" i="3"/>
  <c r="AS2" i="3" l="1"/>
  <c r="AW4" i="3"/>
  <c r="AV5" i="3"/>
  <c r="AV7" i="3"/>
  <c r="AV6" i="3"/>
  <c r="AV8" i="3"/>
  <c r="AS16" i="3"/>
  <c r="AT2" i="3" l="1"/>
  <c r="AX4" i="3"/>
  <c r="AW5" i="3"/>
  <c r="AW7" i="3"/>
  <c r="AW6" i="3"/>
  <c r="AW19" i="3" s="1"/>
  <c r="AW8" i="3"/>
  <c r="AV19" i="3"/>
  <c r="AT16" i="3"/>
  <c r="AU2" i="3" l="1"/>
  <c r="AY4" i="3"/>
  <c r="AX5" i="3"/>
  <c r="AX7" i="3"/>
  <c r="AX6" i="3"/>
  <c r="AX8" i="3"/>
  <c r="AU16" i="3"/>
  <c r="AV2" i="3" l="1"/>
  <c r="AZ4" i="3"/>
  <c r="AY5" i="3"/>
  <c r="AY7" i="3"/>
  <c r="AY8" i="3"/>
  <c r="AY6" i="3"/>
  <c r="AY19" i="3" s="1"/>
  <c r="AX19" i="3"/>
  <c r="AV16" i="3"/>
  <c r="AW2" i="3" l="1"/>
  <c r="BA4" i="3"/>
  <c r="AZ5" i="3"/>
  <c r="AZ6" i="3"/>
  <c r="AZ7" i="3"/>
  <c r="AZ8" i="3"/>
  <c r="AW16" i="3"/>
  <c r="AX2" i="3" l="1"/>
  <c r="BB4" i="3"/>
  <c r="BA5" i="3"/>
  <c r="BA7" i="3"/>
  <c r="BA8" i="3"/>
  <c r="BA6" i="3"/>
  <c r="AZ19" i="3"/>
  <c r="AX16" i="3"/>
  <c r="AY2" i="3" l="1"/>
  <c r="BA19" i="3"/>
  <c r="BC4" i="3"/>
  <c r="BB5" i="3"/>
  <c r="BB7" i="3"/>
  <c r="BB6" i="3"/>
  <c r="BB19" i="3" s="1"/>
  <c r="BB8" i="3"/>
  <c r="AY16" i="3"/>
  <c r="AZ2" i="3" l="1"/>
  <c r="BD4" i="3"/>
  <c r="BC5" i="3"/>
  <c r="BC6" i="3"/>
  <c r="BC7" i="3"/>
  <c r="BC8" i="3"/>
  <c r="AZ16" i="3"/>
  <c r="BA2" i="3" l="1"/>
  <c r="BE4" i="3"/>
  <c r="BD5" i="3"/>
  <c r="BD7" i="3"/>
  <c r="BD6" i="3"/>
  <c r="BD19" i="3" s="1"/>
  <c r="BD8" i="3"/>
  <c r="BC19" i="3"/>
  <c r="BA16" i="3"/>
  <c r="BB2" i="3" l="1"/>
  <c r="BF4" i="3"/>
  <c r="BE5" i="3"/>
  <c r="BE6" i="3"/>
  <c r="BE7" i="3"/>
  <c r="BE8" i="3"/>
  <c r="BB16" i="3"/>
  <c r="BC2" i="3" l="1"/>
  <c r="BG4" i="3"/>
  <c r="BF5" i="3"/>
  <c r="BF8" i="3"/>
  <c r="BF7" i="3"/>
  <c r="BF6" i="3"/>
  <c r="BF19" i="3" s="1"/>
  <c r="BE19" i="3"/>
  <c r="BC16" i="3"/>
  <c r="BD2" i="3" l="1"/>
  <c r="BH4" i="3"/>
  <c r="BG5" i="3"/>
  <c r="BG7" i="3"/>
  <c r="BG6" i="3"/>
  <c r="BG8" i="3"/>
  <c r="BD16" i="3"/>
  <c r="BE2" i="3" l="1"/>
  <c r="BI4" i="3"/>
  <c r="BH5" i="3"/>
  <c r="BH8" i="3"/>
  <c r="BH6" i="3"/>
  <c r="BH7" i="3"/>
  <c r="BG19" i="3"/>
  <c r="BE16" i="3"/>
  <c r="BF2" i="3" l="1"/>
  <c r="BI5" i="3"/>
  <c r="BJ4" i="3"/>
  <c r="BI7" i="3"/>
  <c r="BI6" i="3"/>
  <c r="BI19" i="3" s="1"/>
  <c r="BI8" i="3"/>
  <c r="BH19" i="3"/>
  <c r="BF16" i="3"/>
  <c r="BG2" i="3" l="1"/>
  <c r="BJ5" i="3"/>
  <c r="BJ6" i="3"/>
  <c r="BJ19" i="3" s="1"/>
  <c r="BJ7" i="3"/>
  <c r="BJ8" i="3"/>
  <c r="BG16" i="3"/>
  <c r="BH2" i="3" l="1"/>
  <c r="BH16" i="3"/>
  <c r="BI2" i="3" l="1"/>
  <c r="BI16" i="3"/>
  <c r="BJ2" i="3" l="1"/>
  <c r="G15" i="3" s="1"/>
  <c r="BJ20" i="3" l="1"/>
  <c r="K20" i="3"/>
  <c r="M18" i="3"/>
  <c r="X18" i="3"/>
  <c r="AF18" i="3"/>
  <c r="U18" i="3"/>
  <c r="AI18" i="3"/>
  <c r="Q20" i="3"/>
  <c r="AA18" i="3"/>
  <c r="V20" i="3"/>
  <c r="AB20" i="3"/>
  <c r="U20" i="3"/>
  <c r="P18" i="3"/>
  <c r="V18" i="3"/>
  <c r="O18" i="3"/>
  <c r="T18" i="3"/>
  <c r="R18" i="3"/>
  <c r="AF20" i="3"/>
  <c r="W20" i="3"/>
  <c r="S18" i="3"/>
  <c r="AI20" i="3"/>
  <c r="N20" i="3"/>
  <c r="AC18" i="3"/>
  <c r="AB18" i="3"/>
  <c r="Z20" i="3"/>
  <c r="N18" i="3"/>
  <c r="W18" i="3"/>
  <c r="AJ18" i="3"/>
  <c r="AK20" i="3"/>
  <c r="AL18" i="3"/>
  <c r="AM18" i="3"/>
  <c r="AN20" i="3"/>
  <c r="AO18" i="3"/>
  <c r="AP18" i="3"/>
  <c r="AQ18" i="3"/>
  <c r="AR18" i="3"/>
  <c r="AS20" i="3"/>
  <c r="AT18" i="3"/>
  <c r="AU20" i="3"/>
  <c r="AV20" i="3"/>
  <c r="AW20" i="3"/>
  <c r="AX18" i="3"/>
  <c r="AY20" i="3"/>
  <c r="AZ18" i="3"/>
  <c r="BA20" i="3"/>
  <c r="BB18" i="3"/>
  <c r="BC20" i="3"/>
  <c r="BD20" i="3"/>
  <c r="BE18" i="3"/>
  <c r="BF18" i="3"/>
  <c r="BG20" i="3"/>
  <c r="BH18" i="3"/>
  <c r="BI20" i="3"/>
  <c r="R20" i="3"/>
  <c r="L18" i="3"/>
  <c r="P20" i="3"/>
  <c r="K18" i="3"/>
  <c r="AG18" i="3"/>
  <c r="AC20" i="3"/>
  <c r="AG20" i="3"/>
  <c r="Y20" i="3"/>
  <c r="AH18" i="3"/>
  <c r="AD20" i="3"/>
  <c r="Y18" i="3"/>
  <c r="M20" i="3"/>
  <c r="L20" i="3"/>
  <c r="AE18" i="3"/>
  <c r="AA20" i="3"/>
  <c r="AE20" i="3"/>
  <c r="J18" i="3"/>
  <c r="O20" i="3"/>
  <c r="AH20" i="3"/>
  <c r="Z18" i="3"/>
  <c r="J20" i="3"/>
  <c r="T20" i="3"/>
  <c r="Q18" i="3"/>
  <c r="AD18" i="3"/>
  <c r="X20" i="3"/>
  <c r="S20" i="3"/>
  <c r="AJ20" i="3"/>
  <c r="AK18" i="3"/>
  <c r="AL20" i="3"/>
  <c r="AM20" i="3"/>
  <c r="AN18" i="3"/>
  <c r="AO20" i="3"/>
  <c r="AP20" i="3"/>
  <c r="AR20" i="3"/>
  <c r="AT20" i="3"/>
  <c r="AV18" i="3"/>
  <c r="AX20" i="3"/>
  <c r="AZ20" i="3"/>
  <c r="BB20" i="3"/>
  <c r="BD18" i="3"/>
  <c r="BF20" i="3"/>
  <c r="BH20" i="3"/>
  <c r="AQ20" i="3"/>
  <c r="AS18" i="3"/>
  <c r="AU18" i="3"/>
  <c r="AW18" i="3"/>
  <c r="AY18" i="3"/>
  <c r="BA18" i="3"/>
  <c r="BC18" i="3"/>
  <c r="BE20" i="3"/>
  <c r="BG18" i="3"/>
  <c r="BI18" i="3"/>
  <c r="BJ18" i="3"/>
  <c r="BJ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Downey</author>
  </authors>
  <commentList>
    <comment ref="F2" authorId="0" shapeId="0" xr:uid="{00000000-0006-0000-0200-000001000000}">
      <text>
        <r>
          <rPr>
            <b/>
            <sz val="9"/>
            <color indexed="81"/>
            <rFont val="Tahoma"/>
            <family val="2"/>
          </rPr>
          <t>Scott Downey:</t>
        </r>
        <r>
          <rPr>
            <sz val="9"/>
            <color indexed="81"/>
            <rFont val="Tahoma"/>
            <family val="2"/>
          </rPr>
          <t xml:space="preserve">
If the total scope of work required for this Initiative increases, enter the total of all Story Point estimates for all increases in requirements in the cell corresponding to the Sprint in which the increase was decided, discovered or otherwise occurred.
If the Product Owner </t>
        </r>
        <r>
          <rPr>
            <i/>
            <sz val="9"/>
            <color indexed="81"/>
            <rFont val="Tahoma"/>
            <family val="2"/>
          </rPr>
          <t>removes</t>
        </r>
        <r>
          <rPr>
            <sz val="9"/>
            <color indexed="81"/>
            <rFont val="Tahoma"/>
            <family val="2"/>
          </rPr>
          <t xml:space="preserve"> requirements from the total Initiative's Scope during a Sprint, enter the total Story Point estimates for all removed requirements as a negative number (e.g. -34) in the cell corresponding to the Sprint in which they were removed.
NOTE: Do not "Scope Reduce" each Sprint when the Team completes work. Report completed work for this Initiative by totalling the Original Estimates of the work achieved toward the Initiative in each Sprint and enter it in the Contribution column beside that Sprint's ending date.</t>
        </r>
      </text>
    </comment>
  </commentList>
</comments>
</file>

<file path=xl/sharedStrings.xml><?xml version="1.0" encoding="utf-8"?>
<sst xmlns="http://schemas.openxmlformats.org/spreadsheetml/2006/main" count="107" uniqueCount="94">
  <si>
    <t>Enter the name of the Initiative being tracked in this workbook:</t>
  </si>
  <si>
    <t>Sunday</t>
  </si>
  <si>
    <t>Enter the Sprint Ending date of the first Contributing Sprint:</t>
  </si>
  <si>
    <t>Monday</t>
  </si>
  <si>
    <t>Tuesday</t>
  </si>
  <si>
    <t>Enter the total number of Story Points estimated by the Team for this Initiative:</t>
  </si>
  <si>
    <t>Wednesday</t>
  </si>
  <si>
    <t>Thursday</t>
  </si>
  <si>
    <t xml:space="preserve"> Enter the Sprint Ending date whereupon you hope this Initiative will complete:</t>
  </si>
  <si>
    <t>Friday</t>
  </si>
  <si>
    <t>Sprint Duration (# of days in sprint):</t>
  </si>
  <si>
    <t>Saturday</t>
  </si>
  <si>
    <t>Sprint</t>
  </si>
  <si>
    <t>Average Velocity
(last 3 sprints)</t>
  </si>
  <si>
    <r>
      <t xml:space="preserve">Initiative Content Scope </t>
    </r>
    <r>
      <rPr>
        <b/>
        <sz val="11"/>
        <color theme="1"/>
        <rFont val="Calibri"/>
        <family val="2"/>
      </rPr>
      <t>Δ</t>
    </r>
  </si>
  <si>
    <t>Total Scope Remaining</t>
  </si>
  <si>
    <t># for Calculating Contributrion Needed</t>
  </si>
  <si>
    <t>Per Sprint Contribution Needed to Meet Release Date</t>
  </si>
  <si>
    <t xml:space="preserve">     Product Owner Notes</t>
  </si>
  <si>
    <t>Contribution Rows:</t>
  </si>
  <si>
    <t>Plot:</t>
  </si>
  <si>
    <t>Velocity Rows:</t>
  </si>
  <si>
    <t>Sprint #:</t>
  </si>
  <si>
    <t>Yesterday's Weather:</t>
  </si>
  <si>
    <t>Period:</t>
  </si>
  <si>
    <t>Launch</t>
  </si>
  <si>
    <t>3-Sprint Rolling Average Contribution:</t>
  </si>
  <si>
    <t>Progress:</t>
  </si>
  <si>
    <t>3-Sprint Rolling Average Velocity:</t>
  </si>
  <si>
    <t>Total Average Contribution:</t>
  </si>
  <si>
    <t>Rolling 3 Sprint Avg:</t>
  </si>
  <si>
    <t>Total Average Velocity:</t>
  </si>
  <si>
    <t>Original Estimate:</t>
  </si>
  <si>
    <t>Original Goal:</t>
  </si>
  <si>
    <t>Goal Date:</t>
  </si>
  <si>
    <t>Goal Number of Sprints:</t>
  </si>
  <si>
    <t>Max</t>
  </si>
  <si>
    <t>Current Sprint:</t>
  </si>
  <si>
    <t>Min</t>
  </si>
  <si>
    <t>Total Scope Change:</t>
  </si>
  <si>
    <t>Current Balance:</t>
  </si>
  <si>
    <t>Full Velocity Applied</t>
  </si>
  <si>
    <t>Sprints to Plot:</t>
  </si>
  <si>
    <t>Projections</t>
  </si>
  <si>
    <t>Scope Changes</t>
  </si>
  <si>
    <t>YW Sprints Left</t>
  </si>
  <si>
    <t>YW Per Sprint Contribution:</t>
  </si>
  <si>
    <t>Progress from the Original Estimates, including Scope Changes</t>
  </si>
  <si>
    <t>3 Sprint Rolling Avg Contribution Projection:</t>
  </si>
  <si>
    <t>This trend line is based on your most recent contribution. If you maintain that same level of contribution going forward, this line shows where you will deliver.</t>
  </si>
  <si>
    <t>Rolling 3 Sprints Left:</t>
  </si>
  <si>
    <t>Velocity Marker</t>
  </si>
  <si>
    <t>Rolling 3 Per Sprint Contribution:</t>
  </si>
  <si>
    <t>Total Average Contribution Projection:</t>
  </si>
  <si>
    <t>Zone</t>
  </si>
  <si>
    <t>Total Average Sprints Left:</t>
  </si>
  <si>
    <t>Zone Marker</t>
  </si>
  <si>
    <t>Total Average Per Sprint Contribution:</t>
  </si>
  <si>
    <t>Original Goal Date:</t>
  </si>
  <si>
    <t>Goal Per Sprint Contribution:</t>
  </si>
  <si>
    <t>Min Sprints:</t>
  </si>
  <si>
    <t>Min Per Sprint Contribution:</t>
  </si>
  <si>
    <t>Max Sprints:</t>
  </si>
  <si>
    <t>Max Per Sprint Contribution:</t>
  </si>
  <si>
    <t>Velocity Sprints:</t>
  </si>
  <si>
    <t>Sprint Duration</t>
  </si>
  <si>
    <t>Select Which Projections to Graph:</t>
  </si>
  <si>
    <t>Full Velocity Focus:</t>
  </si>
  <si>
    <t>Show</t>
  </si>
  <si>
    <t>scShowOrig</t>
  </si>
  <si>
    <t>Original Target Projected Range:</t>
  </si>
  <si>
    <t>scOTProj</t>
  </si>
  <si>
    <t>3-Sprint Rolling Average:</t>
  </si>
  <si>
    <t>scShow3RCon</t>
  </si>
  <si>
    <t>Total Average:</t>
  </si>
  <si>
    <t>scShowTACon</t>
  </si>
  <si>
    <t>scShowYWCon</t>
  </si>
  <si>
    <t>Velocity-Based</t>
  </si>
  <si>
    <t>Hide</t>
  </si>
  <si>
    <t>scShow3RVel</t>
  </si>
  <si>
    <t>scShowTAVel</t>
  </si>
  <si>
    <t>scShowYWVel</t>
  </si>
  <si>
    <t xml:space="preserve">   </t>
  </si>
  <si>
    <t>Sprint 32B</t>
  </si>
  <si>
    <t>Sprint 32A</t>
  </si>
  <si>
    <t>Sprint 31</t>
  </si>
  <si>
    <t>Sprint 30</t>
  </si>
  <si>
    <t>Sprint 29</t>
  </si>
  <si>
    <t>Sprint 28</t>
  </si>
  <si>
    <t>Sprint 27</t>
  </si>
  <si>
    <t>Sprint 26</t>
  </si>
  <si>
    <t>Notes:</t>
  </si>
  <si>
    <t>Target Velocity</t>
  </si>
  <si>
    <t>HXF -  (Sept)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</si>
</sst>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1"/>
      <color theme="1"/>
      <name val="Calibri"/>
      <family val="2"/>
    </font>
    <font>
      <b/>
      <sz val="16"/>
      <color theme="1"/>
      <name val="Calibri"/>
      <family val="2"/>
      <scheme val="minor"/>
    </font>
    <font>
      <b/>
      <sz val="16"/>
      <color theme="0"/>
      <name val="Calibri"/>
      <family val="2"/>
      <scheme val="minor"/>
    </font>
    <font>
      <b/>
      <u/>
      <sz val="12"/>
      <color theme="0"/>
      <name val="Calibri"/>
      <family val="2"/>
      <scheme val="minor"/>
    </font>
    <font>
      <sz val="9"/>
      <color indexed="81"/>
      <name val="Tahoma"/>
      <family val="2"/>
    </font>
    <font>
      <b/>
      <sz val="9"/>
      <color indexed="81"/>
      <name val="Tahoma"/>
      <family val="2"/>
    </font>
    <font>
      <i/>
      <sz val="9"/>
      <color indexed="81"/>
      <name val="Tahoma"/>
      <family val="2"/>
    </font>
    <font>
      <i/>
      <sz val="11"/>
      <color theme="2" tint="-0.499984740745262"/>
      <name val="Calibri"/>
      <family val="2"/>
      <scheme val="minor"/>
    </font>
    <font>
      <sz val="11"/>
      <color theme="2"/>
      <name val="Calibri"/>
      <family val="2"/>
      <scheme val="minor"/>
    </font>
    <font>
      <sz val="11"/>
      <name val="Calibri"/>
      <family val="2"/>
      <scheme val="minor"/>
    </font>
    <font>
      <b/>
      <sz val="1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0"/>
        <bgColor indexed="64"/>
      </patternFill>
    </fill>
  </fills>
  <borders count="3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thin">
        <color theme="2" tint="-9.9948118533890809E-2"/>
      </top>
      <bottom style="thin">
        <color theme="2" tint="-9.9948118533890809E-2"/>
      </bottom>
      <diagonal/>
    </border>
    <border>
      <left/>
      <right/>
      <top/>
      <bottom style="thin">
        <color theme="2" tint="-9.9948118533890809E-2"/>
      </bottom>
      <diagonal/>
    </border>
    <border>
      <left style="medium">
        <color auto="1"/>
      </left>
      <right style="medium">
        <color auto="1"/>
      </right>
      <top/>
      <bottom style="medium">
        <color auto="1"/>
      </bottom>
      <diagonal/>
    </border>
    <border>
      <left style="medium">
        <color auto="1"/>
      </left>
      <right/>
      <top/>
      <bottom style="thin">
        <color theme="2" tint="-9.9948118533890809E-2"/>
      </bottom>
      <diagonal/>
    </border>
    <border>
      <left style="medium">
        <color auto="1"/>
      </left>
      <right/>
      <top style="thin">
        <color theme="2" tint="-9.9948118533890809E-2"/>
      </top>
      <bottom style="thin">
        <color theme="2" tint="-9.9948118533890809E-2"/>
      </bottom>
      <diagonal/>
    </border>
    <border>
      <left/>
      <right style="medium">
        <color auto="1"/>
      </right>
      <top/>
      <bottom/>
      <diagonal/>
    </border>
    <border>
      <left style="medium">
        <color auto="1"/>
      </left>
      <right/>
      <top style="thin">
        <color theme="2" tint="-9.9948118533890809E-2"/>
      </top>
      <bottom style="medium">
        <color auto="1"/>
      </bottom>
      <diagonal/>
    </border>
    <border>
      <left/>
      <right/>
      <top style="thin">
        <color theme="2" tint="-9.9948118533890809E-2"/>
      </top>
      <bottom style="medium">
        <color auto="1"/>
      </bottom>
      <diagonal/>
    </border>
    <border>
      <left style="medium">
        <color auto="1"/>
      </left>
      <right/>
      <top/>
      <bottom/>
      <diagonal/>
    </border>
  </borders>
  <cellStyleXfs count="1">
    <xf numFmtId="0" fontId="0" fillId="0" borderId="0"/>
  </cellStyleXfs>
  <cellXfs count="80">
    <xf numFmtId="0" fontId="0" fillId="0" borderId="0" xfId="0"/>
    <xf numFmtId="0" fontId="0" fillId="2" borderId="0" xfId="0" applyFill="1"/>
    <xf numFmtId="0" fontId="0" fillId="2" borderId="0" xfId="0" applyFill="1" applyAlignment="1">
      <alignment horizontal="center"/>
    </xf>
    <xf numFmtId="14" fontId="1" fillId="3" borderId="5" xfId="0" applyNumberFormat="1" applyFont="1" applyFill="1" applyBorder="1" applyAlignment="1">
      <alignment horizontal="center"/>
    </xf>
    <xf numFmtId="14" fontId="1" fillId="2" borderId="0" xfId="0" applyNumberFormat="1" applyFont="1" applyFill="1" applyAlignment="1">
      <alignment horizontal="center"/>
    </xf>
    <xf numFmtId="0" fontId="3" fillId="2" borderId="0" xfId="0" applyFont="1" applyFill="1" applyAlignment="1">
      <alignment horizontal="right" vertical="center"/>
    </xf>
    <xf numFmtId="0" fontId="0" fillId="0" borderId="0" xfId="0" applyAlignment="1">
      <alignment horizontal="center"/>
    </xf>
    <xf numFmtId="0" fontId="0" fillId="0" borderId="0" xfId="0" applyAlignment="1">
      <alignment horizontal="right"/>
    </xf>
    <xf numFmtId="0" fontId="0" fillId="0" borderId="0" xfId="0" applyAlignment="1">
      <alignment vertical="center" textRotation="90"/>
    </xf>
    <xf numFmtId="14" fontId="0" fillId="0" borderId="0" xfId="0" applyNumberFormat="1" applyAlignment="1">
      <alignment horizontal="center"/>
    </xf>
    <xf numFmtId="9" fontId="0" fillId="0" borderId="0" xfId="0" applyNumberFormat="1" applyAlignment="1">
      <alignment horizontal="right"/>
    </xf>
    <xf numFmtId="0" fontId="5" fillId="4" borderId="0" xfId="0" applyFont="1" applyFill="1" applyBorder="1" applyAlignment="1">
      <alignment vertical="center"/>
    </xf>
    <xf numFmtId="0" fontId="2" fillId="4" borderId="0" xfId="0" applyFont="1" applyFill="1"/>
    <xf numFmtId="0" fontId="6" fillId="4" borderId="0" xfId="0" applyFont="1" applyFill="1" applyBorder="1" applyAlignment="1">
      <alignment vertical="center"/>
    </xf>
    <xf numFmtId="0" fontId="2" fillId="4" borderId="25" xfId="0" applyFont="1" applyFill="1" applyBorder="1" applyAlignment="1" applyProtection="1">
      <alignment horizontal="center"/>
      <protection locked="0"/>
    </xf>
    <xf numFmtId="0" fontId="2" fillId="4" borderId="27" xfId="0" applyFont="1" applyFill="1" applyBorder="1" applyAlignment="1">
      <alignment vertical="center" wrapText="1"/>
    </xf>
    <xf numFmtId="0" fontId="2" fillId="4" borderId="1" xfId="0" applyFont="1" applyFill="1" applyBorder="1" applyAlignment="1" applyProtection="1">
      <alignment horizontal="center"/>
      <protection locked="0"/>
    </xf>
    <xf numFmtId="0" fontId="2" fillId="4" borderId="29" xfId="0" applyFont="1" applyFill="1" applyBorder="1" applyAlignment="1">
      <alignment vertical="center" wrapText="1"/>
    </xf>
    <xf numFmtId="0" fontId="2" fillId="4" borderId="26" xfId="0" applyFont="1" applyFill="1" applyBorder="1"/>
    <xf numFmtId="0" fontId="2" fillId="4" borderId="24" xfId="0" applyFont="1" applyFill="1" applyBorder="1"/>
    <xf numFmtId="0" fontId="2" fillId="4" borderId="28" xfId="0" applyFont="1" applyFill="1" applyBorder="1" applyAlignment="1">
      <alignment horizontal="center"/>
    </xf>
    <xf numFmtId="0" fontId="0" fillId="0" borderId="5" xfId="0" applyFill="1" applyBorder="1" applyAlignment="1" applyProtection="1">
      <alignment horizontal="center"/>
      <protection locked="0"/>
    </xf>
    <xf numFmtId="0" fontId="1" fillId="3" borderId="5" xfId="0" applyFont="1" applyFill="1" applyBorder="1" applyAlignment="1">
      <alignment horizontal="center" wrapText="1"/>
    </xf>
    <xf numFmtId="0" fontId="0" fillId="2" borderId="0" xfId="0" applyFill="1" applyAlignment="1">
      <alignment horizontal="center" wrapText="1"/>
    </xf>
    <xf numFmtId="0" fontId="1" fillId="3" borderId="5" xfId="0" applyFont="1" applyFill="1" applyBorder="1" applyAlignment="1">
      <alignment horizontal="left" wrapText="1"/>
    </xf>
    <xf numFmtId="0" fontId="0" fillId="0" borderId="5" xfId="0" applyFill="1" applyBorder="1" applyAlignment="1" applyProtection="1">
      <alignment horizontal="center" wrapText="1"/>
      <protection locked="0"/>
    </xf>
    <xf numFmtId="0" fontId="0" fillId="0" borderId="8" xfId="0" applyBorder="1" applyAlignment="1">
      <alignment horizontal="right"/>
    </xf>
    <xf numFmtId="0" fontId="0" fillId="0" borderId="10" xfId="0" applyBorder="1" applyAlignment="1">
      <alignment horizontal="right"/>
    </xf>
    <xf numFmtId="14" fontId="0" fillId="0" borderId="10" xfId="0" applyNumberFormat="1" applyBorder="1" applyAlignment="1">
      <alignment horizontal="right"/>
    </xf>
    <xf numFmtId="0" fontId="0" fillId="0" borderId="13" xfId="0" applyBorder="1" applyAlignment="1">
      <alignment horizontal="right"/>
    </xf>
    <xf numFmtId="14" fontId="0" fillId="0" borderId="8" xfId="0" applyNumberFormat="1" applyBorder="1" applyAlignment="1">
      <alignment horizontal="right"/>
    </xf>
    <xf numFmtId="0" fontId="0" fillId="0" borderId="10" xfId="0" applyNumberFormat="1" applyBorder="1" applyAlignment="1">
      <alignment horizontal="right"/>
    </xf>
    <xf numFmtId="0" fontId="0" fillId="0" borderId="22" xfId="0" applyBorder="1" applyAlignment="1">
      <alignment horizontal="right"/>
    </xf>
    <xf numFmtId="0" fontId="0" fillId="4" borderId="0" xfId="0" applyFont="1" applyFill="1"/>
    <xf numFmtId="0" fontId="0" fillId="2" borderId="0" xfId="0" applyFill="1" applyAlignment="1">
      <alignment vertical="top" wrapText="1"/>
    </xf>
    <xf numFmtId="0" fontId="12" fillId="2" borderId="0" xfId="0" applyFont="1" applyFill="1"/>
    <xf numFmtId="0" fontId="11" fillId="2" borderId="0" xfId="0" applyFont="1" applyFill="1" applyBorder="1" applyAlignment="1">
      <alignment horizontal="left"/>
    </xf>
    <xf numFmtId="1" fontId="0" fillId="0" borderId="5" xfId="0" applyNumberFormat="1" applyFill="1" applyBorder="1" applyAlignment="1" applyProtection="1">
      <alignment horizontal="center"/>
      <protection locked="0"/>
    </xf>
    <xf numFmtId="0" fontId="0" fillId="0" borderId="5" xfId="0" applyFill="1" applyBorder="1" applyAlignment="1" applyProtection="1">
      <alignment horizontal="left" wrapText="1"/>
      <protection locked="0"/>
    </xf>
    <xf numFmtId="0" fontId="0" fillId="2" borderId="0" xfId="0" applyFill="1" applyAlignment="1">
      <alignment horizontal="right"/>
    </xf>
    <xf numFmtId="0" fontId="11" fillId="2" borderId="0" xfId="0" applyFont="1" applyFill="1" applyAlignment="1">
      <alignment horizontal="left"/>
    </xf>
    <xf numFmtId="0" fontId="14" fillId="4" borderId="0" xfId="0" applyFont="1" applyFill="1"/>
    <xf numFmtId="0" fontId="13" fillId="0" borderId="5" xfId="0" applyFont="1" applyFill="1" applyBorder="1" applyAlignment="1" applyProtection="1">
      <alignment horizontal="center"/>
      <protection locked="0"/>
    </xf>
    <xf numFmtId="0" fontId="0" fillId="2" borderId="0" xfId="0" applyFill="1" applyAlignment="1">
      <alignment horizontal="right"/>
    </xf>
    <xf numFmtId="0" fontId="3" fillId="2" borderId="0" xfId="0" applyFont="1" applyFill="1" applyAlignment="1">
      <alignment horizontal="center" vertical="top" wrapText="1"/>
    </xf>
    <xf numFmtId="0" fontId="0" fillId="0" borderId="2" xfId="0" applyFill="1" applyBorder="1" applyAlignment="1" applyProtection="1">
      <alignment horizontal="center"/>
      <protection locked="0"/>
    </xf>
    <xf numFmtId="0" fontId="0" fillId="0" borderId="3" xfId="0" applyFill="1" applyBorder="1" applyAlignment="1" applyProtection="1">
      <alignment horizontal="center"/>
      <protection locked="0"/>
    </xf>
    <xf numFmtId="0" fontId="0" fillId="0" borderId="4" xfId="0" applyFill="1" applyBorder="1" applyAlignment="1" applyProtection="1">
      <alignment horizontal="center"/>
      <protection locked="0"/>
    </xf>
    <xf numFmtId="14" fontId="0" fillId="0" borderId="2" xfId="0" applyNumberFormat="1" applyFill="1" applyBorder="1" applyAlignment="1" applyProtection="1">
      <alignment horizontal="center"/>
      <protection locked="0"/>
    </xf>
    <xf numFmtId="14" fontId="0" fillId="0" borderId="4" xfId="0" applyNumberFormat="1" applyFill="1" applyBorder="1" applyAlignment="1" applyProtection="1">
      <alignment horizontal="center"/>
      <protection locked="0"/>
    </xf>
    <xf numFmtId="0" fontId="11" fillId="2" borderId="31" xfId="0" applyFont="1" applyFill="1" applyBorder="1" applyAlignment="1">
      <alignment horizontal="left"/>
    </xf>
    <xf numFmtId="0" fontId="11" fillId="2" borderId="0" xfId="0" applyFont="1" applyFill="1" applyAlignment="1">
      <alignment horizontal="left"/>
    </xf>
    <xf numFmtId="1" fontId="0" fillId="0" borderId="2" xfId="0" applyNumberFormat="1" applyFill="1" applyBorder="1" applyAlignment="1" applyProtection="1">
      <alignment horizontal="center"/>
      <protection locked="0"/>
    </xf>
    <xf numFmtId="1" fontId="0" fillId="0" borderId="4" xfId="0" applyNumberFormat="1" applyFill="1" applyBorder="1" applyAlignment="1" applyProtection="1">
      <alignment horizontal="center"/>
      <protection locked="0"/>
    </xf>
    <xf numFmtId="0" fontId="0" fillId="2" borderId="28" xfId="0" applyFill="1" applyBorder="1" applyAlignment="1">
      <alignment horizontal="right"/>
    </xf>
    <xf numFmtId="0" fontId="0" fillId="0" borderId="9" xfId="0" applyBorder="1" applyAlignment="1">
      <alignment horizontal="right"/>
    </xf>
    <xf numFmtId="0" fontId="0" fillId="0" borderId="5" xfId="0" applyBorder="1" applyAlignment="1">
      <alignment horizontal="right"/>
    </xf>
    <xf numFmtId="0" fontId="0" fillId="0" borderId="6" xfId="0" applyBorder="1" applyAlignment="1">
      <alignment horizontal="right"/>
    </xf>
    <xf numFmtId="0" fontId="0" fillId="0" borderId="7" xfId="0"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0" borderId="15" xfId="0" applyBorder="1" applyAlignment="1">
      <alignment horizontal="right"/>
    </xf>
    <xf numFmtId="0" fontId="0" fillId="0" borderId="14" xfId="0" applyBorder="1" applyAlignment="1">
      <alignment horizontal="right"/>
    </xf>
    <xf numFmtId="0" fontId="0" fillId="0" borderId="16" xfId="0" applyBorder="1" applyAlignment="1">
      <alignment horizontal="center" vertical="center" textRotation="45"/>
    </xf>
    <xf numFmtId="0" fontId="0" fillId="0" borderId="17" xfId="0" applyBorder="1" applyAlignment="1">
      <alignment horizontal="center" vertical="center" textRotation="45"/>
    </xf>
    <xf numFmtId="0" fontId="0" fillId="0" borderId="18" xfId="0" applyBorder="1" applyAlignment="1">
      <alignment horizontal="center" vertical="center" textRotation="45"/>
    </xf>
    <xf numFmtId="0" fontId="0" fillId="0" borderId="20" xfId="0" applyBorder="1" applyAlignment="1">
      <alignment horizontal="right"/>
    </xf>
    <xf numFmtId="0" fontId="0" fillId="0" borderId="21" xfId="0" applyBorder="1" applyAlignment="1">
      <alignment horizontal="right"/>
    </xf>
    <xf numFmtId="0" fontId="0" fillId="0" borderId="19" xfId="0" applyBorder="1" applyAlignment="1">
      <alignment horizontal="right"/>
    </xf>
    <xf numFmtId="0" fontId="5" fillId="4" borderId="0" xfId="0" applyFont="1" applyFill="1" applyBorder="1" applyAlignment="1">
      <alignment horizontal="center" vertical="center"/>
    </xf>
    <xf numFmtId="0" fontId="2" fillId="4" borderId="27" xfId="0" applyFont="1" applyFill="1" applyBorder="1" applyAlignment="1">
      <alignment horizontal="center" vertical="center" wrapText="1"/>
    </xf>
    <xf numFmtId="0" fontId="2" fillId="4" borderId="29" xfId="0" applyFont="1" applyFill="1" applyBorder="1" applyAlignment="1">
      <alignment horizontal="center" vertical="center" wrapText="1"/>
    </xf>
    <xf numFmtId="0" fontId="2" fillId="4" borderId="23" xfId="0" applyFont="1" applyFill="1" applyBorder="1" applyAlignment="1">
      <alignment horizontal="right"/>
    </xf>
    <xf numFmtId="0" fontId="2" fillId="4" borderId="30" xfId="0" applyFont="1" applyFill="1" applyBorder="1" applyAlignment="1">
      <alignment horizontal="right"/>
    </xf>
    <xf numFmtId="0" fontId="7" fillId="4" borderId="2" xfId="0" applyFont="1" applyFill="1" applyBorder="1" applyAlignment="1">
      <alignment horizontal="left" indent="1"/>
    </xf>
    <xf numFmtId="0" fontId="7" fillId="4" borderId="3" xfId="0" applyFont="1" applyFill="1" applyBorder="1" applyAlignment="1">
      <alignment horizontal="left" indent="1"/>
    </xf>
    <xf numFmtId="0" fontId="7" fillId="4" borderId="4" xfId="0" applyFont="1" applyFill="1" applyBorder="1" applyAlignment="1">
      <alignment horizontal="left" indent="1"/>
    </xf>
    <xf numFmtId="0" fontId="2" fillId="4" borderId="26" xfId="0" applyFont="1" applyFill="1" applyBorder="1" applyAlignment="1">
      <alignment horizontal="right"/>
    </xf>
    <xf numFmtId="0" fontId="2" fillId="4" borderId="24" xfId="0" applyFont="1" applyFill="1" applyBorder="1" applyAlignment="1">
      <alignment horizontal="right"/>
    </xf>
    <xf numFmtId="0" fontId="2" fillId="4" borderId="27" xfId="0" applyFont="1" applyFill="1" applyBorder="1" applyAlignment="1">
      <alignment horizontal="right"/>
    </xf>
  </cellXfs>
  <cellStyles count="1">
    <cellStyle name="Normal" xfId="0" builtinId="0"/>
  </cellStyles>
  <dxfs count="1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9" tint="-0.499984740745262"/>
      </font>
      <fill>
        <patternFill>
          <bgColor rgb="FFFFC000"/>
        </patternFill>
      </fill>
    </dxf>
    <dxf>
      <font>
        <b/>
        <i/>
      </font>
      <fill>
        <patternFill>
          <bgColor theme="9" tint="0.39994506668294322"/>
        </patternFill>
      </fill>
    </dxf>
  </dxfs>
  <tableStyles count="0" defaultTableStyle="TableStyleMedium2" defaultPivotStyle="PivotStyleMedium9"/>
  <colors>
    <mruColors>
      <color rgb="FF0000FF"/>
      <color rgb="FF00FF00"/>
      <color rgb="FFFFA0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8964224379793E-2"/>
          <c:y val="2.4687050033078601E-2"/>
          <c:w val="0.55297454746749997"/>
          <c:h val="0.807411692978246"/>
        </c:manualLayout>
      </c:layout>
      <c:barChart>
        <c:barDir val="col"/>
        <c:grouping val="stacked"/>
        <c:varyColors val="0"/>
        <c:ser>
          <c:idx val="7"/>
          <c:order val="3"/>
          <c:tx>
            <c:v>The shaded orange area shows the range in which delivery should reasonably be expected based on your Goal (see Deming's 20% Variable).</c:v>
          </c:tx>
          <c:spPr>
            <a:solidFill>
              <a:schemeClr val="accent6">
                <a:lumMod val="75000"/>
                <a:alpha val="20000"/>
              </a:schemeClr>
            </a:solidFill>
            <a:ln>
              <a:noFill/>
            </a:ln>
            <a:effectLst/>
          </c:spPr>
          <c:invertIfNegative val="0"/>
          <c:val>
            <c:numRef>
              <c:f>[0]!scPlotZone</c:f>
              <c:numCache>
                <c:formatCode>General</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0-2D35-44EF-A29D-540C38BFE7F7}"/>
            </c:ext>
          </c:extLst>
        </c:ser>
        <c:dLbls>
          <c:showLegendKey val="0"/>
          <c:showVal val="0"/>
          <c:showCatName val="0"/>
          <c:showSerName val="0"/>
          <c:showPercent val="0"/>
          <c:showBubbleSize val="0"/>
        </c:dLbls>
        <c:gapWidth val="0"/>
        <c:overlap val="100"/>
        <c:axId val="-2108824104"/>
        <c:axId val="-2108827560"/>
      </c:barChart>
      <c:lineChart>
        <c:grouping val="standard"/>
        <c:varyColors val="0"/>
        <c:ser>
          <c:idx val="0"/>
          <c:order val="0"/>
          <c:tx>
            <c:v>This line shows progress from the Original Estimate for this Initiative to the present. It includes any changes in scope in its slope.</c:v>
          </c:tx>
          <c:spPr>
            <a:ln w="28575" cap="rnd">
              <a:solidFill>
                <a:srgbClr val="FF0000"/>
              </a:solidFill>
              <a:round/>
            </a:ln>
            <a:effectLst/>
          </c:spPr>
          <c:marker>
            <c:symbol val="none"/>
          </c:marker>
          <c:cat>
            <c:strRef>
              <c:f>[0]!scPlotLabels</c:f>
              <c:strCache>
                <c:ptCount val="31"/>
                <c:pt idx="0">
                  <c:v>Launch</c:v>
                </c:pt>
                <c:pt idx="1">
                  <c:v>4/16/2018</c:v>
                </c:pt>
                <c:pt idx="2">
                  <c:v>4/23/2018</c:v>
                </c:pt>
                <c:pt idx="3">
                  <c:v>4/30/2018</c:v>
                </c:pt>
                <c:pt idx="4">
                  <c:v>5/7/2018</c:v>
                </c:pt>
                <c:pt idx="5">
                  <c:v>5/14/2018</c:v>
                </c:pt>
                <c:pt idx="6">
                  <c:v>5/21/2018</c:v>
                </c:pt>
                <c:pt idx="7">
                  <c:v>5/28/2018</c:v>
                </c:pt>
                <c:pt idx="8">
                  <c:v>6/4/2018</c:v>
                </c:pt>
                <c:pt idx="9">
                  <c:v>6/11/2018</c:v>
                </c:pt>
                <c:pt idx="10">
                  <c:v>6/18/2018</c:v>
                </c:pt>
                <c:pt idx="11">
                  <c:v>6/25/2018</c:v>
                </c:pt>
                <c:pt idx="12">
                  <c:v>7/2/2018</c:v>
                </c:pt>
                <c:pt idx="13">
                  <c:v>7/9/2018</c:v>
                </c:pt>
                <c:pt idx="14">
                  <c:v>7/16/2018</c:v>
                </c:pt>
                <c:pt idx="15">
                  <c:v>7/23/2018</c:v>
                </c:pt>
                <c:pt idx="16">
                  <c:v>7/30/2018</c:v>
                </c:pt>
                <c:pt idx="17">
                  <c:v>8/6/2018</c:v>
                </c:pt>
                <c:pt idx="18">
                  <c:v>8/13/2018</c:v>
                </c:pt>
                <c:pt idx="19">
                  <c:v>8/20/2018</c:v>
                </c:pt>
                <c:pt idx="20">
                  <c:v>8/27/2018</c:v>
                </c:pt>
                <c:pt idx="21">
                  <c:v>9/3/2018</c:v>
                </c:pt>
                <c:pt idx="22">
                  <c:v>9/10/2018</c:v>
                </c:pt>
                <c:pt idx="23">
                  <c:v>9/17/2018</c:v>
                </c:pt>
                <c:pt idx="24">
                  <c:v>9/24/2018</c:v>
                </c:pt>
                <c:pt idx="25">
                  <c:v>10/1/2018</c:v>
                </c:pt>
                <c:pt idx="26">
                  <c:v>10/8/2018</c:v>
                </c:pt>
                <c:pt idx="27">
                  <c:v>10/15/2018</c:v>
                </c:pt>
                <c:pt idx="28">
                  <c:v>10/22/2018</c:v>
                </c:pt>
                <c:pt idx="29">
                  <c:v>10/29/2018</c:v>
                </c:pt>
                <c:pt idx="30">
                  <c:v>11/5/2018</c:v>
                </c:pt>
              </c:strCache>
            </c:strRef>
          </c:cat>
          <c:val>
            <c:numRef>
              <c:f>[0]!scPlotBalance</c:f>
              <c:numCache>
                <c:formatCode>General</c:formatCode>
                <c:ptCount val="31"/>
                <c:pt idx="0">
                  <c:v>1300</c:v>
                </c:pt>
                <c:pt idx="1">
                  <c:v>1281</c:v>
                </c:pt>
                <c:pt idx="2">
                  <c:v>1244</c:v>
                </c:pt>
                <c:pt idx="3">
                  <c:v>1200</c:v>
                </c:pt>
                <c:pt idx="4">
                  <c:v>1173</c:v>
                </c:pt>
                <c:pt idx="5">
                  <c:v>1137</c:v>
                </c:pt>
                <c:pt idx="6">
                  <c:v>1087</c:v>
                </c:pt>
                <c:pt idx="7">
                  <c:v>1023</c:v>
                </c:pt>
                <c:pt idx="8">
                  <c:v>972</c:v>
                </c:pt>
                <c:pt idx="9">
                  <c:v>920</c:v>
                </c:pt>
                <c:pt idx="10">
                  <c:v>863</c:v>
                </c:pt>
                <c:pt idx="11">
                  <c:v>809</c:v>
                </c:pt>
                <c:pt idx="12">
                  <c:v>759</c:v>
                </c:pt>
                <c:pt idx="13">
                  <c:v>697</c:v>
                </c:pt>
                <c:pt idx="14">
                  <c:v>640</c:v>
                </c:pt>
                <c:pt idx="15">
                  <c:v>574</c:v>
                </c:pt>
                <c:pt idx="16">
                  <c:v>515</c:v>
                </c:pt>
                <c:pt idx="17">
                  <c:v>449</c:v>
                </c:pt>
                <c:pt idx="18">
                  <c:v>384</c:v>
                </c:pt>
                <c:pt idx="19">
                  <c:v>320</c:v>
                </c:pt>
                <c:pt idx="20">
                  <c:v>259</c:v>
                </c:pt>
                <c:pt idx="21">
                  <c:v>201</c:v>
                </c:pt>
                <c:pt idx="22">
                  <c:v>135</c:v>
                </c:pt>
                <c:pt idx="23">
                  <c:v>77</c:v>
                </c:pt>
                <c:pt idx="24">
                  <c:v>29</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1-2D35-44EF-A29D-540C38BFE7F7}"/>
            </c:ext>
          </c:extLst>
        </c:ser>
        <c:ser>
          <c:idx val="2"/>
          <c:order val="1"/>
          <c:tx>
            <c:v>The dotted blue lines depicts where the delivery will likely be based on the last 3 Sprints' contribution to this Initiative.</c:v>
          </c:tx>
          <c:spPr>
            <a:ln w="25400" cap="rnd">
              <a:solidFill>
                <a:srgbClr val="0000FF"/>
              </a:solidFill>
              <a:prstDash val="sysDot"/>
              <a:round/>
            </a:ln>
            <a:effectLst/>
          </c:spPr>
          <c:marker>
            <c:symbol val="none"/>
          </c:marker>
          <c:val>
            <c:numRef>
              <c:f>[0]!scPlotR3Proj</c:f>
              <c:numCache>
                <c:formatCode>General</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29</c:v>
                </c:pt>
                <c:pt idx="25">
                  <c:v>0</c:v>
                </c:pt>
                <c:pt idx="26">
                  <c:v>#N/A</c:v>
                </c:pt>
                <c:pt idx="27">
                  <c:v>#N/A</c:v>
                </c:pt>
                <c:pt idx="28">
                  <c:v>#N/A</c:v>
                </c:pt>
                <c:pt idx="29">
                  <c:v>#N/A</c:v>
                </c:pt>
                <c:pt idx="30">
                  <c:v>#N/A</c:v>
                </c:pt>
              </c:numCache>
            </c:numRef>
          </c:val>
          <c:smooth val="0"/>
          <c:extLst>
            <c:ext xmlns:c16="http://schemas.microsoft.com/office/drawing/2014/chart" uri="{C3380CC4-5D6E-409C-BE32-E72D297353CC}">
              <c16:uniqueId val="{00000002-2D35-44EF-A29D-540C38BFE7F7}"/>
            </c:ext>
          </c:extLst>
        </c:ser>
        <c:ser>
          <c:idx val="4"/>
          <c:order val="2"/>
          <c:tx>
            <c:v>The dashed black line shows the rate at which the Team would need to move to hit your Goal Date.</c:v>
          </c:tx>
          <c:spPr>
            <a:ln w="19050" cap="rnd">
              <a:solidFill>
                <a:schemeClr val="tx1"/>
              </a:solidFill>
              <a:prstDash val="lgDash"/>
              <a:round/>
            </a:ln>
            <a:effectLst/>
          </c:spPr>
          <c:marker>
            <c:symbol val="none"/>
          </c:marker>
          <c:val>
            <c:numRef>
              <c:f>[0]!scPlotGoalProj</c:f>
              <c:numCache>
                <c:formatCode>General</c:formatCode>
                <c:ptCount val="31"/>
                <c:pt idx="0">
                  <c:v>1300</c:v>
                </c:pt>
                <c:pt idx="1">
                  <c:v>1248</c:v>
                </c:pt>
                <c:pt idx="2">
                  <c:v>1196</c:v>
                </c:pt>
                <c:pt idx="3">
                  <c:v>1144</c:v>
                </c:pt>
                <c:pt idx="4">
                  <c:v>1092</c:v>
                </c:pt>
                <c:pt idx="5">
                  <c:v>1040</c:v>
                </c:pt>
                <c:pt idx="6">
                  <c:v>988</c:v>
                </c:pt>
                <c:pt idx="7">
                  <c:v>936</c:v>
                </c:pt>
                <c:pt idx="8">
                  <c:v>884</c:v>
                </c:pt>
                <c:pt idx="9">
                  <c:v>832</c:v>
                </c:pt>
                <c:pt idx="10">
                  <c:v>780</c:v>
                </c:pt>
                <c:pt idx="11">
                  <c:v>728</c:v>
                </c:pt>
                <c:pt idx="12">
                  <c:v>676</c:v>
                </c:pt>
                <c:pt idx="13">
                  <c:v>624</c:v>
                </c:pt>
                <c:pt idx="14">
                  <c:v>572</c:v>
                </c:pt>
                <c:pt idx="15">
                  <c:v>520</c:v>
                </c:pt>
                <c:pt idx="16">
                  <c:v>468</c:v>
                </c:pt>
                <c:pt idx="17">
                  <c:v>416</c:v>
                </c:pt>
                <c:pt idx="18">
                  <c:v>364</c:v>
                </c:pt>
                <c:pt idx="19">
                  <c:v>312</c:v>
                </c:pt>
                <c:pt idx="20">
                  <c:v>260</c:v>
                </c:pt>
                <c:pt idx="21">
                  <c:v>208</c:v>
                </c:pt>
                <c:pt idx="22">
                  <c:v>156</c:v>
                </c:pt>
                <c:pt idx="23">
                  <c:v>104</c:v>
                </c:pt>
                <c:pt idx="24">
                  <c:v>52</c:v>
                </c:pt>
                <c:pt idx="25">
                  <c:v>0</c:v>
                </c:pt>
                <c:pt idx="26">
                  <c:v>#N/A</c:v>
                </c:pt>
                <c:pt idx="27">
                  <c:v>#N/A</c:v>
                </c:pt>
                <c:pt idx="28">
                  <c:v>#N/A</c:v>
                </c:pt>
                <c:pt idx="29">
                  <c:v>#N/A</c:v>
                </c:pt>
                <c:pt idx="30">
                  <c:v>#N/A</c:v>
                </c:pt>
              </c:numCache>
            </c:numRef>
          </c:val>
          <c:smooth val="0"/>
          <c:extLst>
            <c:ext xmlns:c16="http://schemas.microsoft.com/office/drawing/2014/chart" uri="{C3380CC4-5D6E-409C-BE32-E72D297353CC}">
              <c16:uniqueId val="{00000003-2D35-44EF-A29D-540C38BFE7F7}"/>
            </c:ext>
          </c:extLst>
        </c:ser>
        <c:dLbls>
          <c:showLegendKey val="0"/>
          <c:showVal val="0"/>
          <c:showCatName val="0"/>
          <c:showSerName val="0"/>
          <c:showPercent val="0"/>
          <c:showBubbleSize val="0"/>
        </c:dLbls>
        <c:marker val="1"/>
        <c:smooth val="0"/>
        <c:axId val="-2107711544"/>
        <c:axId val="-2108835560"/>
      </c:lineChart>
      <c:lineChart>
        <c:grouping val="standard"/>
        <c:varyColors val="0"/>
        <c:ser>
          <c:idx val="5"/>
          <c:order val="4"/>
          <c:tx>
            <c:v>Desired Delivery Window</c:v>
          </c:tx>
          <c:spPr>
            <a:ln w="28575" cap="rnd">
              <a:noFill/>
              <a:round/>
            </a:ln>
            <a:effectLst/>
          </c:spPr>
          <c:marker>
            <c:symbol val="circle"/>
            <c:size val="5"/>
            <c:spPr>
              <a:noFill/>
              <a:ln w="9525">
                <a:noFill/>
              </a:ln>
              <a:effectLst/>
            </c:spPr>
          </c:marker>
          <c:dLbls>
            <c:spPr>
              <a:noFill/>
              <a:ln>
                <a:noFill/>
              </a:ln>
              <a:effectLst/>
            </c:spPr>
            <c:txPr>
              <a:bodyPr rot="-5400000" spcFirstLastPara="1" vertOverflow="ellipsis" wrap="square" lIns="38100" tIns="19050" rIns="38100" bIns="19050" anchor="ctr" anchorCtr="1">
                <a:spAutoFit/>
              </a:bodyPr>
              <a:lstStyle/>
              <a:p>
                <a:pPr>
                  <a:defRPr sz="18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[0]!scPlotZoneMarker</c:f>
              <c:numCache>
                <c:formatCode>General</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0.5</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4-2D35-44EF-A29D-540C38BFE7F7}"/>
            </c:ext>
          </c:extLst>
        </c:ser>
        <c:dLbls>
          <c:showLegendKey val="0"/>
          <c:showVal val="0"/>
          <c:showCatName val="0"/>
          <c:showSerName val="0"/>
          <c:showPercent val="0"/>
          <c:showBubbleSize val="0"/>
        </c:dLbls>
        <c:marker val="1"/>
        <c:smooth val="0"/>
        <c:axId val="-2108824104"/>
        <c:axId val="-2108827560"/>
      </c:lineChart>
      <c:catAx>
        <c:axId val="-2107711544"/>
        <c:scaling>
          <c:orientation val="minMax"/>
        </c:scaling>
        <c:delete val="0"/>
        <c:axPos val="b"/>
        <c:majorGridlines>
          <c:spPr>
            <a:ln w="6350" cap="flat" cmpd="sng" algn="ctr">
              <a:solidFill>
                <a:schemeClr val="bg1">
                  <a:lumMod val="9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Sprint Ending 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2108835560"/>
        <c:crosses val="autoZero"/>
        <c:auto val="0"/>
        <c:lblAlgn val="ctr"/>
        <c:lblOffset val="100"/>
        <c:noMultiLvlLbl val="0"/>
      </c:catAx>
      <c:valAx>
        <c:axId val="-2108835560"/>
        <c:scaling>
          <c:orientation val="minMax"/>
          <c:min val="0"/>
        </c:scaling>
        <c:delete val="0"/>
        <c:axPos val="l"/>
        <c:majorGridlines>
          <c:spPr>
            <a:ln w="635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07711544"/>
        <c:crosses val="autoZero"/>
        <c:crossBetween val="midCat"/>
      </c:valAx>
      <c:valAx>
        <c:axId val="-2108827560"/>
        <c:scaling>
          <c:orientation val="minMax"/>
          <c:max val="1"/>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108824104"/>
        <c:crosses val="max"/>
        <c:crossBetween val="between"/>
      </c:valAx>
      <c:catAx>
        <c:axId val="-2108824104"/>
        <c:scaling>
          <c:orientation val="minMax"/>
        </c:scaling>
        <c:delete val="1"/>
        <c:axPos val="b"/>
        <c:majorTickMark val="out"/>
        <c:minorTickMark val="none"/>
        <c:tickLblPos val="nextTo"/>
        <c:crossAx val="-2108827560"/>
        <c:crosses val="autoZero"/>
        <c:auto val="0"/>
        <c:lblAlgn val="ctr"/>
        <c:lblOffset val="100"/>
        <c:noMultiLvlLbl val="0"/>
      </c:catAx>
      <c:spPr>
        <a:solidFill>
          <a:schemeClr val="bg1"/>
        </a:solidFill>
        <a:ln w="38100">
          <a:solidFill>
            <a:schemeClr val="tx1"/>
          </a:solidFill>
        </a:ln>
        <a:effectLst>
          <a:outerShdw blurRad="190500" dist="114300" dir="2700000" algn="tl" rotWithShape="0">
            <a:prstClr val="black">
              <a:alpha val="40000"/>
            </a:prstClr>
          </a:outerShdw>
        </a:effectLst>
      </c:spPr>
    </c:plotArea>
    <c:legend>
      <c:legendPos val="r"/>
      <c:legendEntry>
        <c:idx val="4"/>
        <c:delete val="1"/>
      </c:legendEntry>
      <c:layout>
        <c:manualLayout>
          <c:xMode val="edge"/>
          <c:yMode val="edge"/>
          <c:x val="0.66573635607716497"/>
          <c:y val="1.30771045696484E-2"/>
          <c:w val="0.24962888993205801"/>
          <c:h val="0.8205806275862960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6280016280016279E-3"/>
          <c:y val="0"/>
          <c:w val="0.99824060453981711"/>
          <c:h val="1"/>
        </c:manualLayout>
      </c:layout>
      <c:barChart>
        <c:barDir val="col"/>
        <c:grouping val="stacked"/>
        <c:varyColors val="0"/>
        <c:ser>
          <c:idx val="0"/>
          <c:order val="0"/>
          <c:tx>
            <c:v>There has been no contribution reported yet. Please check back once the Team has completed their first Sprint of contribution to this Initiative.</c:v>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1" u="none" strike="noStrike" kern="1200" baseline="0">
                    <a:solidFill>
                      <a:schemeClr val="bg1">
                        <a:lumMod val="6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Projector!$V$1</c:f>
              <c:numCache>
                <c:formatCode>General</c:formatCode>
                <c:ptCount val="1"/>
                <c:pt idx="0">
                  <c:v>#N/A</c:v>
                </c:pt>
              </c:numCache>
            </c:numRef>
          </c:val>
          <c:extLst>
            <c:ext xmlns:c16="http://schemas.microsoft.com/office/drawing/2014/chart" uri="{C3380CC4-5D6E-409C-BE32-E72D297353CC}">
              <c16:uniqueId val="{00000000-9031-4E05-A987-9345EB7517C5}"/>
            </c:ext>
          </c:extLst>
        </c:ser>
        <c:dLbls>
          <c:showLegendKey val="0"/>
          <c:showVal val="0"/>
          <c:showCatName val="0"/>
          <c:showSerName val="0"/>
          <c:showPercent val="0"/>
          <c:showBubbleSize val="0"/>
        </c:dLbls>
        <c:gapWidth val="0"/>
        <c:overlap val="100"/>
        <c:axId val="-2108664472"/>
        <c:axId val="-2108667368"/>
      </c:barChart>
      <c:catAx>
        <c:axId val="-2108664472"/>
        <c:scaling>
          <c:orientation val="minMax"/>
        </c:scaling>
        <c:delete val="1"/>
        <c:axPos val="b"/>
        <c:majorTickMark val="none"/>
        <c:minorTickMark val="none"/>
        <c:tickLblPos val="nextTo"/>
        <c:crossAx val="-2108667368"/>
        <c:crosses val="autoZero"/>
        <c:auto val="1"/>
        <c:lblAlgn val="ctr"/>
        <c:lblOffset val="100"/>
        <c:noMultiLvlLbl val="0"/>
      </c:catAx>
      <c:valAx>
        <c:axId val="-2108667368"/>
        <c:scaling>
          <c:orientation val="minMax"/>
          <c:max val="1"/>
        </c:scaling>
        <c:delete val="1"/>
        <c:axPos val="l"/>
        <c:numFmt formatCode="General" sourceLinked="1"/>
        <c:majorTickMark val="none"/>
        <c:minorTickMark val="none"/>
        <c:tickLblPos val="nextTo"/>
        <c:crossAx val="-2108664472"/>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146049</xdr:colOff>
      <xdr:row>1</xdr:row>
      <xdr:rowOff>114299</xdr:rowOff>
    </xdr:from>
    <xdr:to>
      <xdr:col>19</xdr:col>
      <xdr:colOff>543277</xdr:colOff>
      <xdr:row>37</xdr:row>
      <xdr:rowOff>137583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19</xdr:col>
      <xdr:colOff>247650</xdr:colOff>
      <xdr:row>37</xdr:row>
      <xdr:rowOff>114300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CurrentDir/Burndown%20Template%20wip%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T15"/>
  <sheetViews>
    <sheetView tabSelected="1" zoomScaleNormal="100" zoomScalePageLayoutView="200" workbookViewId="0">
      <selection activeCell="M15" sqref="M15"/>
    </sheetView>
  </sheetViews>
  <sheetFormatPr defaultColWidth="8.77734375" defaultRowHeight="14.4" x14ac:dyDescent="0.3"/>
  <cols>
    <col min="1" max="1" width="2.77734375" style="1" customWidth="1"/>
    <col min="2" max="16384" width="8.77734375" style="1"/>
  </cols>
  <sheetData>
    <row r="1" spans="2:20" ht="15" thickBot="1" x14ac:dyDescent="0.35"/>
    <row r="2" spans="2:20" ht="15" thickBot="1" x14ac:dyDescent="0.35">
      <c r="B2" s="43" t="s">
        <v>0</v>
      </c>
      <c r="C2" s="43"/>
      <c r="D2" s="43"/>
      <c r="E2" s="43"/>
      <c r="F2" s="43"/>
      <c r="G2" s="43"/>
      <c r="H2" s="43"/>
      <c r="I2" s="43"/>
      <c r="J2" s="45" t="s">
        <v>93</v>
      </c>
      <c r="K2" s="46"/>
      <c r="L2" s="46"/>
      <c r="M2" s="47"/>
      <c r="R2" s="35"/>
      <c r="S2" s="35"/>
      <c r="T2" s="35"/>
    </row>
    <row r="3" spans="2:20" ht="15" thickBot="1" x14ac:dyDescent="0.35">
      <c r="B3" s="39"/>
      <c r="C3" s="39"/>
      <c r="D3" s="39"/>
      <c r="E3" s="39"/>
      <c r="F3" s="39"/>
      <c r="G3" s="39"/>
      <c r="H3" s="39"/>
      <c r="I3" s="39"/>
      <c r="R3" s="35">
        <v>1</v>
      </c>
      <c r="S3" s="35" t="s">
        <v>1</v>
      </c>
      <c r="T3" s="35"/>
    </row>
    <row r="4" spans="2:20" ht="15" thickBot="1" x14ac:dyDescent="0.35">
      <c r="B4" s="43" t="s">
        <v>2</v>
      </c>
      <c r="C4" s="43"/>
      <c r="D4" s="43"/>
      <c r="E4" s="43"/>
      <c r="F4" s="43"/>
      <c r="G4" s="43"/>
      <c r="H4" s="43"/>
      <c r="I4" s="43"/>
      <c r="J4" s="48">
        <v>43206</v>
      </c>
      <c r="K4" s="49"/>
      <c r="L4" s="50" t="str">
        <f>CONCATENATE("     ",TEXT(J4,"Dddddd, Mmmm DD, YYYY"))</f>
        <v xml:space="preserve">     Monday, April 16, 2018</v>
      </c>
      <c r="M4" s="51"/>
      <c r="N4" s="51"/>
      <c r="O4" s="51"/>
      <c r="P4" s="51"/>
      <c r="Q4" s="51"/>
      <c r="R4" s="35">
        <v>2</v>
      </c>
      <c r="S4" s="35" t="s">
        <v>3</v>
      </c>
      <c r="T4" s="35"/>
    </row>
    <row r="5" spans="2:20" ht="15" thickBot="1" x14ac:dyDescent="0.35">
      <c r="B5" s="39"/>
      <c r="C5" s="39"/>
      <c r="D5" s="39"/>
      <c r="E5" s="39"/>
      <c r="F5" s="39"/>
      <c r="G5" s="39"/>
      <c r="H5" s="39"/>
      <c r="I5" s="39"/>
      <c r="R5" s="35">
        <v>3</v>
      </c>
      <c r="S5" s="35" t="s">
        <v>4</v>
      </c>
      <c r="T5" s="35"/>
    </row>
    <row r="6" spans="2:20" ht="15" thickBot="1" x14ac:dyDescent="0.35">
      <c r="B6" s="43" t="s">
        <v>5</v>
      </c>
      <c r="C6" s="43"/>
      <c r="D6" s="43"/>
      <c r="E6" s="43"/>
      <c r="F6" s="43"/>
      <c r="G6" s="43"/>
      <c r="H6" s="43"/>
      <c r="I6" s="43"/>
      <c r="J6" s="45">
        <v>1300</v>
      </c>
      <c r="K6" s="47"/>
      <c r="R6" s="35">
        <v>4</v>
      </c>
      <c r="S6" s="35" t="s">
        <v>6</v>
      </c>
      <c r="T6" s="35"/>
    </row>
    <row r="7" spans="2:20" ht="15" thickBot="1" x14ac:dyDescent="0.35">
      <c r="R7" s="35">
        <v>5</v>
      </c>
      <c r="S7" s="35" t="s">
        <v>7</v>
      </c>
      <c r="T7" s="35"/>
    </row>
    <row r="8" spans="2:20" ht="15" thickBot="1" x14ac:dyDescent="0.35">
      <c r="B8" s="43" t="s">
        <v>8</v>
      </c>
      <c r="C8" s="43"/>
      <c r="D8" s="43"/>
      <c r="E8" s="43"/>
      <c r="F8" s="43"/>
      <c r="G8" s="43"/>
      <c r="H8" s="43"/>
      <c r="I8" s="43"/>
      <c r="J8" s="48">
        <v>43374</v>
      </c>
      <c r="K8" s="49"/>
      <c r="L8" s="50" t="str">
        <f>CONCATENATE("     ",TEXT(J8,"Dddddd, Mmmm DD, YYYY"))</f>
        <v xml:space="preserve">     Monday, October 01, 2018</v>
      </c>
      <c r="M8" s="51"/>
      <c r="N8" s="51"/>
      <c r="O8" s="51"/>
      <c r="P8" s="51"/>
      <c r="Q8" s="51"/>
      <c r="R8" s="35">
        <v>6</v>
      </c>
      <c r="S8" s="35" t="s">
        <v>9</v>
      </c>
      <c r="T8" s="35"/>
    </row>
    <row r="9" spans="2:20" ht="15" thickBot="1" x14ac:dyDescent="0.35">
      <c r="B9" s="39"/>
      <c r="C9" s="39"/>
      <c r="D9" s="39"/>
      <c r="E9" s="39"/>
      <c r="F9" s="39"/>
      <c r="G9" s="39"/>
      <c r="H9" s="39"/>
      <c r="I9" s="39"/>
      <c r="J9" s="39"/>
      <c r="K9" s="39"/>
      <c r="L9" s="36"/>
      <c r="M9" s="40"/>
      <c r="N9" s="40"/>
      <c r="O9" s="40"/>
      <c r="P9" s="40"/>
      <c r="Q9" s="40"/>
      <c r="R9" s="35"/>
      <c r="S9" s="35"/>
      <c r="T9" s="35"/>
    </row>
    <row r="10" spans="2:20" ht="15" thickBot="1" x14ac:dyDescent="0.35">
      <c r="B10" s="43" t="s">
        <v>10</v>
      </c>
      <c r="C10" s="43"/>
      <c r="D10" s="43"/>
      <c r="E10" s="43"/>
      <c r="F10" s="43"/>
      <c r="G10" s="43"/>
      <c r="H10" s="43"/>
      <c r="I10" s="54"/>
      <c r="J10" s="52">
        <v>7</v>
      </c>
      <c r="K10" s="53"/>
      <c r="L10" s="36"/>
      <c r="M10" s="40"/>
      <c r="N10" s="40"/>
      <c r="O10" s="40"/>
      <c r="P10" s="40"/>
      <c r="Q10" s="40"/>
      <c r="R10" s="35"/>
      <c r="S10" s="35"/>
      <c r="T10" s="35"/>
    </row>
    <row r="11" spans="2:20" x14ac:dyDescent="0.3">
      <c r="R11" s="35">
        <v>7</v>
      </c>
      <c r="S11" s="35" t="s">
        <v>11</v>
      </c>
      <c r="T11" s="35"/>
    </row>
    <row r="12" spans="2:20" ht="14.4" customHeight="1" x14ac:dyDescent="0.3">
      <c r="B12" s="44" t="str">
        <f>IF(WEEKDAY(J4)&lt;&gt;WEEKDAY(J8),
      CONCATENATE("Your chosen dates have a weekday mismatch. Sprints end on ",
                                    VLOOKUP(WEEKDAY(J4),scWeekdayChart,2,FALSE),
                                   " but your chosen deployment target is a ",
                                   VLOOKUP(WEEKDAY(J8),scWeekdayChart,2,FALSE),
                                   ".",
                                   CHAR(10),
                                   "The chart will be adjusted to have a Target Completion on the last ",
                                   VLOOKUP(WEEKDAY(J4),scWeekdayChart,2,FALSE),
                                   " before ",
                                   TEXT(J8,"Dddd, Mmmm DD, YYYY"),
                                   "."
                                  ),
       ""
      )</f>
        <v/>
      </c>
      <c r="C12" s="44"/>
      <c r="D12" s="44"/>
      <c r="E12" s="44"/>
      <c r="F12" s="44"/>
      <c r="G12" s="44"/>
      <c r="H12" s="44"/>
      <c r="I12" s="44"/>
      <c r="J12" s="44"/>
      <c r="K12" s="44"/>
      <c r="L12" s="44"/>
      <c r="M12" s="44"/>
      <c r="N12" s="44"/>
      <c r="O12" s="44"/>
      <c r="R12" s="35"/>
      <c r="S12" s="35"/>
      <c r="T12" s="35"/>
    </row>
    <row r="13" spans="2:20" x14ac:dyDescent="0.3">
      <c r="B13" s="44"/>
      <c r="C13" s="44"/>
      <c r="D13" s="44"/>
      <c r="E13" s="44"/>
      <c r="F13" s="44"/>
      <c r="G13" s="44"/>
      <c r="H13" s="44"/>
      <c r="I13" s="44"/>
      <c r="J13" s="44"/>
      <c r="K13" s="44"/>
      <c r="L13" s="44"/>
      <c r="M13" s="44"/>
      <c r="N13" s="44"/>
      <c r="O13" s="44"/>
    </row>
    <row r="14" spans="2:20" x14ac:dyDescent="0.3">
      <c r="B14" s="34"/>
      <c r="C14" s="34"/>
      <c r="D14" s="34"/>
      <c r="E14" s="34"/>
      <c r="F14" s="34"/>
      <c r="G14" s="34"/>
      <c r="H14" s="34"/>
      <c r="I14" s="34"/>
      <c r="J14" s="34"/>
      <c r="K14" s="34"/>
      <c r="L14" s="34"/>
      <c r="M14" s="34"/>
      <c r="N14" s="34"/>
      <c r="O14" s="34"/>
    </row>
    <row r="15" spans="2:20" x14ac:dyDescent="0.3">
      <c r="B15" s="34"/>
      <c r="C15" s="34"/>
      <c r="D15" s="34"/>
      <c r="E15" s="34"/>
      <c r="F15" s="34"/>
      <c r="G15" s="34"/>
      <c r="H15" s="34"/>
      <c r="I15" s="34"/>
      <c r="J15" s="34"/>
      <c r="K15" s="34"/>
      <c r="L15" s="34"/>
      <c r="M15" s="34"/>
      <c r="N15" s="34"/>
      <c r="O15" s="34"/>
    </row>
  </sheetData>
  <sheetProtection selectLockedCells="1"/>
  <mergeCells count="13">
    <mergeCell ref="B6:I6"/>
    <mergeCell ref="B4:I4"/>
    <mergeCell ref="B2:I2"/>
    <mergeCell ref="B8:I8"/>
    <mergeCell ref="B12:O13"/>
    <mergeCell ref="J2:M2"/>
    <mergeCell ref="J4:K4"/>
    <mergeCell ref="J6:K6"/>
    <mergeCell ref="J8:K8"/>
    <mergeCell ref="L4:Q4"/>
    <mergeCell ref="L8:Q8"/>
    <mergeCell ref="J10:K10"/>
    <mergeCell ref="B10:I10"/>
  </mergeCells>
  <conditionalFormatting sqref="B12:O13">
    <cfRule type="containsText" dxfId="17" priority="1" operator="containsText" text="mismatch">
      <formula>NOT(ISERROR(SEARCH("mismatch",B12)))</formula>
    </cfRule>
  </conditionalFormatting>
  <pageMargins left="0.7" right="0.7" top="0.75" bottom="0.75" header="0.3" footer="0.3"/>
  <pageSetup orientation="portrait" r:id="rId1"/>
  <headerFooter>
    <oddHeader>&amp;L&amp;"wingdings,Bold"&amp;10&amp;KFFFF00ll&amp;"Arial,Regular"&amp;K000000PROTECTED 関係者外秘</oddHeader>
    <evenHeader>&amp;L&amp;"wingdings,Bold"&amp;10&amp;KFFFF00ll&amp;"Arial,Regular"&amp;K000000PROTECTED 関係者外秘</evenHeader>
    <firstHeader>&amp;L&amp;"wingdings,Bold"&amp;10&amp;KFFFF00ll&amp;"Arial,Regular"&amp;K000000PROTECTED 関係者外秘</first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
  <sheetViews>
    <sheetView workbookViewId="0"/>
  </sheetViews>
  <sheetFormatPr defaultColWidth="8.88671875" defaultRowHeight="14.4" x14ac:dyDescent="0.3"/>
  <sheetData/>
  <pageMargins left="0.7" right="0.7" top="0.75" bottom="0.75" header="0.3" footer="0.3"/>
  <pageSetup orientation="portrait" verticalDpi="0" r:id="rId1"/>
  <headerFooter>
    <oddHeader>&amp;L&amp;"wingdings,Bold"&amp;10&amp;KFFFF00ll&amp;"Arial,Regular"&amp;K000000PROTECTED 関係者外秘</oddHeader>
    <evenHeader>&amp;L&amp;"wingdings,Bold"&amp;10&amp;KFFFF00ll&amp;"Arial,Regular"&amp;K000000PROTECTED 関係者外秘</evenHeader>
    <firstHeader>&amp;L&amp;"wingdings,Bold"&amp;10&amp;KFFFF00ll&amp;"Arial,Regular"&amp;K000000PROTECTED 関係者外秘</first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2:K54"/>
  <sheetViews>
    <sheetView zoomScaleNormal="100" zoomScalePageLayoutView="200" workbookViewId="0">
      <pane ySplit="2" topLeftCell="A9" activePane="bottomLeft" state="frozen"/>
      <selection pane="bottomLeft" activeCell="I26" sqref="I26"/>
    </sheetView>
  </sheetViews>
  <sheetFormatPr defaultColWidth="8.77734375" defaultRowHeight="14.4" x14ac:dyDescent="0.3"/>
  <cols>
    <col min="1" max="1" width="9.77734375" style="1" bestFit="1" customWidth="1"/>
    <col min="2" max="2" width="11" style="4" customWidth="1"/>
    <col min="3" max="3" width="14.109375" style="2" bestFit="1" customWidth="1"/>
    <col min="4" max="4" width="14.109375" style="2" customWidth="1"/>
    <col min="5" max="5" width="9" style="2" customWidth="1"/>
    <col min="6" max="6" width="9" style="2" bestFit="1" customWidth="1"/>
    <col min="7" max="7" width="10.44140625" style="2" bestFit="1" customWidth="1"/>
    <col min="8" max="8" width="15.21875" style="2" hidden="1" customWidth="1"/>
    <col min="9" max="9" width="20.44140625" style="2" customWidth="1"/>
    <col min="10" max="10" width="70.21875" style="23" customWidth="1"/>
    <col min="11" max="16384" width="8.77734375" style="1"/>
  </cols>
  <sheetData>
    <row r="2" spans="1:11" ht="45.6" customHeight="1" x14ac:dyDescent="0.3">
      <c r="B2" s="3" t="s">
        <v>12</v>
      </c>
      <c r="C2" s="22" t="str">
        <f>CONCATENATE("Per-Sprint Contribution to ",scTitle,":")</f>
        <v>Per-Sprint Contribution to HXF -  (Sept) Release:</v>
      </c>
      <c r="D2" s="22" t="s">
        <v>13</v>
      </c>
      <c r="E2" s="22" t="s">
        <v>92</v>
      </c>
      <c r="F2" s="22" t="s">
        <v>14</v>
      </c>
      <c r="G2" s="22" t="s">
        <v>15</v>
      </c>
      <c r="H2" s="22" t="s">
        <v>16</v>
      </c>
      <c r="I2" s="22" t="s">
        <v>17</v>
      </c>
      <c r="J2" s="24" t="s">
        <v>18</v>
      </c>
    </row>
    <row r="3" spans="1:11" x14ac:dyDescent="0.3">
      <c r="A3" s="5" t="str">
        <f>IF(COUNTIF(A4:A54,"=Current&gt;&gt;")&gt;0,"","Current&gt;&gt;")</f>
        <v/>
      </c>
      <c r="B3" s="3">
        <f>scFirstSprint</f>
        <v>43206</v>
      </c>
      <c r="C3" s="21">
        <v>19</v>
      </c>
      <c r="D3" s="37">
        <v>24</v>
      </c>
      <c r="E3" s="37">
        <v>35</v>
      </c>
      <c r="F3" s="21"/>
      <c r="G3" s="21">
        <v>1300</v>
      </c>
      <c r="H3" s="21">
        <v>1</v>
      </c>
      <c r="I3" s="37">
        <f>G3/(scGoalSprintCount-H3)</f>
        <v>54.166666666666664</v>
      </c>
      <c r="J3" s="25"/>
      <c r="K3" s="1" t="s">
        <v>90</v>
      </c>
    </row>
    <row r="4" spans="1:11" x14ac:dyDescent="0.3">
      <c r="A4" s="5" t="str">
        <f t="shared" ref="A4:A54" si="0">IF(ISBLANK(C4),"",IF(ISBLANK(C5),"Current&gt;&gt;",""))</f>
        <v/>
      </c>
      <c r="B4" s="3">
        <f t="shared" ref="B4:B35" si="1">B3+scDaysInSprint</f>
        <v>43213</v>
      </c>
      <c r="C4" s="21">
        <v>37</v>
      </c>
      <c r="D4" s="37">
        <v>21</v>
      </c>
      <c r="E4" s="37">
        <v>35</v>
      </c>
      <c r="F4" s="21"/>
      <c r="G4" s="21">
        <f t="shared" ref="G4:G35" si="2">IF(C4&gt;0,G3-C4+F4,"--")</f>
        <v>1263</v>
      </c>
      <c r="H4" s="21">
        <v>2</v>
      </c>
      <c r="I4" s="37">
        <f t="shared" ref="I4:I35" si="3">IF(C4&gt;0,G4/(scGoalSprintCount-H4),I3)</f>
        <v>54.913043478260867</v>
      </c>
      <c r="J4" s="25"/>
      <c r="K4" s="1" t="s">
        <v>89</v>
      </c>
    </row>
    <row r="5" spans="1:11" x14ac:dyDescent="0.3">
      <c r="A5" s="5" t="str">
        <f t="shared" si="0"/>
        <v/>
      </c>
      <c r="B5" s="3">
        <f t="shared" si="1"/>
        <v>43220</v>
      </c>
      <c r="C5" s="21">
        <v>44</v>
      </c>
      <c r="D5" s="37">
        <f>SUM(C3,C4,C5)/3</f>
        <v>33.333333333333336</v>
      </c>
      <c r="E5" s="37">
        <v>35</v>
      </c>
      <c r="F5" s="21"/>
      <c r="G5" s="21">
        <f t="shared" si="2"/>
        <v>1219</v>
      </c>
      <c r="H5" s="21">
        <v>3</v>
      </c>
      <c r="I5" s="37">
        <f t="shared" si="3"/>
        <v>55.409090909090907</v>
      </c>
      <c r="J5" s="25"/>
      <c r="K5" s="1" t="s">
        <v>88</v>
      </c>
    </row>
    <row r="6" spans="1:11" x14ac:dyDescent="0.3">
      <c r="A6" s="5" t="str">
        <f t="shared" si="0"/>
        <v/>
      </c>
      <c r="B6" s="3">
        <f t="shared" si="1"/>
        <v>43227</v>
      </c>
      <c r="C6" s="21">
        <v>27</v>
      </c>
      <c r="D6" s="37">
        <f>SUM(C4,C5,C6)/3</f>
        <v>36</v>
      </c>
      <c r="E6" s="37">
        <v>45</v>
      </c>
      <c r="F6" s="21"/>
      <c r="G6" s="21">
        <f t="shared" si="2"/>
        <v>1192</v>
      </c>
      <c r="H6" s="21">
        <v>4</v>
      </c>
      <c r="I6" s="37">
        <f t="shared" si="3"/>
        <v>56.761904761904759</v>
      </c>
      <c r="J6" s="25"/>
      <c r="K6" s="1" t="s">
        <v>87</v>
      </c>
    </row>
    <row r="7" spans="1:11" x14ac:dyDescent="0.3">
      <c r="A7" s="5" t="str">
        <f t="shared" si="0"/>
        <v/>
      </c>
      <c r="B7" s="3">
        <f t="shared" si="1"/>
        <v>43234</v>
      </c>
      <c r="C7" s="21">
        <v>36</v>
      </c>
      <c r="D7" s="37">
        <f t="shared" ref="D7:D22" si="4">SUM(C5,C6,C7)/3</f>
        <v>35.666666666666664</v>
      </c>
      <c r="E7" s="37">
        <v>45</v>
      </c>
      <c r="F7" s="21"/>
      <c r="G7" s="21">
        <f t="shared" si="2"/>
        <v>1156</v>
      </c>
      <c r="H7" s="21">
        <v>5</v>
      </c>
      <c r="I7" s="37">
        <f t="shared" si="3"/>
        <v>57.8</v>
      </c>
      <c r="J7" s="25"/>
      <c r="K7" s="1" t="s">
        <v>86</v>
      </c>
    </row>
    <row r="8" spans="1:11" x14ac:dyDescent="0.3">
      <c r="A8" s="5" t="str">
        <f t="shared" si="0"/>
        <v/>
      </c>
      <c r="B8" s="3">
        <f t="shared" si="1"/>
        <v>43241</v>
      </c>
      <c r="C8" s="21">
        <v>50</v>
      </c>
      <c r="D8" s="37">
        <f t="shared" si="4"/>
        <v>37.666666666666664</v>
      </c>
      <c r="E8" s="37">
        <v>55</v>
      </c>
      <c r="F8" s="21"/>
      <c r="G8" s="21">
        <f t="shared" si="2"/>
        <v>1106</v>
      </c>
      <c r="H8" s="21">
        <v>6</v>
      </c>
      <c r="I8" s="37">
        <f t="shared" si="3"/>
        <v>58.210526315789473</v>
      </c>
      <c r="J8" s="25"/>
      <c r="K8" s="1" t="s">
        <v>85</v>
      </c>
    </row>
    <row r="9" spans="1:11" x14ac:dyDescent="0.3">
      <c r="A9" s="5" t="str">
        <f t="shared" si="0"/>
        <v/>
      </c>
      <c r="B9" s="3">
        <f>B8+scDaysInSprint</f>
        <v>43248</v>
      </c>
      <c r="C9" s="21">
        <v>64</v>
      </c>
      <c r="D9" s="37">
        <f t="shared" si="4"/>
        <v>50</v>
      </c>
      <c r="E9" s="37">
        <v>55</v>
      </c>
      <c r="F9" s="21"/>
      <c r="G9" s="21">
        <f t="shared" si="2"/>
        <v>1042</v>
      </c>
      <c r="H9" s="21">
        <v>7</v>
      </c>
      <c r="I9" s="37">
        <f t="shared" si="3"/>
        <v>57.888888888888886</v>
      </c>
      <c r="J9" s="38"/>
      <c r="K9" s="1" t="s">
        <v>84</v>
      </c>
    </row>
    <row r="10" spans="1:11" x14ac:dyDescent="0.3">
      <c r="A10" s="5" t="str">
        <f t="shared" si="0"/>
        <v/>
      </c>
      <c r="B10" s="3">
        <f t="shared" si="1"/>
        <v>43255</v>
      </c>
      <c r="C10" s="42">
        <v>51</v>
      </c>
      <c r="D10" s="37">
        <f t="shared" si="4"/>
        <v>55</v>
      </c>
      <c r="E10" s="37">
        <v>45</v>
      </c>
      <c r="F10" s="21"/>
      <c r="G10" s="21">
        <f t="shared" si="2"/>
        <v>991</v>
      </c>
      <c r="H10" s="21">
        <v>8</v>
      </c>
      <c r="I10" s="37">
        <f t="shared" si="3"/>
        <v>58.294117647058826</v>
      </c>
      <c r="J10" s="38"/>
      <c r="K10" s="1" t="s">
        <v>83</v>
      </c>
    </row>
    <row r="11" spans="1:11" x14ac:dyDescent="0.3">
      <c r="A11" s="5" t="str">
        <f t="shared" si="0"/>
        <v/>
      </c>
      <c r="B11" s="3">
        <f t="shared" si="1"/>
        <v>43262</v>
      </c>
      <c r="C11" s="42">
        <v>52</v>
      </c>
      <c r="D11" s="37">
        <f t="shared" si="4"/>
        <v>55.666666666666664</v>
      </c>
      <c r="E11" s="37">
        <v>45</v>
      </c>
      <c r="F11" s="21"/>
      <c r="G11" s="21">
        <f t="shared" si="2"/>
        <v>939</v>
      </c>
      <c r="H11" s="21">
        <v>9</v>
      </c>
      <c r="I11" s="37">
        <f t="shared" si="3"/>
        <v>58.6875</v>
      </c>
      <c r="J11" s="38"/>
    </row>
    <row r="12" spans="1:11" x14ac:dyDescent="0.3">
      <c r="A12" s="5" t="str">
        <f t="shared" si="0"/>
        <v/>
      </c>
      <c r="B12" s="3">
        <f t="shared" si="1"/>
        <v>43269</v>
      </c>
      <c r="C12" s="42">
        <v>57</v>
      </c>
      <c r="D12" s="37">
        <f t="shared" si="4"/>
        <v>53.333333333333336</v>
      </c>
      <c r="E12" s="37">
        <v>45</v>
      </c>
      <c r="F12" s="21"/>
      <c r="G12" s="21">
        <f t="shared" si="2"/>
        <v>882</v>
      </c>
      <c r="H12" s="21">
        <v>10</v>
      </c>
      <c r="I12" s="37">
        <f t="shared" si="3"/>
        <v>58.8</v>
      </c>
      <c r="J12" s="25"/>
    </row>
    <row r="13" spans="1:11" x14ac:dyDescent="0.3">
      <c r="A13" s="5" t="str">
        <f t="shared" si="0"/>
        <v/>
      </c>
      <c r="B13" s="3">
        <f t="shared" si="1"/>
        <v>43276</v>
      </c>
      <c r="C13" s="42">
        <v>54</v>
      </c>
      <c r="D13" s="37">
        <f t="shared" si="4"/>
        <v>54.333333333333336</v>
      </c>
      <c r="E13" s="37">
        <v>45</v>
      </c>
      <c r="F13" s="21"/>
      <c r="G13" s="21">
        <f t="shared" si="2"/>
        <v>828</v>
      </c>
      <c r="H13" s="21">
        <v>11</v>
      </c>
      <c r="I13" s="37">
        <f t="shared" si="3"/>
        <v>59.142857142857146</v>
      </c>
      <c r="J13" s="25"/>
    </row>
    <row r="14" spans="1:11" x14ac:dyDescent="0.3">
      <c r="A14" s="5" t="str">
        <f t="shared" si="0"/>
        <v/>
      </c>
      <c r="B14" s="3">
        <f t="shared" si="1"/>
        <v>43283</v>
      </c>
      <c r="C14" s="21">
        <v>50</v>
      </c>
      <c r="D14" s="37">
        <f t="shared" si="4"/>
        <v>53.666666666666664</v>
      </c>
      <c r="E14" s="37">
        <v>45</v>
      </c>
      <c r="F14" s="21"/>
      <c r="G14" s="21">
        <f t="shared" si="2"/>
        <v>778</v>
      </c>
      <c r="H14" s="21">
        <v>12</v>
      </c>
      <c r="I14" s="37">
        <f t="shared" si="3"/>
        <v>59.846153846153847</v>
      </c>
      <c r="J14" s="25"/>
    </row>
    <row r="15" spans="1:11" x14ac:dyDescent="0.3">
      <c r="A15" s="5" t="str">
        <f t="shared" si="0"/>
        <v/>
      </c>
      <c r="B15" s="3">
        <f t="shared" si="1"/>
        <v>43290</v>
      </c>
      <c r="C15" s="21">
        <v>62</v>
      </c>
      <c r="D15" s="37">
        <f t="shared" si="4"/>
        <v>55.333333333333336</v>
      </c>
      <c r="E15" s="37">
        <v>55</v>
      </c>
      <c r="F15" s="21"/>
      <c r="G15" s="21">
        <f t="shared" si="2"/>
        <v>716</v>
      </c>
      <c r="H15" s="21">
        <v>13</v>
      </c>
      <c r="I15" s="37">
        <f t="shared" si="3"/>
        <v>59.666666666666664</v>
      </c>
      <c r="J15" s="25"/>
    </row>
    <row r="16" spans="1:11" x14ac:dyDescent="0.3">
      <c r="A16" s="5" t="str">
        <f t="shared" si="0"/>
        <v/>
      </c>
      <c r="B16" s="3">
        <f t="shared" si="1"/>
        <v>43297</v>
      </c>
      <c r="C16" s="21">
        <v>57</v>
      </c>
      <c r="D16" s="37">
        <f t="shared" si="4"/>
        <v>56.333333333333336</v>
      </c>
      <c r="E16" s="37">
        <v>65</v>
      </c>
      <c r="F16" s="21"/>
      <c r="G16" s="21">
        <f t="shared" si="2"/>
        <v>659</v>
      </c>
      <c r="H16" s="21">
        <v>14</v>
      </c>
      <c r="I16" s="37">
        <f t="shared" si="3"/>
        <v>59.909090909090907</v>
      </c>
      <c r="J16" s="25"/>
    </row>
    <row r="17" spans="1:10" x14ac:dyDescent="0.3">
      <c r="A17" s="5" t="str">
        <f t="shared" si="0"/>
        <v/>
      </c>
      <c r="B17" s="3">
        <f t="shared" si="1"/>
        <v>43304</v>
      </c>
      <c r="C17" s="21">
        <v>66</v>
      </c>
      <c r="D17" s="37">
        <f t="shared" si="4"/>
        <v>61.666666666666664</v>
      </c>
      <c r="E17" s="37">
        <v>65</v>
      </c>
      <c r="F17" s="21"/>
      <c r="G17" s="21">
        <f t="shared" si="2"/>
        <v>593</v>
      </c>
      <c r="H17" s="21">
        <v>15</v>
      </c>
      <c r="I17" s="37">
        <f t="shared" si="3"/>
        <v>59.3</v>
      </c>
      <c r="J17" s="25"/>
    </row>
    <row r="18" spans="1:10" x14ac:dyDescent="0.3">
      <c r="A18" s="5" t="str">
        <f t="shared" si="0"/>
        <v/>
      </c>
      <c r="B18" s="3">
        <f t="shared" si="1"/>
        <v>43311</v>
      </c>
      <c r="C18" s="21">
        <v>59</v>
      </c>
      <c r="D18" s="37">
        <f t="shared" si="4"/>
        <v>60.666666666666664</v>
      </c>
      <c r="E18" s="37">
        <v>65</v>
      </c>
      <c r="F18" s="21"/>
      <c r="G18" s="21">
        <f t="shared" si="2"/>
        <v>534</v>
      </c>
      <c r="H18" s="21">
        <v>16</v>
      </c>
      <c r="I18" s="37">
        <f t="shared" si="3"/>
        <v>59.333333333333336</v>
      </c>
      <c r="J18" s="25"/>
    </row>
    <row r="19" spans="1:10" x14ac:dyDescent="0.3">
      <c r="A19" s="5" t="str">
        <f t="shared" si="0"/>
        <v/>
      </c>
      <c r="B19" s="3">
        <f t="shared" si="1"/>
        <v>43318</v>
      </c>
      <c r="C19" s="21">
        <v>66</v>
      </c>
      <c r="D19" s="37">
        <f t="shared" si="4"/>
        <v>63.666666666666664</v>
      </c>
      <c r="E19" s="37">
        <v>65</v>
      </c>
      <c r="F19" s="21"/>
      <c r="G19" s="21">
        <f t="shared" si="2"/>
        <v>468</v>
      </c>
      <c r="H19" s="21">
        <v>17</v>
      </c>
      <c r="I19" s="37">
        <f t="shared" si="3"/>
        <v>58.5</v>
      </c>
      <c r="J19" s="25"/>
    </row>
    <row r="20" spans="1:10" x14ac:dyDescent="0.3">
      <c r="A20" s="5" t="str">
        <f t="shared" si="0"/>
        <v/>
      </c>
      <c r="B20" s="3">
        <f t="shared" si="1"/>
        <v>43325</v>
      </c>
      <c r="C20" s="21">
        <v>65</v>
      </c>
      <c r="D20" s="37">
        <f t="shared" si="4"/>
        <v>63.333333333333336</v>
      </c>
      <c r="E20" s="37">
        <v>65</v>
      </c>
      <c r="F20" s="21"/>
      <c r="G20" s="21">
        <f t="shared" si="2"/>
        <v>403</v>
      </c>
      <c r="H20" s="21">
        <v>18</v>
      </c>
      <c r="I20" s="37">
        <f t="shared" si="3"/>
        <v>57.571428571428569</v>
      </c>
      <c r="J20" s="25"/>
    </row>
    <row r="21" spans="1:10" x14ac:dyDescent="0.3">
      <c r="A21" s="5" t="str">
        <f t="shared" si="0"/>
        <v/>
      </c>
      <c r="B21" s="3">
        <f t="shared" si="1"/>
        <v>43332</v>
      </c>
      <c r="C21" s="21">
        <v>64</v>
      </c>
      <c r="D21" s="37">
        <f t="shared" si="4"/>
        <v>65</v>
      </c>
      <c r="E21" s="37">
        <v>65</v>
      </c>
      <c r="F21" s="21"/>
      <c r="G21" s="21">
        <f t="shared" si="2"/>
        <v>339</v>
      </c>
      <c r="H21" s="21">
        <v>19</v>
      </c>
      <c r="I21" s="37">
        <f t="shared" si="3"/>
        <v>56.5</v>
      </c>
      <c r="J21" s="25"/>
    </row>
    <row r="22" spans="1:10" x14ac:dyDescent="0.3">
      <c r="A22" s="5" t="str">
        <f t="shared" si="0"/>
        <v/>
      </c>
      <c r="B22" s="3">
        <f t="shared" si="1"/>
        <v>43339</v>
      </c>
      <c r="C22" s="21">
        <v>61</v>
      </c>
      <c r="D22" s="37">
        <f t="shared" si="4"/>
        <v>63.333333333333336</v>
      </c>
      <c r="E22" s="37">
        <v>65</v>
      </c>
      <c r="F22" s="21"/>
      <c r="G22" s="21">
        <f t="shared" si="2"/>
        <v>278</v>
      </c>
      <c r="H22" s="21">
        <v>20</v>
      </c>
      <c r="I22" s="37">
        <f t="shared" si="3"/>
        <v>55.6</v>
      </c>
      <c r="J22" s="25"/>
    </row>
    <row r="23" spans="1:10" x14ac:dyDescent="0.3">
      <c r="A23" s="5" t="str">
        <f t="shared" si="0"/>
        <v/>
      </c>
      <c r="B23" s="3">
        <f t="shared" si="1"/>
        <v>43346</v>
      </c>
      <c r="C23" s="21">
        <v>58</v>
      </c>
      <c r="D23" s="37">
        <f t="shared" ref="D23" si="5">SUM(C21,C22,C23)/3</f>
        <v>61</v>
      </c>
      <c r="E23" s="37">
        <v>66</v>
      </c>
      <c r="F23" s="21"/>
      <c r="G23" s="21">
        <f t="shared" si="2"/>
        <v>220</v>
      </c>
      <c r="H23" s="21">
        <v>21</v>
      </c>
      <c r="I23" s="37">
        <f t="shared" si="3"/>
        <v>55</v>
      </c>
      <c r="J23" s="25"/>
    </row>
    <row r="24" spans="1:10" x14ac:dyDescent="0.3">
      <c r="A24" s="5" t="str">
        <f t="shared" si="0"/>
        <v/>
      </c>
      <c r="B24" s="3">
        <f t="shared" si="1"/>
        <v>43353</v>
      </c>
      <c r="C24" s="21">
        <v>66</v>
      </c>
      <c r="D24" s="37">
        <f t="shared" ref="D24" si="6">SUM(C22,C23,C24)/3</f>
        <v>61.666666666666664</v>
      </c>
      <c r="E24" s="37">
        <v>67</v>
      </c>
      <c r="F24" s="21"/>
      <c r="G24" s="21">
        <f t="shared" si="2"/>
        <v>154</v>
      </c>
      <c r="H24" s="21">
        <v>22</v>
      </c>
      <c r="I24" s="37">
        <f t="shared" si="3"/>
        <v>51.333333333333336</v>
      </c>
      <c r="J24" s="25"/>
    </row>
    <row r="25" spans="1:10" x14ac:dyDescent="0.3">
      <c r="A25" s="5" t="str">
        <f t="shared" si="0"/>
        <v/>
      </c>
      <c r="B25" s="3">
        <f t="shared" si="1"/>
        <v>43360</v>
      </c>
      <c r="C25" s="21">
        <v>58</v>
      </c>
      <c r="D25" s="37">
        <f t="shared" ref="D25" si="7">SUM(C23,C24,C25)/3</f>
        <v>60.666666666666664</v>
      </c>
      <c r="E25" s="37">
        <v>68</v>
      </c>
      <c r="F25" s="21"/>
      <c r="G25" s="21">
        <f t="shared" si="2"/>
        <v>96</v>
      </c>
      <c r="H25" s="21">
        <v>23</v>
      </c>
      <c r="I25" s="37">
        <f t="shared" si="3"/>
        <v>48</v>
      </c>
      <c r="J25" s="25"/>
    </row>
    <row r="26" spans="1:10" x14ac:dyDescent="0.3">
      <c r="A26" s="5" t="str">
        <f t="shared" si="0"/>
        <v>Current&gt;&gt;</v>
      </c>
      <c r="B26" s="3">
        <f t="shared" si="1"/>
        <v>43367</v>
      </c>
      <c r="C26" s="21">
        <v>48</v>
      </c>
      <c r="D26" s="37">
        <f t="shared" ref="D26" si="8">SUM(C24,C25,C26)/3</f>
        <v>57.333333333333336</v>
      </c>
      <c r="E26" s="37">
        <v>69</v>
      </c>
      <c r="F26" s="21"/>
      <c r="G26" s="21">
        <f t="shared" si="2"/>
        <v>48</v>
      </c>
      <c r="H26" s="21">
        <v>24</v>
      </c>
      <c r="I26" s="37">
        <f t="shared" si="3"/>
        <v>48</v>
      </c>
      <c r="J26" s="25"/>
    </row>
    <row r="27" spans="1:10" x14ac:dyDescent="0.3">
      <c r="A27" s="5" t="str">
        <f t="shared" si="0"/>
        <v/>
      </c>
      <c r="B27" s="3">
        <f t="shared" si="1"/>
        <v>43374</v>
      </c>
      <c r="C27" s="21"/>
      <c r="D27" s="37"/>
      <c r="E27" s="37"/>
      <c r="F27" s="21"/>
      <c r="G27" s="21"/>
      <c r="H27" s="21">
        <v>25</v>
      </c>
      <c r="I27" s="37">
        <f t="shared" si="3"/>
        <v>48</v>
      </c>
      <c r="J27" s="25"/>
    </row>
    <row r="28" spans="1:10" x14ac:dyDescent="0.3">
      <c r="A28" s="5" t="str">
        <f t="shared" si="0"/>
        <v/>
      </c>
      <c r="B28" s="3">
        <f t="shared" si="1"/>
        <v>43381</v>
      </c>
      <c r="C28" s="21"/>
      <c r="D28" s="21"/>
      <c r="E28" s="21">
        <v>0</v>
      </c>
      <c r="F28" s="21"/>
      <c r="G28" s="21" t="str">
        <f t="shared" si="2"/>
        <v>--</v>
      </c>
      <c r="H28" s="21">
        <v>26</v>
      </c>
      <c r="I28" s="37">
        <f t="shared" si="3"/>
        <v>48</v>
      </c>
      <c r="J28" s="25"/>
    </row>
    <row r="29" spans="1:10" x14ac:dyDescent="0.3">
      <c r="A29" s="5" t="str">
        <f t="shared" si="0"/>
        <v/>
      </c>
      <c r="B29" s="3">
        <f t="shared" si="1"/>
        <v>43388</v>
      </c>
      <c r="C29" s="21"/>
      <c r="D29" s="21"/>
      <c r="E29" s="21"/>
      <c r="F29" s="21"/>
      <c r="G29" s="21" t="str">
        <f t="shared" si="2"/>
        <v>--</v>
      </c>
      <c r="H29" s="21">
        <v>27</v>
      </c>
      <c r="I29" s="37">
        <f t="shared" si="3"/>
        <v>48</v>
      </c>
      <c r="J29" s="25"/>
    </row>
    <row r="30" spans="1:10" x14ac:dyDescent="0.3">
      <c r="A30" s="5" t="str">
        <f t="shared" si="0"/>
        <v/>
      </c>
      <c r="B30" s="3">
        <f t="shared" si="1"/>
        <v>43395</v>
      </c>
      <c r="C30" s="21"/>
      <c r="D30" s="21"/>
      <c r="E30" s="21"/>
      <c r="F30" s="21"/>
      <c r="G30" s="21" t="str">
        <f t="shared" si="2"/>
        <v>--</v>
      </c>
      <c r="H30" s="21">
        <v>28</v>
      </c>
      <c r="I30" s="37">
        <f t="shared" si="3"/>
        <v>48</v>
      </c>
      <c r="J30" s="25"/>
    </row>
    <row r="31" spans="1:10" x14ac:dyDescent="0.3">
      <c r="A31" s="5" t="str">
        <f t="shared" si="0"/>
        <v/>
      </c>
      <c r="B31" s="3">
        <f t="shared" si="1"/>
        <v>43402</v>
      </c>
      <c r="C31" s="21"/>
      <c r="D31" s="21"/>
      <c r="E31" s="21"/>
      <c r="F31" s="21"/>
      <c r="G31" s="21" t="str">
        <f t="shared" si="2"/>
        <v>--</v>
      </c>
      <c r="H31" s="21">
        <v>29</v>
      </c>
      <c r="I31" s="37">
        <f t="shared" si="3"/>
        <v>48</v>
      </c>
      <c r="J31" s="25"/>
    </row>
    <row r="32" spans="1:10" x14ac:dyDescent="0.3">
      <c r="A32" s="5" t="str">
        <f t="shared" si="0"/>
        <v/>
      </c>
      <c r="B32" s="3">
        <f t="shared" si="1"/>
        <v>43409</v>
      </c>
      <c r="C32" s="21"/>
      <c r="D32" s="21"/>
      <c r="E32" s="21"/>
      <c r="F32" s="21"/>
      <c r="G32" s="21" t="str">
        <f t="shared" si="2"/>
        <v>--</v>
      </c>
      <c r="H32" s="21">
        <v>30</v>
      </c>
      <c r="I32" s="37">
        <f t="shared" si="3"/>
        <v>48</v>
      </c>
      <c r="J32" s="25"/>
    </row>
    <row r="33" spans="1:10" x14ac:dyDescent="0.3">
      <c r="A33" s="5" t="str">
        <f t="shared" si="0"/>
        <v/>
      </c>
      <c r="B33" s="3">
        <f t="shared" si="1"/>
        <v>43416</v>
      </c>
      <c r="C33" s="21"/>
      <c r="D33" s="21"/>
      <c r="E33" s="21"/>
      <c r="F33" s="21"/>
      <c r="G33" s="21" t="str">
        <f t="shared" si="2"/>
        <v>--</v>
      </c>
      <c r="H33" s="21">
        <v>31</v>
      </c>
      <c r="I33" s="37">
        <f t="shared" si="3"/>
        <v>48</v>
      </c>
      <c r="J33" s="25"/>
    </row>
    <row r="34" spans="1:10" x14ac:dyDescent="0.3">
      <c r="A34" s="5" t="str">
        <f t="shared" si="0"/>
        <v/>
      </c>
      <c r="B34" s="3">
        <f t="shared" si="1"/>
        <v>43423</v>
      </c>
      <c r="C34" s="21"/>
      <c r="D34" s="21"/>
      <c r="E34" s="21"/>
      <c r="F34" s="21"/>
      <c r="G34" s="21" t="str">
        <f t="shared" si="2"/>
        <v>--</v>
      </c>
      <c r="H34" s="21">
        <v>32</v>
      </c>
      <c r="I34" s="37">
        <f t="shared" si="3"/>
        <v>48</v>
      </c>
      <c r="J34" s="25"/>
    </row>
    <row r="35" spans="1:10" x14ac:dyDescent="0.3">
      <c r="A35" s="5" t="str">
        <f t="shared" si="0"/>
        <v/>
      </c>
      <c r="B35" s="3">
        <f t="shared" si="1"/>
        <v>43430</v>
      </c>
      <c r="C35" s="21"/>
      <c r="D35" s="21"/>
      <c r="E35" s="21"/>
      <c r="F35" s="21"/>
      <c r="G35" s="21" t="str">
        <f t="shared" si="2"/>
        <v>--</v>
      </c>
      <c r="H35" s="21">
        <v>33</v>
      </c>
      <c r="I35" s="37">
        <f t="shared" si="3"/>
        <v>48</v>
      </c>
      <c r="J35" s="25"/>
    </row>
    <row r="36" spans="1:10" x14ac:dyDescent="0.3">
      <c r="A36" s="5" t="str">
        <f t="shared" si="0"/>
        <v/>
      </c>
      <c r="B36" s="3">
        <f t="shared" ref="B36:B54" si="9">B35+scDaysInSprint</f>
        <v>43437</v>
      </c>
      <c r="C36" s="21"/>
      <c r="D36" s="21"/>
      <c r="E36" s="21"/>
      <c r="F36" s="21"/>
      <c r="G36" s="21" t="str">
        <f t="shared" ref="G36:G54" si="10">IF(C36&gt;0,G35-C36+F36,"--")</f>
        <v>--</v>
      </c>
      <c r="H36" s="21">
        <v>34</v>
      </c>
      <c r="I36" s="37">
        <f t="shared" ref="I36:I54" si="11">IF(C36&gt;0,G36/(scGoalSprintCount-H36),I35)</f>
        <v>48</v>
      </c>
      <c r="J36" s="25"/>
    </row>
    <row r="37" spans="1:10" x14ac:dyDescent="0.3">
      <c r="A37" s="5" t="str">
        <f t="shared" si="0"/>
        <v/>
      </c>
      <c r="B37" s="3">
        <f t="shared" si="9"/>
        <v>43444</v>
      </c>
      <c r="C37" s="21"/>
      <c r="D37" s="21"/>
      <c r="E37" s="21"/>
      <c r="F37" s="21"/>
      <c r="G37" s="21" t="str">
        <f t="shared" si="10"/>
        <v>--</v>
      </c>
      <c r="H37" s="21">
        <v>35</v>
      </c>
      <c r="I37" s="37">
        <f t="shared" si="11"/>
        <v>48</v>
      </c>
      <c r="J37" s="25"/>
    </row>
    <row r="38" spans="1:10" x14ac:dyDescent="0.3">
      <c r="A38" s="5" t="str">
        <f t="shared" si="0"/>
        <v/>
      </c>
      <c r="B38" s="3">
        <f t="shared" si="9"/>
        <v>43451</v>
      </c>
      <c r="C38" s="21"/>
      <c r="D38" s="21"/>
      <c r="E38" s="21"/>
      <c r="F38" s="21"/>
      <c r="G38" s="21" t="str">
        <f t="shared" si="10"/>
        <v>--</v>
      </c>
      <c r="H38" s="21">
        <v>36</v>
      </c>
      <c r="I38" s="37">
        <f t="shared" si="11"/>
        <v>48</v>
      </c>
      <c r="J38" s="25"/>
    </row>
    <row r="39" spans="1:10" x14ac:dyDescent="0.3">
      <c r="A39" s="5" t="str">
        <f t="shared" si="0"/>
        <v/>
      </c>
      <c r="B39" s="3">
        <f t="shared" si="9"/>
        <v>43458</v>
      </c>
      <c r="C39" s="21"/>
      <c r="D39" s="21"/>
      <c r="E39" s="21"/>
      <c r="F39" s="21"/>
      <c r="G39" s="21" t="str">
        <f t="shared" si="10"/>
        <v>--</v>
      </c>
      <c r="H39" s="21">
        <v>37</v>
      </c>
      <c r="I39" s="37">
        <f t="shared" si="11"/>
        <v>48</v>
      </c>
      <c r="J39" s="25"/>
    </row>
    <row r="40" spans="1:10" x14ac:dyDescent="0.3">
      <c r="A40" s="5" t="str">
        <f t="shared" si="0"/>
        <v/>
      </c>
      <c r="B40" s="3">
        <f t="shared" si="9"/>
        <v>43465</v>
      </c>
      <c r="C40" s="21"/>
      <c r="D40" s="21"/>
      <c r="E40" s="21"/>
      <c r="F40" s="21"/>
      <c r="G40" s="21" t="str">
        <f t="shared" si="10"/>
        <v>--</v>
      </c>
      <c r="H40" s="21">
        <v>38</v>
      </c>
      <c r="I40" s="37">
        <f t="shared" si="11"/>
        <v>48</v>
      </c>
      <c r="J40" s="25"/>
    </row>
    <row r="41" spans="1:10" x14ac:dyDescent="0.3">
      <c r="A41" s="5" t="str">
        <f t="shared" si="0"/>
        <v/>
      </c>
      <c r="B41" s="3">
        <f t="shared" si="9"/>
        <v>43472</v>
      </c>
      <c r="C41" s="21"/>
      <c r="D41" s="21"/>
      <c r="E41" s="21"/>
      <c r="F41" s="21"/>
      <c r="G41" s="21" t="str">
        <f t="shared" si="10"/>
        <v>--</v>
      </c>
      <c r="H41" s="21">
        <v>39</v>
      </c>
      <c r="I41" s="37">
        <f t="shared" si="11"/>
        <v>48</v>
      </c>
      <c r="J41" s="25"/>
    </row>
    <row r="42" spans="1:10" x14ac:dyDescent="0.3">
      <c r="A42" s="5" t="str">
        <f t="shared" si="0"/>
        <v/>
      </c>
      <c r="B42" s="3">
        <f t="shared" si="9"/>
        <v>43479</v>
      </c>
      <c r="C42" s="21"/>
      <c r="D42" s="21"/>
      <c r="E42" s="21"/>
      <c r="F42" s="21"/>
      <c r="G42" s="21" t="str">
        <f t="shared" si="10"/>
        <v>--</v>
      </c>
      <c r="H42" s="21">
        <v>40</v>
      </c>
      <c r="I42" s="37">
        <f t="shared" si="11"/>
        <v>48</v>
      </c>
      <c r="J42" s="25"/>
    </row>
    <row r="43" spans="1:10" x14ac:dyDescent="0.3">
      <c r="A43" s="5" t="str">
        <f t="shared" si="0"/>
        <v/>
      </c>
      <c r="B43" s="3">
        <f t="shared" si="9"/>
        <v>43486</v>
      </c>
      <c r="C43" s="21"/>
      <c r="D43" s="21"/>
      <c r="E43" s="21"/>
      <c r="F43" s="21"/>
      <c r="G43" s="21" t="str">
        <f t="shared" si="10"/>
        <v>--</v>
      </c>
      <c r="H43" s="21">
        <v>41</v>
      </c>
      <c r="I43" s="37">
        <f t="shared" si="11"/>
        <v>48</v>
      </c>
      <c r="J43" s="25"/>
    </row>
    <row r="44" spans="1:10" x14ac:dyDescent="0.3">
      <c r="A44" s="5" t="str">
        <f t="shared" si="0"/>
        <v/>
      </c>
      <c r="B44" s="3">
        <f t="shared" si="9"/>
        <v>43493</v>
      </c>
      <c r="C44" s="21"/>
      <c r="D44" s="21"/>
      <c r="E44" s="21"/>
      <c r="F44" s="21"/>
      <c r="G44" s="21" t="str">
        <f t="shared" si="10"/>
        <v>--</v>
      </c>
      <c r="H44" s="21">
        <v>42</v>
      </c>
      <c r="I44" s="37">
        <f t="shared" si="11"/>
        <v>48</v>
      </c>
      <c r="J44" s="25"/>
    </row>
    <row r="45" spans="1:10" x14ac:dyDescent="0.3">
      <c r="A45" s="5" t="str">
        <f t="shared" si="0"/>
        <v/>
      </c>
      <c r="B45" s="3">
        <f t="shared" si="9"/>
        <v>43500</v>
      </c>
      <c r="C45" s="21"/>
      <c r="D45" s="21"/>
      <c r="E45" s="21"/>
      <c r="F45" s="21"/>
      <c r="G45" s="21" t="str">
        <f t="shared" si="10"/>
        <v>--</v>
      </c>
      <c r="H45" s="21">
        <v>43</v>
      </c>
      <c r="I45" s="37">
        <f t="shared" si="11"/>
        <v>48</v>
      </c>
      <c r="J45" s="25"/>
    </row>
    <row r="46" spans="1:10" x14ac:dyDescent="0.3">
      <c r="A46" s="5" t="str">
        <f t="shared" si="0"/>
        <v/>
      </c>
      <c r="B46" s="3">
        <f t="shared" si="9"/>
        <v>43507</v>
      </c>
      <c r="C46" s="21"/>
      <c r="D46" s="21"/>
      <c r="E46" s="21"/>
      <c r="F46" s="21"/>
      <c r="G46" s="21" t="str">
        <f t="shared" si="10"/>
        <v>--</v>
      </c>
      <c r="H46" s="21">
        <v>44</v>
      </c>
      <c r="I46" s="37">
        <f t="shared" si="11"/>
        <v>48</v>
      </c>
      <c r="J46" s="25"/>
    </row>
    <row r="47" spans="1:10" x14ac:dyDescent="0.3">
      <c r="A47" s="5" t="str">
        <f t="shared" si="0"/>
        <v/>
      </c>
      <c r="B47" s="3">
        <f t="shared" si="9"/>
        <v>43514</v>
      </c>
      <c r="C47" s="21"/>
      <c r="D47" s="21"/>
      <c r="E47" s="21"/>
      <c r="F47" s="21"/>
      <c r="G47" s="21" t="str">
        <f t="shared" si="10"/>
        <v>--</v>
      </c>
      <c r="H47" s="21">
        <v>45</v>
      </c>
      <c r="I47" s="37">
        <f t="shared" si="11"/>
        <v>48</v>
      </c>
      <c r="J47" s="25"/>
    </row>
    <row r="48" spans="1:10" x14ac:dyDescent="0.3">
      <c r="A48" s="5" t="str">
        <f t="shared" si="0"/>
        <v/>
      </c>
      <c r="B48" s="3">
        <f t="shared" si="9"/>
        <v>43521</v>
      </c>
      <c r="C48" s="21"/>
      <c r="D48" s="21"/>
      <c r="E48" s="21"/>
      <c r="F48" s="21"/>
      <c r="G48" s="21" t="str">
        <f t="shared" si="10"/>
        <v>--</v>
      </c>
      <c r="H48" s="21">
        <v>46</v>
      </c>
      <c r="I48" s="37">
        <f t="shared" si="11"/>
        <v>48</v>
      </c>
      <c r="J48" s="25"/>
    </row>
    <row r="49" spans="1:10" x14ac:dyDescent="0.3">
      <c r="A49" s="5" t="str">
        <f t="shared" si="0"/>
        <v/>
      </c>
      <c r="B49" s="3">
        <f t="shared" si="9"/>
        <v>43528</v>
      </c>
      <c r="C49" s="21"/>
      <c r="D49" s="21"/>
      <c r="E49" s="21"/>
      <c r="F49" s="21"/>
      <c r="G49" s="21" t="str">
        <f t="shared" si="10"/>
        <v>--</v>
      </c>
      <c r="H49" s="21">
        <v>47</v>
      </c>
      <c r="I49" s="37">
        <f t="shared" si="11"/>
        <v>48</v>
      </c>
      <c r="J49" s="25"/>
    </row>
    <row r="50" spans="1:10" x14ac:dyDescent="0.3">
      <c r="A50" s="5" t="str">
        <f t="shared" si="0"/>
        <v/>
      </c>
      <c r="B50" s="3">
        <f t="shared" si="9"/>
        <v>43535</v>
      </c>
      <c r="C50" s="21"/>
      <c r="D50" s="21"/>
      <c r="E50" s="21"/>
      <c r="F50" s="21"/>
      <c r="G50" s="21" t="str">
        <f t="shared" si="10"/>
        <v>--</v>
      </c>
      <c r="H50" s="21">
        <v>48</v>
      </c>
      <c r="I50" s="37">
        <f t="shared" si="11"/>
        <v>48</v>
      </c>
      <c r="J50" s="25"/>
    </row>
    <row r="51" spans="1:10" x14ac:dyDescent="0.3">
      <c r="A51" s="5" t="str">
        <f t="shared" si="0"/>
        <v/>
      </c>
      <c r="B51" s="3">
        <f t="shared" si="9"/>
        <v>43542</v>
      </c>
      <c r="C51" s="21"/>
      <c r="D51" s="21"/>
      <c r="E51" s="21"/>
      <c r="F51" s="21"/>
      <c r="G51" s="21" t="str">
        <f t="shared" si="10"/>
        <v>--</v>
      </c>
      <c r="H51" s="21">
        <v>49</v>
      </c>
      <c r="I51" s="37">
        <f t="shared" si="11"/>
        <v>48</v>
      </c>
      <c r="J51" s="25"/>
    </row>
    <row r="52" spans="1:10" x14ac:dyDescent="0.3">
      <c r="A52" s="5" t="str">
        <f t="shared" si="0"/>
        <v/>
      </c>
      <c r="B52" s="3">
        <f t="shared" si="9"/>
        <v>43549</v>
      </c>
      <c r="C52" s="21"/>
      <c r="D52" s="21"/>
      <c r="E52" s="21"/>
      <c r="F52" s="21"/>
      <c r="G52" s="21" t="str">
        <f t="shared" si="10"/>
        <v>--</v>
      </c>
      <c r="H52" s="21">
        <v>50</v>
      </c>
      <c r="I52" s="37">
        <f t="shared" si="11"/>
        <v>48</v>
      </c>
      <c r="J52" s="25"/>
    </row>
    <row r="53" spans="1:10" x14ac:dyDescent="0.3">
      <c r="A53" s="5" t="str">
        <f t="shared" si="0"/>
        <v/>
      </c>
      <c r="B53" s="3">
        <f t="shared" si="9"/>
        <v>43556</v>
      </c>
      <c r="C53" s="21"/>
      <c r="D53" s="21"/>
      <c r="E53" s="21"/>
      <c r="F53" s="21"/>
      <c r="G53" s="21" t="str">
        <f t="shared" si="10"/>
        <v>--</v>
      </c>
      <c r="H53" s="21">
        <v>51</v>
      </c>
      <c r="I53" s="37">
        <f t="shared" si="11"/>
        <v>48</v>
      </c>
      <c r="J53" s="25"/>
    </row>
    <row r="54" spans="1:10" x14ac:dyDescent="0.3">
      <c r="A54" s="5" t="str">
        <f t="shared" si="0"/>
        <v/>
      </c>
      <c r="B54" s="3">
        <f t="shared" si="9"/>
        <v>43563</v>
      </c>
      <c r="C54" s="21"/>
      <c r="D54" s="21"/>
      <c r="E54" s="21"/>
      <c r="F54" s="21"/>
      <c r="G54" s="21" t="str">
        <f t="shared" si="10"/>
        <v>--</v>
      </c>
      <c r="H54" s="21">
        <v>52</v>
      </c>
      <c r="I54" s="37">
        <f t="shared" si="11"/>
        <v>48</v>
      </c>
      <c r="J54" s="25"/>
    </row>
  </sheetData>
  <sheetProtection selectLockedCells="1"/>
  <conditionalFormatting sqref="A3:A54">
    <cfRule type="containsText" dxfId="16" priority="27" operator="containsText" text="Current&gt;&gt;">
      <formula>NOT(ISERROR(SEARCH("Current&gt;&gt;",A3)))</formula>
    </cfRule>
  </conditionalFormatting>
  <pageMargins left="0.7" right="0.7" top="0.75" bottom="0.75" header="0.3" footer="0.3"/>
  <pageSetup orientation="portrait" r:id="rId1"/>
  <headerFooter>
    <oddHeader>&amp;L&amp;"wingdings,Bold"&amp;10&amp;KFFFF00ll&amp;"Arial,Regular"&amp;K000000PROTECTED 関係者外秘</oddHeader>
    <evenHeader>&amp;L&amp;"wingdings,Bold"&amp;10&amp;KFFFF00ll&amp;"Arial,Regular"&amp;K000000PROTECTED 関係者外秘</evenHeader>
    <firstHeader>&amp;L&amp;"wingdings,Bold"&amp;10&amp;KFFFF00ll&amp;"Arial,Regular"&amp;K000000PROTECTED 関係者外秘</firstHeader>
  </headerFooter>
  <ignoredErrors>
    <ignoredError sqref="G4:G20 I3:I54 G28:G54" unlockedFormula="1"/>
  </ignoredErrors>
  <legacyDrawing r:id="rId2"/>
  <extLst>
    <ext xmlns:x14="http://schemas.microsoft.com/office/spreadsheetml/2009/9/main" uri="{78C0D931-6437-407d-A8EE-F0AAD7539E65}">
      <x14:conditionalFormattings>
        <x14:conditionalFormatting xmlns:xm="http://schemas.microsoft.com/office/excel/2006/main">
          <x14:cfRule type="cellIs" priority="25" operator="equal" id="{B701ACD2-A585-47B7-B58B-E6C74CEBC41C}">
            <xm:f>'xlFile://Root/CurrentDir/[Burndown Template wip v3.xlsx]Setup'!#REF!</xm:f>
            <x14:dxf>
              <font>
                <color rgb="FF006100"/>
              </font>
              <fill>
                <patternFill>
                  <bgColor rgb="FFC6EFCE"/>
                </patternFill>
              </fill>
            </x14:dxf>
          </x14:cfRule>
          <x14:cfRule type="cellIs" priority="26" operator="equal" id="{A61964D9-3D2B-4AEE-B443-80C5C4CDF091}">
            <xm:f>'xlFile://Root/CurrentDir/[Burndown Template wip v3.xlsx]Setup'!#REF!</xm:f>
            <x14:dxf>
              <font>
                <color rgb="FF006100"/>
              </font>
              <fill>
                <patternFill>
                  <bgColor rgb="FFC6EFCE"/>
                </patternFill>
              </fill>
            </x14:dxf>
          </x14:cfRule>
          <xm:sqref>D3:D9</xm:sqref>
        </x14:conditionalFormatting>
        <x14:conditionalFormatting xmlns:xm="http://schemas.microsoft.com/office/excel/2006/main">
          <x14:cfRule type="cellIs" priority="23" operator="equal" id="{C939009E-200C-4746-B3E7-0F306E0F8809}">
            <xm:f>'xlFile://Root/CurrentDir/[Burndown Template wip v3.xlsx]Setup'!#REF!</xm:f>
            <x14:dxf>
              <font>
                <color rgb="FF006100"/>
              </font>
              <fill>
                <patternFill>
                  <bgColor rgb="FFC6EFCE"/>
                </patternFill>
              </fill>
            </x14:dxf>
          </x14:cfRule>
          <x14:cfRule type="cellIs" priority="24" operator="equal" id="{033910C8-DBF4-4788-A25F-A87A5D55272D}">
            <xm:f>'xlFile://Root/CurrentDir/[Burndown Template wip v3.xlsx]Setup'!#REF!</xm:f>
            <x14:dxf>
              <font>
                <color rgb="FF006100"/>
              </font>
              <fill>
                <patternFill>
                  <bgColor rgb="FFC6EFCE"/>
                </patternFill>
              </fill>
            </x14:dxf>
          </x14:cfRule>
          <xm:sqref>H3:H54</xm:sqref>
        </x14:conditionalFormatting>
        <x14:conditionalFormatting xmlns:xm="http://schemas.microsoft.com/office/excel/2006/main">
          <x14:cfRule type="cellIs" priority="21" operator="equal" id="{2D387688-CD5B-4C1C-9C30-A4DC59BC24F6}">
            <xm:f>'xlFile://Root/CurrentDir/[Burndown Template wip v3.xlsx]Setup'!#REF!</xm:f>
            <x14:dxf>
              <font>
                <color rgb="FF006100"/>
              </font>
              <fill>
                <patternFill>
                  <bgColor rgb="FFC6EFCE"/>
                </patternFill>
              </fill>
            </x14:dxf>
          </x14:cfRule>
          <x14:cfRule type="cellIs" priority="22" operator="equal" id="{C07351B7-647A-4119-95D6-95AA685371AC}">
            <xm:f>'xlFile://Root/CurrentDir/[Burndown Template wip v3.xlsx]Setup'!#REF!</xm:f>
            <x14:dxf>
              <font>
                <color rgb="FF006100"/>
              </font>
              <fill>
                <patternFill>
                  <bgColor rgb="FFC6EFCE"/>
                </patternFill>
              </fill>
            </x14:dxf>
          </x14:cfRule>
          <xm:sqref>I3:I54</xm:sqref>
        </x14:conditionalFormatting>
        <x14:conditionalFormatting xmlns:xm="http://schemas.microsoft.com/office/excel/2006/main">
          <x14:cfRule type="cellIs" priority="19" operator="equal" id="{73D6F19A-55F5-4F86-BAF1-AD731518BD63}">
            <xm:f>'xlFile://Root/CurrentDir/[Burndown Template wip v3.xlsx]Setup'!#REF!</xm:f>
            <x14:dxf>
              <font>
                <color rgb="FF006100"/>
              </font>
              <fill>
                <patternFill>
                  <bgColor rgb="FFC6EFCE"/>
                </patternFill>
              </fill>
            </x14:dxf>
          </x14:cfRule>
          <x14:cfRule type="cellIs" priority="20" operator="equal" id="{DBF3286D-CFF2-43CA-9A6D-645672E91451}">
            <xm:f>'xlFile://Root/CurrentDir/[Burndown Template wip v3.xlsx]Setup'!#REF!</xm:f>
            <x14:dxf>
              <font>
                <color rgb="FF006100"/>
              </font>
              <fill>
                <patternFill>
                  <bgColor rgb="FFC6EFCE"/>
                </patternFill>
              </fill>
            </x14:dxf>
          </x14:cfRule>
          <xm:sqref>E3:E7</xm:sqref>
        </x14:conditionalFormatting>
        <x14:conditionalFormatting xmlns:xm="http://schemas.microsoft.com/office/excel/2006/main">
          <x14:cfRule type="cellIs" priority="13" operator="equal" id="{29844E96-635A-4384-BDD4-CFA84C0C276B}">
            <xm:f>'xlFile://Root/CurrentDir/[Burndown Template wip v3.xlsx]Setup'!#REF!</xm:f>
            <x14:dxf>
              <font>
                <color rgb="FF006100"/>
              </font>
              <fill>
                <patternFill>
                  <bgColor rgb="FFC6EFCE"/>
                </patternFill>
              </fill>
            </x14:dxf>
          </x14:cfRule>
          <x14:cfRule type="cellIs" priority="14" operator="equal" id="{4576E215-B4D2-4434-B8E0-3229F63C4F55}">
            <xm:f>'xlFile://Root/CurrentDir/[Burndown Template wip v3.xlsx]Setup'!#REF!</xm:f>
            <x14:dxf>
              <font>
                <color rgb="FF006100"/>
              </font>
              <fill>
                <patternFill>
                  <bgColor rgb="FFC6EFCE"/>
                </patternFill>
              </fill>
            </x14:dxf>
          </x14:cfRule>
          <xm:sqref>D10</xm:sqref>
        </x14:conditionalFormatting>
        <x14:conditionalFormatting xmlns:xm="http://schemas.microsoft.com/office/excel/2006/main">
          <x14:cfRule type="cellIs" priority="11" operator="equal" id="{13FDB519-3F86-407F-A988-23F65815DBA9}">
            <xm:f>'xlFile://Root/CurrentDir/[Burndown Template wip v3.xlsx]Setup'!#REF!</xm:f>
            <x14:dxf>
              <font>
                <color rgb="FF006100"/>
              </font>
              <fill>
                <patternFill>
                  <bgColor rgb="FFC6EFCE"/>
                </patternFill>
              </fill>
            </x14:dxf>
          </x14:cfRule>
          <x14:cfRule type="cellIs" priority="12" operator="equal" id="{48CC0468-5406-4AEE-A648-08D49CFB9CDF}">
            <xm:f>'xlFile://Root/CurrentDir/[Burndown Template wip v3.xlsx]Setup'!#REF!</xm:f>
            <x14:dxf>
              <font>
                <color rgb="FF006100"/>
              </font>
              <fill>
                <patternFill>
                  <bgColor rgb="FFC6EFCE"/>
                </patternFill>
              </fill>
            </x14:dxf>
          </x14:cfRule>
          <xm:sqref>E8:E27</xm:sqref>
        </x14:conditionalFormatting>
        <x14:conditionalFormatting xmlns:xm="http://schemas.microsoft.com/office/excel/2006/main">
          <x14:cfRule type="cellIs" priority="9" operator="equal" id="{9A18D007-0021-4B95-9B2D-4DCDDFFF50F2}">
            <xm:f>'xlFile://Root/CurrentDir/[Burndown Template wip v3.xlsx]Setup'!#REF!</xm:f>
            <x14:dxf>
              <font>
                <color rgb="FF006100"/>
              </font>
              <fill>
                <patternFill>
                  <bgColor rgb="FFC6EFCE"/>
                </patternFill>
              </fill>
            </x14:dxf>
          </x14:cfRule>
          <x14:cfRule type="cellIs" priority="10" operator="equal" id="{01C18E46-2406-4405-86C0-CE26C99A2D9B}">
            <xm:f>'xlFile://Root/CurrentDir/[Burndown Template wip v3.xlsx]Setup'!#REF!</xm:f>
            <x14:dxf>
              <font>
                <color rgb="FF006100"/>
              </font>
              <fill>
                <patternFill>
                  <bgColor rgb="FFC6EFCE"/>
                </patternFill>
              </fill>
            </x14:dxf>
          </x14:cfRule>
          <xm:sqref>D11</xm:sqref>
        </x14:conditionalFormatting>
        <x14:conditionalFormatting xmlns:xm="http://schemas.microsoft.com/office/excel/2006/main">
          <x14:cfRule type="cellIs" priority="7" operator="equal" id="{A5AD43B4-2648-4451-B0BB-048D3FD57E05}">
            <xm:f>'xlFile://Root/CurrentDir/[Burndown Template wip v3.xlsx]Setup'!#REF!</xm:f>
            <x14:dxf>
              <font>
                <color rgb="FF006100"/>
              </font>
              <fill>
                <patternFill>
                  <bgColor rgb="FFC6EFCE"/>
                </patternFill>
              </fill>
            </x14:dxf>
          </x14:cfRule>
          <x14:cfRule type="cellIs" priority="8" operator="equal" id="{7B54F2C7-3D4B-48FD-B886-F39C8CD2CBEB}">
            <xm:f>'xlFile://Root/CurrentDir/[Burndown Template wip v3.xlsx]Setup'!#REF!</xm:f>
            <x14:dxf>
              <font>
                <color rgb="FF006100"/>
              </font>
              <fill>
                <patternFill>
                  <bgColor rgb="FFC6EFCE"/>
                </patternFill>
              </fill>
            </x14:dxf>
          </x14:cfRule>
          <xm:sqref>D12:D27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BJ32"/>
  <sheetViews>
    <sheetView zoomScale="90" zoomScaleNormal="90" zoomScalePageLayoutView="90" workbookViewId="0">
      <selection activeCell="G6" sqref="G6"/>
    </sheetView>
  </sheetViews>
  <sheetFormatPr defaultColWidth="8.88671875" defaultRowHeight="14.4" x14ac:dyDescent="0.3"/>
  <cols>
    <col min="7" max="7" width="11.21875" style="7" customWidth="1"/>
    <col min="9" max="9" width="23.44140625" style="7" bestFit="1" customWidth="1"/>
    <col min="10" max="10" width="9.44140625" style="6" bestFit="1" customWidth="1"/>
    <col min="11" max="15" width="13.21875" style="6" bestFit="1" customWidth="1"/>
    <col min="16" max="18" width="9.44140625" style="6" bestFit="1" customWidth="1"/>
    <col min="19" max="20" width="8.44140625" style="6" bestFit="1" customWidth="1"/>
    <col min="21" max="23" width="9.44140625" style="6" bestFit="1" customWidth="1"/>
    <col min="24" max="24" width="8.44140625" style="6" bestFit="1" customWidth="1"/>
    <col min="25" max="27" width="9.44140625" style="6" bestFit="1" customWidth="1"/>
    <col min="28" max="28" width="8.44140625" style="6" bestFit="1" customWidth="1"/>
    <col min="29" max="31" width="9.44140625" style="6" bestFit="1" customWidth="1"/>
    <col min="32" max="33" width="8.44140625" style="6" bestFit="1" customWidth="1"/>
    <col min="34" max="36" width="9.44140625" style="6" bestFit="1" customWidth="1"/>
    <col min="37" max="37" width="14" style="6" bestFit="1" customWidth="1"/>
    <col min="38" max="38" width="9.44140625" style="6" bestFit="1" customWidth="1"/>
    <col min="39" max="40" width="14" style="6" bestFit="1" customWidth="1"/>
    <col min="41" max="41" width="8.44140625" style="6" bestFit="1" customWidth="1"/>
    <col min="42" max="45" width="9.44140625" style="6" bestFit="1" customWidth="1"/>
    <col min="46" max="46" width="8.44140625" style="6" bestFit="1" customWidth="1"/>
    <col min="47" max="50" width="9.44140625" style="6" bestFit="1" customWidth="1"/>
    <col min="51" max="53" width="10.44140625" style="6" bestFit="1" customWidth="1"/>
    <col min="54" max="55" width="9.44140625" style="6" bestFit="1" customWidth="1"/>
    <col min="56" max="58" width="10.44140625" style="6" bestFit="1" customWidth="1"/>
    <col min="59" max="59" width="9.44140625" style="6" bestFit="1" customWidth="1"/>
    <col min="60" max="62" width="10.44140625" style="6" bestFit="1" customWidth="1"/>
  </cols>
  <sheetData>
    <row r="1" spans="1:62" ht="15" thickBot="1" x14ac:dyDescent="0.35"/>
    <row r="2" spans="1:62" x14ac:dyDescent="0.3">
      <c r="B2" s="57" t="s">
        <v>19</v>
      </c>
      <c r="C2" s="58"/>
      <c r="D2" s="58"/>
      <c r="E2" s="58"/>
      <c r="F2" s="58"/>
      <c r="G2" s="26">
        <f>COUNT('Contribution Tracking'!C3:C54)</f>
        <v>24</v>
      </c>
      <c r="I2" s="7" t="s">
        <v>20</v>
      </c>
      <c r="J2" s="6">
        <f>1</f>
        <v>1</v>
      </c>
      <c r="K2" s="6">
        <f ca="1">IF(OR(K4&lt;=MAX($G$19,$G$25),NOT(ISNA(K22))),J2+1,"--")</f>
        <v>2</v>
      </c>
      <c r="L2" s="6">
        <f t="shared" ref="L2:BJ2" ca="1" si="0">IF(OR(L4&lt;=MAX($G$19,$G$25),NOT(ISNA(L22))),K2+1,"--")</f>
        <v>3</v>
      </c>
      <c r="M2" s="6">
        <f t="shared" ca="1" si="0"/>
        <v>4</v>
      </c>
      <c r="N2" s="6">
        <f t="shared" ca="1" si="0"/>
        <v>5</v>
      </c>
      <c r="O2" s="6">
        <f t="shared" ca="1" si="0"/>
        <v>6</v>
      </c>
      <c r="P2" s="6">
        <f t="shared" ca="1" si="0"/>
        <v>7</v>
      </c>
      <c r="Q2" s="6">
        <f t="shared" ca="1" si="0"/>
        <v>8</v>
      </c>
      <c r="R2" s="6">
        <f t="shared" ca="1" si="0"/>
        <v>9</v>
      </c>
      <c r="S2" s="6">
        <f t="shared" ca="1" si="0"/>
        <v>10</v>
      </c>
      <c r="T2" s="6">
        <f t="shared" ca="1" si="0"/>
        <v>11</v>
      </c>
      <c r="U2" s="6">
        <f t="shared" ca="1" si="0"/>
        <v>12</v>
      </c>
      <c r="V2" s="6">
        <f t="shared" ca="1" si="0"/>
        <v>13</v>
      </c>
      <c r="W2" s="6">
        <f t="shared" ca="1" si="0"/>
        <v>14</v>
      </c>
      <c r="X2" s="6">
        <f t="shared" ca="1" si="0"/>
        <v>15</v>
      </c>
      <c r="Y2" s="6">
        <f t="shared" ca="1" si="0"/>
        <v>16</v>
      </c>
      <c r="Z2" s="6">
        <f t="shared" ca="1" si="0"/>
        <v>17</v>
      </c>
      <c r="AA2" s="6">
        <f t="shared" ca="1" si="0"/>
        <v>18</v>
      </c>
      <c r="AB2" s="6">
        <f t="shared" ca="1" si="0"/>
        <v>19</v>
      </c>
      <c r="AC2" s="6">
        <f t="shared" ca="1" si="0"/>
        <v>20</v>
      </c>
      <c r="AD2" s="6">
        <f t="shared" ca="1" si="0"/>
        <v>21</v>
      </c>
      <c r="AE2" s="6">
        <f t="shared" ca="1" si="0"/>
        <v>22</v>
      </c>
      <c r="AF2" s="6">
        <f t="shared" ca="1" si="0"/>
        <v>23</v>
      </c>
      <c r="AG2" s="6">
        <f t="shared" ca="1" si="0"/>
        <v>24</v>
      </c>
      <c r="AH2" s="6">
        <f t="shared" ca="1" si="0"/>
        <v>25</v>
      </c>
      <c r="AI2" s="6">
        <f t="shared" ca="1" si="0"/>
        <v>26</v>
      </c>
      <c r="AJ2" s="6">
        <f t="shared" ca="1" si="0"/>
        <v>27</v>
      </c>
      <c r="AK2" s="6">
        <f t="shared" ca="1" si="0"/>
        <v>28</v>
      </c>
      <c r="AL2" s="6">
        <f t="shared" ca="1" si="0"/>
        <v>29</v>
      </c>
      <c r="AM2" s="6">
        <f t="shared" ca="1" si="0"/>
        <v>30</v>
      </c>
      <c r="AN2" s="6">
        <f t="shared" ca="1" si="0"/>
        <v>31</v>
      </c>
      <c r="AO2" s="6" t="str">
        <f t="shared" ca="1" si="0"/>
        <v>--</v>
      </c>
      <c r="AP2" s="6" t="str">
        <f t="shared" ca="1" si="0"/>
        <v>--</v>
      </c>
      <c r="AQ2" s="6" t="str">
        <f t="shared" ca="1" si="0"/>
        <v>--</v>
      </c>
      <c r="AR2" s="6" t="str">
        <f t="shared" ca="1" si="0"/>
        <v>--</v>
      </c>
      <c r="AS2" s="6" t="str">
        <f t="shared" ca="1" si="0"/>
        <v>--</v>
      </c>
      <c r="AT2" s="6" t="str">
        <f t="shared" ca="1" si="0"/>
        <v>--</v>
      </c>
      <c r="AU2" s="6" t="str">
        <f t="shared" ca="1" si="0"/>
        <v>--</v>
      </c>
      <c r="AV2" s="6" t="str">
        <f t="shared" ca="1" si="0"/>
        <v>--</v>
      </c>
      <c r="AW2" s="6" t="str">
        <f t="shared" ca="1" si="0"/>
        <v>--</v>
      </c>
      <c r="AX2" s="6" t="str">
        <f t="shared" ca="1" si="0"/>
        <v>--</v>
      </c>
      <c r="AY2" s="6" t="str">
        <f t="shared" ca="1" si="0"/>
        <v>--</v>
      </c>
      <c r="AZ2" s="6" t="str">
        <f t="shared" ca="1" si="0"/>
        <v>--</v>
      </c>
      <c r="BA2" s="6" t="str">
        <f t="shared" ca="1" si="0"/>
        <v>--</v>
      </c>
      <c r="BB2" s="6" t="str">
        <f t="shared" ca="1" si="0"/>
        <v>--</v>
      </c>
      <c r="BC2" s="6" t="str">
        <f t="shared" ca="1" si="0"/>
        <v>--</v>
      </c>
      <c r="BD2" s="6" t="str">
        <f t="shared" ca="1" si="0"/>
        <v>--</v>
      </c>
      <c r="BE2" s="6" t="str">
        <f t="shared" ca="1" si="0"/>
        <v>--</v>
      </c>
      <c r="BF2" s="6" t="str">
        <f t="shared" ca="1" si="0"/>
        <v>--</v>
      </c>
      <c r="BG2" s="6" t="str">
        <f t="shared" ca="1" si="0"/>
        <v>--</v>
      </c>
      <c r="BH2" s="6" t="str">
        <f t="shared" ca="1" si="0"/>
        <v>--</v>
      </c>
      <c r="BI2" s="6" t="str">
        <f t="shared" ca="1" si="0"/>
        <v>--</v>
      </c>
      <c r="BJ2" s="6" t="str">
        <f t="shared" ca="1" si="0"/>
        <v>--</v>
      </c>
    </row>
    <row r="3" spans="1:62" x14ac:dyDescent="0.3">
      <c r="B3" s="55" t="s">
        <v>21</v>
      </c>
      <c r="C3" s="56"/>
      <c r="D3" s="56"/>
      <c r="E3" s="56"/>
      <c r="F3" s="56"/>
      <c r="G3" s="27">
        <f>COUNT('Contribution Tracking'!E3:E54)</f>
        <v>25</v>
      </c>
      <c r="I3" s="7" t="s">
        <v>22</v>
      </c>
      <c r="J3" s="6">
        <f>COLUMN()-10</f>
        <v>0</v>
      </c>
      <c r="K3" s="6">
        <f t="shared" ref="K3:BJ3" si="1">COLUMN()-10</f>
        <v>1</v>
      </c>
      <c r="L3" s="6">
        <f t="shared" si="1"/>
        <v>2</v>
      </c>
      <c r="M3" s="6">
        <f t="shared" si="1"/>
        <v>3</v>
      </c>
      <c r="N3" s="6">
        <f t="shared" si="1"/>
        <v>4</v>
      </c>
      <c r="O3" s="6">
        <f t="shared" si="1"/>
        <v>5</v>
      </c>
      <c r="P3" s="6">
        <f t="shared" si="1"/>
        <v>6</v>
      </c>
      <c r="Q3" s="6">
        <f t="shared" si="1"/>
        <v>7</v>
      </c>
      <c r="R3" s="6">
        <f t="shared" si="1"/>
        <v>8</v>
      </c>
      <c r="S3" s="6">
        <f t="shared" si="1"/>
        <v>9</v>
      </c>
      <c r="T3" s="6">
        <f t="shared" si="1"/>
        <v>10</v>
      </c>
      <c r="U3" s="6">
        <f t="shared" si="1"/>
        <v>11</v>
      </c>
      <c r="V3" s="6">
        <f t="shared" si="1"/>
        <v>12</v>
      </c>
      <c r="W3" s="6">
        <f t="shared" si="1"/>
        <v>13</v>
      </c>
      <c r="X3" s="6">
        <f t="shared" si="1"/>
        <v>14</v>
      </c>
      <c r="Y3" s="6">
        <f t="shared" si="1"/>
        <v>15</v>
      </c>
      <c r="Z3" s="6">
        <f t="shared" si="1"/>
        <v>16</v>
      </c>
      <c r="AA3" s="6">
        <f t="shared" si="1"/>
        <v>17</v>
      </c>
      <c r="AB3" s="6">
        <f t="shared" si="1"/>
        <v>18</v>
      </c>
      <c r="AC3" s="6">
        <f t="shared" si="1"/>
        <v>19</v>
      </c>
      <c r="AD3" s="6">
        <f t="shared" si="1"/>
        <v>20</v>
      </c>
      <c r="AE3" s="6">
        <f t="shared" si="1"/>
        <v>21</v>
      </c>
      <c r="AF3" s="6">
        <f t="shared" si="1"/>
        <v>22</v>
      </c>
      <c r="AG3" s="6">
        <f t="shared" si="1"/>
        <v>23</v>
      </c>
      <c r="AH3" s="6">
        <f t="shared" si="1"/>
        <v>24</v>
      </c>
      <c r="AI3" s="6">
        <f t="shared" si="1"/>
        <v>25</v>
      </c>
      <c r="AJ3" s="6">
        <f t="shared" si="1"/>
        <v>26</v>
      </c>
      <c r="AK3" s="6">
        <f t="shared" si="1"/>
        <v>27</v>
      </c>
      <c r="AL3" s="6">
        <f t="shared" si="1"/>
        <v>28</v>
      </c>
      <c r="AM3" s="6">
        <f t="shared" si="1"/>
        <v>29</v>
      </c>
      <c r="AN3" s="6">
        <f t="shared" si="1"/>
        <v>30</v>
      </c>
      <c r="AO3" s="6">
        <f t="shared" si="1"/>
        <v>31</v>
      </c>
      <c r="AP3" s="6">
        <f t="shared" si="1"/>
        <v>32</v>
      </c>
      <c r="AQ3" s="6">
        <f t="shared" si="1"/>
        <v>33</v>
      </c>
      <c r="AR3" s="6">
        <f t="shared" si="1"/>
        <v>34</v>
      </c>
      <c r="AS3" s="6">
        <f t="shared" si="1"/>
        <v>35</v>
      </c>
      <c r="AT3" s="6">
        <f t="shared" si="1"/>
        <v>36</v>
      </c>
      <c r="AU3" s="6">
        <f t="shared" si="1"/>
        <v>37</v>
      </c>
      <c r="AV3" s="6">
        <f t="shared" si="1"/>
        <v>38</v>
      </c>
      <c r="AW3" s="6">
        <f t="shared" si="1"/>
        <v>39</v>
      </c>
      <c r="AX3" s="6">
        <f t="shared" si="1"/>
        <v>40</v>
      </c>
      <c r="AY3" s="6">
        <f t="shared" si="1"/>
        <v>41</v>
      </c>
      <c r="AZ3" s="6">
        <f t="shared" si="1"/>
        <v>42</v>
      </c>
      <c r="BA3" s="6">
        <f t="shared" si="1"/>
        <v>43</v>
      </c>
      <c r="BB3" s="6">
        <f t="shared" si="1"/>
        <v>44</v>
      </c>
      <c r="BC3" s="6">
        <f t="shared" si="1"/>
        <v>45</v>
      </c>
      <c r="BD3" s="6">
        <f t="shared" si="1"/>
        <v>46</v>
      </c>
      <c r="BE3" s="6">
        <f t="shared" si="1"/>
        <v>47</v>
      </c>
      <c r="BF3" s="6">
        <f t="shared" si="1"/>
        <v>48</v>
      </c>
      <c r="BG3" s="6">
        <f t="shared" si="1"/>
        <v>49</v>
      </c>
      <c r="BH3" s="6">
        <f t="shared" si="1"/>
        <v>50</v>
      </c>
      <c r="BI3" s="6">
        <f t="shared" si="1"/>
        <v>51</v>
      </c>
      <c r="BJ3" s="6">
        <f t="shared" si="1"/>
        <v>52</v>
      </c>
    </row>
    <row r="4" spans="1:62" x14ac:dyDescent="0.3">
      <c r="B4" s="55" t="s">
        <v>23</v>
      </c>
      <c r="C4" s="56"/>
      <c r="D4" s="56"/>
      <c r="E4" s="56"/>
      <c r="F4" s="56"/>
      <c r="G4" s="27">
        <f>VLOOKUP("Current&gt;&gt;",'Contribution Tracking'!$A$3:$E$54,3,FALSE)</f>
        <v>48</v>
      </c>
      <c r="I4" s="7" t="s">
        <v>24</v>
      </c>
      <c r="J4" s="6" t="s">
        <v>25</v>
      </c>
      <c r="K4" s="9">
        <f>scFirstSprint</f>
        <v>43206</v>
      </c>
      <c r="L4" s="9">
        <f t="shared" ref="L4:AQ4" si="2">K4+scDaysInSprint</f>
        <v>43213</v>
      </c>
      <c r="M4" s="9">
        <f t="shared" si="2"/>
        <v>43220</v>
      </c>
      <c r="N4" s="9">
        <f t="shared" si="2"/>
        <v>43227</v>
      </c>
      <c r="O4" s="9">
        <f t="shared" si="2"/>
        <v>43234</v>
      </c>
      <c r="P4" s="9">
        <f t="shared" si="2"/>
        <v>43241</v>
      </c>
      <c r="Q4" s="9">
        <f t="shared" si="2"/>
        <v>43248</v>
      </c>
      <c r="R4" s="9">
        <f t="shared" si="2"/>
        <v>43255</v>
      </c>
      <c r="S4" s="9">
        <f t="shared" si="2"/>
        <v>43262</v>
      </c>
      <c r="T4" s="9">
        <f t="shared" si="2"/>
        <v>43269</v>
      </c>
      <c r="U4" s="9">
        <f t="shared" si="2"/>
        <v>43276</v>
      </c>
      <c r="V4" s="9">
        <f t="shared" si="2"/>
        <v>43283</v>
      </c>
      <c r="W4" s="9">
        <f t="shared" si="2"/>
        <v>43290</v>
      </c>
      <c r="X4" s="9">
        <f t="shared" si="2"/>
        <v>43297</v>
      </c>
      <c r="Y4" s="9">
        <f t="shared" si="2"/>
        <v>43304</v>
      </c>
      <c r="Z4" s="9">
        <f t="shared" si="2"/>
        <v>43311</v>
      </c>
      <c r="AA4" s="9">
        <f t="shared" si="2"/>
        <v>43318</v>
      </c>
      <c r="AB4" s="9">
        <f t="shared" si="2"/>
        <v>43325</v>
      </c>
      <c r="AC4" s="9">
        <f t="shared" si="2"/>
        <v>43332</v>
      </c>
      <c r="AD4" s="9">
        <f t="shared" si="2"/>
        <v>43339</v>
      </c>
      <c r="AE4" s="9">
        <f t="shared" si="2"/>
        <v>43346</v>
      </c>
      <c r="AF4" s="9">
        <f t="shared" si="2"/>
        <v>43353</v>
      </c>
      <c r="AG4" s="9">
        <f t="shared" si="2"/>
        <v>43360</v>
      </c>
      <c r="AH4" s="9">
        <f t="shared" si="2"/>
        <v>43367</v>
      </c>
      <c r="AI4" s="9">
        <f t="shared" si="2"/>
        <v>43374</v>
      </c>
      <c r="AJ4" s="9">
        <f t="shared" si="2"/>
        <v>43381</v>
      </c>
      <c r="AK4" s="9">
        <f t="shared" si="2"/>
        <v>43388</v>
      </c>
      <c r="AL4" s="9">
        <f t="shared" si="2"/>
        <v>43395</v>
      </c>
      <c r="AM4" s="9">
        <f t="shared" si="2"/>
        <v>43402</v>
      </c>
      <c r="AN4" s="9">
        <f t="shared" si="2"/>
        <v>43409</v>
      </c>
      <c r="AO4" s="9">
        <f t="shared" si="2"/>
        <v>43416</v>
      </c>
      <c r="AP4" s="9">
        <f t="shared" si="2"/>
        <v>43423</v>
      </c>
      <c r="AQ4" s="9">
        <f t="shared" si="2"/>
        <v>43430</v>
      </c>
      <c r="AR4" s="9">
        <f t="shared" ref="AR4:BJ4" si="3">AQ4+scDaysInSprint</f>
        <v>43437</v>
      </c>
      <c r="AS4" s="9">
        <f t="shared" si="3"/>
        <v>43444</v>
      </c>
      <c r="AT4" s="9">
        <f t="shared" si="3"/>
        <v>43451</v>
      </c>
      <c r="AU4" s="9">
        <f t="shared" si="3"/>
        <v>43458</v>
      </c>
      <c r="AV4" s="9">
        <f t="shared" si="3"/>
        <v>43465</v>
      </c>
      <c r="AW4" s="9">
        <f t="shared" si="3"/>
        <v>43472</v>
      </c>
      <c r="AX4" s="9">
        <f t="shared" si="3"/>
        <v>43479</v>
      </c>
      <c r="AY4" s="9">
        <f t="shared" si="3"/>
        <v>43486</v>
      </c>
      <c r="AZ4" s="9">
        <f t="shared" si="3"/>
        <v>43493</v>
      </c>
      <c r="BA4" s="9">
        <f t="shared" si="3"/>
        <v>43500</v>
      </c>
      <c r="BB4" s="9">
        <f t="shared" si="3"/>
        <v>43507</v>
      </c>
      <c r="BC4" s="9">
        <f t="shared" si="3"/>
        <v>43514</v>
      </c>
      <c r="BD4" s="9">
        <f t="shared" si="3"/>
        <v>43521</v>
      </c>
      <c r="BE4" s="9">
        <f t="shared" si="3"/>
        <v>43528</v>
      </c>
      <c r="BF4" s="9">
        <f t="shared" si="3"/>
        <v>43535</v>
      </c>
      <c r="BG4" s="9">
        <f t="shared" si="3"/>
        <v>43542</v>
      </c>
      <c r="BH4" s="9">
        <f t="shared" si="3"/>
        <v>43549</v>
      </c>
      <c r="BI4" s="9">
        <f t="shared" si="3"/>
        <v>43556</v>
      </c>
      <c r="BJ4" s="9">
        <f t="shared" si="3"/>
        <v>43563</v>
      </c>
    </row>
    <row r="5" spans="1:62" x14ac:dyDescent="0.3">
      <c r="B5" s="55" t="s">
        <v>26</v>
      </c>
      <c r="C5" s="56"/>
      <c r="D5" s="56"/>
      <c r="E5" s="56"/>
      <c r="F5" s="56"/>
      <c r="G5" s="27">
        <f ca="1">IF(scContributionRows&gt;2,ROUND(AVERAGE(OFFSET(scContributionTop,scContributionRows-3,0,3,1)),0),IF(scContributionRows&gt;1,ROUND(AVERAGE(OFFSET(scContributionTop,scContributionRows-2,0,2,1)),0),scContributionTop))</f>
        <v>57</v>
      </c>
      <c r="I5" s="7" t="s">
        <v>27</v>
      </c>
      <c r="J5" s="6">
        <f>scOriginalEstimate</f>
        <v>1300</v>
      </c>
      <c r="K5" s="6">
        <f>IF(K4&gt;scCurrentSprint,NA(),J5-VLOOKUP(Calc!K4,'Contribution Tracking'!$B$3:$F$54,2,FALSE)+VLOOKUP(Calc!K4,'Contribution Tracking'!$B$3:$F$54,5,FALSE))</f>
        <v>1281</v>
      </c>
      <c r="L5" s="6">
        <f>IF(L4&gt;scCurrentSprint,NA(),K5-VLOOKUP(Calc!L4,'Contribution Tracking'!$B$3:$F$54,2,FALSE)+VLOOKUP(Calc!L4,'Contribution Tracking'!$B$3:$F$54,5,FALSE))</f>
        <v>1244</v>
      </c>
      <c r="M5" s="6">
        <f>IF(M4&gt;scCurrentSprint,NA(),L5-VLOOKUP(Calc!M4,'Contribution Tracking'!$B$3:$F$54,2,FALSE)+VLOOKUP(Calc!M4,'Contribution Tracking'!$B$3:$F$54,5,FALSE))</f>
        <v>1200</v>
      </c>
      <c r="N5" s="6">
        <f>IF(N4&gt;scCurrentSprint,NA(),M5-VLOOKUP(Calc!N4,'Contribution Tracking'!$B$3:$F$54,2,FALSE)+VLOOKUP(Calc!N4,'Contribution Tracking'!$B$3:$F$54,5,FALSE))</f>
        <v>1173</v>
      </c>
      <c r="O5" s="6">
        <f>IF(O4&gt;scCurrentSprint,NA(),N5-VLOOKUP(Calc!O4,'Contribution Tracking'!$B$3:$F$54,2,FALSE)+VLOOKUP(Calc!O4,'Contribution Tracking'!$B$3:$F$54,5,FALSE))</f>
        <v>1137</v>
      </c>
      <c r="P5" s="6">
        <f>IF(P4&gt;scCurrentSprint,NA(),O5-VLOOKUP(Calc!P4,'Contribution Tracking'!$B$3:$F$54,2,FALSE)+VLOOKUP(Calc!P4,'Contribution Tracking'!$B$3:$F$54,5,FALSE))</f>
        <v>1087</v>
      </c>
      <c r="Q5" s="6">
        <f>IF(Q4&gt;scCurrentSprint,NA(),P5-VLOOKUP(Calc!Q4,'Contribution Tracking'!$B$3:$F$54,2,FALSE)+VLOOKUP(Calc!Q4,'Contribution Tracking'!$B$3:$F$54,5,FALSE))</f>
        <v>1023</v>
      </c>
      <c r="R5" s="6">
        <f>IF(R4&gt;scCurrentSprint,NA(),Q5-VLOOKUP(Calc!R4,'Contribution Tracking'!$B$3:$F$54,2,FALSE)+VLOOKUP(Calc!R4,'Contribution Tracking'!$B$3:$F$54,5,FALSE))</f>
        <v>972</v>
      </c>
      <c r="S5" s="6">
        <f>IF(S4&gt;scCurrentSprint,NA(),R5-VLOOKUP(Calc!S4,'Contribution Tracking'!$B$3:$F$54,2,FALSE)+VLOOKUP(Calc!S4,'Contribution Tracking'!$B$3:$F$54,5,FALSE))</f>
        <v>920</v>
      </c>
      <c r="T5" s="6">
        <f>IF(T4&gt;scCurrentSprint,NA(),S5-VLOOKUP(Calc!T4,'Contribution Tracking'!$B$3:$F$54,2,FALSE)+VLOOKUP(Calc!T4,'Contribution Tracking'!$B$3:$F$54,5,FALSE))</f>
        <v>863</v>
      </c>
      <c r="U5" s="6">
        <f>IF(U4&gt;scCurrentSprint,NA(),T5-VLOOKUP(Calc!U4,'Contribution Tracking'!$B$3:$F$54,2,FALSE)+VLOOKUP(Calc!U4,'Contribution Tracking'!$B$3:$F$54,5,FALSE))</f>
        <v>809</v>
      </c>
      <c r="V5" s="6">
        <f>IF(V4&gt;scCurrentSprint,NA(),U5-VLOOKUP(Calc!V4,'Contribution Tracking'!$B$3:$F$54,2,FALSE)+VLOOKUP(Calc!V4,'Contribution Tracking'!$B$3:$F$54,5,FALSE))</f>
        <v>759</v>
      </c>
      <c r="W5" s="6">
        <f>IF(W4&gt;scCurrentSprint,NA(),V5-VLOOKUP(Calc!W4,'Contribution Tracking'!$B$3:$F$54,2,FALSE)+VLOOKUP(Calc!W4,'Contribution Tracking'!$B$3:$F$54,5,FALSE))</f>
        <v>697</v>
      </c>
      <c r="X5" s="6">
        <f>IF(X4&gt;scCurrentSprint,NA(),W5-VLOOKUP(Calc!X4,'Contribution Tracking'!$B$3:$F$54,2,FALSE)+VLOOKUP(Calc!X4,'Contribution Tracking'!$B$3:$F$54,5,FALSE))</f>
        <v>640</v>
      </c>
      <c r="Y5" s="6">
        <f>IF(Y4&gt;scCurrentSprint,NA(),X5-VLOOKUP(Calc!Y4,'Contribution Tracking'!$B$3:$F$54,2,FALSE)+VLOOKUP(Calc!Y4,'Contribution Tracking'!$B$3:$F$54,5,FALSE))</f>
        <v>574</v>
      </c>
      <c r="Z5" s="6">
        <f>IF(Z4&gt;scCurrentSprint,NA(),Y5-VLOOKUP(Calc!Z4,'Contribution Tracking'!$B$3:$F$54,2,FALSE)+VLOOKUP(Calc!Z4,'Contribution Tracking'!$B$3:$F$54,5,FALSE))</f>
        <v>515</v>
      </c>
      <c r="AA5" s="6">
        <f>IF(AA4&gt;scCurrentSprint,NA(),Z5-VLOOKUP(Calc!AA4,'Contribution Tracking'!$B$3:$F$54,2,FALSE)+VLOOKUP(Calc!AA4,'Contribution Tracking'!$B$3:$F$54,5,FALSE))</f>
        <v>449</v>
      </c>
      <c r="AB5" s="6">
        <f>IF(AB4&gt;scCurrentSprint,NA(),AA5-VLOOKUP(Calc!AB4,'Contribution Tracking'!$B$3:$F$54,2,FALSE)+VLOOKUP(Calc!AB4,'Contribution Tracking'!$B$3:$F$54,5,FALSE))</f>
        <v>384</v>
      </c>
      <c r="AC5" s="6">
        <f>IF(AC4&gt;scCurrentSprint,NA(),AB5-VLOOKUP(Calc!AC4,'Contribution Tracking'!$B$3:$F$54,2,FALSE)+VLOOKUP(Calc!AC4,'Contribution Tracking'!$B$3:$F$54,5,FALSE))</f>
        <v>320</v>
      </c>
      <c r="AD5" s="6">
        <f>IF(AD4&gt;scCurrentSprint,NA(),AC5-VLOOKUP(Calc!AD4,'Contribution Tracking'!$B$3:$F$54,2,FALSE)+VLOOKUP(Calc!AD4,'Contribution Tracking'!$B$3:$F$54,5,FALSE))</f>
        <v>259</v>
      </c>
      <c r="AE5" s="6">
        <f>IF(AE4&gt;scCurrentSprint,NA(),AD5-VLOOKUP(Calc!AE4,'Contribution Tracking'!$B$3:$F$54,2,FALSE)+VLOOKUP(Calc!AE4,'Contribution Tracking'!$B$3:$F$54,5,FALSE))</f>
        <v>201</v>
      </c>
      <c r="AF5" s="6">
        <f>IF(AF4&gt;scCurrentSprint,NA(),AE5-VLOOKUP(Calc!AF4,'Contribution Tracking'!$B$3:$F$54,2,FALSE)+VLOOKUP(Calc!AF4,'Contribution Tracking'!$B$3:$F$54,5,FALSE))</f>
        <v>135</v>
      </c>
      <c r="AG5" s="6">
        <f>IF(AG4&gt;scCurrentSprint,NA(),AF5-VLOOKUP(Calc!AG4,'Contribution Tracking'!$B$3:$F$54,2,FALSE)+VLOOKUP(Calc!AG4,'Contribution Tracking'!$B$3:$F$54,5,FALSE))</f>
        <v>77</v>
      </c>
      <c r="AH5" s="6">
        <f>IF(AH4&gt;scCurrentSprint,NA(),AG5-VLOOKUP(Calc!AH4,'Contribution Tracking'!$B$3:$F$54,2,FALSE)+VLOOKUP(Calc!AH4,'Contribution Tracking'!$B$3:$F$54,5,FALSE))</f>
        <v>29</v>
      </c>
      <c r="AI5" s="6" t="e">
        <f>IF(AI4&gt;scCurrentSprint,NA(),AH5-VLOOKUP(Calc!AI4,'Contribution Tracking'!$B$3:$F$54,2,FALSE)+VLOOKUP(Calc!AI4,'Contribution Tracking'!$B$3:$F$54,5,FALSE))</f>
        <v>#N/A</v>
      </c>
      <c r="AJ5" s="6" t="e">
        <f>IF(AJ4&gt;scCurrentSprint,NA(),AI5-VLOOKUP(Calc!AJ4,'Contribution Tracking'!$B$3:$F$54,2,FALSE)+VLOOKUP(Calc!AJ4,'Contribution Tracking'!$B$3:$F$54,5,FALSE))</f>
        <v>#N/A</v>
      </c>
      <c r="AK5" s="6" t="e">
        <f>IF(AK4&gt;scCurrentSprint,NA(),AJ5-VLOOKUP(Calc!AK4,'Contribution Tracking'!$B$3:$F$54,2,FALSE)+VLOOKUP(Calc!AK4,'Contribution Tracking'!$B$3:$F$54,5,FALSE))</f>
        <v>#N/A</v>
      </c>
      <c r="AL5" s="6" t="e">
        <f>IF(AL4&gt;scCurrentSprint,NA(),AK5-VLOOKUP(Calc!AL4,'Contribution Tracking'!$B$3:$F$54,2,FALSE)+VLOOKUP(Calc!AL4,'Contribution Tracking'!$B$3:$F$54,5,FALSE))</f>
        <v>#N/A</v>
      </c>
      <c r="AM5" s="6" t="e">
        <f>IF(AM4&gt;scCurrentSprint,NA(),AL5-VLOOKUP(Calc!AM4,'Contribution Tracking'!$B$3:$F$54,2,FALSE)+VLOOKUP(Calc!AM4,'Contribution Tracking'!$B$3:$F$54,5,FALSE))</f>
        <v>#N/A</v>
      </c>
      <c r="AN5" s="6" t="e">
        <f>IF(AN4&gt;scCurrentSprint,NA(),AM5-VLOOKUP(Calc!AN4,'Contribution Tracking'!$B$3:$F$54,2,FALSE)+VLOOKUP(Calc!AN4,'Contribution Tracking'!$B$3:$F$54,5,FALSE))</f>
        <v>#N/A</v>
      </c>
      <c r="AO5" s="6" t="e">
        <f>IF(AO4&gt;scCurrentSprint,NA(),AN5-VLOOKUP(Calc!AO4,'Contribution Tracking'!$B$3:$F$54,2,FALSE)+VLOOKUP(Calc!AO4,'Contribution Tracking'!$B$3:$F$54,5,FALSE))</f>
        <v>#N/A</v>
      </c>
      <c r="AP5" s="6" t="e">
        <f>IF(AP4&gt;scCurrentSprint,NA(),AO5-VLOOKUP(Calc!AP4,'Contribution Tracking'!$B$3:$F$54,2,FALSE)+VLOOKUP(Calc!AP4,'Contribution Tracking'!$B$3:$F$54,5,FALSE))</f>
        <v>#N/A</v>
      </c>
      <c r="AQ5" s="6" t="e">
        <f>IF(AQ4&gt;scCurrentSprint,NA(),AP5-VLOOKUP(Calc!AQ4,'Contribution Tracking'!$B$3:$F$54,2,FALSE)+VLOOKUP(Calc!AQ4,'Contribution Tracking'!$B$3:$F$54,5,FALSE))</f>
        <v>#N/A</v>
      </c>
      <c r="AR5" s="6" t="e">
        <f>IF(AR4&gt;scCurrentSprint,NA(),AQ5-VLOOKUP(Calc!AR4,'Contribution Tracking'!$B$3:$F$54,2,FALSE)+VLOOKUP(Calc!AR4,'Contribution Tracking'!$B$3:$F$54,5,FALSE))</f>
        <v>#N/A</v>
      </c>
      <c r="AS5" s="6" t="e">
        <f>IF(AS4&gt;scCurrentSprint,NA(),AR5-VLOOKUP(Calc!AS4,'Contribution Tracking'!$B$3:$F$54,2,FALSE)+VLOOKUP(Calc!AS4,'Contribution Tracking'!$B$3:$F$54,5,FALSE))</f>
        <v>#N/A</v>
      </c>
      <c r="AT5" s="6" t="e">
        <f>IF(AT4&gt;scCurrentSprint,NA(),AS5-VLOOKUP(Calc!AT4,'Contribution Tracking'!$B$3:$F$54,2,FALSE)+VLOOKUP(Calc!AT4,'Contribution Tracking'!$B$3:$F$54,5,FALSE))</f>
        <v>#N/A</v>
      </c>
      <c r="AU5" s="6" t="e">
        <f>IF(AU4&gt;scCurrentSprint,NA(),AT5-VLOOKUP(Calc!AU4,'Contribution Tracking'!$B$3:$F$54,2,FALSE)+VLOOKUP(Calc!AU4,'Contribution Tracking'!$B$3:$F$54,5,FALSE))</f>
        <v>#N/A</v>
      </c>
      <c r="AV5" s="6" t="e">
        <f>IF(AV4&gt;scCurrentSprint,NA(),AU5-VLOOKUP(Calc!AV4,'Contribution Tracking'!$B$3:$F$54,2,FALSE)+VLOOKUP(Calc!AV4,'Contribution Tracking'!$B$3:$F$54,5,FALSE))</f>
        <v>#N/A</v>
      </c>
      <c r="AW5" s="6" t="e">
        <f>IF(AW4&gt;scCurrentSprint,NA(),AV5-VLOOKUP(Calc!AW4,'Contribution Tracking'!$B$3:$F$54,2,FALSE)+VLOOKUP(Calc!AW4,'Contribution Tracking'!$B$3:$F$54,5,FALSE))</f>
        <v>#N/A</v>
      </c>
      <c r="AX5" s="6" t="e">
        <f>IF(AX4&gt;scCurrentSprint,NA(),AW5-VLOOKUP(Calc!AX4,'Contribution Tracking'!$B$3:$F$54,2,FALSE)+VLOOKUP(Calc!AX4,'Contribution Tracking'!$B$3:$F$54,5,FALSE))</f>
        <v>#N/A</v>
      </c>
      <c r="AY5" s="6" t="e">
        <f>IF(AY4&gt;scCurrentSprint,NA(),AX5-VLOOKUP(Calc!AY4,'Contribution Tracking'!$B$3:$F$54,2,FALSE)+VLOOKUP(Calc!AY4,'Contribution Tracking'!$B$3:$F$54,5,FALSE))</f>
        <v>#N/A</v>
      </c>
      <c r="AZ5" s="6" t="e">
        <f>IF(AZ4&gt;scCurrentSprint,NA(),AY5-VLOOKUP(Calc!AZ4,'Contribution Tracking'!$B$3:$F$54,2,FALSE)+VLOOKUP(Calc!AZ4,'Contribution Tracking'!$B$3:$F$54,5,FALSE))</f>
        <v>#N/A</v>
      </c>
      <c r="BA5" s="6" t="e">
        <f>IF(BA4&gt;scCurrentSprint,NA(),AZ5-VLOOKUP(Calc!BA4,'Contribution Tracking'!$B$3:$F$54,2,FALSE)+VLOOKUP(Calc!BA4,'Contribution Tracking'!$B$3:$F$54,5,FALSE))</f>
        <v>#N/A</v>
      </c>
      <c r="BB5" s="6" t="e">
        <f>IF(BB4&gt;scCurrentSprint,NA(),BA5-VLOOKUP(Calc!BB4,'Contribution Tracking'!$B$3:$F$54,2,FALSE)+VLOOKUP(Calc!BB4,'Contribution Tracking'!$B$3:$F$54,5,FALSE))</f>
        <v>#N/A</v>
      </c>
      <c r="BC5" s="6" t="e">
        <f>IF(BC4&gt;scCurrentSprint,NA(),BB5-VLOOKUP(Calc!BC4,'Contribution Tracking'!$B$3:$F$54,2,FALSE)+VLOOKUP(Calc!BC4,'Contribution Tracking'!$B$3:$F$54,5,FALSE))</f>
        <v>#N/A</v>
      </c>
      <c r="BD5" s="6" t="e">
        <f>IF(BD4&gt;scCurrentSprint,NA(),BC5-VLOOKUP(Calc!BD4,'Contribution Tracking'!$B$3:$F$54,2,FALSE)+VLOOKUP(Calc!BD4,'Contribution Tracking'!$B$3:$F$54,5,FALSE))</f>
        <v>#N/A</v>
      </c>
      <c r="BE5" s="6" t="e">
        <f>IF(BE4&gt;scCurrentSprint,NA(),BD5-VLOOKUP(Calc!BE4,'Contribution Tracking'!$B$3:$F$54,2,FALSE)+VLOOKUP(Calc!BE4,'Contribution Tracking'!$B$3:$F$54,5,FALSE))</f>
        <v>#N/A</v>
      </c>
      <c r="BF5" s="6" t="e">
        <f>IF(BF4&gt;scCurrentSprint,NA(),BE5-VLOOKUP(Calc!BF4,'Contribution Tracking'!$B$3:$F$54,2,FALSE)+VLOOKUP(Calc!BF4,'Contribution Tracking'!$B$3:$F$54,5,FALSE))</f>
        <v>#N/A</v>
      </c>
      <c r="BG5" s="6" t="e">
        <f>IF(BG4&gt;scCurrentSprint,NA(),BF5-VLOOKUP(Calc!BG4,'Contribution Tracking'!$B$3:$F$54,2,FALSE)+VLOOKUP(Calc!BG4,'Contribution Tracking'!$B$3:$F$54,5,FALSE))</f>
        <v>#N/A</v>
      </c>
      <c r="BH5" s="6" t="e">
        <f>IF(BH4&gt;scCurrentSprint,NA(),BG5-VLOOKUP(Calc!BH4,'Contribution Tracking'!$B$3:$F$54,2,FALSE)+VLOOKUP(Calc!BH4,'Contribution Tracking'!$B$3:$F$54,5,FALSE))</f>
        <v>#N/A</v>
      </c>
      <c r="BI5" s="6" t="e">
        <f>IF(BI4&gt;scCurrentSprint,NA(),BH5-VLOOKUP(Calc!BI4,'Contribution Tracking'!$B$3:$F$54,2,FALSE)+VLOOKUP(Calc!BI4,'Contribution Tracking'!$B$3:$F$54,5,FALSE))</f>
        <v>#N/A</v>
      </c>
      <c r="BJ5" s="6" t="e">
        <f>IF(BJ4&gt;scCurrentSprint,NA(),BI5-VLOOKUP(Calc!BJ4,'Contribution Tracking'!$B$3:$F$54,2,FALSE)+VLOOKUP(Calc!BJ4,'Contribution Tracking'!$B$3:$F$54,5,FALSE))</f>
        <v>#N/A</v>
      </c>
    </row>
    <row r="6" spans="1:62" x14ac:dyDescent="0.3">
      <c r="B6" s="55" t="s">
        <v>28</v>
      </c>
      <c r="C6" s="56"/>
      <c r="D6" s="56"/>
      <c r="E6" s="56"/>
      <c r="F6" s="56"/>
      <c r="G6" s="27">
        <f ca="1">IF(scVelocityRows&gt;0,ROUND(AVERAGE(OFFSET(scVelocityTop,scVelocityRows-3,0,3,1)),0),"--")</f>
        <v>69</v>
      </c>
      <c r="I6" s="7" t="s">
        <v>23</v>
      </c>
      <c r="J6" s="6" t="e">
        <f>NA()</f>
        <v>#N/A</v>
      </c>
      <c r="K6" s="6" t="e">
        <f t="shared" ref="K6:AP6" ca="1" si="4">IF(scShowYWCon,
  IF(K$4=scCurrentSprint,
      scCurrentBalance,
      IF(AND(K$4&gt;scCurrentSprint,K$4&lt;=scYWProjection),
         J6-scYWPSCon,
         NA()
        )
     ),
    NA()
   )</f>
        <v>#N/A</v>
      </c>
      <c r="L6" s="6" t="e">
        <f t="shared" ca="1" si="4"/>
        <v>#N/A</v>
      </c>
      <c r="M6" s="6" t="e">
        <f t="shared" ca="1" si="4"/>
        <v>#N/A</v>
      </c>
      <c r="N6" s="6" t="e">
        <f t="shared" ca="1" si="4"/>
        <v>#N/A</v>
      </c>
      <c r="O6" s="6" t="e">
        <f t="shared" ca="1" si="4"/>
        <v>#N/A</v>
      </c>
      <c r="P6" s="6" t="e">
        <f t="shared" ca="1" si="4"/>
        <v>#N/A</v>
      </c>
      <c r="Q6" s="6" t="e">
        <f t="shared" ca="1" si="4"/>
        <v>#N/A</v>
      </c>
      <c r="R6" s="6" t="e">
        <f t="shared" ca="1" si="4"/>
        <v>#N/A</v>
      </c>
      <c r="S6" s="6" t="e">
        <f t="shared" ca="1" si="4"/>
        <v>#N/A</v>
      </c>
      <c r="T6" s="6" t="e">
        <f t="shared" ca="1" si="4"/>
        <v>#N/A</v>
      </c>
      <c r="U6" s="6" t="e">
        <f t="shared" ca="1" si="4"/>
        <v>#N/A</v>
      </c>
      <c r="V6" s="6" t="e">
        <f t="shared" ca="1" si="4"/>
        <v>#N/A</v>
      </c>
      <c r="W6" s="6" t="e">
        <f t="shared" ca="1" si="4"/>
        <v>#N/A</v>
      </c>
      <c r="X6" s="6" t="e">
        <f t="shared" ca="1" si="4"/>
        <v>#N/A</v>
      </c>
      <c r="Y6" s="6" t="e">
        <f t="shared" ca="1" si="4"/>
        <v>#N/A</v>
      </c>
      <c r="Z6" s="6" t="e">
        <f t="shared" ca="1" si="4"/>
        <v>#N/A</v>
      </c>
      <c r="AA6" s="6" t="e">
        <f t="shared" ca="1" si="4"/>
        <v>#N/A</v>
      </c>
      <c r="AB6" s="6" t="e">
        <f t="shared" ca="1" si="4"/>
        <v>#N/A</v>
      </c>
      <c r="AC6" s="6" t="e">
        <f t="shared" ca="1" si="4"/>
        <v>#N/A</v>
      </c>
      <c r="AD6" s="6" t="e">
        <f t="shared" ca="1" si="4"/>
        <v>#N/A</v>
      </c>
      <c r="AE6" s="6" t="e">
        <f t="shared" ca="1" si="4"/>
        <v>#N/A</v>
      </c>
      <c r="AF6" s="6" t="e">
        <f t="shared" ca="1" si="4"/>
        <v>#N/A</v>
      </c>
      <c r="AG6" s="6" t="e">
        <f t="shared" ca="1" si="4"/>
        <v>#N/A</v>
      </c>
      <c r="AH6" s="6">
        <f t="shared" ca="1" si="4"/>
        <v>29</v>
      </c>
      <c r="AI6" s="6">
        <f t="shared" ca="1" si="4"/>
        <v>0</v>
      </c>
      <c r="AJ6" s="6" t="e">
        <f t="shared" ca="1" si="4"/>
        <v>#N/A</v>
      </c>
      <c r="AK6" s="6" t="e">
        <f t="shared" ca="1" si="4"/>
        <v>#N/A</v>
      </c>
      <c r="AL6" s="6" t="e">
        <f t="shared" ca="1" si="4"/>
        <v>#N/A</v>
      </c>
      <c r="AM6" s="6" t="e">
        <f t="shared" ca="1" si="4"/>
        <v>#N/A</v>
      </c>
      <c r="AN6" s="6" t="e">
        <f t="shared" ca="1" si="4"/>
        <v>#N/A</v>
      </c>
      <c r="AO6" s="6" t="e">
        <f t="shared" ca="1" si="4"/>
        <v>#N/A</v>
      </c>
      <c r="AP6" s="6" t="e">
        <f t="shared" ca="1" si="4"/>
        <v>#N/A</v>
      </c>
      <c r="AQ6" s="6" t="e">
        <f t="shared" ref="AQ6:BJ6" ca="1" si="5">IF(scShowYWCon,
  IF(AQ$4=scCurrentSprint,
      scCurrentBalance,
      IF(AND(AQ$4&gt;scCurrentSprint,AQ$4&lt;=scYWProjection),
         AP6-scYWPSCon,
         NA()
        )
     ),
    NA()
   )</f>
        <v>#N/A</v>
      </c>
      <c r="AR6" s="6" t="e">
        <f t="shared" ca="1" si="5"/>
        <v>#N/A</v>
      </c>
      <c r="AS6" s="6" t="e">
        <f t="shared" ca="1" si="5"/>
        <v>#N/A</v>
      </c>
      <c r="AT6" s="6" t="e">
        <f t="shared" ca="1" si="5"/>
        <v>#N/A</v>
      </c>
      <c r="AU6" s="6" t="e">
        <f t="shared" ca="1" si="5"/>
        <v>#N/A</v>
      </c>
      <c r="AV6" s="6" t="e">
        <f t="shared" ca="1" si="5"/>
        <v>#N/A</v>
      </c>
      <c r="AW6" s="6" t="e">
        <f t="shared" ca="1" si="5"/>
        <v>#N/A</v>
      </c>
      <c r="AX6" s="6" t="e">
        <f t="shared" ca="1" si="5"/>
        <v>#N/A</v>
      </c>
      <c r="AY6" s="6" t="e">
        <f t="shared" ca="1" si="5"/>
        <v>#N/A</v>
      </c>
      <c r="AZ6" s="6" t="e">
        <f t="shared" ca="1" si="5"/>
        <v>#N/A</v>
      </c>
      <c r="BA6" s="6" t="e">
        <f t="shared" ca="1" si="5"/>
        <v>#N/A</v>
      </c>
      <c r="BB6" s="6" t="e">
        <f t="shared" ca="1" si="5"/>
        <v>#N/A</v>
      </c>
      <c r="BC6" s="6" t="e">
        <f t="shared" ca="1" si="5"/>
        <v>#N/A</v>
      </c>
      <c r="BD6" s="6" t="e">
        <f t="shared" ca="1" si="5"/>
        <v>#N/A</v>
      </c>
      <c r="BE6" s="6" t="e">
        <f t="shared" ca="1" si="5"/>
        <v>#N/A</v>
      </c>
      <c r="BF6" s="6" t="e">
        <f t="shared" ca="1" si="5"/>
        <v>#N/A</v>
      </c>
      <c r="BG6" s="6" t="e">
        <f t="shared" ca="1" si="5"/>
        <v>#N/A</v>
      </c>
      <c r="BH6" s="6" t="e">
        <f t="shared" ca="1" si="5"/>
        <v>#N/A</v>
      </c>
      <c r="BI6" s="6" t="e">
        <f t="shared" ca="1" si="5"/>
        <v>#N/A</v>
      </c>
      <c r="BJ6" s="6" t="e">
        <f t="shared" ca="1" si="5"/>
        <v>#N/A</v>
      </c>
    </row>
    <row r="7" spans="1:62" x14ac:dyDescent="0.3">
      <c r="B7" s="55" t="s">
        <v>29</v>
      </c>
      <c r="C7" s="56"/>
      <c r="D7" s="56"/>
      <c r="E7" s="56"/>
      <c r="F7" s="56"/>
      <c r="G7" s="27">
        <f ca="1">IFERROR(ROUND(AVERAGE(OFFSET(scContributionTop,0,0,MAX(1,scContributionRows),1)),0),"--")</f>
        <v>53</v>
      </c>
      <c r="I7" s="7" t="s">
        <v>30</v>
      </c>
      <c r="J7" s="6" t="e">
        <f>NA()</f>
        <v>#N/A</v>
      </c>
      <c r="K7" s="6" t="e">
        <f t="shared" ref="K7:AP7" ca="1" si="6">IF(scShow3RCon,
  IF(K$4=scCurrentSprint,
      scCurrentBalance,
      IF(AND(K$4&gt;scCurrentSprint,K$4&lt;=scRolling3Projection),
         J7-scRolling3PSCon,
         NA()
        )
     ),
 NA()
 )</f>
        <v>#N/A</v>
      </c>
      <c r="L7" s="6" t="e">
        <f t="shared" ca="1" si="6"/>
        <v>#N/A</v>
      </c>
      <c r="M7" s="6" t="e">
        <f t="shared" ca="1" si="6"/>
        <v>#N/A</v>
      </c>
      <c r="N7" s="6" t="e">
        <f t="shared" ca="1" si="6"/>
        <v>#N/A</v>
      </c>
      <c r="O7" s="6" t="e">
        <f t="shared" ca="1" si="6"/>
        <v>#N/A</v>
      </c>
      <c r="P7" s="6" t="e">
        <f t="shared" ca="1" si="6"/>
        <v>#N/A</v>
      </c>
      <c r="Q7" s="6" t="e">
        <f t="shared" ca="1" si="6"/>
        <v>#N/A</v>
      </c>
      <c r="R7" s="6" t="e">
        <f t="shared" ca="1" si="6"/>
        <v>#N/A</v>
      </c>
      <c r="S7" s="6" t="e">
        <f t="shared" ca="1" si="6"/>
        <v>#N/A</v>
      </c>
      <c r="T7" s="6" t="e">
        <f t="shared" ca="1" si="6"/>
        <v>#N/A</v>
      </c>
      <c r="U7" s="6" t="e">
        <f t="shared" ca="1" si="6"/>
        <v>#N/A</v>
      </c>
      <c r="V7" s="6" t="e">
        <f t="shared" ca="1" si="6"/>
        <v>#N/A</v>
      </c>
      <c r="W7" s="6" t="e">
        <f t="shared" ca="1" si="6"/>
        <v>#N/A</v>
      </c>
      <c r="X7" s="6" t="e">
        <f t="shared" ca="1" si="6"/>
        <v>#N/A</v>
      </c>
      <c r="Y7" s="6" t="e">
        <f t="shared" ca="1" si="6"/>
        <v>#N/A</v>
      </c>
      <c r="Z7" s="6" t="e">
        <f t="shared" ca="1" si="6"/>
        <v>#N/A</v>
      </c>
      <c r="AA7" s="6" t="e">
        <f t="shared" ca="1" si="6"/>
        <v>#N/A</v>
      </c>
      <c r="AB7" s="6" t="e">
        <f t="shared" ca="1" si="6"/>
        <v>#N/A</v>
      </c>
      <c r="AC7" s="6" t="e">
        <f t="shared" ca="1" si="6"/>
        <v>#N/A</v>
      </c>
      <c r="AD7" s="6" t="e">
        <f t="shared" ca="1" si="6"/>
        <v>#N/A</v>
      </c>
      <c r="AE7" s="6" t="e">
        <f t="shared" ca="1" si="6"/>
        <v>#N/A</v>
      </c>
      <c r="AF7" s="6" t="e">
        <f t="shared" ca="1" si="6"/>
        <v>#N/A</v>
      </c>
      <c r="AG7" s="6" t="e">
        <f t="shared" ca="1" si="6"/>
        <v>#N/A</v>
      </c>
      <c r="AH7" s="6">
        <f t="shared" ca="1" si="6"/>
        <v>29</v>
      </c>
      <c r="AI7" s="6">
        <f t="shared" ca="1" si="6"/>
        <v>0</v>
      </c>
      <c r="AJ7" s="6" t="e">
        <f t="shared" ca="1" si="6"/>
        <v>#N/A</v>
      </c>
      <c r="AK7" s="6" t="e">
        <f t="shared" ca="1" si="6"/>
        <v>#N/A</v>
      </c>
      <c r="AL7" s="6" t="e">
        <f t="shared" ca="1" si="6"/>
        <v>#N/A</v>
      </c>
      <c r="AM7" s="6" t="e">
        <f t="shared" ca="1" si="6"/>
        <v>#N/A</v>
      </c>
      <c r="AN7" s="6" t="e">
        <f t="shared" ca="1" si="6"/>
        <v>#N/A</v>
      </c>
      <c r="AO7" s="6" t="e">
        <f t="shared" ca="1" si="6"/>
        <v>#N/A</v>
      </c>
      <c r="AP7" s="6" t="e">
        <f t="shared" ca="1" si="6"/>
        <v>#N/A</v>
      </c>
      <c r="AQ7" s="6" t="e">
        <f t="shared" ref="AQ7:BJ7" ca="1" si="7">IF(scShow3RCon,
  IF(AQ$4=scCurrentSprint,
      scCurrentBalance,
      IF(AND(AQ$4&gt;scCurrentSprint,AQ$4&lt;=scRolling3Projection),
         AP7-scRolling3PSCon,
         NA()
        )
     ),
 NA()
 )</f>
        <v>#N/A</v>
      </c>
      <c r="AR7" s="6" t="e">
        <f t="shared" ca="1" si="7"/>
        <v>#N/A</v>
      </c>
      <c r="AS7" s="6" t="e">
        <f t="shared" ca="1" si="7"/>
        <v>#N/A</v>
      </c>
      <c r="AT7" s="6" t="e">
        <f t="shared" ca="1" si="7"/>
        <v>#N/A</v>
      </c>
      <c r="AU7" s="6" t="e">
        <f t="shared" ca="1" si="7"/>
        <v>#N/A</v>
      </c>
      <c r="AV7" s="6" t="e">
        <f t="shared" ca="1" si="7"/>
        <v>#N/A</v>
      </c>
      <c r="AW7" s="6" t="e">
        <f t="shared" ca="1" si="7"/>
        <v>#N/A</v>
      </c>
      <c r="AX7" s="6" t="e">
        <f t="shared" ca="1" si="7"/>
        <v>#N/A</v>
      </c>
      <c r="AY7" s="6" t="e">
        <f t="shared" ca="1" si="7"/>
        <v>#N/A</v>
      </c>
      <c r="AZ7" s="6" t="e">
        <f t="shared" ca="1" si="7"/>
        <v>#N/A</v>
      </c>
      <c r="BA7" s="6" t="e">
        <f t="shared" ca="1" si="7"/>
        <v>#N/A</v>
      </c>
      <c r="BB7" s="6" t="e">
        <f t="shared" ca="1" si="7"/>
        <v>#N/A</v>
      </c>
      <c r="BC7" s="6" t="e">
        <f t="shared" ca="1" si="7"/>
        <v>#N/A</v>
      </c>
      <c r="BD7" s="6" t="e">
        <f t="shared" ca="1" si="7"/>
        <v>#N/A</v>
      </c>
      <c r="BE7" s="6" t="e">
        <f t="shared" ca="1" si="7"/>
        <v>#N/A</v>
      </c>
      <c r="BF7" s="6" t="e">
        <f t="shared" ca="1" si="7"/>
        <v>#N/A</v>
      </c>
      <c r="BG7" s="6" t="e">
        <f t="shared" ca="1" si="7"/>
        <v>#N/A</v>
      </c>
      <c r="BH7" s="6" t="e">
        <f t="shared" ca="1" si="7"/>
        <v>#N/A</v>
      </c>
      <c r="BI7" s="6" t="e">
        <f t="shared" ca="1" si="7"/>
        <v>#N/A</v>
      </c>
      <c r="BJ7" s="6" t="e">
        <f t="shared" ca="1" si="7"/>
        <v>#N/A</v>
      </c>
    </row>
    <row r="8" spans="1:62" x14ac:dyDescent="0.3">
      <c r="B8" s="55" t="s">
        <v>31</v>
      </c>
      <c r="C8" s="56"/>
      <c r="D8" s="56"/>
      <c r="E8" s="56"/>
      <c r="F8" s="56"/>
      <c r="G8" s="27">
        <f ca="1">IFERROR(ROUND(AVERAGE(OFFSET(scVelocityTop,0,0,MAX(1,scVelocityRows),1)),0),"--")</f>
        <v>55</v>
      </c>
      <c r="I8" s="7" t="s">
        <v>29</v>
      </c>
      <c r="J8" s="6" t="e">
        <f>NA()</f>
        <v>#N/A</v>
      </c>
      <c r="K8" s="6" t="e">
        <f t="shared" ref="K8:AP8" ca="1" si="8">IF(scShowTACon,
  IF(K$4=scCurrentSprint,
      scCurrentBalance,
      IF(AND(K$4&gt;scCurrentSprint,K$4&lt;=scTotAvgProjection),
         J8-scTotAvgPSCon,
         NA()
        )
     ),
  NA()
  )</f>
        <v>#N/A</v>
      </c>
      <c r="L8" s="6" t="e">
        <f t="shared" ca="1" si="8"/>
        <v>#N/A</v>
      </c>
      <c r="M8" s="6" t="e">
        <f t="shared" ca="1" si="8"/>
        <v>#N/A</v>
      </c>
      <c r="N8" s="6" t="e">
        <f t="shared" ca="1" si="8"/>
        <v>#N/A</v>
      </c>
      <c r="O8" s="6" t="e">
        <f t="shared" ca="1" si="8"/>
        <v>#N/A</v>
      </c>
      <c r="P8" s="6" t="e">
        <f t="shared" ca="1" si="8"/>
        <v>#N/A</v>
      </c>
      <c r="Q8" s="6" t="e">
        <f t="shared" ca="1" si="8"/>
        <v>#N/A</v>
      </c>
      <c r="R8" s="6" t="e">
        <f t="shared" ca="1" si="8"/>
        <v>#N/A</v>
      </c>
      <c r="S8" s="6" t="e">
        <f t="shared" ca="1" si="8"/>
        <v>#N/A</v>
      </c>
      <c r="T8" s="6" t="e">
        <f t="shared" ca="1" si="8"/>
        <v>#N/A</v>
      </c>
      <c r="U8" s="6" t="e">
        <f t="shared" ca="1" si="8"/>
        <v>#N/A</v>
      </c>
      <c r="V8" s="6" t="e">
        <f t="shared" ca="1" si="8"/>
        <v>#N/A</v>
      </c>
      <c r="W8" s="6" t="e">
        <f t="shared" ca="1" si="8"/>
        <v>#N/A</v>
      </c>
      <c r="X8" s="6" t="e">
        <f t="shared" ca="1" si="8"/>
        <v>#N/A</v>
      </c>
      <c r="Y8" s="6" t="e">
        <f t="shared" ca="1" si="8"/>
        <v>#N/A</v>
      </c>
      <c r="Z8" s="6" t="e">
        <f t="shared" ca="1" si="8"/>
        <v>#N/A</v>
      </c>
      <c r="AA8" s="6" t="e">
        <f t="shared" ca="1" si="8"/>
        <v>#N/A</v>
      </c>
      <c r="AB8" s="6" t="e">
        <f t="shared" ca="1" si="8"/>
        <v>#N/A</v>
      </c>
      <c r="AC8" s="6" t="e">
        <f t="shared" ca="1" si="8"/>
        <v>#N/A</v>
      </c>
      <c r="AD8" s="6" t="e">
        <f t="shared" ca="1" si="8"/>
        <v>#N/A</v>
      </c>
      <c r="AE8" s="6" t="e">
        <f t="shared" ca="1" si="8"/>
        <v>#N/A</v>
      </c>
      <c r="AF8" s="6" t="e">
        <f t="shared" ca="1" si="8"/>
        <v>#N/A</v>
      </c>
      <c r="AG8" s="6" t="e">
        <f t="shared" ca="1" si="8"/>
        <v>#N/A</v>
      </c>
      <c r="AH8" s="6">
        <f t="shared" ca="1" si="8"/>
        <v>29</v>
      </c>
      <c r="AI8" s="6">
        <f t="shared" ca="1" si="8"/>
        <v>0</v>
      </c>
      <c r="AJ8" s="6" t="e">
        <f t="shared" ca="1" si="8"/>
        <v>#N/A</v>
      </c>
      <c r="AK8" s="6" t="e">
        <f t="shared" ca="1" si="8"/>
        <v>#N/A</v>
      </c>
      <c r="AL8" s="6" t="e">
        <f t="shared" ca="1" si="8"/>
        <v>#N/A</v>
      </c>
      <c r="AM8" s="6" t="e">
        <f t="shared" ca="1" si="8"/>
        <v>#N/A</v>
      </c>
      <c r="AN8" s="6" t="e">
        <f t="shared" ca="1" si="8"/>
        <v>#N/A</v>
      </c>
      <c r="AO8" s="6" t="e">
        <f t="shared" ca="1" si="8"/>
        <v>#N/A</v>
      </c>
      <c r="AP8" s="6" t="e">
        <f t="shared" ca="1" si="8"/>
        <v>#N/A</v>
      </c>
      <c r="AQ8" s="6" t="e">
        <f t="shared" ref="AQ8:BJ8" ca="1" si="9">IF(scShowTACon,
  IF(AQ$4=scCurrentSprint,
      scCurrentBalance,
      IF(AND(AQ$4&gt;scCurrentSprint,AQ$4&lt;=scTotAvgProjection),
         AP8-scTotAvgPSCon,
         NA()
        )
     ),
  NA()
  )</f>
        <v>#N/A</v>
      </c>
      <c r="AR8" s="6" t="e">
        <f t="shared" ca="1" si="9"/>
        <v>#N/A</v>
      </c>
      <c r="AS8" s="6" t="e">
        <f t="shared" ca="1" si="9"/>
        <v>#N/A</v>
      </c>
      <c r="AT8" s="6" t="e">
        <f t="shared" ca="1" si="9"/>
        <v>#N/A</v>
      </c>
      <c r="AU8" s="6" t="e">
        <f t="shared" ca="1" si="9"/>
        <v>#N/A</v>
      </c>
      <c r="AV8" s="6" t="e">
        <f t="shared" ca="1" si="9"/>
        <v>#N/A</v>
      </c>
      <c r="AW8" s="6" t="e">
        <f t="shared" ca="1" si="9"/>
        <v>#N/A</v>
      </c>
      <c r="AX8" s="6" t="e">
        <f t="shared" ca="1" si="9"/>
        <v>#N/A</v>
      </c>
      <c r="AY8" s="6" t="e">
        <f t="shared" ca="1" si="9"/>
        <v>#N/A</v>
      </c>
      <c r="AZ8" s="6" t="e">
        <f t="shared" ca="1" si="9"/>
        <v>#N/A</v>
      </c>
      <c r="BA8" s="6" t="e">
        <f t="shared" ca="1" si="9"/>
        <v>#N/A</v>
      </c>
      <c r="BB8" s="6" t="e">
        <f t="shared" ca="1" si="9"/>
        <v>#N/A</v>
      </c>
      <c r="BC8" s="6" t="e">
        <f t="shared" ca="1" si="9"/>
        <v>#N/A</v>
      </c>
      <c r="BD8" s="6" t="e">
        <f t="shared" ca="1" si="9"/>
        <v>#N/A</v>
      </c>
      <c r="BE8" s="6" t="e">
        <f t="shared" ca="1" si="9"/>
        <v>#N/A</v>
      </c>
      <c r="BF8" s="6" t="e">
        <f t="shared" ca="1" si="9"/>
        <v>#N/A</v>
      </c>
      <c r="BG8" s="6" t="e">
        <f t="shared" ca="1" si="9"/>
        <v>#N/A</v>
      </c>
      <c r="BH8" s="6" t="e">
        <f t="shared" ca="1" si="9"/>
        <v>#N/A</v>
      </c>
      <c r="BI8" s="6" t="e">
        <f t="shared" ca="1" si="9"/>
        <v>#N/A</v>
      </c>
      <c r="BJ8" s="6" t="e">
        <f t="shared" ca="1" si="9"/>
        <v>#N/A</v>
      </c>
    </row>
    <row r="9" spans="1:62" x14ac:dyDescent="0.3">
      <c r="B9" s="55" t="s">
        <v>32</v>
      </c>
      <c r="C9" s="56"/>
      <c r="D9" s="56"/>
      <c r="E9" s="56"/>
      <c r="F9" s="56"/>
      <c r="G9" s="27">
        <f>scOriginalEstimate</f>
        <v>1300</v>
      </c>
      <c r="I9" s="7" t="s">
        <v>33</v>
      </c>
      <c r="J9" s="6">
        <f>IF(scShowOTProj,scOriginalEstimate,NA())</f>
        <v>1300</v>
      </c>
      <c r="K9" s="6">
        <f t="shared" ref="K9:AP9" si="10">IF(K3&gt;scGoalSprintCount,NA(),J9-scGoalPSCon)</f>
        <v>1248</v>
      </c>
      <c r="L9" s="6">
        <f t="shared" si="10"/>
        <v>1196</v>
      </c>
      <c r="M9" s="6">
        <f t="shared" si="10"/>
        <v>1144</v>
      </c>
      <c r="N9" s="6">
        <f t="shared" si="10"/>
        <v>1092</v>
      </c>
      <c r="O9" s="6">
        <f t="shared" si="10"/>
        <v>1040</v>
      </c>
      <c r="P9" s="6">
        <f t="shared" si="10"/>
        <v>988</v>
      </c>
      <c r="Q9" s="6">
        <f t="shared" si="10"/>
        <v>936</v>
      </c>
      <c r="R9" s="6">
        <f t="shared" si="10"/>
        <v>884</v>
      </c>
      <c r="S9" s="6">
        <f t="shared" si="10"/>
        <v>832</v>
      </c>
      <c r="T9" s="6">
        <f t="shared" si="10"/>
        <v>780</v>
      </c>
      <c r="U9" s="6">
        <f t="shared" si="10"/>
        <v>728</v>
      </c>
      <c r="V9" s="6">
        <f t="shared" si="10"/>
        <v>676</v>
      </c>
      <c r="W9" s="6">
        <f t="shared" si="10"/>
        <v>624</v>
      </c>
      <c r="X9" s="6">
        <f t="shared" si="10"/>
        <v>572</v>
      </c>
      <c r="Y9" s="6">
        <f t="shared" si="10"/>
        <v>520</v>
      </c>
      <c r="Z9" s="6">
        <f t="shared" si="10"/>
        <v>468</v>
      </c>
      <c r="AA9" s="6">
        <f t="shared" si="10"/>
        <v>416</v>
      </c>
      <c r="AB9" s="6">
        <f t="shared" si="10"/>
        <v>364</v>
      </c>
      <c r="AC9" s="6">
        <f t="shared" si="10"/>
        <v>312</v>
      </c>
      <c r="AD9" s="6">
        <f t="shared" si="10"/>
        <v>260</v>
      </c>
      <c r="AE9" s="6">
        <f t="shared" si="10"/>
        <v>208</v>
      </c>
      <c r="AF9" s="6">
        <f t="shared" si="10"/>
        <v>156</v>
      </c>
      <c r="AG9" s="6">
        <f t="shared" si="10"/>
        <v>104</v>
      </c>
      <c r="AH9" s="6">
        <f t="shared" si="10"/>
        <v>52</v>
      </c>
      <c r="AI9" s="6">
        <f t="shared" si="10"/>
        <v>0</v>
      </c>
      <c r="AJ9" s="6" t="e">
        <f t="shared" si="10"/>
        <v>#N/A</v>
      </c>
      <c r="AK9" s="6" t="e">
        <f t="shared" si="10"/>
        <v>#N/A</v>
      </c>
      <c r="AL9" s="6" t="e">
        <f t="shared" si="10"/>
        <v>#N/A</v>
      </c>
      <c r="AM9" s="6" t="e">
        <f t="shared" si="10"/>
        <v>#N/A</v>
      </c>
      <c r="AN9" s="6" t="e">
        <f t="shared" si="10"/>
        <v>#N/A</v>
      </c>
      <c r="AO9" s="6" t="e">
        <f t="shared" si="10"/>
        <v>#N/A</v>
      </c>
      <c r="AP9" s="6" t="e">
        <f t="shared" si="10"/>
        <v>#N/A</v>
      </c>
      <c r="AQ9" s="6" t="e">
        <f t="shared" ref="AQ9:BJ9" si="11">IF(AQ3&gt;scGoalSprintCount,NA(),AP9-scGoalPSCon)</f>
        <v>#N/A</v>
      </c>
      <c r="AR9" s="6" t="e">
        <f t="shared" si="11"/>
        <v>#N/A</v>
      </c>
      <c r="AS9" s="6" t="e">
        <f t="shared" si="11"/>
        <v>#N/A</v>
      </c>
      <c r="AT9" s="6" t="e">
        <f t="shared" si="11"/>
        <v>#N/A</v>
      </c>
      <c r="AU9" s="6" t="e">
        <f t="shared" si="11"/>
        <v>#N/A</v>
      </c>
      <c r="AV9" s="6" t="e">
        <f t="shared" si="11"/>
        <v>#N/A</v>
      </c>
      <c r="AW9" s="6" t="e">
        <f t="shared" si="11"/>
        <v>#N/A</v>
      </c>
      <c r="AX9" s="6" t="e">
        <f t="shared" si="11"/>
        <v>#N/A</v>
      </c>
      <c r="AY9" s="6" t="e">
        <f t="shared" si="11"/>
        <v>#N/A</v>
      </c>
      <c r="AZ9" s="6" t="e">
        <f t="shared" si="11"/>
        <v>#N/A</v>
      </c>
      <c r="BA9" s="6" t="e">
        <f t="shared" si="11"/>
        <v>#N/A</v>
      </c>
      <c r="BB9" s="6" t="e">
        <f t="shared" si="11"/>
        <v>#N/A</v>
      </c>
      <c r="BC9" s="6" t="e">
        <f t="shared" si="11"/>
        <v>#N/A</v>
      </c>
      <c r="BD9" s="6" t="e">
        <f t="shared" si="11"/>
        <v>#N/A</v>
      </c>
      <c r="BE9" s="6" t="e">
        <f t="shared" si="11"/>
        <v>#N/A</v>
      </c>
      <c r="BF9" s="6" t="e">
        <f t="shared" si="11"/>
        <v>#N/A</v>
      </c>
      <c r="BG9" s="6" t="e">
        <f t="shared" si="11"/>
        <v>#N/A</v>
      </c>
      <c r="BH9" s="6" t="e">
        <f t="shared" si="11"/>
        <v>#N/A</v>
      </c>
      <c r="BI9" s="6" t="e">
        <f t="shared" si="11"/>
        <v>#N/A</v>
      </c>
      <c r="BJ9" s="6" t="e">
        <f t="shared" si="11"/>
        <v>#N/A</v>
      </c>
    </row>
    <row r="10" spans="1:62" x14ac:dyDescent="0.3">
      <c r="B10" s="55" t="s">
        <v>34</v>
      </c>
      <c r="C10" s="56"/>
      <c r="D10" s="56"/>
      <c r="E10" s="56"/>
      <c r="F10" s="56"/>
      <c r="G10" s="28">
        <f>scGoalDate</f>
        <v>43374</v>
      </c>
    </row>
    <row r="11" spans="1:62" x14ac:dyDescent="0.3">
      <c r="B11" s="55" t="s">
        <v>35</v>
      </c>
      <c r="C11" s="56"/>
      <c r="D11" s="56"/>
      <c r="E11" s="56"/>
      <c r="F11" s="56"/>
      <c r="G11" s="27">
        <f>ROUNDUP((scGoalDate-scFirstSprint+scDaysInSprint)/scDaysInSprint,0)</f>
        <v>25</v>
      </c>
      <c r="I11" s="10" t="s">
        <v>36</v>
      </c>
      <c r="J11" s="6">
        <f>IF(scShowOTProj,scOriginalEstimate,NA())</f>
        <v>1300</v>
      </c>
      <c r="K11" s="6">
        <f t="shared" ref="K11:AP11" si="12">J11-scMaxPSCon</f>
        <v>1256.6666666666667</v>
      </c>
      <c r="L11" s="6">
        <f t="shared" si="12"/>
        <v>1213.3333333333335</v>
      </c>
      <c r="M11" s="6">
        <f t="shared" si="12"/>
        <v>1170.0000000000002</v>
      </c>
      <c r="N11" s="6">
        <f t="shared" si="12"/>
        <v>1126.666666666667</v>
      </c>
      <c r="O11" s="6">
        <f t="shared" si="12"/>
        <v>1083.3333333333337</v>
      </c>
      <c r="P11" s="6">
        <f t="shared" si="12"/>
        <v>1040.0000000000005</v>
      </c>
      <c r="Q11" s="6">
        <f t="shared" si="12"/>
        <v>996.66666666666708</v>
      </c>
      <c r="R11" s="6">
        <f t="shared" si="12"/>
        <v>953.33333333333371</v>
      </c>
      <c r="S11" s="6">
        <f t="shared" si="12"/>
        <v>910.00000000000034</v>
      </c>
      <c r="T11" s="6">
        <f t="shared" si="12"/>
        <v>866.66666666666697</v>
      </c>
      <c r="U11" s="6">
        <f t="shared" si="12"/>
        <v>823.3333333333336</v>
      </c>
      <c r="V11" s="6">
        <f t="shared" si="12"/>
        <v>780.00000000000023</v>
      </c>
      <c r="W11" s="6">
        <f t="shared" si="12"/>
        <v>736.66666666666686</v>
      </c>
      <c r="X11" s="6">
        <f t="shared" si="12"/>
        <v>693.33333333333348</v>
      </c>
      <c r="Y11" s="6">
        <f t="shared" si="12"/>
        <v>650.00000000000011</v>
      </c>
      <c r="Z11" s="6">
        <f t="shared" si="12"/>
        <v>606.66666666666674</v>
      </c>
      <c r="AA11" s="6">
        <f t="shared" si="12"/>
        <v>563.33333333333337</v>
      </c>
      <c r="AB11" s="6">
        <f t="shared" si="12"/>
        <v>520</v>
      </c>
      <c r="AC11" s="6">
        <f t="shared" si="12"/>
        <v>476.66666666666669</v>
      </c>
      <c r="AD11" s="6">
        <f t="shared" si="12"/>
        <v>433.33333333333337</v>
      </c>
      <c r="AE11" s="6">
        <f t="shared" si="12"/>
        <v>390.00000000000006</v>
      </c>
      <c r="AF11" s="6">
        <f t="shared" si="12"/>
        <v>346.66666666666674</v>
      </c>
      <c r="AG11" s="6">
        <f t="shared" si="12"/>
        <v>303.33333333333343</v>
      </c>
      <c r="AH11" s="6">
        <f t="shared" si="12"/>
        <v>260.00000000000011</v>
      </c>
      <c r="AI11" s="6">
        <f t="shared" si="12"/>
        <v>216.66666666666677</v>
      </c>
      <c r="AJ11" s="6">
        <f t="shared" si="12"/>
        <v>173.33333333333343</v>
      </c>
      <c r="AK11" s="6">
        <f t="shared" si="12"/>
        <v>130.00000000000009</v>
      </c>
      <c r="AL11" s="6">
        <f t="shared" si="12"/>
        <v>86.666666666666742</v>
      </c>
      <c r="AM11" s="6">
        <f t="shared" si="12"/>
        <v>43.333333333333407</v>
      </c>
      <c r="AN11" s="6">
        <f t="shared" si="12"/>
        <v>7.1054273576010019E-14</v>
      </c>
      <c r="AO11" s="6">
        <f t="shared" si="12"/>
        <v>-43.333333333333265</v>
      </c>
      <c r="AP11" s="6">
        <f t="shared" si="12"/>
        <v>-86.6666666666666</v>
      </c>
      <c r="AQ11" s="6">
        <f t="shared" ref="AQ11:BJ11" si="13">AP11-scMaxPSCon</f>
        <v>-129.99999999999994</v>
      </c>
      <c r="AR11" s="6">
        <f t="shared" si="13"/>
        <v>-173.33333333333329</v>
      </c>
      <c r="AS11" s="6">
        <f t="shared" si="13"/>
        <v>-216.66666666666663</v>
      </c>
      <c r="AT11" s="6">
        <f t="shared" si="13"/>
        <v>-259.99999999999994</v>
      </c>
      <c r="AU11" s="6">
        <f t="shared" si="13"/>
        <v>-303.33333333333326</v>
      </c>
      <c r="AV11" s="6">
        <f t="shared" si="13"/>
        <v>-346.66666666666657</v>
      </c>
      <c r="AW11" s="6">
        <f t="shared" si="13"/>
        <v>-389.99999999999989</v>
      </c>
      <c r="AX11" s="6">
        <f t="shared" si="13"/>
        <v>-433.3333333333332</v>
      </c>
      <c r="AY11" s="6">
        <f t="shared" si="13"/>
        <v>-476.66666666666652</v>
      </c>
      <c r="AZ11" s="6">
        <f t="shared" si="13"/>
        <v>-519.99999999999989</v>
      </c>
      <c r="BA11" s="6">
        <f t="shared" si="13"/>
        <v>-563.33333333333326</v>
      </c>
      <c r="BB11" s="6">
        <f t="shared" si="13"/>
        <v>-606.66666666666663</v>
      </c>
      <c r="BC11" s="6">
        <f t="shared" si="13"/>
        <v>-650</v>
      </c>
      <c r="BD11" s="6">
        <f t="shared" si="13"/>
        <v>-693.33333333333337</v>
      </c>
      <c r="BE11" s="6">
        <f t="shared" si="13"/>
        <v>-736.66666666666674</v>
      </c>
      <c r="BF11" s="6">
        <f t="shared" si="13"/>
        <v>-780.00000000000011</v>
      </c>
      <c r="BG11" s="6">
        <f t="shared" si="13"/>
        <v>-823.33333333333348</v>
      </c>
      <c r="BH11" s="6">
        <f t="shared" si="13"/>
        <v>-866.66666666666686</v>
      </c>
      <c r="BI11" s="6">
        <f t="shared" si="13"/>
        <v>-910.00000000000023</v>
      </c>
      <c r="BJ11" s="6">
        <f t="shared" si="13"/>
        <v>-953.3333333333336</v>
      </c>
    </row>
    <row r="12" spans="1:62" x14ac:dyDescent="0.3">
      <c r="B12" s="55" t="s">
        <v>37</v>
      </c>
      <c r="C12" s="56"/>
      <c r="D12" s="56"/>
      <c r="E12" s="56"/>
      <c r="F12" s="56"/>
      <c r="G12" s="28">
        <f>VLOOKUP("Current&gt;&gt;",'Contribution Tracking'!A3:E54,2,FALSE)</f>
        <v>43367</v>
      </c>
      <c r="I12" s="7" t="s">
        <v>38</v>
      </c>
      <c r="J12" s="6">
        <f>IF(scShowOTProj,scOriginalEstimate,NA())</f>
        <v>1300</v>
      </c>
      <c r="K12" s="6">
        <f t="shared" ref="K12:AP12" si="14">J12-scMinPSCon</f>
        <v>1235</v>
      </c>
      <c r="L12" s="6">
        <f t="shared" si="14"/>
        <v>1170</v>
      </c>
      <c r="M12" s="6">
        <f t="shared" si="14"/>
        <v>1105</v>
      </c>
      <c r="N12" s="6">
        <f t="shared" si="14"/>
        <v>1040</v>
      </c>
      <c r="O12" s="6">
        <f t="shared" si="14"/>
        <v>975</v>
      </c>
      <c r="P12" s="6">
        <f t="shared" si="14"/>
        <v>910</v>
      </c>
      <c r="Q12" s="6">
        <f t="shared" si="14"/>
        <v>845</v>
      </c>
      <c r="R12" s="6">
        <f t="shared" si="14"/>
        <v>780</v>
      </c>
      <c r="S12" s="6">
        <f t="shared" si="14"/>
        <v>715</v>
      </c>
      <c r="T12" s="6">
        <f t="shared" si="14"/>
        <v>650</v>
      </c>
      <c r="U12" s="6">
        <f t="shared" si="14"/>
        <v>585</v>
      </c>
      <c r="V12" s="6">
        <f t="shared" si="14"/>
        <v>520</v>
      </c>
      <c r="W12" s="6">
        <f t="shared" si="14"/>
        <v>455</v>
      </c>
      <c r="X12" s="6">
        <f t="shared" si="14"/>
        <v>390</v>
      </c>
      <c r="Y12" s="6">
        <f t="shared" si="14"/>
        <v>325</v>
      </c>
      <c r="Z12" s="6">
        <f t="shared" si="14"/>
        <v>260</v>
      </c>
      <c r="AA12" s="6">
        <f t="shared" si="14"/>
        <v>195</v>
      </c>
      <c r="AB12" s="6">
        <f t="shared" si="14"/>
        <v>130</v>
      </c>
      <c r="AC12" s="6">
        <f t="shared" si="14"/>
        <v>65</v>
      </c>
      <c r="AD12" s="6">
        <f t="shared" si="14"/>
        <v>0</v>
      </c>
      <c r="AE12" s="6">
        <f t="shared" si="14"/>
        <v>-65</v>
      </c>
      <c r="AF12" s="6">
        <f t="shared" si="14"/>
        <v>-130</v>
      </c>
      <c r="AG12" s="6">
        <f t="shared" si="14"/>
        <v>-195</v>
      </c>
      <c r="AH12" s="6">
        <f t="shared" si="14"/>
        <v>-260</v>
      </c>
      <c r="AI12" s="6">
        <f t="shared" si="14"/>
        <v>-325</v>
      </c>
      <c r="AJ12" s="6">
        <f t="shared" si="14"/>
        <v>-390</v>
      </c>
      <c r="AK12" s="6">
        <f t="shared" si="14"/>
        <v>-455</v>
      </c>
      <c r="AL12" s="6">
        <f t="shared" si="14"/>
        <v>-520</v>
      </c>
      <c r="AM12" s="6">
        <f t="shared" si="14"/>
        <v>-585</v>
      </c>
      <c r="AN12" s="6">
        <f t="shared" si="14"/>
        <v>-650</v>
      </c>
      <c r="AO12" s="6">
        <f t="shared" si="14"/>
        <v>-715</v>
      </c>
      <c r="AP12" s="6">
        <f t="shared" si="14"/>
        <v>-780</v>
      </c>
      <c r="AQ12" s="6">
        <f t="shared" ref="AQ12:BJ12" si="15">AP12-scMinPSCon</f>
        <v>-845</v>
      </c>
      <c r="AR12" s="6">
        <f t="shared" si="15"/>
        <v>-910</v>
      </c>
      <c r="AS12" s="6">
        <f t="shared" si="15"/>
        <v>-975</v>
      </c>
      <c r="AT12" s="6">
        <f t="shared" si="15"/>
        <v>-1040</v>
      </c>
      <c r="AU12" s="6">
        <f t="shared" si="15"/>
        <v>-1105</v>
      </c>
      <c r="AV12" s="6">
        <f t="shared" si="15"/>
        <v>-1170</v>
      </c>
      <c r="AW12" s="6">
        <f t="shared" si="15"/>
        <v>-1235</v>
      </c>
      <c r="AX12" s="6">
        <f t="shared" si="15"/>
        <v>-1300</v>
      </c>
      <c r="AY12" s="6">
        <f t="shared" si="15"/>
        <v>-1365</v>
      </c>
      <c r="AZ12" s="6">
        <f t="shared" si="15"/>
        <v>-1430</v>
      </c>
      <c r="BA12" s="6">
        <f t="shared" si="15"/>
        <v>-1495</v>
      </c>
      <c r="BB12" s="6">
        <f t="shared" si="15"/>
        <v>-1560</v>
      </c>
      <c r="BC12" s="6">
        <f t="shared" si="15"/>
        <v>-1625</v>
      </c>
      <c r="BD12" s="6">
        <f t="shared" si="15"/>
        <v>-1690</v>
      </c>
      <c r="BE12" s="6">
        <f t="shared" si="15"/>
        <v>-1755</v>
      </c>
      <c r="BF12" s="6">
        <f t="shared" si="15"/>
        <v>-1820</v>
      </c>
      <c r="BG12" s="6">
        <f t="shared" si="15"/>
        <v>-1885</v>
      </c>
      <c r="BH12" s="6">
        <f t="shared" si="15"/>
        <v>-1950</v>
      </c>
      <c r="BI12" s="6">
        <f t="shared" si="15"/>
        <v>-2015</v>
      </c>
      <c r="BJ12" s="6">
        <f t="shared" si="15"/>
        <v>-2080</v>
      </c>
    </row>
    <row r="13" spans="1:62" x14ac:dyDescent="0.3">
      <c r="B13" s="55" t="s">
        <v>39</v>
      </c>
      <c r="C13" s="56"/>
      <c r="D13" s="56"/>
      <c r="E13" s="56"/>
      <c r="F13" s="56"/>
      <c r="G13" s="27">
        <f ca="1">SUM(OFFSET(scScopeTop,0,0,MAX(1,scContributionRows),1))</f>
        <v>0</v>
      </c>
    </row>
    <row r="14" spans="1:62" x14ac:dyDescent="0.3">
      <c r="B14" s="59" t="s">
        <v>40</v>
      </c>
      <c r="C14" s="60"/>
      <c r="D14" s="60"/>
      <c r="E14" s="60"/>
      <c r="F14" s="60"/>
      <c r="G14" s="29">
        <f ca="1">scOriginalEstimate-SUM(OFFSET(scContributionTop,0,0,MAX(1,scContributionRows),1))+SUM(OFFSET(scScopeTop,0,0,MAX(1,scContributionRows),1))</f>
        <v>29</v>
      </c>
      <c r="I14" s="7" t="s">
        <v>41</v>
      </c>
      <c r="J14" s="6">
        <f>IF(scShowOrig,scOriginalEstimate,NA())</f>
        <v>1300</v>
      </c>
      <c r="K14" s="6">
        <f t="shared" ref="K14:AP14" ca="1" si="16">IF(K3&lt;=scVelSprintsLeft,J14-scRolling3Velocity,NA())</f>
        <v>1231</v>
      </c>
      <c r="L14" s="6">
        <f t="shared" ca="1" si="16"/>
        <v>1162</v>
      </c>
      <c r="M14" s="6">
        <f t="shared" ca="1" si="16"/>
        <v>1093</v>
      </c>
      <c r="N14" s="6">
        <f t="shared" ca="1" si="16"/>
        <v>1024</v>
      </c>
      <c r="O14" s="6">
        <f t="shared" ca="1" si="16"/>
        <v>955</v>
      </c>
      <c r="P14" s="6">
        <f t="shared" ca="1" si="16"/>
        <v>886</v>
      </c>
      <c r="Q14" s="6">
        <f t="shared" ca="1" si="16"/>
        <v>817</v>
      </c>
      <c r="R14" s="6">
        <f t="shared" ca="1" si="16"/>
        <v>748</v>
      </c>
      <c r="S14" s="6">
        <f t="shared" ca="1" si="16"/>
        <v>679</v>
      </c>
      <c r="T14" s="6">
        <f t="shared" ca="1" si="16"/>
        <v>610</v>
      </c>
      <c r="U14" s="6">
        <f t="shared" ca="1" si="16"/>
        <v>541</v>
      </c>
      <c r="V14" s="6">
        <f t="shared" ca="1" si="16"/>
        <v>472</v>
      </c>
      <c r="W14" s="6">
        <f t="shared" ca="1" si="16"/>
        <v>403</v>
      </c>
      <c r="X14" s="6">
        <f t="shared" ca="1" si="16"/>
        <v>334</v>
      </c>
      <c r="Y14" s="6">
        <f t="shared" ca="1" si="16"/>
        <v>265</v>
      </c>
      <c r="Z14" s="6">
        <f t="shared" ca="1" si="16"/>
        <v>196</v>
      </c>
      <c r="AA14" s="6">
        <f t="shared" ca="1" si="16"/>
        <v>127</v>
      </c>
      <c r="AB14" s="6">
        <f t="shared" ca="1" si="16"/>
        <v>58</v>
      </c>
      <c r="AC14" s="6">
        <f t="shared" ca="1" si="16"/>
        <v>-11</v>
      </c>
      <c r="AD14" s="6" t="e">
        <f t="shared" ca="1" si="16"/>
        <v>#N/A</v>
      </c>
      <c r="AE14" s="6" t="e">
        <f t="shared" ca="1" si="16"/>
        <v>#N/A</v>
      </c>
      <c r="AF14" s="6" t="e">
        <f t="shared" ca="1" si="16"/>
        <v>#N/A</v>
      </c>
      <c r="AG14" s="6" t="e">
        <f t="shared" ca="1" si="16"/>
        <v>#N/A</v>
      </c>
      <c r="AH14" s="6" t="e">
        <f t="shared" ca="1" si="16"/>
        <v>#N/A</v>
      </c>
      <c r="AI14" s="6" t="e">
        <f t="shared" ca="1" si="16"/>
        <v>#N/A</v>
      </c>
      <c r="AJ14" s="6" t="e">
        <f t="shared" ca="1" si="16"/>
        <v>#N/A</v>
      </c>
      <c r="AK14" s="6" t="e">
        <f t="shared" ca="1" si="16"/>
        <v>#N/A</v>
      </c>
      <c r="AL14" s="6" t="e">
        <f t="shared" ca="1" si="16"/>
        <v>#N/A</v>
      </c>
      <c r="AM14" s="6" t="e">
        <f t="shared" ca="1" si="16"/>
        <v>#N/A</v>
      </c>
      <c r="AN14" s="6" t="e">
        <f t="shared" ca="1" si="16"/>
        <v>#N/A</v>
      </c>
      <c r="AO14" s="6" t="e">
        <f t="shared" ca="1" si="16"/>
        <v>#N/A</v>
      </c>
      <c r="AP14" s="6" t="e">
        <f t="shared" ca="1" si="16"/>
        <v>#N/A</v>
      </c>
      <c r="AQ14" s="6" t="e">
        <f t="shared" ref="AQ14:BJ14" ca="1" si="17">IF(AQ3&lt;=scVelSprintsLeft,AP14-scRolling3Velocity,NA())</f>
        <v>#N/A</v>
      </c>
      <c r="AR14" s="6" t="e">
        <f t="shared" ca="1" si="17"/>
        <v>#N/A</v>
      </c>
      <c r="AS14" s="6" t="e">
        <f t="shared" ca="1" si="17"/>
        <v>#N/A</v>
      </c>
      <c r="AT14" s="6" t="e">
        <f t="shared" ca="1" si="17"/>
        <v>#N/A</v>
      </c>
      <c r="AU14" s="6" t="e">
        <f t="shared" ca="1" si="17"/>
        <v>#N/A</v>
      </c>
      <c r="AV14" s="6" t="e">
        <f t="shared" ca="1" si="17"/>
        <v>#N/A</v>
      </c>
      <c r="AW14" s="6" t="e">
        <f t="shared" ca="1" si="17"/>
        <v>#N/A</v>
      </c>
      <c r="AX14" s="6" t="e">
        <f t="shared" ca="1" si="17"/>
        <v>#N/A</v>
      </c>
      <c r="AY14" s="6" t="e">
        <f t="shared" ca="1" si="17"/>
        <v>#N/A</v>
      </c>
      <c r="AZ14" s="6" t="e">
        <f t="shared" ca="1" si="17"/>
        <v>#N/A</v>
      </c>
      <c r="BA14" s="6" t="e">
        <f t="shared" ca="1" si="17"/>
        <v>#N/A</v>
      </c>
      <c r="BB14" s="6" t="e">
        <f t="shared" ca="1" si="17"/>
        <v>#N/A</v>
      </c>
      <c r="BC14" s="6" t="e">
        <f t="shared" ca="1" si="17"/>
        <v>#N/A</v>
      </c>
      <c r="BD14" s="6" t="e">
        <f t="shared" ca="1" si="17"/>
        <v>#N/A</v>
      </c>
      <c r="BE14" s="6" t="e">
        <f t="shared" ca="1" si="17"/>
        <v>#N/A</v>
      </c>
      <c r="BF14" s="6" t="e">
        <f t="shared" ca="1" si="17"/>
        <v>#N/A</v>
      </c>
      <c r="BG14" s="6" t="e">
        <f t="shared" ca="1" si="17"/>
        <v>#N/A</v>
      </c>
      <c r="BH14" s="6" t="e">
        <f t="shared" ca="1" si="17"/>
        <v>#N/A</v>
      </c>
      <c r="BI14" s="6" t="e">
        <f t="shared" ca="1" si="17"/>
        <v>#N/A</v>
      </c>
      <c r="BJ14" s="6" t="e">
        <f t="shared" ca="1" si="17"/>
        <v>#N/A</v>
      </c>
    </row>
    <row r="15" spans="1:62" ht="15" thickBot="1" x14ac:dyDescent="0.35">
      <c r="B15" s="59" t="s">
        <v>42</v>
      </c>
      <c r="C15" s="60"/>
      <c r="D15" s="60"/>
      <c r="E15" s="60"/>
      <c r="F15" s="60"/>
      <c r="G15" s="29">
        <f ca="1">IFERROR(MAX(J2:BJ2),"--")</f>
        <v>31</v>
      </c>
    </row>
    <row r="16" spans="1:62" ht="14.4" customHeight="1" x14ac:dyDescent="0.3">
      <c r="A16" s="63" t="s">
        <v>43</v>
      </c>
      <c r="B16" s="61" t="s">
        <v>23</v>
      </c>
      <c r="C16" s="58"/>
      <c r="D16" s="58"/>
      <c r="E16" s="58"/>
      <c r="F16" s="58"/>
      <c r="G16" s="30">
        <f ca="1">IFERROR(scCurrentSprint+(ROUNDUP(scCurrentBalance/scYesterdaysWeather,0)*scDaysInSprint),"--")</f>
        <v>43374</v>
      </c>
      <c r="I16" s="7" t="s">
        <v>44</v>
      </c>
      <c r="J16" s="6">
        <f ca="1">INDIRECT("'Contribution Tracking'!"&amp;ADDRESS(J2+2,5))</f>
        <v>35</v>
      </c>
      <c r="K16" s="6">
        <f t="shared" ref="K16:BJ16" ca="1" si="18">INDIRECT("'Contribution Tracking'!"&amp;ADDRESS(K2+2,5))</f>
        <v>35</v>
      </c>
      <c r="L16" s="6">
        <f t="shared" ca="1" si="18"/>
        <v>35</v>
      </c>
      <c r="M16" s="6">
        <f t="shared" ca="1" si="18"/>
        <v>45</v>
      </c>
      <c r="N16" s="6">
        <f t="shared" ca="1" si="18"/>
        <v>45</v>
      </c>
      <c r="O16" s="6">
        <f t="shared" ca="1" si="18"/>
        <v>55</v>
      </c>
      <c r="P16" s="6">
        <f t="shared" ca="1" si="18"/>
        <v>55</v>
      </c>
      <c r="Q16" s="6">
        <f t="shared" ca="1" si="18"/>
        <v>45</v>
      </c>
      <c r="R16" s="6">
        <f t="shared" ca="1" si="18"/>
        <v>45</v>
      </c>
      <c r="S16" s="6">
        <f t="shared" ca="1" si="18"/>
        <v>45</v>
      </c>
      <c r="T16" s="6">
        <f t="shared" ca="1" si="18"/>
        <v>45</v>
      </c>
      <c r="U16" s="6">
        <f t="shared" ca="1" si="18"/>
        <v>45</v>
      </c>
      <c r="V16" s="6">
        <f t="shared" ca="1" si="18"/>
        <v>55</v>
      </c>
      <c r="W16" s="6">
        <f t="shared" ca="1" si="18"/>
        <v>65</v>
      </c>
      <c r="X16" s="6">
        <f t="shared" ca="1" si="18"/>
        <v>65</v>
      </c>
      <c r="Y16" s="6">
        <f t="shared" ca="1" si="18"/>
        <v>65</v>
      </c>
      <c r="Z16" s="6">
        <f t="shared" ca="1" si="18"/>
        <v>65</v>
      </c>
      <c r="AA16" s="6">
        <f t="shared" ca="1" si="18"/>
        <v>65</v>
      </c>
      <c r="AB16" s="6">
        <f t="shared" ca="1" si="18"/>
        <v>65</v>
      </c>
      <c r="AC16" s="6">
        <f t="shared" ca="1" si="18"/>
        <v>65</v>
      </c>
      <c r="AD16" s="6">
        <f t="shared" ca="1" si="18"/>
        <v>66</v>
      </c>
      <c r="AE16" s="6">
        <f t="shared" ca="1" si="18"/>
        <v>67</v>
      </c>
      <c r="AF16" s="6">
        <f t="shared" ca="1" si="18"/>
        <v>68</v>
      </c>
      <c r="AG16" s="6">
        <f t="shared" ca="1" si="18"/>
        <v>69</v>
      </c>
      <c r="AH16" s="6">
        <f t="shared" ca="1" si="18"/>
        <v>0</v>
      </c>
      <c r="AI16" s="6">
        <f t="shared" ca="1" si="18"/>
        <v>0</v>
      </c>
      <c r="AJ16" s="6">
        <f t="shared" ca="1" si="18"/>
        <v>0</v>
      </c>
      <c r="AK16" s="6">
        <f t="shared" ca="1" si="18"/>
        <v>0</v>
      </c>
      <c r="AL16" s="6">
        <f t="shared" ca="1" si="18"/>
        <v>0</v>
      </c>
      <c r="AM16" s="6">
        <f t="shared" ca="1" si="18"/>
        <v>0</v>
      </c>
      <c r="AN16" s="6">
        <f t="shared" ca="1" si="18"/>
        <v>0</v>
      </c>
      <c r="AO16" s="6" t="e">
        <f t="shared" ca="1" si="18"/>
        <v>#VALUE!</v>
      </c>
      <c r="AP16" s="6" t="e">
        <f t="shared" ca="1" si="18"/>
        <v>#VALUE!</v>
      </c>
      <c r="AQ16" s="6" t="e">
        <f t="shared" ca="1" si="18"/>
        <v>#VALUE!</v>
      </c>
      <c r="AR16" s="6" t="e">
        <f t="shared" ca="1" si="18"/>
        <v>#VALUE!</v>
      </c>
      <c r="AS16" s="6" t="e">
        <f t="shared" ca="1" si="18"/>
        <v>#VALUE!</v>
      </c>
      <c r="AT16" s="6" t="e">
        <f t="shared" ca="1" si="18"/>
        <v>#VALUE!</v>
      </c>
      <c r="AU16" s="6" t="e">
        <f t="shared" ca="1" si="18"/>
        <v>#VALUE!</v>
      </c>
      <c r="AV16" s="6" t="e">
        <f t="shared" ca="1" si="18"/>
        <v>#VALUE!</v>
      </c>
      <c r="AW16" s="6" t="e">
        <f t="shared" ca="1" si="18"/>
        <v>#VALUE!</v>
      </c>
      <c r="AX16" s="6" t="e">
        <f t="shared" ca="1" si="18"/>
        <v>#VALUE!</v>
      </c>
      <c r="AY16" s="6" t="e">
        <f t="shared" ca="1" si="18"/>
        <v>#VALUE!</v>
      </c>
      <c r="AZ16" s="6" t="e">
        <f t="shared" ca="1" si="18"/>
        <v>#VALUE!</v>
      </c>
      <c r="BA16" s="6" t="e">
        <f t="shared" ca="1" si="18"/>
        <v>#VALUE!</v>
      </c>
      <c r="BB16" s="6" t="e">
        <f t="shared" ca="1" si="18"/>
        <v>#VALUE!</v>
      </c>
      <c r="BC16" s="6" t="e">
        <f t="shared" ca="1" si="18"/>
        <v>#VALUE!</v>
      </c>
      <c r="BD16" s="6" t="e">
        <f t="shared" ca="1" si="18"/>
        <v>#VALUE!</v>
      </c>
      <c r="BE16" s="6" t="e">
        <f t="shared" ca="1" si="18"/>
        <v>#VALUE!</v>
      </c>
      <c r="BF16" s="6" t="e">
        <f t="shared" ca="1" si="18"/>
        <v>#VALUE!</v>
      </c>
      <c r="BG16" s="6" t="e">
        <f t="shared" ca="1" si="18"/>
        <v>#VALUE!</v>
      </c>
      <c r="BH16" s="6" t="e">
        <f t="shared" ca="1" si="18"/>
        <v>#VALUE!</v>
      </c>
      <c r="BI16" s="6" t="e">
        <f t="shared" ca="1" si="18"/>
        <v>#VALUE!</v>
      </c>
      <c r="BJ16" s="6" t="e">
        <f t="shared" ca="1" si="18"/>
        <v>#VALUE!</v>
      </c>
    </row>
    <row r="17" spans="1:62" ht="14.4" customHeight="1" x14ac:dyDescent="0.3">
      <c r="A17" s="64"/>
      <c r="B17" s="62" t="s">
        <v>45</v>
      </c>
      <c r="C17" s="56"/>
      <c r="D17" s="56"/>
      <c r="E17" s="56"/>
      <c r="F17" s="56"/>
      <c r="G17" s="31">
        <f ca="1">IFERROR(ROUNDUP(scCurrentBalance/scYesterdaysWeather,0),"--")</f>
        <v>1</v>
      </c>
    </row>
    <row r="18" spans="1:62" ht="14.4" customHeight="1" x14ac:dyDescent="0.3">
      <c r="A18" s="64"/>
      <c r="B18" s="62" t="s">
        <v>46</v>
      </c>
      <c r="C18" s="56"/>
      <c r="D18" s="56"/>
      <c r="E18" s="56"/>
      <c r="F18" s="56"/>
      <c r="G18" s="31">
        <f ca="1">IFERROR(scCurrentBalance/scYWSprintsLeft,"--")</f>
        <v>29</v>
      </c>
      <c r="I18" s="7" t="s">
        <v>47</v>
      </c>
      <c r="J18" s="6" t="e">
        <f ca="1">IF(J$2=ROUND(scChartWidth/2,0),J5,NA())</f>
        <v>#N/A</v>
      </c>
      <c r="K18" s="6" t="e">
        <f t="shared" ref="K18:AP18" ca="1" si="19">IF(K2=ROUND(scChartWidth/2,0),K5,NA())</f>
        <v>#N/A</v>
      </c>
      <c r="L18" s="6" t="e">
        <f t="shared" ca="1" si="19"/>
        <v>#N/A</v>
      </c>
      <c r="M18" s="6" t="e">
        <f t="shared" ca="1" si="19"/>
        <v>#N/A</v>
      </c>
      <c r="N18" s="6" t="e">
        <f t="shared" ca="1" si="19"/>
        <v>#N/A</v>
      </c>
      <c r="O18" s="6" t="e">
        <f t="shared" ca="1" si="19"/>
        <v>#N/A</v>
      </c>
      <c r="P18" s="6" t="e">
        <f t="shared" ca="1" si="19"/>
        <v>#N/A</v>
      </c>
      <c r="Q18" s="6" t="e">
        <f t="shared" ca="1" si="19"/>
        <v>#N/A</v>
      </c>
      <c r="R18" s="6" t="e">
        <f t="shared" ca="1" si="19"/>
        <v>#N/A</v>
      </c>
      <c r="S18" s="6" t="e">
        <f t="shared" ca="1" si="19"/>
        <v>#N/A</v>
      </c>
      <c r="T18" s="6" t="e">
        <f t="shared" ca="1" si="19"/>
        <v>#N/A</v>
      </c>
      <c r="U18" s="6" t="e">
        <f t="shared" ca="1" si="19"/>
        <v>#N/A</v>
      </c>
      <c r="V18" s="6" t="e">
        <f t="shared" ca="1" si="19"/>
        <v>#N/A</v>
      </c>
      <c r="W18" s="6" t="e">
        <f t="shared" ca="1" si="19"/>
        <v>#N/A</v>
      </c>
      <c r="X18" s="6" t="e">
        <f t="shared" ca="1" si="19"/>
        <v>#N/A</v>
      </c>
      <c r="Y18" s="6">
        <f t="shared" ca="1" si="19"/>
        <v>574</v>
      </c>
      <c r="Z18" s="6" t="e">
        <f t="shared" ca="1" si="19"/>
        <v>#N/A</v>
      </c>
      <c r="AA18" s="6" t="e">
        <f t="shared" ca="1" si="19"/>
        <v>#N/A</v>
      </c>
      <c r="AB18" s="6" t="e">
        <f t="shared" ca="1" si="19"/>
        <v>#N/A</v>
      </c>
      <c r="AC18" s="6" t="e">
        <f t="shared" ca="1" si="19"/>
        <v>#N/A</v>
      </c>
      <c r="AD18" s="6" t="e">
        <f t="shared" ca="1" si="19"/>
        <v>#N/A</v>
      </c>
      <c r="AE18" s="6" t="e">
        <f t="shared" ca="1" si="19"/>
        <v>#N/A</v>
      </c>
      <c r="AF18" s="6" t="e">
        <f t="shared" ca="1" si="19"/>
        <v>#N/A</v>
      </c>
      <c r="AG18" s="6" t="e">
        <f t="shared" ca="1" si="19"/>
        <v>#N/A</v>
      </c>
      <c r="AH18" s="6" t="e">
        <f t="shared" ca="1" si="19"/>
        <v>#N/A</v>
      </c>
      <c r="AI18" s="6" t="e">
        <f t="shared" ca="1" si="19"/>
        <v>#N/A</v>
      </c>
      <c r="AJ18" s="6" t="e">
        <f t="shared" ca="1" si="19"/>
        <v>#N/A</v>
      </c>
      <c r="AK18" s="6" t="e">
        <f t="shared" ca="1" si="19"/>
        <v>#N/A</v>
      </c>
      <c r="AL18" s="6" t="e">
        <f t="shared" ca="1" si="19"/>
        <v>#N/A</v>
      </c>
      <c r="AM18" s="6" t="e">
        <f t="shared" ca="1" si="19"/>
        <v>#N/A</v>
      </c>
      <c r="AN18" s="6" t="e">
        <f t="shared" ca="1" si="19"/>
        <v>#N/A</v>
      </c>
      <c r="AO18" s="6" t="e">
        <f t="shared" ca="1" si="19"/>
        <v>#N/A</v>
      </c>
      <c r="AP18" s="6" t="e">
        <f t="shared" ca="1" si="19"/>
        <v>#N/A</v>
      </c>
      <c r="AQ18" s="6" t="e">
        <f t="shared" ref="AQ18:BJ18" ca="1" si="20">IF(AQ2=ROUND(scChartWidth/2,0),AQ5,NA())</f>
        <v>#N/A</v>
      </c>
      <c r="AR18" s="6" t="e">
        <f t="shared" ca="1" si="20"/>
        <v>#N/A</v>
      </c>
      <c r="AS18" s="6" t="e">
        <f t="shared" ca="1" si="20"/>
        <v>#N/A</v>
      </c>
      <c r="AT18" s="6" t="e">
        <f t="shared" ca="1" si="20"/>
        <v>#N/A</v>
      </c>
      <c r="AU18" s="6" t="e">
        <f t="shared" ca="1" si="20"/>
        <v>#N/A</v>
      </c>
      <c r="AV18" s="6" t="e">
        <f t="shared" ca="1" si="20"/>
        <v>#N/A</v>
      </c>
      <c r="AW18" s="6" t="e">
        <f t="shared" ca="1" si="20"/>
        <v>#N/A</v>
      </c>
      <c r="AX18" s="6" t="e">
        <f t="shared" ca="1" si="20"/>
        <v>#N/A</v>
      </c>
      <c r="AY18" s="6" t="e">
        <f t="shared" ca="1" si="20"/>
        <v>#N/A</v>
      </c>
      <c r="AZ18" s="6" t="e">
        <f t="shared" ca="1" si="20"/>
        <v>#N/A</v>
      </c>
      <c r="BA18" s="6" t="e">
        <f t="shared" ca="1" si="20"/>
        <v>#N/A</v>
      </c>
      <c r="BB18" s="6" t="e">
        <f t="shared" ca="1" si="20"/>
        <v>#N/A</v>
      </c>
      <c r="BC18" s="6" t="e">
        <f t="shared" ca="1" si="20"/>
        <v>#N/A</v>
      </c>
      <c r="BD18" s="6" t="e">
        <f t="shared" ca="1" si="20"/>
        <v>#N/A</v>
      </c>
      <c r="BE18" s="6" t="e">
        <f t="shared" ca="1" si="20"/>
        <v>#N/A</v>
      </c>
      <c r="BF18" s="6" t="e">
        <f t="shared" ca="1" si="20"/>
        <v>#N/A</v>
      </c>
      <c r="BG18" s="6" t="e">
        <f t="shared" ca="1" si="20"/>
        <v>#N/A</v>
      </c>
      <c r="BH18" s="6" t="e">
        <f t="shared" ca="1" si="20"/>
        <v>#N/A</v>
      </c>
      <c r="BI18" s="6" t="e">
        <f t="shared" ca="1" si="20"/>
        <v>#N/A</v>
      </c>
      <c r="BJ18" s="6" t="e">
        <f t="shared" ca="1" si="20"/>
        <v>#N/A</v>
      </c>
    </row>
    <row r="19" spans="1:62" x14ac:dyDescent="0.3">
      <c r="A19" s="64"/>
      <c r="B19" s="62" t="s">
        <v>48</v>
      </c>
      <c r="C19" s="56"/>
      <c r="D19" s="56"/>
      <c r="E19" s="56"/>
      <c r="F19" s="56"/>
      <c r="G19" s="28">
        <f ca="1">IFERROR(scCurrentSprint+(ROUNDUP(scCurrentBalance/scRolling3Contribution,0)*scDaysInSprint),"--")</f>
        <v>43374</v>
      </c>
      <c r="I19" s="7" t="s">
        <v>49</v>
      </c>
      <c r="J19" s="6" t="e">
        <f>IF(ISNA(J6),NA(),J6)</f>
        <v>#N/A</v>
      </c>
      <c r="K19" s="6" t="e">
        <f ca="1">IF(ISNA(J6),IF(ISNA(K6),NA(),K6),NA())</f>
        <v>#N/A</v>
      </c>
      <c r="L19" s="6" t="e">
        <f t="shared" ref="L19:BJ19" ca="1" si="21">IF(ISNA(K6),IF(ISNA(L6),NA(),L6),NA())</f>
        <v>#N/A</v>
      </c>
      <c r="M19" s="6" t="e">
        <f t="shared" ca="1" si="21"/>
        <v>#N/A</v>
      </c>
      <c r="N19" s="6" t="e">
        <f t="shared" ca="1" si="21"/>
        <v>#N/A</v>
      </c>
      <c r="O19" s="6" t="e">
        <f t="shared" ca="1" si="21"/>
        <v>#N/A</v>
      </c>
      <c r="P19" s="6" t="e">
        <f t="shared" ca="1" si="21"/>
        <v>#N/A</v>
      </c>
      <c r="Q19" s="6" t="e">
        <f t="shared" ca="1" si="21"/>
        <v>#N/A</v>
      </c>
      <c r="R19" s="6" t="e">
        <f t="shared" ca="1" si="21"/>
        <v>#N/A</v>
      </c>
      <c r="S19" s="6" t="e">
        <f t="shared" ca="1" si="21"/>
        <v>#N/A</v>
      </c>
      <c r="T19" s="6" t="e">
        <f t="shared" ca="1" si="21"/>
        <v>#N/A</v>
      </c>
      <c r="U19" s="6" t="e">
        <f t="shared" ca="1" si="21"/>
        <v>#N/A</v>
      </c>
      <c r="V19" s="6" t="e">
        <f t="shared" ca="1" si="21"/>
        <v>#N/A</v>
      </c>
      <c r="W19" s="6" t="e">
        <f t="shared" ca="1" si="21"/>
        <v>#N/A</v>
      </c>
      <c r="X19" s="6" t="e">
        <f t="shared" ca="1" si="21"/>
        <v>#N/A</v>
      </c>
      <c r="Y19" s="6" t="e">
        <f t="shared" ca="1" si="21"/>
        <v>#N/A</v>
      </c>
      <c r="Z19" s="6" t="e">
        <f t="shared" ca="1" si="21"/>
        <v>#N/A</v>
      </c>
      <c r="AA19" s="6" t="e">
        <f t="shared" ca="1" si="21"/>
        <v>#N/A</v>
      </c>
      <c r="AB19" s="6" t="e">
        <f t="shared" ca="1" si="21"/>
        <v>#N/A</v>
      </c>
      <c r="AC19" s="6" t="e">
        <f t="shared" ca="1" si="21"/>
        <v>#N/A</v>
      </c>
      <c r="AD19" s="6" t="e">
        <f t="shared" ca="1" si="21"/>
        <v>#N/A</v>
      </c>
      <c r="AE19" s="6" t="e">
        <f t="shared" ca="1" si="21"/>
        <v>#N/A</v>
      </c>
      <c r="AF19" s="6" t="e">
        <f t="shared" ca="1" si="21"/>
        <v>#N/A</v>
      </c>
      <c r="AG19" s="6" t="e">
        <f t="shared" ca="1" si="21"/>
        <v>#N/A</v>
      </c>
      <c r="AH19" s="6">
        <f t="shared" ca="1" si="21"/>
        <v>29</v>
      </c>
      <c r="AI19" s="6" t="e">
        <f t="shared" ca="1" si="21"/>
        <v>#N/A</v>
      </c>
      <c r="AJ19" s="6" t="e">
        <f t="shared" ca="1" si="21"/>
        <v>#N/A</v>
      </c>
      <c r="AK19" s="6" t="e">
        <f t="shared" ca="1" si="21"/>
        <v>#N/A</v>
      </c>
      <c r="AL19" s="6" t="e">
        <f t="shared" ca="1" si="21"/>
        <v>#N/A</v>
      </c>
      <c r="AM19" s="6" t="e">
        <f t="shared" ca="1" si="21"/>
        <v>#N/A</v>
      </c>
      <c r="AN19" s="6" t="e">
        <f t="shared" ca="1" si="21"/>
        <v>#N/A</v>
      </c>
      <c r="AO19" s="6" t="e">
        <f t="shared" ca="1" si="21"/>
        <v>#N/A</v>
      </c>
      <c r="AP19" s="6" t="e">
        <f t="shared" ca="1" si="21"/>
        <v>#N/A</v>
      </c>
      <c r="AQ19" s="6" t="e">
        <f t="shared" ca="1" si="21"/>
        <v>#N/A</v>
      </c>
      <c r="AR19" s="6" t="e">
        <f t="shared" ca="1" si="21"/>
        <v>#N/A</v>
      </c>
      <c r="AS19" s="6" t="e">
        <f t="shared" ca="1" si="21"/>
        <v>#N/A</v>
      </c>
      <c r="AT19" s="6" t="e">
        <f t="shared" ca="1" si="21"/>
        <v>#N/A</v>
      </c>
      <c r="AU19" s="6" t="e">
        <f t="shared" ca="1" si="21"/>
        <v>#N/A</v>
      </c>
      <c r="AV19" s="6" t="e">
        <f t="shared" ca="1" si="21"/>
        <v>#N/A</v>
      </c>
      <c r="AW19" s="6" t="e">
        <f t="shared" ca="1" si="21"/>
        <v>#N/A</v>
      </c>
      <c r="AX19" s="6" t="e">
        <f t="shared" ca="1" si="21"/>
        <v>#N/A</v>
      </c>
      <c r="AY19" s="6" t="e">
        <f t="shared" ca="1" si="21"/>
        <v>#N/A</v>
      </c>
      <c r="AZ19" s="6" t="e">
        <f t="shared" ca="1" si="21"/>
        <v>#N/A</v>
      </c>
      <c r="BA19" s="6" t="e">
        <f t="shared" ca="1" si="21"/>
        <v>#N/A</v>
      </c>
      <c r="BB19" s="6" t="e">
        <f t="shared" ca="1" si="21"/>
        <v>#N/A</v>
      </c>
      <c r="BC19" s="6" t="e">
        <f t="shared" ca="1" si="21"/>
        <v>#N/A</v>
      </c>
      <c r="BD19" s="6" t="e">
        <f t="shared" ca="1" si="21"/>
        <v>#N/A</v>
      </c>
      <c r="BE19" s="6" t="e">
        <f t="shared" ca="1" si="21"/>
        <v>#N/A</v>
      </c>
      <c r="BF19" s="6" t="e">
        <f t="shared" ca="1" si="21"/>
        <v>#N/A</v>
      </c>
      <c r="BG19" s="6" t="e">
        <f t="shared" ca="1" si="21"/>
        <v>#N/A</v>
      </c>
      <c r="BH19" s="6" t="e">
        <f t="shared" ca="1" si="21"/>
        <v>#N/A</v>
      </c>
      <c r="BI19" s="6" t="e">
        <f t="shared" ca="1" si="21"/>
        <v>#N/A</v>
      </c>
      <c r="BJ19" s="6" t="e">
        <f t="shared" ca="1" si="21"/>
        <v>#N/A</v>
      </c>
    </row>
    <row r="20" spans="1:62" x14ac:dyDescent="0.3">
      <c r="A20" s="64"/>
      <c r="B20" s="62" t="s">
        <v>50</v>
      </c>
      <c r="C20" s="56"/>
      <c r="D20" s="56"/>
      <c r="E20" s="56"/>
      <c r="F20" s="56"/>
      <c r="G20" s="31">
        <f ca="1">IFERROR(ROUNDUP(scCurrentBalance/scRolling3Contribution,0),"--")</f>
        <v>1</v>
      </c>
      <c r="I20" s="7" t="s">
        <v>51</v>
      </c>
      <c r="J20" s="6" t="e">
        <f t="shared" ref="J20:AO20" ca="1" si="22">IF(J2=ROUND(scChartWidth/2,0),J14,NA())</f>
        <v>#N/A</v>
      </c>
      <c r="K20" s="6" t="e">
        <f t="shared" ca="1" si="22"/>
        <v>#N/A</v>
      </c>
      <c r="L20" s="6" t="e">
        <f t="shared" ca="1" si="22"/>
        <v>#N/A</v>
      </c>
      <c r="M20" s="6" t="e">
        <f t="shared" ca="1" si="22"/>
        <v>#N/A</v>
      </c>
      <c r="N20" s="6" t="e">
        <f t="shared" ca="1" si="22"/>
        <v>#N/A</v>
      </c>
      <c r="O20" s="6" t="e">
        <f t="shared" ca="1" si="22"/>
        <v>#N/A</v>
      </c>
      <c r="P20" s="6" t="e">
        <f t="shared" ca="1" si="22"/>
        <v>#N/A</v>
      </c>
      <c r="Q20" s="6" t="e">
        <f t="shared" ca="1" si="22"/>
        <v>#N/A</v>
      </c>
      <c r="R20" s="6" t="e">
        <f t="shared" ca="1" si="22"/>
        <v>#N/A</v>
      </c>
      <c r="S20" s="6" t="e">
        <f t="shared" ca="1" si="22"/>
        <v>#N/A</v>
      </c>
      <c r="T20" s="6" t="e">
        <f t="shared" ca="1" si="22"/>
        <v>#N/A</v>
      </c>
      <c r="U20" s="6" t="e">
        <f t="shared" ca="1" si="22"/>
        <v>#N/A</v>
      </c>
      <c r="V20" s="6" t="e">
        <f t="shared" ca="1" si="22"/>
        <v>#N/A</v>
      </c>
      <c r="W20" s="6" t="e">
        <f t="shared" ca="1" si="22"/>
        <v>#N/A</v>
      </c>
      <c r="X20" s="6" t="e">
        <f t="shared" ca="1" si="22"/>
        <v>#N/A</v>
      </c>
      <c r="Y20" s="6">
        <f t="shared" ca="1" si="22"/>
        <v>265</v>
      </c>
      <c r="Z20" s="6" t="e">
        <f t="shared" ca="1" si="22"/>
        <v>#N/A</v>
      </c>
      <c r="AA20" s="6" t="e">
        <f t="shared" ca="1" si="22"/>
        <v>#N/A</v>
      </c>
      <c r="AB20" s="6" t="e">
        <f t="shared" ca="1" si="22"/>
        <v>#N/A</v>
      </c>
      <c r="AC20" s="6" t="e">
        <f t="shared" ca="1" si="22"/>
        <v>#N/A</v>
      </c>
      <c r="AD20" s="6" t="e">
        <f t="shared" ca="1" si="22"/>
        <v>#N/A</v>
      </c>
      <c r="AE20" s="6" t="e">
        <f t="shared" ca="1" si="22"/>
        <v>#N/A</v>
      </c>
      <c r="AF20" s="6" t="e">
        <f t="shared" ca="1" si="22"/>
        <v>#N/A</v>
      </c>
      <c r="AG20" s="6" t="e">
        <f t="shared" ca="1" si="22"/>
        <v>#N/A</v>
      </c>
      <c r="AH20" s="6" t="e">
        <f t="shared" ca="1" si="22"/>
        <v>#N/A</v>
      </c>
      <c r="AI20" s="6" t="e">
        <f t="shared" ca="1" si="22"/>
        <v>#N/A</v>
      </c>
      <c r="AJ20" s="6" t="e">
        <f t="shared" ca="1" si="22"/>
        <v>#N/A</v>
      </c>
      <c r="AK20" s="6" t="e">
        <f t="shared" ca="1" si="22"/>
        <v>#N/A</v>
      </c>
      <c r="AL20" s="6" t="e">
        <f t="shared" ca="1" si="22"/>
        <v>#N/A</v>
      </c>
      <c r="AM20" s="6" t="e">
        <f t="shared" ca="1" si="22"/>
        <v>#N/A</v>
      </c>
      <c r="AN20" s="6" t="e">
        <f t="shared" ca="1" si="22"/>
        <v>#N/A</v>
      </c>
      <c r="AO20" s="6" t="e">
        <f t="shared" ca="1" si="22"/>
        <v>#N/A</v>
      </c>
      <c r="AP20" s="6" t="e">
        <f t="shared" ref="AP20:BJ20" ca="1" si="23">IF(AP2=ROUND(scChartWidth/2,0),AP14,NA())</f>
        <v>#N/A</v>
      </c>
      <c r="AQ20" s="6" t="e">
        <f t="shared" ca="1" si="23"/>
        <v>#N/A</v>
      </c>
      <c r="AR20" s="6" t="e">
        <f t="shared" ca="1" si="23"/>
        <v>#N/A</v>
      </c>
      <c r="AS20" s="6" t="e">
        <f t="shared" ca="1" si="23"/>
        <v>#N/A</v>
      </c>
      <c r="AT20" s="6" t="e">
        <f t="shared" ca="1" si="23"/>
        <v>#N/A</v>
      </c>
      <c r="AU20" s="6" t="e">
        <f t="shared" ca="1" si="23"/>
        <v>#N/A</v>
      </c>
      <c r="AV20" s="6" t="e">
        <f t="shared" ca="1" si="23"/>
        <v>#N/A</v>
      </c>
      <c r="AW20" s="6" t="e">
        <f t="shared" ca="1" si="23"/>
        <v>#N/A</v>
      </c>
      <c r="AX20" s="6" t="e">
        <f t="shared" ca="1" si="23"/>
        <v>#N/A</v>
      </c>
      <c r="AY20" s="6" t="e">
        <f t="shared" ca="1" si="23"/>
        <v>#N/A</v>
      </c>
      <c r="AZ20" s="6" t="e">
        <f t="shared" ca="1" si="23"/>
        <v>#N/A</v>
      </c>
      <c r="BA20" s="6" t="e">
        <f t="shared" ca="1" si="23"/>
        <v>#N/A</v>
      </c>
      <c r="BB20" s="6" t="e">
        <f t="shared" ca="1" si="23"/>
        <v>#N/A</v>
      </c>
      <c r="BC20" s="6" t="e">
        <f t="shared" ca="1" si="23"/>
        <v>#N/A</v>
      </c>
      <c r="BD20" s="6" t="e">
        <f t="shared" ca="1" si="23"/>
        <v>#N/A</v>
      </c>
      <c r="BE20" s="6" t="e">
        <f t="shared" ca="1" si="23"/>
        <v>#N/A</v>
      </c>
      <c r="BF20" s="6" t="e">
        <f t="shared" ca="1" si="23"/>
        <v>#N/A</v>
      </c>
      <c r="BG20" s="6" t="e">
        <f t="shared" ca="1" si="23"/>
        <v>#N/A</v>
      </c>
      <c r="BH20" s="6" t="e">
        <f t="shared" ca="1" si="23"/>
        <v>#N/A</v>
      </c>
      <c r="BI20" s="6" t="e">
        <f t="shared" ca="1" si="23"/>
        <v>#N/A</v>
      </c>
      <c r="BJ20" s="6" t="e">
        <f t="shared" ca="1" si="23"/>
        <v>#N/A</v>
      </c>
    </row>
    <row r="21" spans="1:62" x14ac:dyDescent="0.3">
      <c r="A21" s="64"/>
      <c r="B21" s="62" t="s">
        <v>52</v>
      </c>
      <c r="C21" s="56"/>
      <c r="D21" s="56"/>
      <c r="E21" s="56"/>
      <c r="F21" s="56"/>
      <c r="G21" s="31">
        <f ca="1">IFERROR(scCurrentBalance/scRolling3SprintsLeft,"--")</f>
        <v>29</v>
      </c>
    </row>
    <row r="22" spans="1:62" x14ac:dyDescent="0.3">
      <c r="A22" s="64"/>
      <c r="B22" s="62" t="s">
        <v>53</v>
      </c>
      <c r="C22" s="56"/>
      <c r="D22" s="56"/>
      <c r="E22" s="56"/>
      <c r="F22" s="56"/>
      <c r="G22" s="28">
        <f ca="1">IFERROR(scCurrentSprint+(ROUNDUP(scCurrentBalance/scTotalAvgContribution,0)*scDaysInSprint),"--")</f>
        <v>43374</v>
      </c>
      <c r="I22" s="7" t="s">
        <v>54</v>
      </c>
      <c r="J22" s="6" t="e">
        <f t="shared" ref="J22:AO22" si="24">IF(AND(J3&gt;=scMinSprints,J3&lt;=scMaxSprints),1,NA())</f>
        <v>#N/A</v>
      </c>
      <c r="K22" s="6" t="e">
        <f t="shared" si="24"/>
        <v>#N/A</v>
      </c>
      <c r="L22" s="6" t="e">
        <f t="shared" si="24"/>
        <v>#N/A</v>
      </c>
      <c r="M22" s="6" t="e">
        <f t="shared" si="24"/>
        <v>#N/A</v>
      </c>
      <c r="N22" s="6" t="e">
        <f t="shared" si="24"/>
        <v>#N/A</v>
      </c>
      <c r="O22" s="6" t="e">
        <f t="shared" si="24"/>
        <v>#N/A</v>
      </c>
      <c r="P22" s="6" t="e">
        <f t="shared" si="24"/>
        <v>#N/A</v>
      </c>
      <c r="Q22" s="6" t="e">
        <f t="shared" si="24"/>
        <v>#N/A</v>
      </c>
      <c r="R22" s="6" t="e">
        <f t="shared" si="24"/>
        <v>#N/A</v>
      </c>
      <c r="S22" s="6" t="e">
        <f t="shared" si="24"/>
        <v>#N/A</v>
      </c>
      <c r="T22" s="6" t="e">
        <f t="shared" si="24"/>
        <v>#N/A</v>
      </c>
      <c r="U22" s="6" t="e">
        <f t="shared" si="24"/>
        <v>#N/A</v>
      </c>
      <c r="V22" s="6" t="e">
        <f t="shared" si="24"/>
        <v>#N/A</v>
      </c>
      <c r="W22" s="6" t="e">
        <f t="shared" si="24"/>
        <v>#N/A</v>
      </c>
      <c r="X22" s="6" t="e">
        <f t="shared" si="24"/>
        <v>#N/A</v>
      </c>
      <c r="Y22" s="6" t="e">
        <f t="shared" si="24"/>
        <v>#N/A</v>
      </c>
      <c r="Z22" s="6" t="e">
        <f t="shared" si="24"/>
        <v>#N/A</v>
      </c>
      <c r="AA22" s="6" t="e">
        <f t="shared" si="24"/>
        <v>#N/A</v>
      </c>
      <c r="AB22" s="6" t="e">
        <f t="shared" si="24"/>
        <v>#N/A</v>
      </c>
      <c r="AC22" s="6" t="e">
        <f t="shared" si="24"/>
        <v>#N/A</v>
      </c>
      <c r="AD22" s="6">
        <f t="shared" si="24"/>
        <v>1</v>
      </c>
      <c r="AE22" s="6">
        <f t="shared" si="24"/>
        <v>1</v>
      </c>
      <c r="AF22" s="6">
        <f t="shared" si="24"/>
        <v>1</v>
      </c>
      <c r="AG22" s="6">
        <f t="shared" si="24"/>
        <v>1</v>
      </c>
      <c r="AH22" s="6">
        <f t="shared" si="24"/>
        <v>1</v>
      </c>
      <c r="AI22" s="6">
        <f t="shared" si="24"/>
        <v>1</v>
      </c>
      <c r="AJ22" s="6">
        <f t="shared" si="24"/>
        <v>1</v>
      </c>
      <c r="AK22" s="6">
        <f t="shared" si="24"/>
        <v>1</v>
      </c>
      <c r="AL22" s="6">
        <f t="shared" si="24"/>
        <v>1</v>
      </c>
      <c r="AM22" s="6">
        <f t="shared" si="24"/>
        <v>1</v>
      </c>
      <c r="AN22" s="6">
        <f t="shared" si="24"/>
        <v>1</v>
      </c>
      <c r="AO22" s="6" t="e">
        <f t="shared" si="24"/>
        <v>#N/A</v>
      </c>
      <c r="AP22" s="6" t="e">
        <f t="shared" ref="AP22:BJ22" si="25">IF(AND(AP3&gt;=scMinSprints,AP3&lt;=scMaxSprints),1,NA())</f>
        <v>#N/A</v>
      </c>
      <c r="AQ22" s="6" t="e">
        <f t="shared" si="25"/>
        <v>#N/A</v>
      </c>
      <c r="AR22" s="6" t="e">
        <f t="shared" si="25"/>
        <v>#N/A</v>
      </c>
      <c r="AS22" s="6" t="e">
        <f t="shared" si="25"/>
        <v>#N/A</v>
      </c>
      <c r="AT22" s="6" t="e">
        <f t="shared" si="25"/>
        <v>#N/A</v>
      </c>
      <c r="AU22" s="6" t="e">
        <f t="shared" si="25"/>
        <v>#N/A</v>
      </c>
      <c r="AV22" s="6" t="e">
        <f t="shared" si="25"/>
        <v>#N/A</v>
      </c>
      <c r="AW22" s="6" t="e">
        <f t="shared" si="25"/>
        <v>#N/A</v>
      </c>
      <c r="AX22" s="6" t="e">
        <f t="shared" si="25"/>
        <v>#N/A</v>
      </c>
      <c r="AY22" s="6" t="e">
        <f t="shared" si="25"/>
        <v>#N/A</v>
      </c>
      <c r="AZ22" s="6" t="e">
        <f t="shared" si="25"/>
        <v>#N/A</v>
      </c>
      <c r="BA22" s="6" t="e">
        <f t="shared" si="25"/>
        <v>#N/A</v>
      </c>
      <c r="BB22" s="6" t="e">
        <f t="shared" si="25"/>
        <v>#N/A</v>
      </c>
      <c r="BC22" s="6" t="e">
        <f t="shared" si="25"/>
        <v>#N/A</v>
      </c>
      <c r="BD22" s="6" t="e">
        <f t="shared" si="25"/>
        <v>#N/A</v>
      </c>
      <c r="BE22" s="6" t="e">
        <f t="shared" si="25"/>
        <v>#N/A</v>
      </c>
      <c r="BF22" s="6" t="e">
        <f t="shared" si="25"/>
        <v>#N/A</v>
      </c>
      <c r="BG22" s="6" t="e">
        <f t="shared" si="25"/>
        <v>#N/A</v>
      </c>
      <c r="BH22" s="6" t="e">
        <f t="shared" si="25"/>
        <v>#N/A</v>
      </c>
      <c r="BI22" s="6" t="e">
        <f t="shared" si="25"/>
        <v>#N/A</v>
      </c>
      <c r="BJ22" s="6" t="e">
        <f t="shared" si="25"/>
        <v>#N/A</v>
      </c>
    </row>
    <row r="23" spans="1:62" x14ac:dyDescent="0.3">
      <c r="A23" s="64"/>
      <c r="B23" s="62" t="s">
        <v>55</v>
      </c>
      <c r="C23" s="56"/>
      <c r="D23" s="56"/>
      <c r="E23" s="56"/>
      <c r="F23" s="56"/>
      <c r="G23" s="31">
        <f ca="1">IFERROR(ROUNDUP(scCurrentBalance/scTotalAvgContribution,0),"--")</f>
        <v>1</v>
      </c>
      <c r="I23" s="7" t="s">
        <v>56</v>
      </c>
      <c r="J23" s="6" t="e">
        <f>NA()</f>
        <v>#N/A</v>
      </c>
      <c r="K23" s="6" t="e">
        <f>IF(AND(ISNA(J22),K22=1,COUNTIF($J23:J23,"=0.5")=0),0.5,NA())</f>
        <v>#N/A</v>
      </c>
      <c r="L23" s="6" t="e">
        <f>IF(AND(ISNA(K22),L22=1,COUNTIF($J23:K23,"=0.5")=0),0.5,NA())</f>
        <v>#N/A</v>
      </c>
      <c r="M23" s="6" t="e">
        <f>IF(AND(ISNA(L22),M22=1,COUNTIF($J23:L23,"=0.5")=0),0.5,NA())</f>
        <v>#N/A</v>
      </c>
      <c r="N23" s="6" t="e">
        <f>IF(AND(ISNA(M22),N22=1,COUNTIF($J23:M23,"=0.5")=0),0.5,NA())</f>
        <v>#N/A</v>
      </c>
      <c r="O23" s="6" t="e">
        <f>IF(AND(ISNA(N22),O22=1,COUNTIF($J23:N23,"=0.5")=0),0.5,NA())</f>
        <v>#N/A</v>
      </c>
      <c r="P23" s="6" t="e">
        <f>IF(AND(ISNA(O22),P22=1,COUNTIF($J23:O23,"=0.5")=0),0.5,NA())</f>
        <v>#N/A</v>
      </c>
      <c r="Q23" s="6" t="e">
        <f>IF(AND(ISNA(P22),Q22=1,COUNTIF($J23:P23,"=0.5")=0),0.5,NA())</f>
        <v>#N/A</v>
      </c>
      <c r="R23" s="6" t="e">
        <f>IF(AND(ISNA(Q22),R22=1,COUNTIF($J23:Q23,"=0.5")=0),0.5,NA())</f>
        <v>#N/A</v>
      </c>
      <c r="S23" s="6" t="e">
        <f>IF(AND(ISNA(R22),S22=1,COUNTIF($J23:R23,"=0.5")=0),0.5,NA())</f>
        <v>#N/A</v>
      </c>
      <c r="T23" s="6" t="e">
        <f>IF(AND(ISNA(S22),T22=1,COUNTIF($J23:S23,"=0.5")=0),0.5,NA())</f>
        <v>#N/A</v>
      </c>
      <c r="U23" s="6" t="e">
        <f>IF(AND(ISNA(T22),U22=1,COUNTIF($J23:T23,"=0.5")=0),0.5,NA())</f>
        <v>#N/A</v>
      </c>
      <c r="V23" s="6" t="e">
        <f>IF(AND(ISNA(U22),V22=1,COUNTIF($J23:U23,"=0.5")=0),0.5,NA())</f>
        <v>#N/A</v>
      </c>
      <c r="W23" s="6" t="e">
        <f>IF(AND(ISNA(V22),W22=1,COUNTIF($J23:V23,"=0.5")=0),0.5,NA())</f>
        <v>#N/A</v>
      </c>
      <c r="X23" s="6" t="e">
        <f>IF(AND(ISNA(W22),X22=1,COUNTIF($J23:W23,"=0.5")=0),0.5,NA())</f>
        <v>#N/A</v>
      </c>
      <c r="Y23" s="6" t="e">
        <f>IF(AND(ISNA(X22),Y22=1,COUNTIF($J23:X23,"=0.5")=0),0.5,NA())</f>
        <v>#N/A</v>
      </c>
      <c r="Z23" s="6" t="e">
        <f>IF(AND(ISNA(Y22),Z22=1,COUNTIF($J23:Y23,"=0.5")=0),0.5,NA())</f>
        <v>#N/A</v>
      </c>
      <c r="AA23" s="6" t="e">
        <f>IF(AND(ISNA(Z22),AA22=1,COUNTIF($J23:Z23,"=0.5")=0),0.5,NA())</f>
        <v>#N/A</v>
      </c>
      <c r="AB23" s="6" t="e">
        <f>IF(AND(ISNA(AA22),AB22=1,COUNTIF($J23:AA23,"=0.5")=0),0.5,NA())</f>
        <v>#N/A</v>
      </c>
      <c r="AC23" s="6" t="e">
        <f>IF(AND(ISNA(AB22),AC22=1,COUNTIF($J23:AB23,"=0.5")=0),0.5,NA())</f>
        <v>#N/A</v>
      </c>
      <c r="AD23" s="6">
        <f>IF(AND(ISNA(AC22),AD22=1,COUNTIF($J23:AC23,"=0.5")=0),0.5,NA())</f>
        <v>0.5</v>
      </c>
      <c r="AE23" s="6" t="e">
        <f>IF(AND(ISNA(AD22),AE22=1,COUNTIF($J23:AD23,"=0.5")=0),0.5,NA())</f>
        <v>#N/A</v>
      </c>
      <c r="AF23" s="6" t="e">
        <f>IF(AND(ISNA(AE22),AF22=1,COUNTIF($J23:AE23,"=0.5")=0),0.5,NA())</f>
        <v>#N/A</v>
      </c>
      <c r="AG23" s="6" t="e">
        <f>IF(AND(ISNA(AF22),AG22=1,COUNTIF($J23:AF23,"=0.5")=0),0.5,NA())</f>
        <v>#N/A</v>
      </c>
      <c r="AH23" s="6" t="e">
        <f>IF(AND(ISNA(AG22),AH22=1,COUNTIF($J23:AG23,"=0.5")=0),0.5,NA())</f>
        <v>#N/A</v>
      </c>
      <c r="AI23" s="6" t="e">
        <f>IF(AND(ISNA(AH22),AI22=1,COUNTIF($J23:AH23,"=0.5")=0),0.5,NA())</f>
        <v>#N/A</v>
      </c>
      <c r="AJ23" s="6" t="e">
        <f>IF(AND(ISNA(AI22),AJ22=1,COUNTIF($J23:AI23,"=0.5")=0),0.5,NA())</f>
        <v>#N/A</v>
      </c>
      <c r="AK23" s="6" t="e">
        <f>IF(AND(ISNA(AJ22),AK22=1,COUNTIF($J23:AJ23,"=0.5")=0),0.5,NA())</f>
        <v>#N/A</v>
      </c>
      <c r="AL23" s="6" t="e">
        <f>IF(AND(ISNA(AK22),AL22=1,COUNTIF($J23:AK23,"=0.5")=0),0.5,NA())</f>
        <v>#N/A</v>
      </c>
      <c r="AM23" s="6" t="e">
        <f>IF(AND(ISNA(AL22),AM22=1,COUNTIF($J23:AL23,"=0.5")=0),0.5,NA())</f>
        <v>#N/A</v>
      </c>
      <c r="AN23" s="6" t="e">
        <f>IF(AND(ISNA(AM22),AN22=1,COUNTIF($J23:AM23,"=0.5")=0),0.5,NA())</f>
        <v>#N/A</v>
      </c>
      <c r="AO23" s="6" t="e">
        <f>IF(AND(ISNA(AN22),AO22=1,COUNTIF($J23:AN23,"=0.5")=0),0.5,NA())</f>
        <v>#N/A</v>
      </c>
      <c r="AP23" s="6" t="e">
        <f>IF(AND(ISNA(AO22),AP22=1,COUNTIF($J23:AO23,"=0.5")=0),0.5,NA())</f>
        <v>#N/A</v>
      </c>
      <c r="AQ23" s="6" t="e">
        <f>IF(AND(ISNA(AP22),AQ22=1,COUNTIF($J23:AP23,"=0.5")=0),0.5,NA())</f>
        <v>#N/A</v>
      </c>
      <c r="AR23" s="6" t="e">
        <f>IF(AND(ISNA(AQ22),AR22=1,COUNTIF($J23:AQ23,"=0.5")=0),0.5,NA())</f>
        <v>#N/A</v>
      </c>
      <c r="AS23" s="6" t="e">
        <f>IF(AND(ISNA(AR22),AS22=1,COUNTIF($J23:AR23,"=0.5")=0),0.5,NA())</f>
        <v>#N/A</v>
      </c>
      <c r="AT23" s="6" t="e">
        <f>IF(AND(ISNA(AS22),AT22=1,COUNTIF($J23:AS23,"=0.5")=0),0.5,NA())</f>
        <v>#N/A</v>
      </c>
      <c r="AU23" s="6" t="e">
        <f>IF(AND(ISNA(AT22),AU22=1,COUNTIF($J23:AT23,"=0.5")=0),0.5,NA())</f>
        <v>#N/A</v>
      </c>
      <c r="AV23" s="6" t="e">
        <f>IF(AND(ISNA(AU22),AV22=1,COUNTIF($J23:AU23,"=0.5")=0),0.5,NA())</f>
        <v>#N/A</v>
      </c>
      <c r="AW23" s="6" t="e">
        <f>IF(AND(ISNA(AV22),AW22=1,COUNTIF($J23:AV23,"=0.5")=0),0.5,NA())</f>
        <v>#N/A</v>
      </c>
      <c r="AX23" s="6" t="e">
        <f>IF(AND(ISNA(AW22),AX22=1,COUNTIF($J23:AW23,"=0.5")=0),0.5,NA())</f>
        <v>#N/A</v>
      </c>
      <c r="AY23" s="6" t="e">
        <f>IF(AND(ISNA(AX22),AY22=1,COUNTIF($J23:AX23,"=0.5")=0),0.5,NA())</f>
        <v>#N/A</v>
      </c>
      <c r="AZ23" s="6" t="e">
        <f>IF(AND(ISNA(AY22),AZ22=1,COUNTIF($J23:AY23,"=0.5")=0),0.5,NA())</f>
        <v>#N/A</v>
      </c>
      <c r="BA23" s="6" t="e">
        <f>IF(AND(ISNA(AZ22),BA22=1,COUNTIF($J23:AZ23,"=0.5")=0),0.5,NA())</f>
        <v>#N/A</v>
      </c>
      <c r="BB23" s="6" t="e">
        <f>IF(AND(ISNA(BA22),BB22=1,COUNTIF($J23:BA23,"=0.5")=0),0.5,NA())</f>
        <v>#N/A</v>
      </c>
      <c r="BC23" s="6" t="e">
        <f>IF(AND(ISNA(BB22),BC22=1,COUNTIF($J23:BB23,"=0.5")=0),0.5,NA())</f>
        <v>#N/A</v>
      </c>
      <c r="BD23" s="6" t="e">
        <f>IF(AND(ISNA(BC22),BD22=1,COUNTIF($J23:BC23,"=0.5")=0),0.5,NA())</f>
        <v>#N/A</v>
      </c>
      <c r="BE23" s="6" t="e">
        <f>IF(AND(ISNA(BD22),BE22=1,COUNTIF($J23:BD23,"=0.5")=0),0.5,NA())</f>
        <v>#N/A</v>
      </c>
      <c r="BF23" s="6" t="e">
        <f>IF(AND(ISNA(BE22),BF22=1,COUNTIF($J23:BE23,"=0.5")=0),0.5,NA())</f>
        <v>#N/A</v>
      </c>
      <c r="BG23" s="6" t="e">
        <f>IF(AND(ISNA(BF22),BG22=1,COUNTIF($J23:BF23,"=0.5")=0),0.5,NA())</f>
        <v>#N/A</v>
      </c>
      <c r="BH23" s="6" t="e">
        <f>IF(AND(ISNA(BG22),BH22=1,COUNTIF($J23:BG23,"=0.5")=0),0.5,NA())</f>
        <v>#N/A</v>
      </c>
      <c r="BI23" s="6" t="e">
        <f>IF(AND(ISNA(BH22),BI22=1,COUNTIF($J23:BH23,"=0.5")=0),0.5,NA())</f>
        <v>#N/A</v>
      </c>
      <c r="BJ23" s="6" t="e">
        <f>IF(AND(ISNA(BI22),BJ22=1,COUNTIF($J23:BI23,"=0.5")=0),0.5,NA())</f>
        <v>#N/A</v>
      </c>
    </row>
    <row r="24" spans="1:62" x14ac:dyDescent="0.3">
      <c r="A24" s="64"/>
      <c r="B24" s="62" t="s">
        <v>57</v>
      </c>
      <c r="C24" s="56"/>
      <c r="D24" s="56"/>
      <c r="E24" s="56"/>
      <c r="F24" s="56"/>
      <c r="G24" s="31">
        <f ca="1">IFERROR(scCurrentBalance/scTotAvgSprintsLeft,"--")</f>
        <v>29</v>
      </c>
      <c r="J24" s="9"/>
    </row>
    <row r="25" spans="1:62" x14ac:dyDescent="0.3">
      <c r="A25" s="64"/>
      <c r="B25" s="62" t="s">
        <v>58</v>
      </c>
      <c r="C25" s="56"/>
      <c r="D25" s="56"/>
      <c r="E25" s="56"/>
      <c r="F25" s="56"/>
      <c r="G25" s="28">
        <f>scGoalDate</f>
        <v>43374</v>
      </c>
      <c r="J25" s="9"/>
    </row>
    <row r="26" spans="1:62" ht="15" thickBot="1" x14ac:dyDescent="0.35">
      <c r="A26" s="65"/>
      <c r="B26" s="68" t="s">
        <v>59</v>
      </c>
      <c r="C26" s="60"/>
      <c r="D26" s="60"/>
      <c r="E26" s="60"/>
      <c r="F26" s="60"/>
      <c r="G26" s="29">
        <f>scOriginalEstimate/scGoalSprintCount</f>
        <v>52</v>
      </c>
      <c r="J26" s="9"/>
    </row>
    <row r="27" spans="1:62" x14ac:dyDescent="0.3">
      <c r="A27" s="8"/>
      <c r="B27" s="57" t="s">
        <v>60</v>
      </c>
      <c r="C27" s="58"/>
      <c r="D27" s="58"/>
      <c r="E27" s="58"/>
      <c r="F27" s="58"/>
      <c r="G27" s="26">
        <f>ROUNDUP(scGoalSprintCount*0.8,0)</f>
        <v>20</v>
      </c>
    </row>
    <row r="28" spans="1:62" x14ac:dyDescent="0.3">
      <c r="A28" s="8"/>
      <c r="B28" s="55" t="s">
        <v>61</v>
      </c>
      <c r="C28" s="56"/>
      <c r="D28" s="56"/>
      <c r="E28" s="56"/>
      <c r="F28" s="56"/>
      <c r="G28" s="27">
        <f>scOriginalEstimate/scMinSprints</f>
        <v>65</v>
      </c>
    </row>
    <row r="29" spans="1:62" x14ac:dyDescent="0.3">
      <c r="B29" s="55" t="s">
        <v>62</v>
      </c>
      <c r="C29" s="56"/>
      <c r="D29" s="56"/>
      <c r="E29" s="56"/>
      <c r="F29" s="56"/>
      <c r="G29" s="27">
        <f>ROUNDUP(scGoalSprintCount*1.2,0)</f>
        <v>30</v>
      </c>
    </row>
    <row r="30" spans="1:62" ht="15" thickBot="1" x14ac:dyDescent="0.35">
      <c r="B30" s="59" t="s">
        <v>63</v>
      </c>
      <c r="C30" s="60"/>
      <c r="D30" s="60"/>
      <c r="E30" s="60"/>
      <c r="F30" s="60"/>
      <c r="G30" s="29">
        <f>scOriginalEstimate/scMaxSprints</f>
        <v>43.333333333333336</v>
      </c>
    </row>
    <row r="31" spans="1:62" ht="15" thickBot="1" x14ac:dyDescent="0.35">
      <c r="B31" s="66" t="s">
        <v>64</v>
      </c>
      <c r="C31" s="67"/>
      <c r="D31" s="67"/>
      <c r="E31" s="67"/>
      <c r="F31" s="67"/>
      <c r="G31" s="32">
        <f ca="1">IFERROR(ROUNDUP(scOriginalEstimate/scRolling3Velocity,0),"--")</f>
        <v>19</v>
      </c>
    </row>
    <row r="32" spans="1:62" ht="15" thickBot="1" x14ac:dyDescent="0.35">
      <c r="B32" s="66" t="s">
        <v>65</v>
      </c>
      <c r="C32" s="67"/>
      <c r="D32" s="67"/>
      <c r="E32" s="67"/>
      <c r="F32" s="67"/>
      <c r="G32" s="32">
        <f ca="1">IFERROR(ROUNDUP(scOriginalEstimate/scRolling3Velocity,0),"--")</f>
        <v>19</v>
      </c>
    </row>
  </sheetData>
  <mergeCells count="32">
    <mergeCell ref="B32:F32"/>
    <mergeCell ref="B29:F29"/>
    <mergeCell ref="B30:F30"/>
    <mergeCell ref="B31:F31"/>
    <mergeCell ref="B25:F25"/>
    <mergeCell ref="B26:F26"/>
    <mergeCell ref="A16:A26"/>
    <mergeCell ref="B27:F27"/>
    <mergeCell ref="B28:F28"/>
    <mergeCell ref="B18:F18"/>
    <mergeCell ref="B20:F20"/>
    <mergeCell ref="B21:F21"/>
    <mergeCell ref="B23:F23"/>
    <mergeCell ref="B24:F24"/>
    <mergeCell ref="B15:F15"/>
    <mergeCell ref="B14:F14"/>
    <mergeCell ref="B16:F16"/>
    <mergeCell ref="B19:F19"/>
    <mergeCell ref="B22:F22"/>
    <mergeCell ref="B17:F17"/>
    <mergeCell ref="B13:F13"/>
    <mergeCell ref="B7:F7"/>
    <mergeCell ref="B5:F5"/>
    <mergeCell ref="B4:F4"/>
    <mergeCell ref="B2:F2"/>
    <mergeCell ref="B3:F3"/>
    <mergeCell ref="B6:F6"/>
    <mergeCell ref="B8:F8"/>
    <mergeCell ref="B9:F9"/>
    <mergeCell ref="B10:F10"/>
    <mergeCell ref="B11:F11"/>
    <mergeCell ref="B12:F12"/>
  </mergeCells>
  <pageMargins left="0.7" right="0.7" top="0.75" bottom="0.75" header="0.3" footer="0.3"/>
  <pageSetup orientation="portrait" verticalDpi="0" r:id="rId1"/>
  <headerFooter>
    <oddHeader>&amp;L&amp;"wingdings,Bold"&amp;10&amp;KFFFF00ll&amp;"Arial,Regular"&amp;K000000PROTECTED 関係者外秘</oddHeader>
    <evenHeader>&amp;L&amp;"wingdings,Bold"&amp;10&amp;KFFFF00ll&amp;"Arial,Regular"&amp;K000000PROTECTED 関係者外秘</evenHeader>
    <firstHeader>&amp;L&amp;"wingdings,Bold"&amp;10&amp;KFFFF00ll&amp;"Arial,Regular"&amp;K000000PROTECTED 関係者外秘</first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D40"/>
  <sheetViews>
    <sheetView topLeftCell="G1" zoomScale="75" zoomScaleNormal="75" zoomScalePageLayoutView="200" workbookViewId="0">
      <selection activeCell="G41" sqref="A41:XFD44"/>
    </sheetView>
  </sheetViews>
  <sheetFormatPr defaultColWidth="8.77734375" defaultRowHeight="14.4" x14ac:dyDescent="0.3"/>
  <cols>
    <col min="1" max="1" width="2.77734375" style="12" hidden="1" customWidth="1"/>
    <col min="2" max="2" width="11.44140625" style="12" hidden="1" customWidth="1"/>
    <col min="3" max="6" width="8.77734375" style="12" hidden="1" customWidth="1"/>
    <col min="7" max="21" width="8.77734375" style="12"/>
    <col min="22" max="30" width="8.77734375" style="33"/>
    <col min="31" max="16384" width="8.77734375" style="12"/>
  </cols>
  <sheetData>
    <row r="1" spans="2:23" ht="15" customHeight="1" thickBot="1" x14ac:dyDescent="0.35">
      <c r="G1" s="69" t="str">
        <f>IF(scContributionRows=0,"",CONCATENATE(scTitle," Burndown Chart"))</f>
        <v>HXF -  (Sept) Release Burndown Chart</v>
      </c>
      <c r="H1" s="69"/>
      <c r="I1" s="69"/>
      <c r="J1" s="69"/>
      <c r="K1" s="69"/>
      <c r="L1" s="69"/>
      <c r="M1" s="69"/>
      <c r="N1" s="69"/>
      <c r="O1" s="69"/>
      <c r="P1" s="69"/>
      <c r="Q1" s="69"/>
      <c r="R1" s="69"/>
      <c r="S1" s="69"/>
      <c r="T1" s="69"/>
      <c r="U1" s="11"/>
      <c r="V1" s="13" t="e">
        <f>IF(scContributionRows&gt;0,NA(),1)</f>
        <v>#N/A</v>
      </c>
      <c r="W1" s="11"/>
    </row>
    <row r="2" spans="2:23" ht="15.9" customHeight="1" thickBot="1" x14ac:dyDescent="0.35">
      <c r="B2" s="74" t="s">
        <v>66</v>
      </c>
      <c r="C2" s="75"/>
      <c r="D2" s="75"/>
      <c r="E2" s="75"/>
      <c r="F2" s="76"/>
      <c r="G2" s="69"/>
      <c r="H2" s="69"/>
      <c r="I2" s="69"/>
      <c r="J2" s="69"/>
      <c r="K2" s="69"/>
      <c r="L2" s="69"/>
      <c r="M2" s="69"/>
      <c r="N2" s="69"/>
      <c r="O2" s="69"/>
      <c r="P2" s="69"/>
      <c r="Q2" s="69"/>
      <c r="R2" s="69"/>
      <c r="S2" s="69"/>
      <c r="T2" s="69"/>
      <c r="U2" s="11"/>
      <c r="V2" s="11"/>
      <c r="W2" s="11"/>
    </row>
    <row r="3" spans="2:23" ht="15" thickBot="1" x14ac:dyDescent="0.35">
      <c r="B3" s="77" t="s">
        <v>67</v>
      </c>
      <c r="C3" s="78"/>
      <c r="D3" s="78"/>
      <c r="E3" s="78"/>
      <c r="F3" s="14" t="s">
        <v>68</v>
      </c>
      <c r="G3" s="12" t="b">
        <f>IF(F3="Show",TRUE,FALSE)</f>
        <v>1</v>
      </c>
      <c r="H3" s="12" t="s">
        <v>69</v>
      </c>
    </row>
    <row r="4" spans="2:23" ht="14.4" customHeight="1" thickBot="1" x14ac:dyDescent="0.35">
      <c r="B4" s="79" t="s">
        <v>70</v>
      </c>
      <c r="C4" s="72"/>
      <c r="D4" s="72"/>
      <c r="E4" s="72"/>
      <c r="F4" s="14" t="s">
        <v>68</v>
      </c>
      <c r="G4" s="12" t="b">
        <f>IF(F4="Show",TRUE,FALSE)</f>
        <v>1</v>
      </c>
      <c r="H4" s="12" t="s">
        <v>71</v>
      </c>
    </row>
    <row r="5" spans="2:23" ht="15" thickBot="1" x14ac:dyDescent="0.35">
      <c r="B5" s="15"/>
      <c r="C5" s="72" t="s">
        <v>72</v>
      </c>
      <c r="D5" s="72"/>
      <c r="E5" s="72"/>
      <c r="F5" s="16" t="s">
        <v>68</v>
      </c>
      <c r="G5" s="12" t="b">
        <f t="shared" ref="G5:G11" si="0">IF(F5="Show",TRUE,FALSE)</f>
        <v>1</v>
      </c>
      <c r="H5" s="12" t="s">
        <v>73</v>
      </c>
    </row>
    <row r="6" spans="2:23" ht="15" thickBot="1" x14ac:dyDescent="0.35">
      <c r="B6" s="15"/>
      <c r="C6" s="72" t="s">
        <v>74</v>
      </c>
      <c r="D6" s="72"/>
      <c r="E6" s="72"/>
      <c r="F6" s="16" t="s">
        <v>68</v>
      </c>
      <c r="G6" s="12" t="b">
        <f t="shared" si="0"/>
        <v>1</v>
      </c>
      <c r="H6" s="12" t="s">
        <v>75</v>
      </c>
    </row>
    <row r="7" spans="2:23" ht="15" thickBot="1" x14ac:dyDescent="0.35">
      <c r="B7" s="17"/>
      <c r="C7" s="73" t="s">
        <v>23</v>
      </c>
      <c r="D7" s="73"/>
      <c r="E7" s="73"/>
      <c r="F7" s="16" t="s">
        <v>68</v>
      </c>
      <c r="G7" s="12" t="b">
        <f t="shared" si="0"/>
        <v>1</v>
      </c>
      <c r="H7" s="12" t="s">
        <v>76</v>
      </c>
    </row>
    <row r="8" spans="2:23" ht="5.0999999999999996" hidden="1" customHeight="1" thickBot="1" x14ac:dyDescent="0.35">
      <c r="B8" s="18"/>
      <c r="C8" s="19"/>
      <c r="D8" s="19"/>
      <c r="E8" s="19"/>
      <c r="F8" s="20"/>
    </row>
    <row r="9" spans="2:23" ht="15" hidden="1" thickBot="1" x14ac:dyDescent="0.35">
      <c r="B9" s="70" t="s">
        <v>77</v>
      </c>
      <c r="C9" s="72" t="s">
        <v>72</v>
      </c>
      <c r="D9" s="72"/>
      <c r="E9" s="72"/>
      <c r="F9" s="16" t="s">
        <v>78</v>
      </c>
      <c r="G9" s="12" t="b">
        <f t="shared" si="0"/>
        <v>0</v>
      </c>
      <c r="H9" s="12" t="s">
        <v>79</v>
      </c>
    </row>
    <row r="10" spans="2:23" ht="15" hidden="1" thickBot="1" x14ac:dyDescent="0.35">
      <c r="B10" s="70"/>
      <c r="C10" s="72" t="s">
        <v>74</v>
      </c>
      <c r="D10" s="72"/>
      <c r="E10" s="72"/>
      <c r="F10" s="16" t="s">
        <v>78</v>
      </c>
      <c r="G10" s="12" t="b">
        <f t="shared" si="0"/>
        <v>0</v>
      </c>
      <c r="H10" s="12" t="s">
        <v>80</v>
      </c>
    </row>
    <row r="11" spans="2:23" ht="15" hidden="1" thickBot="1" x14ac:dyDescent="0.35">
      <c r="B11" s="71"/>
      <c r="C11" s="73" t="s">
        <v>23</v>
      </c>
      <c r="D11" s="73"/>
      <c r="E11" s="73"/>
      <c r="F11" s="16" t="s">
        <v>78</v>
      </c>
      <c r="G11" s="12" t="b">
        <f t="shared" si="0"/>
        <v>0</v>
      </c>
      <c r="H11" s="12" t="s">
        <v>81</v>
      </c>
    </row>
    <row r="15" spans="2:23" ht="14.4" customHeight="1" x14ac:dyDescent="0.3"/>
    <row r="28" spans="24:24" x14ac:dyDescent="0.3">
      <c r="X28" s="33" t="s">
        <v>82</v>
      </c>
    </row>
    <row r="40" spans="7:7" x14ac:dyDescent="0.3">
      <c r="G40" s="41" t="s">
        <v>91</v>
      </c>
    </row>
  </sheetData>
  <sheetProtection selectLockedCells="1" selectUnlockedCells="1"/>
  <mergeCells count="11">
    <mergeCell ref="G1:T2"/>
    <mergeCell ref="B9:B11"/>
    <mergeCell ref="C9:E9"/>
    <mergeCell ref="C10:E10"/>
    <mergeCell ref="C11:E11"/>
    <mergeCell ref="B2:F2"/>
    <mergeCell ref="B3:E3"/>
    <mergeCell ref="B4:E4"/>
    <mergeCell ref="C7:E7"/>
    <mergeCell ref="C6:E6"/>
    <mergeCell ref="C5:E5"/>
  </mergeCells>
  <dataValidations count="1">
    <dataValidation type="list" allowBlank="1" showInputMessage="1" showErrorMessage="1" sqref="F3:F7 F9:F11" xr:uid="{00000000-0002-0000-0400-000000000000}">
      <formula1>"Show,Hide"</formula1>
    </dataValidation>
  </dataValidations>
  <pageMargins left="0.7" right="0.7" top="0.75" bottom="0.75" header="0.3" footer="0.3"/>
  <pageSetup orientation="landscape" r:id="rId1"/>
  <headerFooter>
    <oddHeader>&amp;L&amp;"wingdings,Bold"&amp;10&amp;KFFFF00ll&amp;"Arial,Regular"&amp;K000000PROTECTED 関係者外秘</oddHeader>
    <evenHeader>&amp;L&amp;"wingdings,Bold"&amp;10&amp;KFFFF00ll&amp;"Arial,Regular"&amp;K000000PROTECTED 関係者外秘</evenHeader>
    <firstHeader>&amp;L&amp;"wingdings,Bold"&amp;10&amp;KFFFF00ll&amp;"Arial,Regular"&amp;K000000PROTECTED 関係者外秘</first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62</vt:i4>
      </vt:variant>
    </vt:vector>
  </HeadingPairs>
  <TitlesOfParts>
    <vt:vector size="67" baseType="lpstr">
      <vt:lpstr>Setup</vt:lpstr>
      <vt:lpstr>Sheet4</vt:lpstr>
      <vt:lpstr>Contribution Tracking</vt:lpstr>
      <vt:lpstr>Calc</vt:lpstr>
      <vt:lpstr>Projector</vt:lpstr>
      <vt:lpstr>Projector!Print_Area</vt:lpstr>
      <vt:lpstr>scBalance</vt:lpstr>
      <vt:lpstr>scChartWidth</vt:lpstr>
      <vt:lpstr>scContributionRows</vt:lpstr>
      <vt:lpstr>scContributionTop</vt:lpstr>
      <vt:lpstr>scCurrentBalance</vt:lpstr>
      <vt:lpstr>scCurrentSprint</vt:lpstr>
      <vt:lpstr>scDaysInSprint</vt:lpstr>
      <vt:lpstr>scFirstSprint</vt:lpstr>
      <vt:lpstr>scGoalDate</vt:lpstr>
      <vt:lpstr>scGoalProj</vt:lpstr>
      <vt:lpstr>scGoalPSCon</vt:lpstr>
      <vt:lpstr>scGoalSprintCount</vt:lpstr>
      <vt:lpstr>scMaxHead</vt:lpstr>
      <vt:lpstr>scMaxPSCon</vt:lpstr>
      <vt:lpstr>scMaxSprints</vt:lpstr>
      <vt:lpstr>scMinHead</vt:lpstr>
      <vt:lpstr>scMinPSCon</vt:lpstr>
      <vt:lpstr>scMinSprints</vt:lpstr>
      <vt:lpstr>scOriginalEstimate</vt:lpstr>
      <vt:lpstr>scPeriodLabels</vt:lpstr>
      <vt:lpstr>scProgMarker</vt:lpstr>
      <vt:lpstr>scR3Proj</vt:lpstr>
      <vt:lpstr>scRolling3Contribution</vt:lpstr>
      <vt:lpstr>scRolling3Projection</vt:lpstr>
      <vt:lpstr>scRolling3PSCon</vt:lpstr>
      <vt:lpstr>scRolling3SprintsLeft</vt:lpstr>
      <vt:lpstr>scRolling3Velocity</vt:lpstr>
      <vt:lpstr>scScope</vt:lpstr>
      <vt:lpstr>scScopeChange</vt:lpstr>
      <vt:lpstr>scScopeTop</vt:lpstr>
      <vt:lpstr>scShade</vt:lpstr>
      <vt:lpstr>scShow3RCon</vt:lpstr>
      <vt:lpstr>scShow3RVel</vt:lpstr>
      <vt:lpstr>scShowOrig</vt:lpstr>
      <vt:lpstr>scShowOTProj</vt:lpstr>
      <vt:lpstr>scShowTACon</vt:lpstr>
      <vt:lpstr>scShowTAVel</vt:lpstr>
      <vt:lpstr>scShowYWCon</vt:lpstr>
      <vt:lpstr>scShowYWVel</vt:lpstr>
      <vt:lpstr>scTAProj</vt:lpstr>
      <vt:lpstr>scTitle</vt:lpstr>
      <vt:lpstr>scTotalAvgContribution</vt:lpstr>
      <vt:lpstr>scTotalAvgVelocity</vt:lpstr>
      <vt:lpstr>scTotAvgProjection</vt:lpstr>
      <vt:lpstr>scTotAvgPSCon</vt:lpstr>
      <vt:lpstr>scTotAvgSprintsLeft</vt:lpstr>
      <vt:lpstr>scVelMarker</vt:lpstr>
      <vt:lpstr>scVelocityRows</vt:lpstr>
      <vt:lpstr>scVelocityTop</vt:lpstr>
      <vt:lpstr>scVelProj</vt:lpstr>
      <vt:lpstr>scVelSprintsLeft</vt:lpstr>
      <vt:lpstr>scWeekdayChart</vt:lpstr>
      <vt:lpstr>scWeekdayCodes</vt:lpstr>
      <vt:lpstr>scYesterdaysWeather</vt:lpstr>
      <vt:lpstr>scYWMarker</vt:lpstr>
      <vt:lpstr>scYWProj</vt:lpstr>
      <vt:lpstr>scYWProjection</vt:lpstr>
      <vt:lpstr>scYWPSCon</vt:lpstr>
      <vt:lpstr>scYWSprintsLeft</vt:lpstr>
      <vt:lpstr>scZoneBase</vt:lpstr>
      <vt:lpstr>scZoneMarker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Scott Downey</dc:creator>
  <cp:keywords/>
  <dc:description/>
  <cp:lastModifiedBy>Lakshminarayanan Mukundagiri (TMNA)</cp:lastModifiedBy>
  <cp:revision/>
  <cp:lastPrinted>2018-03-27T16:25:09Z</cp:lastPrinted>
  <dcterms:created xsi:type="dcterms:W3CDTF">2006-09-16T00:00:00Z</dcterms:created>
  <dcterms:modified xsi:type="dcterms:W3CDTF">2018-10-02T14:45:11Z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31127199-436d-467e-bd53-71dd8b1eb259</vt:lpwstr>
  </property>
  <property fmtid="{D5CDD505-2E9C-101B-9397-08002B2CF9AE}" pid="3" name="ToyotaClassification">
    <vt:lpwstr>PROTECTED</vt:lpwstr>
  </property>
  <property fmtid="{D5CDD505-2E9C-101B-9397-08002B2CF9AE}" pid="4" name="ToyotaVisualMarkings">
    <vt:lpwstr>Top Left</vt:lpwstr>
  </property>
</Properties>
</file>