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ntinsheridan/Documents/UserStories/US9726/"/>
    </mc:Choice>
  </mc:AlternateContent>
  <xr:revisionPtr revIDLastSave="0" documentId="8_{E38E0565-64E0-2145-A058-46B5DF579978}" xr6:coauthVersionLast="46" xr6:coauthVersionMax="46" xr10:uidLastSave="{00000000-0000-0000-0000-000000000000}"/>
  <bookViews>
    <workbookView xWindow="0" yWindow="460" windowWidth="35840" windowHeight="20340" xr2:uid="{00000000-000D-0000-FFFF-FFFF00000000}"/>
  </bookViews>
  <sheets>
    <sheet name="Institution" sheetId="1" r:id="rId1"/>
    <sheet name="Account" sheetId="2" r:id="rId2"/>
    <sheet name="Investment Type" sheetId="3" r:id="rId3"/>
  </sheets>
  <definedNames>
    <definedName name="_xlnm.Print_Area" localSheetId="1">Account!$A$1:$O$158</definedName>
    <definedName name="_xlnm.Print_Area" localSheetId="0">Institution!$A$1:$O$55</definedName>
    <definedName name="_xlnm.Print_Area" localSheetId="2">'Investment Type'!$A$1:$W$243</definedName>
    <definedName name="_xlnm.Print_Titles" localSheetId="1">Account!$5:$8</definedName>
    <definedName name="_xlnm.Print_Titles" localSheetId="0">Institution!$5:$7</definedName>
    <definedName name="_xlnm.Print_Titles" localSheetId="2">'Investment Type'!$5:$8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7" i="3" l="1"/>
  <c r="K157" i="3"/>
  <c r="U194" i="3" l="1"/>
  <c r="M194" i="3"/>
  <c r="K194" i="3"/>
  <c r="I194" i="3"/>
  <c r="G194" i="3"/>
  <c r="W192" i="3"/>
  <c r="W174" i="3"/>
  <c r="W168" i="3"/>
  <c r="W133" i="3"/>
  <c r="W194" i="3" s="1"/>
  <c r="M87" i="3"/>
  <c r="K87" i="3"/>
  <c r="I87" i="3"/>
  <c r="G87" i="3"/>
  <c r="W85" i="3"/>
  <c r="W21" i="3"/>
  <c r="O129" i="2"/>
  <c r="I129" i="2"/>
  <c r="I127" i="2"/>
  <c r="O124" i="2"/>
  <c r="I124" i="2"/>
  <c r="I122" i="2"/>
  <c r="O119" i="2"/>
  <c r="I119" i="2"/>
  <c r="I117" i="2"/>
  <c r="I116" i="2"/>
  <c r="I115" i="2"/>
  <c r="I114" i="2"/>
  <c r="I113" i="2"/>
  <c r="I112" i="2"/>
  <c r="K109" i="2"/>
  <c r="G109" i="2"/>
  <c r="C109" i="2"/>
  <c r="O107" i="2"/>
  <c r="I107" i="2"/>
  <c r="I105" i="2"/>
  <c r="O102" i="2"/>
  <c r="I102" i="2"/>
  <c r="I100" i="2"/>
  <c r="O96" i="2"/>
  <c r="I96" i="2"/>
  <c r="I94" i="2"/>
  <c r="I93" i="2"/>
  <c r="I79" i="2"/>
  <c r="I78" i="2"/>
  <c r="I92" i="2"/>
  <c r="I91" i="2"/>
  <c r="I90" i="2"/>
  <c r="I89" i="2"/>
  <c r="I88" i="2"/>
  <c r="I87" i="2"/>
  <c r="I86" i="2"/>
  <c r="I85" i="2"/>
  <c r="I84" i="2"/>
  <c r="I83" i="2"/>
  <c r="E83" i="2"/>
  <c r="I82" i="2"/>
  <c r="E82" i="2"/>
  <c r="I81" i="2"/>
  <c r="I80" i="2"/>
  <c r="I77" i="2"/>
  <c r="M74" i="2"/>
  <c r="K74" i="2"/>
  <c r="K131" i="2" s="1"/>
  <c r="G74" i="2"/>
  <c r="C74" i="2"/>
  <c r="E90" i="2" s="1"/>
  <c r="O72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E59" i="2"/>
  <c r="I58" i="2"/>
  <c r="I57" i="2"/>
  <c r="I56" i="2"/>
  <c r="I55" i="2"/>
  <c r="I54" i="2"/>
  <c r="I53" i="2"/>
  <c r="I52" i="2"/>
  <c r="I51" i="2"/>
  <c r="I50" i="2"/>
  <c r="I49" i="2"/>
  <c r="I48" i="2"/>
  <c r="I47" i="2"/>
  <c r="E47" i="2"/>
  <c r="I46" i="2"/>
  <c r="I45" i="2"/>
  <c r="I44" i="2"/>
  <c r="I43" i="2"/>
  <c r="I42" i="2"/>
  <c r="E42" i="2"/>
  <c r="I41" i="2"/>
  <c r="E41" i="2"/>
  <c r="I40" i="2"/>
  <c r="I39" i="2"/>
  <c r="O36" i="2"/>
  <c r="I36" i="2"/>
  <c r="I34" i="2"/>
  <c r="I33" i="2"/>
  <c r="I32" i="2"/>
  <c r="E32" i="2"/>
  <c r="I31" i="2"/>
  <c r="I30" i="2"/>
  <c r="O26" i="2"/>
  <c r="I26" i="2"/>
  <c r="I24" i="2"/>
  <c r="I23" i="2"/>
  <c r="O20" i="2"/>
  <c r="I20" i="2"/>
  <c r="I18" i="2"/>
  <c r="I17" i="2"/>
  <c r="I16" i="2"/>
  <c r="I15" i="2"/>
  <c r="I14" i="2"/>
  <c r="I13" i="2"/>
  <c r="E13" i="2"/>
  <c r="I12" i="2"/>
  <c r="E12" i="2"/>
  <c r="I11" i="2"/>
  <c r="I10" i="2"/>
  <c r="O50" i="1"/>
  <c r="I50" i="1"/>
  <c r="I48" i="1"/>
  <c r="E48" i="1"/>
  <c r="E50" i="1" s="1"/>
  <c r="I46" i="1"/>
  <c r="E46" i="1"/>
  <c r="I44" i="1"/>
  <c r="E44" i="1"/>
  <c r="I42" i="1"/>
  <c r="E42" i="1"/>
  <c r="I40" i="1"/>
  <c r="E40" i="1"/>
  <c r="O30" i="1"/>
  <c r="I30" i="1"/>
  <c r="I28" i="1"/>
  <c r="E28" i="1"/>
  <c r="I26" i="1"/>
  <c r="E26" i="1"/>
  <c r="I24" i="1"/>
  <c r="E24" i="1"/>
  <c r="I22" i="1"/>
  <c r="E22" i="1"/>
  <c r="I20" i="1"/>
  <c r="E20" i="1"/>
  <c r="I18" i="1"/>
  <c r="E18" i="1"/>
  <c r="I16" i="1"/>
  <c r="E16" i="1"/>
  <c r="I14" i="1"/>
  <c r="E14" i="1"/>
  <c r="I12" i="1"/>
  <c r="E12" i="1"/>
  <c r="I10" i="1"/>
  <c r="E10" i="1"/>
  <c r="E30" i="1" s="1"/>
  <c r="I109" i="2" l="1"/>
  <c r="E53" i="2"/>
  <c r="E112" i="2"/>
  <c r="E65" i="2"/>
  <c r="E100" i="2"/>
  <c r="E102" i="2" s="1"/>
  <c r="O109" i="2"/>
  <c r="I196" i="3"/>
  <c r="G196" i="3"/>
  <c r="W87" i="3"/>
  <c r="K196" i="3"/>
  <c r="E48" i="2"/>
  <c r="I74" i="2"/>
  <c r="E55" i="2"/>
  <c r="E85" i="2"/>
  <c r="E116" i="2"/>
  <c r="E43" i="2"/>
  <c r="O74" i="2"/>
  <c r="O131" i="2" s="1"/>
  <c r="E50" i="2"/>
  <c r="E56" i="2"/>
  <c r="E62" i="2"/>
  <c r="E68" i="2"/>
  <c r="E77" i="2"/>
  <c r="E86" i="2"/>
  <c r="E79" i="2"/>
  <c r="E54" i="2"/>
  <c r="E34" i="2"/>
  <c r="E60" i="2"/>
  <c r="E24" i="2"/>
  <c r="E49" i="2"/>
  <c r="E61" i="2"/>
  <c r="E67" i="2"/>
  <c r="E44" i="2"/>
  <c r="E16" i="2"/>
  <c r="E51" i="2"/>
  <c r="E57" i="2"/>
  <c r="E63" i="2"/>
  <c r="E69" i="2"/>
  <c r="E87" i="2"/>
  <c r="E93" i="2"/>
  <c r="E91" i="2"/>
  <c r="E14" i="2"/>
  <c r="E23" i="2"/>
  <c r="E26" i="2" s="1"/>
  <c r="E66" i="2"/>
  <c r="E39" i="2"/>
  <c r="E45" i="2"/>
  <c r="E10" i="2"/>
  <c r="E17" i="2"/>
  <c r="E30" i="2"/>
  <c r="E40" i="2"/>
  <c r="E46" i="2"/>
  <c r="E81" i="2"/>
  <c r="E18" i="2"/>
  <c r="E31" i="2"/>
  <c r="E52" i="2"/>
  <c r="E58" i="2"/>
  <c r="E64" i="2"/>
  <c r="E70" i="2"/>
  <c r="E122" i="2"/>
  <c r="E124" i="2" s="1"/>
  <c r="E115" i="2"/>
  <c r="C131" i="2"/>
  <c r="E80" i="2"/>
  <c r="E84" i="2"/>
  <c r="E88" i="2"/>
  <c r="E92" i="2"/>
  <c r="E94" i="2"/>
  <c r="E113" i="2"/>
  <c r="E117" i="2"/>
  <c r="G131" i="2"/>
  <c r="E89" i="2"/>
  <c r="E78" i="2"/>
  <c r="E105" i="2"/>
  <c r="E107" i="2" s="1"/>
  <c r="E109" i="2" s="1"/>
  <c r="E114" i="2"/>
  <c r="E127" i="2"/>
  <c r="E129" i="2" s="1"/>
  <c r="E11" i="2"/>
  <c r="E15" i="2"/>
  <c r="E33" i="2"/>
  <c r="E36" i="2" l="1"/>
  <c r="E72" i="2"/>
  <c r="E74" i="2" s="1"/>
  <c r="E119" i="2"/>
  <c r="E20" i="2"/>
  <c r="E96" i="2"/>
  <c r="I131" i="2"/>
  <c r="E131" i="2" l="1"/>
</calcChain>
</file>

<file path=xl/sharedStrings.xml><?xml version="1.0" encoding="utf-8"?>
<sst xmlns="http://schemas.openxmlformats.org/spreadsheetml/2006/main" count="1450" uniqueCount="486">
  <si>
    <t>SANDAG</t>
  </si>
  <si>
    <t>Summary of Portfolio Balances (by Institution)</t>
  </si>
  <si>
    <t>as of  June 30, 2020</t>
  </si>
  <si>
    <t>Wtd Avg.</t>
  </si>
  <si>
    <t>Book</t>
  </si>
  <si>
    <t>Percent of</t>
  </si>
  <si>
    <t>Market</t>
  </si>
  <si>
    <t>Unrealized</t>
  </si>
  <si>
    <t>Yield on</t>
  </si>
  <si>
    <t>Days to</t>
  </si>
  <si>
    <t>Institution</t>
  </si>
  <si>
    <t>Value</t>
  </si>
  <si>
    <t>Portfolio</t>
  </si>
  <si>
    <t>Price</t>
  </si>
  <si>
    <t>Gain/(Loss)</t>
  </si>
  <si>
    <t>Cost</t>
  </si>
  <si>
    <t>Maturity</t>
  </si>
  <si>
    <t>US BANK, N.A.</t>
  </si>
  <si>
    <t>N/A</t>
  </si>
  <si>
    <t>STATE OF CALIFORNIA LOCAL AGENCY INVESTMENT FUND</t>
  </si>
  <si>
    <t>CALIFORNIA ASSET MANAGEMENT PROGRAM (CAMP) INDIVIDUAL PORTFOLIO</t>
  </si>
  <si>
    <t>CAMP CASH RESERVE PORTFOLIO</t>
  </si>
  <si>
    <t>US BANK TRUST</t>
  </si>
  <si>
    <t>US BANK INDIVIDUAL PORTFOLIO</t>
  </si>
  <si>
    <t>US BANK CASH RESERVE PORTFOLIO</t>
  </si>
  <si>
    <t>SAN DIEGO COUNTY TREASURER'S POOLED MONEY FUND</t>
  </si>
  <si>
    <t>CALIFORNIA BANK AND TRUST</t>
  </si>
  <si>
    <t>WELLS FARGO BANK, N.A.</t>
  </si>
  <si>
    <t>TOTAL</t>
  </si>
  <si>
    <t>Summary of Portfolio Balances (by Agency)</t>
  </si>
  <si>
    <t>Agency</t>
  </si>
  <si>
    <t>SANDAG FUNDS</t>
  </si>
  <si>
    <t xml:space="preserve">AUTOMATED REGIONAL JUSTICE INFORMATION SYSTEM FUNDS </t>
  </si>
  <si>
    <t>SOURCEPOINT FUNDS</t>
  </si>
  <si>
    <t>CORONADO BRIDGE TOLL FUNDS</t>
  </si>
  <si>
    <t>SAN DIEGO COUNTY REGIONAL TRANSPORTATION COMMISSION FUNDS</t>
  </si>
  <si>
    <t>Note: In addition to the funds held above, there is $4,950 petty cash held at SANDAG.</t>
  </si>
  <si>
    <t>Detail of Portfolio Balances (by Account)</t>
  </si>
  <si>
    <t>DO NOT PRINT THIS COLUMN</t>
  </si>
  <si>
    <t>Institution / Account</t>
  </si>
  <si>
    <t>US BANK, N.A.:</t>
  </si>
  <si>
    <t>Checking - (ARJIS)</t>
  </si>
  <si>
    <t>1-575-0323-9715</t>
  </si>
  <si>
    <t>Checking - (RTC) TransNet Sales Tax</t>
  </si>
  <si>
    <t>1-575-0323-9699</t>
  </si>
  <si>
    <t>Checking - (SANDAG) Flexible Spending Acct (FSA)</t>
  </si>
  <si>
    <t>1-575-0323-9665</t>
  </si>
  <si>
    <t>Checking - (SANDAG) General</t>
  </si>
  <si>
    <t>1-575-0323-8261</t>
  </si>
  <si>
    <t>Checking - (SANDAG) Interstate 15 (I-15) FasTrak®</t>
  </si>
  <si>
    <t>1-575-0323-9756</t>
  </si>
  <si>
    <t>Checking - (SANDAG) SAFE Program Account</t>
  </si>
  <si>
    <t>1-575-0323-9673</t>
  </si>
  <si>
    <t>Checking - (SANDAG) State Route 125 (SR-125) Collection Account</t>
  </si>
  <si>
    <t>1-575-0323-9749</t>
  </si>
  <si>
    <t>Checking - (SANDAG) State Route 125 (SR-125) Payment Account</t>
  </si>
  <si>
    <t>1-575-0323-9707</t>
  </si>
  <si>
    <t>Checking - (SourcePoint)</t>
  </si>
  <si>
    <t>1-575-0323-9681</t>
  </si>
  <si>
    <t>TOTAL US BANK, N.A.</t>
  </si>
  <si>
    <t>STATE OF CA LOCAL AGENCY INVESTMENT FUND (LAIF):</t>
  </si>
  <si>
    <t xml:space="preserve">(RTC) TransNet </t>
  </si>
  <si>
    <t>80-37-006</t>
  </si>
  <si>
    <t>(SANDAG)</t>
  </si>
  <si>
    <t>80-37-008</t>
  </si>
  <si>
    <t>TOTAL LAIF</t>
  </si>
  <si>
    <t>CALIFORNIA ASSET MANAGEMENT PROGRAM (CAMP):</t>
  </si>
  <si>
    <t xml:space="preserve">  INDIVIDUAL PORTFOLIO:</t>
  </si>
  <si>
    <t>(RTC) Sage Hill Endowment</t>
  </si>
  <si>
    <t>12512455</t>
  </si>
  <si>
    <t>(RTC) TransNet 2008 Bond Proceeds A/B/C/D Reserve Fund</t>
  </si>
  <si>
    <t>12512456</t>
  </si>
  <si>
    <t>(RTC) TransNet Program Reserve</t>
  </si>
  <si>
    <t>12512474</t>
  </si>
  <si>
    <t xml:space="preserve">(RTC) TransNet Sales Tax </t>
  </si>
  <si>
    <t>12512454</t>
  </si>
  <si>
    <t>(SANDAG) South Bay Toll Rd Capital Expenditures</t>
  </si>
  <si>
    <t>12512462</t>
  </si>
  <si>
    <t>TOTAL INDIVIDUAL PORTFOLIO</t>
  </si>
  <si>
    <t xml:space="preserve">  CASH RESERVE PORTFOLIO:</t>
  </si>
  <si>
    <t>(ARJIS)</t>
  </si>
  <si>
    <t>579-00</t>
  </si>
  <si>
    <t>(RTC) 2008 Bond Series A - Principal</t>
  </si>
  <si>
    <t>5-38</t>
  </si>
  <si>
    <t>(RTC) 2008 Bond Series A/B/C/D Reserve Fund</t>
  </si>
  <si>
    <t>5-37</t>
  </si>
  <si>
    <t>(RTC) 2008 Bond Series B - Principal</t>
  </si>
  <si>
    <t>5-39</t>
  </si>
  <si>
    <t>(RTC) 2008 Bond Series C - Principal</t>
  </si>
  <si>
    <t>5-40</t>
  </si>
  <si>
    <t>(RTC) 2008 Bond Series D - Principal</t>
  </si>
  <si>
    <t>5-41</t>
  </si>
  <si>
    <t>(RTC) 2008 Sales Tax Account - TransNet Extension</t>
  </si>
  <si>
    <t>595-00</t>
  </si>
  <si>
    <t>(RTC) 2010 Bond Series A - Interest</t>
  </si>
  <si>
    <t>5-49</t>
  </si>
  <si>
    <t>(RTC) 2012 Bond Series A - Interest</t>
  </si>
  <si>
    <t>5-51</t>
  </si>
  <si>
    <t>(RTC) 2012 Bond Series A - Principal</t>
  </si>
  <si>
    <t>5-52</t>
  </si>
  <si>
    <t>(RTC) 2014 Bond Series A Interest</t>
  </si>
  <si>
    <t>5001-003</t>
  </si>
  <si>
    <t>(RTC) 2014 Bond Series A Principal</t>
  </si>
  <si>
    <t>5001-002</t>
  </si>
  <si>
    <t>(RTC) 2016 Bond Series A Interest</t>
  </si>
  <si>
    <t>5001-008</t>
  </si>
  <si>
    <t>(RTC) 2016 Bond Series A Principal</t>
  </si>
  <si>
    <t>5001-007</t>
  </si>
  <si>
    <t>(RTC) 2018 Bond Series A Interest</t>
  </si>
  <si>
    <t>5001-011</t>
  </si>
  <si>
    <t>(RTC) 2020 Bond Series A Interest</t>
  </si>
  <si>
    <t>7077-001</t>
  </si>
  <si>
    <t>(RTC) 2020 Bond Series A Principal</t>
  </si>
  <si>
    <t>7077-000</t>
  </si>
  <si>
    <t>(RTC) Custody Account</t>
  </si>
  <si>
    <t>595-04</t>
  </si>
  <si>
    <t>595-02</t>
  </si>
  <si>
    <t>595-03</t>
  </si>
  <si>
    <t>(RTC) Wetland Mitigation TransNet Sales Tax</t>
  </si>
  <si>
    <t>595-01</t>
  </si>
  <si>
    <t>(SANDAG) 2019 Series AB Cap- I Fund</t>
  </si>
  <si>
    <t>5-60</t>
  </si>
  <si>
    <t>(SANDAG) 2019 Series AB DSR Fund</t>
  </si>
  <si>
    <t>5-62</t>
  </si>
  <si>
    <t>(SANDAG) 2019 Series AB Project Fund</t>
  </si>
  <si>
    <t>5-58</t>
  </si>
  <si>
    <t>(SANDAG) California Coastal Commission</t>
  </si>
  <si>
    <t>602-00</t>
  </si>
  <si>
    <t>(SANDAG) Coronado Bridge Toll Funds</t>
  </si>
  <si>
    <t>602-04</t>
  </si>
  <si>
    <t>(SANDAG) El Portal Project</t>
  </si>
  <si>
    <t>602-08</t>
  </si>
  <si>
    <t>(SANDAG) I-15 FasTrak®</t>
  </si>
  <si>
    <t>5-30</t>
  </si>
  <si>
    <t>(SANDAG) SR 125</t>
  </si>
  <si>
    <t>602-02</t>
  </si>
  <si>
    <t>5-54</t>
  </si>
  <si>
    <t>5-56</t>
  </si>
  <si>
    <t>(SANDAG) Shoreline Management</t>
  </si>
  <si>
    <t>602-06</t>
  </si>
  <si>
    <t>TOTAL CASH RESERVE PORTFOLIO</t>
  </si>
  <si>
    <t>TOTAL CAMP</t>
  </si>
  <si>
    <t>US BANK TRUST:</t>
  </si>
  <si>
    <t>Money Market - (RTC) 2008 Bond Series A/B/C/D Main Interest</t>
  </si>
  <si>
    <t>122565014</t>
  </si>
  <si>
    <t>Money Market - (RTC) 2010 Revenue Bonds Series B Interest</t>
  </si>
  <si>
    <t>122565030</t>
  </si>
  <si>
    <t>Money Market - (RTC) 2010 Revenue Bonds Series B Principal</t>
  </si>
  <si>
    <t>122565031</t>
  </si>
  <si>
    <t>Money Market - (RTC) 2019 Revenue Bond Series A COI</t>
  </si>
  <si>
    <t>226698003</t>
  </si>
  <si>
    <t>Money Market - (RTC) 2019 Revenue Bond Series A Interest</t>
  </si>
  <si>
    <t>226698000</t>
  </si>
  <si>
    <t>Money Market - (RTC) 2020 Revenue Bond Series A COI</t>
  </si>
  <si>
    <t>226698103</t>
  </si>
  <si>
    <t>Money Market - (RTC) 2020 Revenue Bond Series A Project Fund</t>
  </si>
  <si>
    <t>226698102</t>
  </si>
  <si>
    <t>Money Market - (RTC) Commercial Paper Notes Series B Interest</t>
  </si>
  <si>
    <t>791735000</t>
  </si>
  <si>
    <t>Money Market - (RTC) Commercial Paper Notes Series B Principal</t>
  </si>
  <si>
    <t>791735001</t>
  </si>
  <si>
    <t>Money Market - (RTC) Commercial Paper Series B - NCTD Interest</t>
  </si>
  <si>
    <t>122565015</t>
  </si>
  <si>
    <t xml:space="preserve">Money Market - (SANDAG) Grant RCPT 19 A &amp; B COI </t>
  </si>
  <si>
    <t>275321006</t>
  </si>
  <si>
    <t>Money Market - (SANDAG) SR 125 2017 Bond Series A</t>
  </si>
  <si>
    <t>214516000</t>
  </si>
  <si>
    <t xml:space="preserve">Money Market - (SANDAG) SR 125 2017 Bond Series A Interest </t>
  </si>
  <si>
    <t>214516007</t>
  </si>
  <si>
    <t xml:space="preserve">Money Market - (SANDAG) SR 125 2017 Bond Series A Principal </t>
  </si>
  <si>
    <t>214516008</t>
  </si>
  <si>
    <t xml:space="preserve">Money Market - (SANDAG) SR 125 2017 Bond Series A Reserve </t>
  </si>
  <si>
    <t>214516002</t>
  </si>
  <si>
    <t>Money Market - (SANDAG) SR 125 FasTrak Customer Prepaid Fund</t>
  </si>
  <si>
    <t>214516020</t>
  </si>
  <si>
    <t>Certificates of Participation - (RTC) North County Transit District</t>
  </si>
  <si>
    <t>Capital Project Retention Accounts</t>
  </si>
  <si>
    <t>TOTAL US BANK</t>
  </si>
  <si>
    <t xml:space="preserve">US BANK: </t>
  </si>
  <si>
    <t>(RTC) TransNet Extension</t>
  </si>
  <si>
    <t>6745048700</t>
  </si>
  <si>
    <t xml:space="preserve">  CASH RESERVE:</t>
  </si>
  <si>
    <t xml:space="preserve">TOTAL CASH RESERVE </t>
  </si>
  <si>
    <t>TOTAL  US BANK</t>
  </si>
  <si>
    <t>SAN DIEGO COUNTY TREASURER'S POOLED MONEY FUND:</t>
  </si>
  <si>
    <t>44059</t>
  </si>
  <si>
    <t xml:space="preserve">(RTC) 2020 Bonds </t>
  </si>
  <si>
    <t>44569</t>
  </si>
  <si>
    <t xml:space="preserve">(RTC) TransNet Extension </t>
  </si>
  <si>
    <t>44058</t>
  </si>
  <si>
    <t>44054</t>
  </si>
  <si>
    <t>(SANDAG) SAFE Program</t>
  </si>
  <si>
    <t>44568</t>
  </si>
  <si>
    <t>(SourcePoint) Cash Reserve Fund</t>
  </si>
  <si>
    <t>44564</t>
  </si>
  <si>
    <t>TOTAL SAN DIEGO COUNTY TREASURER'S POOLED MONEY FUND</t>
  </si>
  <si>
    <t>CALIFORNIA BANK AND TRUST:</t>
  </si>
  <si>
    <t>TOTAL CALIFORNIA BANK AND TRUST</t>
  </si>
  <si>
    <t>WELLS FARGO BANK, N.A.:</t>
  </si>
  <si>
    <t>(SANDAG) Section 115 Pension Trust</t>
  </si>
  <si>
    <t>26103400</t>
  </si>
  <si>
    <t>TOTAL WELLS FARGO BANK, N.A.</t>
  </si>
  <si>
    <t>Legend:</t>
  </si>
  <si>
    <t xml:space="preserve">     Automated Regional Justice Information System (ARJIS)</t>
  </si>
  <si>
    <t xml:space="preserve">     Commercial Paper (CP)</t>
  </si>
  <si>
    <t xml:space="preserve">     State of California Local Agency Investment Fund (LAIF)</t>
  </si>
  <si>
    <t xml:space="preserve">     North County Transit District (NCTD)</t>
  </si>
  <si>
    <t xml:space="preserve">     San Diego County Regional Transportation Commission (RTC)</t>
  </si>
  <si>
    <t>Detail of Portfolio Balances (by Investment Type)</t>
  </si>
  <si>
    <t>Wtd. Avg.</t>
  </si>
  <si>
    <t>Trade</t>
  </si>
  <si>
    <t>Par</t>
  </si>
  <si>
    <t>S&amp;P</t>
  </si>
  <si>
    <t>Moody's</t>
  </si>
  <si>
    <t>Fitch</t>
  </si>
  <si>
    <t>Yield</t>
  </si>
  <si>
    <t>Investment</t>
  </si>
  <si>
    <t>Date</t>
  </si>
  <si>
    <t>Rating</t>
  </si>
  <si>
    <t>on Cost</t>
  </si>
  <si>
    <t>Cash and cash equivalents:</t>
  </si>
  <si>
    <t xml:space="preserve">  Demand deposits:</t>
  </si>
  <si>
    <t>NR</t>
  </si>
  <si>
    <t>(RTC) TransNet Sales Tax</t>
  </si>
  <si>
    <t>(SANDAG) Flexible Spending Acct (FSA)</t>
  </si>
  <si>
    <t>(SANDAG) General</t>
  </si>
  <si>
    <t>(SANDAG) Interstate 15 (I-15) FasTrak®</t>
  </si>
  <si>
    <t>(SANDAG) SAFE Program Account</t>
  </si>
  <si>
    <t>(SANDAG) State Route 125 (SR-125) Collection Account</t>
  </si>
  <si>
    <t>(SANDAG) State Route 125 (SR-125) Payment Account</t>
  </si>
  <si>
    <t>(SourcePoint)</t>
  </si>
  <si>
    <t>Total demand deposits</t>
  </si>
  <si>
    <t xml:space="preserve">  Money market accounts and funds:</t>
  </si>
  <si>
    <t>CAMP Cash Reserve Portfolio - (ARJIS)</t>
  </si>
  <si>
    <t>AAAm</t>
  </si>
  <si>
    <t>CAMP Cash Reserve Portfolio - (RTC) 2008 Bond Series A - Principal</t>
  </si>
  <si>
    <t>CAMP Cash Reserve Portfolio - (RTC) 2008 Bond Series A/B/C/D Reserve Fund</t>
  </si>
  <si>
    <t>CAMP Cash Reserve Portfolio - (RTC) 2008 Bond Series B - Principal</t>
  </si>
  <si>
    <t>CAMP Cash Reserve Portfolio - (RTC) 2008 Bond Series C - Principal</t>
  </si>
  <si>
    <t>CAMP Cash Reserve Portfolio - (RTC) 2008 Bond Series D - Principal</t>
  </si>
  <si>
    <t>CAMP Cash Reserve Portfolio - (RTC) 2008 Sales Tax Account - TransNet Extension</t>
  </si>
  <si>
    <t>CAMP Cash Reserve Portfolio - (RTC) 2010 Bond Series A - Interest</t>
  </si>
  <si>
    <t>CAMP Cash Reserve Portfolio - (RTC) 2012 Bond Series A - Interest</t>
  </si>
  <si>
    <t>CAMP Cash Reserve Portfolio - (RTC) 2012 Bond Series A - Principal</t>
  </si>
  <si>
    <t>CAMP Cash Reserve Portfolio - (RTC) 2014 Bond Series A Interest</t>
  </si>
  <si>
    <t>CAMP Cash Reserve Portfolio - (RTC) 2014 Bond Series A Principal</t>
  </si>
  <si>
    <t>CAMP Cash Reserve Portfolio - (RTC) 2016 Bond Series A Interest</t>
  </si>
  <si>
    <t>CAMP Cash Reserve Portfolio - (RTC) 2016 Bond Series A Principal</t>
  </si>
  <si>
    <t>CAMP Cash Reserve Portfolio - (RTC) 2018 Bond Series A Interest</t>
  </si>
  <si>
    <t>CAMP Cash Reserve Portfolio - (RTC) 2020 Bond Series A Interest</t>
  </si>
  <si>
    <t>CAMP Cash Reserve Portfolio - (RTC) 2020 Bond Series A Principal</t>
  </si>
  <si>
    <t>CAMP Cash Reserve Portfolio - (RTC) Custody Account</t>
  </si>
  <si>
    <t>CAMP Cash Reserve Portfolio - (RTC) Sage Hill Endowment</t>
  </si>
  <si>
    <t>CAMP Cash Reserve Portfolio - (RTC) TransNet Program Reserve</t>
  </si>
  <si>
    <t>CAMP Cash Reserve Portfolio - (RTC) Wetland Mitigation TransNet Sales Tax</t>
  </si>
  <si>
    <t>CAMP Cash Reserve Portfolio - (SANDAG) 2019 Series AB Cap- I Fund</t>
  </si>
  <si>
    <t>CAMP Cash Reserve Portfolio - (SANDAG) 2019 Series AB DSR Fund</t>
  </si>
  <si>
    <t>CAMP Cash Reserve Portfolio - (SANDAG) 2019 Series AB Project Fund</t>
  </si>
  <si>
    <t>CAMP Cash Reserve Portfolio - (SANDAG) California Coastal Commission</t>
  </si>
  <si>
    <t>CAMP Cash Reserve Portfolio - (SANDAG) Coronado Bridge Toll Funds</t>
  </si>
  <si>
    <t>CAMP Cash Reserve Portfolio - (SANDAG) El Portal Project</t>
  </si>
  <si>
    <t>CAMP Cash Reserve Portfolio - (SANDAG) I-15 FasTrak®</t>
  </si>
  <si>
    <t>CAMP Cash Reserve Portfolio - (SANDAG) SANDAG Shoreline Management</t>
  </si>
  <si>
    <t>CAMP Cash Reserve Portfolio - (SANDAG) SR 125</t>
  </si>
  <si>
    <t>San Diego County Treasurer's Pooled Money Fund - (ARJIS)</t>
  </si>
  <si>
    <t>AAAf / S1</t>
  </si>
  <si>
    <t>San Diego County Treasurer's Pooled Money Fund - (RTC) 2020 Bonds</t>
  </si>
  <si>
    <t>San Diego County Treasurer's Pooled Money Fund - (RTC) TransNet Extension</t>
  </si>
  <si>
    <t>San Diego County Treasurer's Pooled Money Fund - (SANDAG) I-15 FasTrak®</t>
  </si>
  <si>
    <t>San Diego County Treasurer's Pooled Money Fund - (SANDAG) SAFE Program</t>
  </si>
  <si>
    <t>San Diego County Treasurer's Pooled Money Fund - (SourcePoint)</t>
  </si>
  <si>
    <t>State of CA Local Agency Investment Fund (LAIF) - (RTC) TransNet</t>
  </si>
  <si>
    <t>State of CA Local Agency Investment Fund (LAIF) - (SANDAG)</t>
  </si>
  <si>
    <t>US Bank Cash Reserve Portfolio - (RTC) TransNet Extension</t>
  </si>
  <si>
    <t>Wells Fargo - (SANDAG) Section 115 Pension Trust</t>
  </si>
  <si>
    <t>Capital Project Retention Accounts - US Bank</t>
  </si>
  <si>
    <t>US Bank - retention accts</t>
  </si>
  <si>
    <t>Capital Project Retention Accounts - CA Bank &amp; Trust</t>
  </si>
  <si>
    <t>CA Bank and Trust - retention accts</t>
  </si>
  <si>
    <t>Total money market accounts and funds</t>
  </si>
  <si>
    <t>Total cash and cash equivalents</t>
  </si>
  <si>
    <t>Investments:</t>
  </si>
  <si>
    <t xml:space="preserve">  U.S. Agencies:</t>
  </si>
  <si>
    <t>FEDERAL FARM CREDIT BANK</t>
  </si>
  <si>
    <t>09/17/2019</t>
  </si>
  <si>
    <t>09/10/2024</t>
  </si>
  <si>
    <t>AA+</t>
  </si>
  <si>
    <t>Aaa</t>
  </si>
  <si>
    <t>AAA</t>
  </si>
  <si>
    <t>02/26/2019</t>
  </si>
  <si>
    <t>02/11/2021</t>
  </si>
  <si>
    <t>03/10/2020</t>
  </si>
  <si>
    <t>03/11/2022</t>
  </si>
  <si>
    <t>03/24/2020</t>
  </si>
  <si>
    <t>06/30/2022</t>
  </si>
  <si>
    <t>06/24/2019</t>
  </si>
  <si>
    <t>02/08/2023</t>
  </si>
  <si>
    <t>04/11/2019</t>
  </si>
  <si>
    <t>04/05/2023</t>
  </si>
  <si>
    <t>05/15/2019</t>
  </si>
  <si>
    <t>11/08/2023</t>
  </si>
  <si>
    <t>08/27/2019</t>
  </si>
  <si>
    <t>07/26/2024</t>
  </si>
  <si>
    <t>FEDERAL HOME LOAN BANK</t>
  </si>
  <si>
    <t>10/01/2020</t>
  </si>
  <si>
    <t>-</t>
  </si>
  <si>
    <t>03/01/2019</t>
  </si>
  <si>
    <t>06/11/2021</t>
  </si>
  <si>
    <t>12/09/2022</t>
  </si>
  <si>
    <t>03/10/2023</t>
  </si>
  <si>
    <t>03/06/2019</t>
  </si>
  <si>
    <t>11/29/2021</t>
  </si>
  <si>
    <t>03/12/2021</t>
  </si>
  <si>
    <t>FEDERAL HOME LOAN MORTGAGE CORP</t>
  </si>
  <si>
    <t>11/08/2019</t>
  </si>
  <si>
    <t>01/13/2022</t>
  </si>
  <si>
    <t>02/26/2020</t>
  </si>
  <si>
    <t>07/13/2022</t>
  </si>
  <si>
    <t>04/08/2020</t>
  </si>
  <si>
    <t>04/20/2023</t>
  </si>
  <si>
    <t>FEDERAL NATIONAL MORTGAGE ASSOCIATION</t>
  </si>
  <si>
    <t>04/23/2019</t>
  </si>
  <si>
    <t>04/12/2022</t>
  </si>
  <si>
    <t>07/02/2024</t>
  </si>
  <si>
    <t>07/01/2019</t>
  </si>
  <si>
    <t>10/05/2022</t>
  </si>
  <si>
    <t>10/25/2019</t>
  </si>
  <si>
    <t>09/06/2022</t>
  </si>
  <si>
    <t>FHLB NOTES</t>
  </si>
  <si>
    <t>09/07/2017</t>
  </si>
  <si>
    <t>09/28/2020</t>
  </si>
  <si>
    <t>01/03/2018</t>
  </si>
  <si>
    <t>FHLMC NOTES</t>
  </si>
  <si>
    <t>10/26/2017</t>
  </si>
  <si>
    <t>09/29/2020</t>
  </si>
  <si>
    <t>12/01/2017</t>
  </si>
  <si>
    <t>11/17/2020</t>
  </si>
  <si>
    <t>FNMA NOTES</t>
  </si>
  <si>
    <t>07/28/2017</t>
  </si>
  <si>
    <t>07/30/2020</t>
  </si>
  <si>
    <t>08/30/2017</t>
  </si>
  <si>
    <t>08/02/2017</t>
  </si>
  <si>
    <t>UNITED STATES TREASURY NOTE/BOND</t>
  </si>
  <si>
    <t>06/13/2019</t>
  </si>
  <si>
    <t>08/31/2023</t>
  </si>
  <si>
    <t>12/23/2019</t>
  </si>
  <si>
    <t>11/30/2020</t>
  </si>
  <si>
    <t>12/15/2021</t>
  </si>
  <si>
    <t>05/31/2023</t>
  </si>
  <si>
    <t>09/30/2023</t>
  </si>
  <si>
    <t>09/27/2019</t>
  </si>
  <si>
    <t>04/30/2024</t>
  </si>
  <si>
    <t>US TREASURY N/B</t>
  </si>
  <si>
    <t>07/11/2019</t>
  </si>
  <si>
    <t>07/15/2020</t>
  </si>
  <si>
    <t>US TREASURY NOTES</t>
  </si>
  <si>
    <t>09/01/2017</t>
  </si>
  <si>
    <t>08/15/2020</t>
  </si>
  <si>
    <t>11/01/2017</t>
  </si>
  <si>
    <t>10/31/2020</t>
  </si>
  <si>
    <t>03/25/2019</t>
  </si>
  <si>
    <t>03/31/2021</t>
  </si>
  <si>
    <t>Total U.S. Agencies</t>
  </si>
  <si>
    <t xml:space="preserve">  Corporate Medium Term Notes:</t>
  </si>
  <si>
    <t>BANK OF AMERICA CORP</t>
  </si>
  <si>
    <t>10/19/2020</t>
  </si>
  <si>
    <t>A-</t>
  </si>
  <si>
    <t>A2</t>
  </si>
  <si>
    <t>A+</t>
  </si>
  <si>
    <t>BRANCH BANKING &amp; TRUST (CALLABLE) NOTES</t>
  </si>
  <si>
    <t>10/23/2017</t>
  </si>
  <si>
    <t>02/01/2021</t>
  </si>
  <si>
    <t>A3</t>
  </si>
  <si>
    <t>CATERPILLAR FINANCIAL SERVICES</t>
  </si>
  <si>
    <t>03/14/2019</t>
  </si>
  <si>
    <t>02/26/2022</t>
  </si>
  <si>
    <t>A</t>
  </si>
  <si>
    <t>05/16/2019</t>
  </si>
  <si>
    <t>12/07/2023</t>
  </si>
  <si>
    <t>CATERPILLAR FINL SERVICE NOTE</t>
  </si>
  <si>
    <t>09/05/2017</t>
  </si>
  <si>
    <t>09/04/2020</t>
  </si>
  <si>
    <t>CHEVRON</t>
  </si>
  <si>
    <t>06/24/2023</t>
  </si>
  <si>
    <t>AA</t>
  </si>
  <si>
    <t>Aa2</t>
  </si>
  <si>
    <t>CISCO SYSTEMS INC</t>
  </si>
  <si>
    <t>09/20/2021</t>
  </si>
  <si>
    <t>AA-</t>
  </si>
  <si>
    <t>A1</t>
  </si>
  <si>
    <t>CITIBANK</t>
  </si>
  <si>
    <t>05/31/2019</t>
  </si>
  <si>
    <t>07/23/2021</t>
  </si>
  <si>
    <t>Aa3</t>
  </si>
  <si>
    <t>HOME DEPOT INC</t>
  </si>
  <si>
    <t>03/01/2022</t>
  </si>
  <si>
    <t>HONEYWELL INTERNATIONAL</t>
  </si>
  <si>
    <t>08/15/2024</t>
  </si>
  <si>
    <t>INTERNATIONAL BUSINESS MACHINES CORP</t>
  </si>
  <si>
    <t>09/04/2019</t>
  </si>
  <si>
    <t>08/01/2023</t>
  </si>
  <si>
    <t>JOHN DEERE CAPITAL CORP NOTES</t>
  </si>
  <si>
    <t>01/08/2021</t>
  </si>
  <si>
    <t>JP MORGAN CHASE &amp; CO</t>
  </si>
  <si>
    <t>10/17/2019</t>
  </si>
  <si>
    <t>03/01/2021</t>
  </si>
  <si>
    <t>MICROSOFT CORP</t>
  </si>
  <si>
    <t>07/18/2019</t>
  </si>
  <si>
    <t>02/06/2024</t>
  </si>
  <si>
    <t>ORACLE CORP</t>
  </si>
  <si>
    <t>05/15/2022</t>
  </si>
  <si>
    <t>PFIZER INC</t>
  </si>
  <si>
    <t>09/30/2019</t>
  </si>
  <si>
    <t>05/15/2024</t>
  </si>
  <si>
    <t>PNC BANK</t>
  </si>
  <si>
    <t>02/07/2020</t>
  </si>
  <si>
    <t>07/25/2023</t>
  </si>
  <si>
    <t>STATE STREET CORP NOTES</t>
  </si>
  <si>
    <t>08/18/2020</t>
  </si>
  <si>
    <t>WELLS FARGO AND CO</t>
  </si>
  <si>
    <t>12/02/2019</t>
  </si>
  <si>
    <t>07/22/2020</t>
  </si>
  <si>
    <t>Total Corporate Medium Notes</t>
  </si>
  <si>
    <t xml:space="preserve">  Supra-National Agency Bond/Note</t>
  </si>
  <si>
    <t>INT'L BANK FOR RECON AND DEVELOPMENT</t>
  </si>
  <si>
    <t>09/12/2020</t>
  </si>
  <si>
    <t>INTER-AMERICAN DEVELOPMENT BANK</t>
  </si>
  <si>
    <t>01/16/2020</t>
  </si>
  <si>
    <t>11/09/2020</t>
  </si>
  <si>
    <t>03/05/2019</t>
  </si>
  <si>
    <t>04/19/2021</t>
  </si>
  <si>
    <t>04/24/2020</t>
  </si>
  <si>
    <t>10/02/2017</t>
  </si>
  <si>
    <t>INTERNATIONAL FINANCE CORPORATION NOTE</t>
  </si>
  <si>
    <t>01/18/2018</t>
  </si>
  <si>
    <t>01/25/2021</t>
  </si>
  <si>
    <t>INTL BANK OF RECONSTRUCTION AND DEV NOTE</t>
  </si>
  <si>
    <t>09/12/2017</t>
  </si>
  <si>
    <t>Total Supra-National Agency Bond/Notes</t>
  </si>
  <si>
    <t xml:space="preserve"> </t>
  </si>
  <si>
    <t xml:space="preserve">  Certificates of Deposits:</t>
  </si>
  <si>
    <t>SWEDBANK (NEW YORK) CERT DEPOS</t>
  </si>
  <si>
    <t>11/16/2017</t>
  </si>
  <si>
    <t>11/16/2020</t>
  </si>
  <si>
    <t>A-1</t>
  </si>
  <si>
    <t>P-1</t>
  </si>
  <si>
    <t>WESTPAC BANKING CORP NY CD</t>
  </si>
  <si>
    <t>08/03/2017</t>
  </si>
  <si>
    <t>08/03/2020</t>
  </si>
  <si>
    <t>A-1+</t>
  </si>
  <si>
    <t>Total Certificates of Deposits</t>
  </si>
  <si>
    <t xml:space="preserve">  Asset-Backed Security:</t>
  </si>
  <si>
    <t>ALLY ABS 2017-2 A3</t>
  </si>
  <si>
    <t>03/21/2017</t>
  </si>
  <si>
    <t>08/15/2021</t>
  </si>
  <si>
    <t>ALLYA 2017-5 A3</t>
  </si>
  <si>
    <t>11/14/2017</t>
  </si>
  <si>
    <t>03/15/2022</t>
  </si>
  <si>
    <t>HAROT 2017-4 A3</t>
  </si>
  <si>
    <t>11/22/2017</t>
  </si>
  <si>
    <t>11/21/2021</t>
  </si>
  <si>
    <t>HONDA ABS 2017-1 A3</t>
  </si>
  <si>
    <t>07/21/2021</t>
  </si>
  <si>
    <t>HYUNDAI ABS 2017-A A3</t>
  </si>
  <si>
    <t>03/22/2017</t>
  </si>
  <si>
    <t>08/16/2021</t>
  </si>
  <si>
    <t>HYUNDAI ABS 2017-B A3</t>
  </si>
  <si>
    <t>08/09/2017</t>
  </si>
  <si>
    <t>01/18/2022</t>
  </si>
  <si>
    <t>TAOT 2017-D A3</t>
  </si>
  <si>
    <t>11/07/2017</t>
  </si>
  <si>
    <t>01/15/2022</t>
  </si>
  <si>
    <t>TAOT 2018-A A3</t>
  </si>
  <si>
    <t>01/23/2018</t>
  </si>
  <si>
    <t>05/16/2022</t>
  </si>
  <si>
    <t>TOYOTA AUTO RECEIVABLES 2017-D</t>
  </si>
  <si>
    <t>04/20/2020</t>
  </si>
  <si>
    <t>02/15/2023</t>
  </si>
  <si>
    <t>Total Asset-Backed Security</t>
  </si>
  <si>
    <t xml:space="preserve">  Certificates of Participation:</t>
  </si>
  <si>
    <t>(RTC) North County Transit District Certificates of Participation</t>
  </si>
  <si>
    <t>06/10/2020</t>
  </si>
  <si>
    <t>09/17/2020</t>
  </si>
  <si>
    <t>Total Certificates of Participation</t>
  </si>
  <si>
    <t>Total investments</t>
  </si>
  <si>
    <t>Total Portfolio: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</si>
</sst>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0.00%_);_(* \(0.00%\);_(* 0.00%_);_(@_)"/>
    <numFmt numFmtId="165" formatCode="0.00000000000000000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43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3" xfId="0" applyNumberFormat="1" applyFont="1" applyBorder="1" applyAlignment="1">
      <alignment vertical="center"/>
    </xf>
    <xf numFmtId="10" fontId="1" fillId="0" borderId="3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4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4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44" fontId="1" fillId="0" borderId="3" xfId="0" applyNumberFormat="1" applyFont="1" applyBorder="1" applyAlignment="1">
      <alignment vertical="center"/>
    </xf>
    <xf numFmtId="4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3"/>
  <sheetViews>
    <sheetView tabSelected="1" zoomScaleNormal="100" workbookViewId="0">
      <selection sqref="A1:O1"/>
    </sheetView>
  </sheetViews>
  <sheetFormatPr baseColWidth="10" defaultColWidth="10.83203125" defaultRowHeight="14" x14ac:dyDescent="0.2"/>
  <cols>
    <col min="1" max="1" width="72.83203125" style="1" customWidth="1"/>
    <col min="2" max="2" width="1.33203125" style="1" customWidth="1"/>
    <col min="3" max="3" width="17.33203125" style="1" customWidth="1"/>
    <col min="4" max="4" width="1.33203125" style="1" customWidth="1"/>
    <col min="5" max="5" width="9.83203125" style="1" customWidth="1"/>
    <col min="6" max="6" width="1.33203125" style="1" customWidth="1"/>
    <col min="7" max="7" width="17.33203125" style="1" customWidth="1"/>
    <col min="8" max="8" width="1.33203125" style="1" customWidth="1"/>
    <col min="9" max="9" width="9.83203125" style="1" customWidth="1"/>
    <col min="10" max="10" width="1.33203125" style="1" customWidth="1"/>
    <col min="11" max="11" width="14.83203125" style="1" customWidth="1"/>
    <col min="12" max="12" width="1.33203125" style="1" customWidth="1"/>
    <col min="13" max="13" width="9.83203125" style="1" customWidth="1"/>
    <col min="14" max="14" width="1.33203125" style="1" customWidth="1"/>
    <col min="15" max="15" width="9.83203125" style="1" customWidth="1"/>
    <col min="16" max="16" width="1.33203125" style="1" customWidth="1"/>
    <col min="17" max="17" width="10.83203125" style="1" customWidth="1"/>
    <col min="18" max="16384" width="10.83203125" style="1"/>
  </cols>
  <sheetData>
    <row r="1" spans="1:16" x14ac:dyDescent="0.2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27"/>
    </row>
    <row r="2" spans="1:16" x14ac:dyDescent="0.2">
      <c r="A2" s="30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27"/>
    </row>
    <row r="3" spans="1:16" x14ac:dyDescent="0.2">
      <c r="A3" s="30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27"/>
    </row>
    <row r="4" spans="1:16" ht="15" customHeight="1" thickBo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8"/>
    </row>
    <row r="5" spans="1:16" ht="15" customHeight="1" thickTop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s">
        <v>3</v>
      </c>
      <c r="P5" s="27"/>
    </row>
    <row r="6" spans="1:16" x14ac:dyDescent="0.2">
      <c r="A6" s="27"/>
      <c r="B6" s="27"/>
      <c r="C6" s="27" t="s">
        <v>4</v>
      </c>
      <c r="D6" s="27"/>
      <c r="E6" s="27" t="s">
        <v>5</v>
      </c>
      <c r="F6" s="27"/>
      <c r="G6" s="27" t="s">
        <v>6</v>
      </c>
      <c r="H6" s="27"/>
      <c r="I6" s="27" t="s">
        <v>6</v>
      </c>
      <c r="J6" s="27"/>
      <c r="K6" s="27" t="s">
        <v>7</v>
      </c>
      <c r="L6" s="27"/>
      <c r="M6" s="27" t="s">
        <v>8</v>
      </c>
      <c r="N6" s="27"/>
      <c r="O6" s="27" t="s">
        <v>9</v>
      </c>
      <c r="P6" s="27"/>
    </row>
    <row r="7" spans="1:16" ht="15" customHeight="1" thickBot="1" x14ac:dyDescent="0.25">
      <c r="A7" s="7" t="s">
        <v>10</v>
      </c>
      <c r="B7" s="27"/>
      <c r="C7" s="7" t="s">
        <v>11</v>
      </c>
      <c r="D7" s="27"/>
      <c r="E7" s="7" t="s">
        <v>12</v>
      </c>
      <c r="F7" s="27"/>
      <c r="G7" s="7" t="s">
        <v>11</v>
      </c>
      <c r="H7" s="27"/>
      <c r="I7" s="7" t="s">
        <v>13</v>
      </c>
      <c r="J7" s="27"/>
      <c r="K7" s="7" t="s">
        <v>14</v>
      </c>
      <c r="L7" s="27"/>
      <c r="M7" s="7" t="s">
        <v>15</v>
      </c>
      <c r="N7" s="27"/>
      <c r="O7" s="7" t="s">
        <v>16</v>
      </c>
      <c r="P7" s="27"/>
    </row>
    <row r="8" spans="1:16" x14ac:dyDescent="0.2">
      <c r="A8" s="4"/>
      <c r="B8" s="28"/>
      <c r="C8" s="4"/>
      <c r="D8" s="28"/>
      <c r="E8" s="4"/>
      <c r="F8" s="28"/>
      <c r="G8" s="4"/>
      <c r="H8" s="28"/>
      <c r="I8" s="4"/>
      <c r="J8" s="28"/>
      <c r="K8" s="4"/>
      <c r="L8" s="28"/>
      <c r="M8" s="4"/>
      <c r="N8" s="28"/>
      <c r="O8" s="4"/>
      <c r="P8" s="28"/>
    </row>
    <row r="10" spans="1:16" x14ac:dyDescent="0.2">
      <c r="A10" s="28" t="s">
        <v>17</v>
      </c>
      <c r="B10" s="28"/>
      <c r="C10" s="20">
        <v>13609892.720000001</v>
      </c>
      <c r="D10" s="28"/>
      <c r="E10" s="21">
        <f>13609892.72/981657708.559999</f>
        <v>1.3864193803321174E-2</v>
      </c>
      <c r="F10" s="28"/>
      <c r="G10" s="20">
        <v>13609892.720000001</v>
      </c>
      <c r="H10" s="28"/>
      <c r="I10" s="21">
        <f>13609892.72/13609892.72</f>
        <v>1</v>
      </c>
      <c r="J10" s="28"/>
      <c r="K10" s="20">
        <v>0</v>
      </c>
      <c r="L10" s="28"/>
      <c r="M10" s="21" t="s">
        <v>18</v>
      </c>
      <c r="N10" s="28"/>
      <c r="O10" s="19">
        <v>1</v>
      </c>
      <c r="P10" s="28"/>
    </row>
    <row r="12" spans="1:16" x14ac:dyDescent="0.2">
      <c r="A12" s="28" t="s">
        <v>19</v>
      </c>
      <c r="B12" s="28"/>
      <c r="C12" s="9">
        <v>68025348.359999999</v>
      </c>
      <c r="D12" s="28"/>
      <c r="E12" s="21">
        <f>68025348.36/981657708.559999</f>
        <v>6.9296403182925029E-2</v>
      </c>
      <c r="F12" s="28"/>
      <c r="G12" s="9">
        <v>68025348.359999999</v>
      </c>
      <c r="H12" s="28"/>
      <c r="I12" s="21">
        <f>68025348.36/68025348.36</f>
        <v>1</v>
      </c>
      <c r="J12" s="28"/>
      <c r="K12" s="9">
        <v>0</v>
      </c>
      <c r="L12" s="28"/>
      <c r="M12" s="21">
        <v>1.078E-2</v>
      </c>
      <c r="N12" s="28"/>
      <c r="O12" s="19">
        <v>191</v>
      </c>
      <c r="P12" s="28"/>
    </row>
    <row r="14" spans="1:16" x14ac:dyDescent="0.2">
      <c r="A14" s="28" t="s">
        <v>20</v>
      </c>
      <c r="B14" s="28"/>
      <c r="C14" s="9">
        <v>75095231.25</v>
      </c>
      <c r="D14" s="28"/>
      <c r="E14" s="21">
        <f>75095231.25/981657708.559999</f>
        <v>7.6498386958278722E-2</v>
      </c>
      <c r="F14" s="28"/>
      <c r="G14" s="9">
        <v>75515158.200000003</v>
      </c>
      <c r="H14" s="28"/>
      <c r="I14" s="21">
        <f>75515158.2/75095231.25</f>
        <v>1.0055919256524029</v>
      </c>
      <c r="J14" s="28"/>
      <c r="K14" s="9">
        <v>419926.95000000298</v>
      </c>
      <c r="L14" s="28"/>
      <c r="M14" s="21">
        <v>1.9198307620282427E-2</v>
      </c>
      <c r="N14" s="28"/>
      <c r="O14" s="19">
        <v>86.783307669214395</v>
      </c>
      <c r="P14" s="28"/>
    </row>
    <row r="16" spans="1:16" x14ac:dyDescent="0.2">
      <c r="A16" s="28" t="s">
        <v>21</v>
      </c>
      <c r="B16" s="28"/>
      <c r="C16" s="9">
        <v>297823313.14999998</v>
      </c>
      <c r="D16" s="28"/>
      <c r="E16" s="21">
        <f>297823313.15/981657708.559999</f>
        <v>0.30338814696100053</v>
      </c>
      <c r="F16" s="28"/>
      <c r="G16" s="9">
        <v>297823313.14999998</v>
      </c>
      <c r="H16" s="28"/>
      <c r="I16" s="21">
        <f>297823313.15/297823313.15</f>
        <v>1</v>
      </c>
      <c r="J16" s="28"/>
      <c r="K16" s="9">
        <v>0</v>
      </c>
      <c r="L16" s="28"/>
      <c r="M16" s="21">
        <v>5.1000000000000004E-3</v>
      </c>
      <c r="N16" s="28"/>
      <c r="O16" s="19">
        <v>53</v>
      </c>
      <c r="P16" s="28"/>
    </row>
    <row r="18" spans="1:15" x14ac:dyDescent="0.2">
      <c r="A18" s="28" t="s">
        <v>22</v>
      </c>
      <c r="B18" s="28"/>
      <c r="C18" s="9">
        <v>108818280.29000001</v>
      </c>
      <c r="D18" s="28"/>
      <c r="E18" s="21">
        <f>108818280.29/981657708.559999</f>
        <v>0.11085155175893882</v>
      </c>
      <c r="F18" s="28"/>
      <c r="G18" s="9">
        <v>108818280.29000001</v>
      </c>
      <c r="H18" s="28"/>
      <c r="I18" s="21">
        <f>108818280.29/108818280.29</f>
        <v>1</v>
      </c>
      <c r="J18" s="28"/>
      <c r="K18" s="9">
        <v>0</v>
      </c>
      <c r="L18" s="28"/>
      <c r="M18" s="21">
        <v>4.3096002168037899E-4</v>
      </c>
      <c r="N18" s="28"/>
      <c r="O18" s="19">
        <v>17.5220401867095</v>
      </c>
    </row>
    <row r="20" spans="1:15" x14ac:dyDescent="0.2">
      <c r="A20" s="28" t="s">
        <v>23</v>
      </c>
      <c r="B20" s="28"/>
      <c r="C20" s="9">
        <v>222175263.41</v>
      </c>
      <c r="D20" s="28"/>
      <c r="E20" s="21">
        <f>222175263.41/981657708.559999</f>
        <v>0.22632661208957502</v>
      </c>
      <c r="F20" s="28"/>
      <c r="G20" s="9">
        <v>228592249.41</v>
      </c>
      <c r="H20" s="28"/>
      <c r="I20" s="21">
        <f>228592249.41/222175263.41</f>
        <v>1.0288825403040398</v>
      </c>
      <c r="J20" s="28"/>
      <c r="K20" s="9">
        <v>6416986</v>
      </c>
      <c r="L20" s="28"/>
      <c r="M20" s="21">
        <v>1.9886590612869001E-2</v>
      </c>
      <c r="N20" s="28"/>
      <c r="O20" s="19">
        <v>785.50781249009799</v>
      </c>
    </row>
    <row r="22" spans="1:15" x14ac:dyDescent="0.2">
      <c r="A22" s="28" t="s">
        <v>24</v>
      </c>
      <c r="B22" s="28"/>
      <c r="C22" s="9">
        <v>801065.93</v>
      </c>
      <c r="D22" s="28"/>
      <c r="E22" s="21">
        <f>801065.93/981657708.559999</f>
        <v>8.1603386090156583E-4</v>
      </c>
      <c r="F22" s="28"/>
      <c r="G22" s="9">
        <v>801065.93</v>
      </c>
      <c r="H22" s="28"/>
      <c r="I22" s="21">
        <f>801065.93/801065.93</f>
        <v>1</v>
      </c>
      <c r="J22" s="28"/>
      <c r="K22" s="9">
        <v>0</v>
      </c>
      <c r="L22" s="28"/>
      <c r="M22" s="21">
        <v>0</v>
      </c>
      <c r="N22" s="28"/>
      <c r="O22" s="19">
        <v>1</v>
      </c>
    </row>
    <row r="24" spans="1:15" x14ac:dyDescent="0.2">
      <c r="A24" s="28" t="s">
        <v>25</v>
      </c>
      <c r="B24" s="28"/>
      <c r="C24" s="9">
        <v>186659401.50999999</v>
      </c>
      <c r="D24" s="28"/>
      <c r="E24" s="21">
        <f>186659401.51/981657708.559999</f>
        <v>0.19014713568929445</v>
      </c>
      <c r="F24" s="28"/>
      <c r="G24" s="9">
        <v>186659401.50999999</v>
      </c>
      <c r="H24" s="28"/>
      <c r="I24" s="21">
        <f>186659401.51/186659401.51</f>
        <v>1</v>
      </c>
      <c r="J24" s="28"/>
      <c r="K24" s="9">
        <v>0</v>
      </c>
      <c r="L24" s="28"/>
      <c r="M24" s="21">
        <v>1.5599999999999999E-2</v>
      </c>
      <c r="N24" s="28"/>
      <c r="O24" s="19">
        <v>556</v>
      </c>
    </row>
    <row r="26" spans="1:15" x14ac:dyDescent="0.2">
      <c r="A26" s="28" t="s">
        <v>26</v>
      </c>
      <c r="B26" s="28"/>
      <c r="C26" s="9">
        <v>904175.9</v>
      </c>
      <c r="D26" s="28"/>
      <c r="E26" s="21">
        <f>904175.9/981657708.559999</f>
        <v>9.210704424929769E-4</v>
      </c>
      <c r="F26" s="28"/>
      <c r="G26" s="9">
        <v>904175.9</v>
      </c>
      <c r="H26" s="28"/>
      <c r="I26" s="21">
        <f>904175.9/904175.9</f>
        <v>1</v>
      </c>
      <c r="J26" s="28"/>
      <c r="K26" s="9">
        <v>0</v>
      </c>
      <c r="L26" s="28"/>
      <c r="M26" s="21" t="s">
        <v>18</v>
      </c>
      <c r="N26" s="28"/>
      <c r="O26" s="19">
        <v>1</v>
      </c>
    </row>
    <row r="28" spans="1:15" ht="15" customHeight="1" thickBot="1" x14ac:dyDescent="0.25">
      <c r="A28" s="28" t="s">
        <v>27</v>
      </c>
      <c r="B28" s="28"/>
      <c r="C28" s="13">
        <v>7745736.04</v>
      </c>
      <c r="D28" s="28"/>
      <c r="E28" s="22">
        <f>7745736.04/981657708.559999</f>
        <v>7.8904652532727302E-3</v>
      </c>
      <c r="F28" s="28"/>
      <c r="G28" s="13">
        <v>8112513.3799999999</v>
      </c>
      <c r="H28" s="28"/>
      <c r="I28" s="22">
        <f>8112513.38/7745736.04</f>
        <v>1.0473521609961809</v>
      </c>
      <c r="J28" s="28"/>
      <c r="K28" s="13">
        <v>366777.33999999991</v>
      </c>
      <c r="L28" s="28"/>
      <c r="M28" s="22">
        <v>2.29E-2</v>
      </c>
      <c r="N28" s="28"/>
      <c r="O28" s="15">
        <v>1</v>
      </c>
    </row>
    <row r="29" spans="1:15" x14ac:dyDescent="0.2">
      <c r="A29" s="28"/>
      <c r="B29" s="28"/>
      <c r="C29" s="4"/>
      <c r="D29" s="28"/>
      <c r="E29" s="4"/>
      <c r="F29" s="28"/>
      <c r="G29" s="4"/>
      <c r="H29" s="28"/>
      <c r="I29" s="4"/>
      <c r="J29" s="28"/>
      <c r="K29" s="4"/>
      <c r="L29" s="28"/>
      <c r="M29" s="4"/>
      <c r="N29" s="28"/>
      <c r="O29" s="4"/>
    </row>
    <row r="30" spans="1:15" ht="15" customHeight="1" thickBot="1" x14ac:dyDescent="0.25">
      <c r="A30" s="8" t="s">
        <v>28</v>
      </c>
      <c r="B30" s="28"/>
      <c r="C30" s="23">
        <v>981657708.55999982</v>
      </c>
      <c r="D30" s="28"/>
      <c r="E30" s="24">
        <f>SUM(E10:E29)</f>
        <v>1.0000000000000011</v>
      </c>
      <c r="F30" s="28"/>
      <c r="G30" s="23">
        <v>988861398.84999979</v>
      </c>
      <c r="H30" s="28"/>
      <c r="I30" s="24">
        <f>G30/C30</f>
        <v>1.007338291368961</v>
      </c>
      <c r="J30" s="28"/>
      <c r="K30" s="23">
        <v>7203690.2900000028</v>
      </c>
      <c r="L30" s="28"/>
      <c r="M30" s="24">
        <v>1.1619655737795396E-2</v>
      </c>
      <c r="N30" s="28"/>
      <c r="O30" s="16">
        <f>IFERROR(SUMPRODUCT(G10:G28, O10:O28)/SUMIF(G10:G28,"&gt;0"), 1)</f>
        <v>324.21601618623043</v>
      </c>
    </row>
    <row r="31" spans="1:15" ht="15" customHeight="1" thickTop="1" x14ac:dyDescent="0.2">
      <c r="A31" s="28"/>
      <c r="B31" s="28"/>
      <c r="C31" s="3"/>
      <c r="D31" s="28"/>
      <c r="E31" s="3"/>
      <c r="F31" s="28"/>
      <c r="G31" s="3"/>
      <c r="H31" s="28"/>
      <c r="I31" s="3"/>
      <c r="J31" s="28"/>
      <c r="K31" s="3"/>
      <c r="L31" s="28"/>
      <c r="M31" s="3"/>
      <c r="N31" s="28"/>
      <c r="O31" s="3"/>
    </row>
    <row r="32" spans="1:1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">
      <c r="A34" s="30" t="s">
        <v>29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</row>
    <row r="35" spans="1:15" ht="15" customHeight="1" thickBo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" customHeight="1" thickTop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 t="s">
        <v>3</v>
      </c>
    </row>
    <row r="37" spans="1:15" x14ac:dyDescent="0.2">
      <c r="A37" s="27"/>
      <c r="B37" s="27"/>
      <c r="C37" s="27" t="s">
        <v>4</v>
      </c>
      <c r="D37" s="27"/>
      <c r="E37" s="27" t="s">
        <v>5</v>
      </c>
      <c r="F37" s="27"/>
      <c r="G37" s="27" t="s">
        <v>6</v>
      </c>
      <c r="H37" s="27"/>
      <c r="I37" s="27" t="s">
        <v>6</v>
      </c>
      <c r="J37" s="27"/>
      <c r="K37" s="27" t="s">
        <v>7</v>
      </c>
      <c r="L37" s="27"/>
      <c r="M37" s="27" t="s">
        <v>8</v>
      </c>
      <c r="N37" s="27"/>
      <c r="O37" s="27" t="s">
        <v>9</v>
      </c>
    </row>
    <row r="38" spans="1:15" ht="15" customHeight="1" thickBot="1" x14ac:dyDescent="0.25">
      <c r="A38" s="7" t="s">
        <v>30</v>
      </c>
      <c r="B38" s="27"/>
      <c r="C38" s="7" t="s">
        <v>11</v>
      </c>
      <c r="D38" s="27"/>
      <c r="E38" s="7" t="s">
        <v>12</v>
      </c>
      <c r="F38" s="27"/>
      <c r="G38" s="7" t="s">
        <v>11</v>
      </c>
      <c r="H38" s="27"/>
      <c r="I38" s="7" t="s">
        <v>13</v>
      </c>
      <c r="J38" s="27"/>
      <c r="K38" s="7" t="s">
        <v>14</v>
      </c>
      <c r="L38" s="27"/>
      <c r="M38" s="7" t="s">
        <v>15</v>
      </c>
      <c r="N38" s="27"/>
      <c r="O38" s="7" t="s">
        <v>16</v>
      </c>
    </row>
    <row r="39" spans="1:15" x14ac:dyDescent="0.2">
      <c r="A39" s="4"/>
      <c r="B39" s="28"/>
      <c r="C39" s="4"/>
      <c r="D39" s="28"/>
      <c r="E39" s="4"/>
      <c r="F39" s="28"/>
      <c r="G39" s="4"/>
      <c r="H39" s="28"/>
      <c r="I39" s="4"/>
      <c r="J39" s="28"/>
      <c r="K39" s="4"/>
      <c r="L39" s="28"/>
      <c r="M39" s="4"/>
      <c r="N39" s="28"/>
      <c r="O39" s="4"/>
    </row>
    <row r="40" spans="1:15" x14ac:dyDescent="0.2">
      <c r="A40" s="28" t="s">
        <v>31</v>
      </c>
      <c r="B40" s="28"/>
      <c r="C40" s="20">
        <v>331429206.32999998</v>
      </c>
      <c r="D40" s="28"/>
      <c r="E40" s="21">
        <f>331429206.33/981657708.56</f>
        <v>0.33762196684236873</v>
      </c>
      <c r="F40" s="28"/>
      <c r="G40" s="20">
        <v>331927820.86000001</v>
      </c>
      <c r="H40" s="28"/>
      <c r="I40" s="21">
        <f>331927820.86/331429206.33</f>
        <v>1.0015044375102644</v>
      </c>
      <c r="J40" s="28"/>
      <c r="K40" s="20">
        <v>498614.53000003099</v>
      </c>
      <c r="L40" s="28"/>
      <c r="M40" s="21">
        <v>6.9956458902016719E-3</v>
      </c>
      <c r="N40" s="28"/>
      <c r="O40" s="19">
        <v>104.19792547283301</v>
      </c>
    </row>
    <row r="42" spans="1:15" x14ac:dyDescent="0.2">
      <c r="A42" s="28" t="s">
        <v>32</v>
      </c>
      <c r="B42" s="28"/>
      <c r="C42" s="9">
        <v>8614765.2200000007</v>
      </c>
      <c r="D42" s="28"/>
      <c r="E42" s="21">
        <f>8614765.22/981657708.56</f>
        <v>8.7757322586882701E-3</v>
      </c>
      <c r="F42" s="28"/>
      <c r="G42" s="9">
        <v>8614765.2200000007</v>
      </c>
      <c r="H42" s="28"/>
      <c r="I42" s="21">
        <f>8614765.22/8614765.22</f>
        <v>1</v>
      </c>
      <c r="J42" s="28"/>
      <c r="K42" s="9">
        <v>0</v>
      </c>
      <c r="L42" s="28"/>
      <c r="M42" s="21">
        <v>8.3895332761200446E-3</v>
      </c>
      <c r="N42" s="28"/>
      <c r="O42" s="19">
        <v>204.22845487947001</v>
      </c>
    </row>
    <row r="44" spans="1:15" x14ac:dyDescent="0.2">
      <c r="A44" s="28" t="s">
        <v>33</v>
      </c>
      <c r="B44" s="28"/>
      <c r="C44" s="9">
        <v>213614.7</v>
      </c>
      <c r="D44" s="28"/>
      <c r="E44" s="21">
        <f>213614.7/981657708.56</f>
        <v>2.1760609440265365E-4</v>
      </c>
      <c r="F44" s="28"/>
      <c r="G44" s="9">
        <v>213614.7</v>
      </c>
      <c r="H44" s="28"/>
      <c r="I44" s="21">
        <f>213614.7/213614.7</f>
        <v>1</v>
      </c>
      <c r="J44" s="28"/>
      <c r="K44" s="9">
        <v>0</v>
      </c>
      <c r="L44" s="28"/>
      <c r="M44" s="21">
        <v>1.5599999999999998E-2</v>
      </c>
      <c r="N44" s="28"/>
      <c r="O44" s="19">
        <v>469.355990247862</v>
      </c>
    </row>
    <row r="46" spans="1:15" x14ac:dyDescent="0.2">
      <c r="A46" s="28" t="s">
        <v>34</v>
      </c>
      <c r="B46" s="28"/>
      <c r="C46" s="9">
        <v>284840.27</v>
      </c>
      <c r="D46" s="28"/>
      <c r="E46" s="21">
        <f>284840.27/981657708.56</f>
        <v>2.9016251542284942E-4</v>
      </c>
      <c r="F46" s="28"/>
      <c r="G46" s="9">
        <v>284840.27</v>
      </c>
      <c r="H46" s="28"/>
      <c r="I46" s="21">
        <f>284840.27/284840.27</f>
        <v>1</v>
      </c>
      <c r="J46" s="28"/>
      <c r="K46" s="9">
        <v>0</v>
      </c>
      <c r="L46" s="28"/>
      <c r="M46" s="21">
        <v>5.1000000000000004E-3</v>
      </c>
      <c r="N46" s="28"/>
      <c r="O46" s="19">
        <v>53</v>
      </c>
    </row>
    <row r="48" spans="1:15" ht="15" customHeight="1" thickBot="1" x14ac:dyDescent="0.25">
      <c r="A48" s="28" t="s">
        <v>35</v>
      </c>
      <c r="B48" s="28"/>
      <c r="C48" s="13">
        <v>641115282.03999996</v>
      </c>
      <c r="D48" s="28"/>
      <c r="E48" s="22">
        <f>641115282.04/981657708.56</f>
        <v>0.65309453228911751</v>
      </c>
      <c r="F48" s="28"/>
      <c r="G48" s="13">
        <v>647820357.79999995</v>
      </c>
      <c r="H48" s="28"/>
      <c r="I48" s="22">
        <f>647820357.8/641115282.04</f>
        <v>1.0104584556753424</v>
      </c>
      <c r="J48" s="28"/>
      <c r="K48" s="13">
        <v>6705075.7599999905</v>
      </c>
      <c r="L48" s="28"/>
      <c r="M48" s="22">
        <v>1.3966576969216146E-2</v>
      </c>
      <c r="N48" s="28"/>
      <c r="O48" s="15">
        <v>438.615075106196</v>
      </c>
    </row>
    <row r="49" spans="1:15" x14ac:dyDescent="0.2">
      <c r="A49" s="28"/>
      <c r="B49" s="28"/>
      <c r="C49" s="4"/>
      <c r="D49" s="28"/>
      <c r="E49" s="4"/>
      <c r="F49" s="28"/>
      <c r="G49" s="4"/>
      <c r="H49" s="28"/>
      <c r="I49" s="4"/>
      <c r="J49" s="28"/>
      <c r="K49" s="4"/>
      <c r="L49" s="28"/>
      <c r="M49" s="4"/>
      <c r="N49" s="28"/>
      <c r="O49" s="4"/>
    </row>
    <row r="50" spans="1:15" ht="15" customHeight="1" thickBot="1" x14ac:dyDescent="0.25">
      <c r="A50" s="8" t="s">
        <v>28</v>
      </c>
      <c r="B50" s="28"/>
      <c r="C50" s="23">
        <v>981657708.55999994</v>
      </c>
      <c r="D50" s="28"/>
      <c r="E50" s="24">
        <f>SUM(E40:E49)</f>
        <v>1</v>
      </c>
      <c r="F50" s="28"/>
      <c r="G50" s="23">
        <v>988861398.8499999</v>
      </c>
      <c r="H50" s="28"/>
      <c r="I50" s="24">
        <f>G50/C50</f>
        <v>1.007338291368961</v>
      </c>
      <c r="J50" s="28"/>
      <c r="K50" s="23">
        <v>7203690.2900000215</v>
      </c>
      <c r="L50" s="28"/>
      <c r="M50" s="24">
        <v>1.1619655737795396E-2</v>
      </c>
      <c r="N50" s="28"/>
      <c r="O50" s="16">
        <f>IFERROR(SUMPRODUCT(G40:G48, O40:O48)/SUMIF(G40:G48,"&gt;0"), 1)</f>
        <v>324.21601618623032</v>
      </c>
    </row>
    <row r="51" spans="1:15" ht="15" customHeight="1" thickTop="1" x14ac:dyDescent="0.2">
      <c r="A51" s="28"/>
      <c r="B51" s="28"/>
      <c r="C51" s="3"/>
      <c r="D51" s="28"/>
      <c r="E51" s="3"/>
      <c r="F51" s="28"/>
      <c r="G51" s="3"/>
      <c r="H51" s="28"/>
      <c r="I51" s="3"/>
      <c r="J51" s="28"/>
      <c r="K51" s="3"/>
      <c r="L51" s="28"/>
      <c r="M51" s="3"/>
      <c r="N51" s="28"/>
      <c r="O51" s="3"/>
    </row>
    <row r="53" spans="1:15" x14ac:dyDescent="0.2">
      <c r="A53" s="28" t="s">
        <v>36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</sheetData>
  <mergeCells count="4">
    <mergeCell ref="A34:O34"/>
    <mergeCell ref="A1:O1"/>
    <mergeCell ref="A2:O2"/>
    <mergeCell ref="A3:O3"/>
  </mergeCells>
  <pageMargins left="0.7" right="0.7" top="0.75" bottom="0.75" header="0.3" footer="0.3"/>
  <pageSetup scale="6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39"/>
  <sheetViews>
    <sheetView zoomScaleNormal="100" workbookViewId="0">
      <selection sqref="A1:O1"/>
    </sheetView>
  </sheetViews>
  <sheetFormatPr baseColWidth="10" defaultColWidth="10.83203125" defaultRowHeight="14" customHeight="1" x14ac:dyDescent="0.2"/>
  <cols>
    <col min="1" max="1" width="70.83203125" style="1" customWidth="1"/>
    <col min="2" max="2" width="1.33203125" style="1" customWidth="1"/>
    <col min="3" max="3" width="17.33203125" style="1" customWidth="1"/>
    <col min="4" max="4" width="1.33203125" style="1" customWidth="1"/>
    <col min="5" max="5" width="9.83203125" style="1" customWidth="1"/>
    <col min="6" max="6" width="1.33203125" style="1" customWidth="1"/>
    <col min="7" max="7" width="17.33203125" style="1" customWidth="1"/>
    <col min="8" max="8" width="1.33203125" style="1" customWidth="1"/>
    <col min="9" max="9" width="9.83203125" style="1" customWidth="1"/>
    <col min="10" max="10" width="1.33203125" style="1" customWidth="1"/>
    <col min="11" max="11" width="14.83203125" style="1" customWidth="1"/>
    <col min="12" max="12" width="1.33203125" style="1" customWidth="1"/>
    <col min="13" max="13" width="9.83203125" style="1" customWidth="1"/>
    <col min="14" max="14" width="1.33203125" style="1" customWidth="1"/>
    <col min="15" max="15" width="9.83203125" style="1" customWidth="1"/>
    <col min="16" max="16" width="1.33203125" style="1" customWidth="1"/>
    <col min="17" max="17" width="30.83203125" style="1" customWidth="1"/>
    <col min="18" max="18" width="10.83203125" style="1" customWidth="1"/>
    <col min="19" max="16384" width="10.83203125" style="1"/>
  </cols>
  <sheetData>
    <row r="1" spans="1:17" ht="14" customHeight="1" x14ac:dyDescent="0.2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28"/>
      <c r="Q1" s="28"/>
    </row>
    <row r="2" spans="1:17" ht="14" customHeight="1" x14ac:dyDescent="0.2">
      <c r="A2" s="30" t="s">
        <v>37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28"/>
      <c r="Q2" s="28"/>
    </row>
    <row r="3" spans="1:17" ht="14" customHeight="1" x14ac:dyDescent="0.2">
      <c r="A3" s="30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28"/>
      <c r="Q3" s="28"/>
    </row>
    <row r="4" spans="1:17" ht="14" customHeight="1" thickBo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8"/>
      <c r="Q4" s="28"/>
    </row>
    <row r="5" spans="1:17" ht="14" customHeight="1" thickTop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s">
        <v>3</v>
      </c>
      <c r="P5" s="28"/>
      <c r="Q5" s="28" t="s">
        <v>38</v>
      </c>
    </row>
    <row r="6" spans="1:17" ht="14" customHeight="1" x14ac:dyDescent="0.2">
      <c r="A6" s="27"/>
      <c r="B6" s="27"/>
      <c r="C6" s="27" t="s">
        <v>4</v>
      </c>
      <c r="D6" s="27"/>
      <c r="E6" s="27" t="s">
        <v>5</v>
      </c>
      <c r="F6" s="27"/>
      <c r="G6" s="27" t="s">
        <v>6</v>
      </c>
      <c r="H6" s="27"/>
      <c r="I6" s="27" t="s">
        <v>6</v>
      </c>
      <c r="J6" s="27"/>
      <c r="K6" s="27" t="s">
        <v>7</v>
      </c>
      <c r="L6" s="27"/>
      <c r="M6" s="27" t="s">
        <v>8</v>
      </c>
      <c r="N6" s="27"/>
      <c r="O6" s="27" t="s">
        <v>9</v>
      </c>
      <c r="P6" s="28"/>
      <c r="Q6" s="28"/>
    </row>
    <row r="7" spans="1:17" ht="14" customHeight="1" thickBot="1" x14ac:dyDescent="0.25">
      <c r="A7" s="7" t="s">
        <v>39</v>
      </c>
      <c r="B7" s="27"/>
      <c r="C7" s="7" t="s">
        <v>11</v>
      </c>
      <c r="D7" s="27"/>
      <c r="E7" s="7" t="s">
        <v>12</v>
      </c>
      <c r="F7" s="27"/>
      <c r="G7" s="7" t="s">
        <v>11</v>
      </c>
      <c r="H7" s="27"/>
      <c r="I7" s="7" t="s">
        <v>13</v>
      </c>
      <c r="J7" s="27"/>
      <c r="K7" s="7" t="s">
        <v>14</v>
      </c>
      <c r="L7" s="27"/>
      <c r="M7" s="7" t="s">
        <v>15</v>
      </c>
      <c r="N7" s="27"/>
      <c r="O7" s="7" t="s">
        <v>16</v>
      </c>
      <c r="P7" s="28"/>
      <c r="Q7" s="28"/>
    </row>
    <row r="8" spans="1:17" ht="14" customHeight="1" x14ac:dyDescent="0.2">
      <c r="A8" s="4"/>
      <c r="B8" s="28"/>
      <c r="C8" s="4"/>
      <c r="D8" s="28"/>
      <c r="E8" s="4"/>
      <c r="F8" s="28"/>
      <c r="G8" s="4"/>
      <c r="H8" s="28"/>
      <c r="I8" s="4"/>
      <c r="J8" s="28"/>
      <c r="K8" s="4"/>
      <c r="L8" s="28"/>
      <c r="M8" s="4"/>
      <c r="N8" s="28"/>
      <c r="O8" s="4"/>
      <c r="P8" s="28"/>
      <c r="Q8" s="28"/>
    </row>
    <row r="9" spans="1:17" ht="14" customHeight="1" x14ac:dyDescent="0.2">
      <c r="A9" s="5" t="s">
        <v>40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7" ht="14" customHeight="1" x14ac:dyDescent="0.2">
      <c r="A10" s="17" t="s">
        <v>41</v>
      </c>
      <c r="B10" s="28"/>
      <c r="C10" s="20">
        <v>261251.36</v>
      </c>
      <c r="D10" s="28"/>
      <c r="E10" s="21">
        <f>261251.36/(C20+C26+C74+C96+C109+C119+C124+C129)</f>
        <v>2.6613284622725708E-4</v>
      </c>
      <c r="F10" s="28"/>
      <c r="G10" s="20">
        <v>261251.36</v>
      </c>
      <c r="H10" s="28"/>
      <c r="I10" s="21">
        <f>261251.36/261251.36</f>
        <v>1</v>
      </c>
      <c r="J10" s="28"/>
      <c r="K10" s="20">
        <v>0</v>
      </c>
      <c r="L10" s="28"/>
      <c r="M10" s="21" t="s">
        <v>18</v>
      </c>
      <c r="N10" s="28"/>
      <c r="O10" s="19">
        <v>1</v>
      </c>
      <c r="P10" s="28"/>
      <c r="Q10" s="28" t="s">
        <v>42</v>
      </c>
    </row>
    <row r="11" spans="1:17" ht="14" customHeight="1" x14ac:dyDescent="0.2">
      <c r="A11" s="17" t="s">
        <v>43</v>
      </c>
      <c r="B11" s="28"/>
      <c r="C11" s="9">
        <v>797997.66</v>
      </c>
      <c r="D11" s="28"/>
      <c r="E11" s="21">
        <f>797997.66/(C20+C26+C74+C96+C109+C119+C124+C129)</f>
        <v>8.1290826022299364E-4</v>
      </c>
      <c r="F11" s="28"/>
      <c r="G11" s="9">
        <v>797997.66</v>
      </c>
      <c r="H11" s="28"/>
      <c r="I11" s="21">
        <f>797997.66/797997.66</f>
        <v>1</v>
      </c>
      <c r="J11" s="28"/>
      <c r="K11" s="9">
        <v>0</v>
      </c>
      <c r="L11" s="28"/>
      <c r="M11" s="21" t="s">
        <v>18</v>
      </c>
      <c r="N11" s="28"/>
      <c r="O11" s="19">
        <v>1</v>
      </c>
      <c r="P11" s="28"/>
      <c r="Q11" s="28" t="s">
        <v>44</v>
      </c>
    </row>
    <row r="12" spans="1:17" ht="14" customHeight="1" thickBot="1" x14ac:dyDescent="0.25">
      <c r="A12" s="17" t="s">
        <v>45</v>
      </c>
      <c r="B12" s="28"/>
      <c r="C12" s="9">
        <v>70187.929999999993</v>
      </c>
      <c r="D12" s="28"/>
      <c r="E12" s="21">
        <f>70187.93/(C20+C26+C74+C96+C109+C119+C124+C129)</f>
        <v>7.1499392698661865E-5</v>
      </c>
      <c r="F12" s="28"/>
      <c r="G12" s="9">
        <v>70187.929999999993</v>
      </c>
      <c r="H12" s="28"/>
      <c r="I12" s="21">
        <f>70187.93/70187.93</f>
        <v>1</v>
      </c>
      <c r="J12" s="28"/>
      <c r="K12" s="9">
        <v>0</v>
      </c>
      <c r="L12" s="28"/>
      <c r="M12" s="21" t="s">
        <v>18</v>
      </c>
      <c r="N12" s="28"/>
      <c r="O12" s="19">
        <v>1</v>
      </c>
      <c r="P12" s="28"/>
      <c r="Q12" s="28" t="s">
        <v>46</v>
      </c>
    </row>
    <row r="13" spans="1:17" ht="14" customHeight="1" x14ac:dyDescent="0.2">
      <c r="A13" s="17" t="s">
        <v>47</v>
      </c>
      <c r="B13" s="28"/>
      <c r="C13" s="9">
        <v>6540823.5199999996</v>
      </c>
      <c r="D13" s="28"/>
      <c r="E13" s="21">
        <f>6540823.52/(C20+C26+C74+C96+C109+C119+C124+C129)</f>
        <v>6.6630389217793408E-3</v>
      </c>
      <c r="F13" s="28"/>
      <c r="G13" s="9">
        <v>6540823.5199999996</v>
      </c>
      <c r="H13" s="28"/>
      <c r="I13" s="21">
        <f>6540823.52/6540823.52</f>
        <v>1</v>
      </c>
      <c r="J13" s="28"/>
      <c r="K13" s="9">
        <v>0</v>
      </c>
      <c r="L13" s="28"/>
      <c r="M13" s="21" t="s">
        <v>18</v>
      </c>
      <c r="N13" s="28"/>
      <c r="O13" s="19">
        <v>1</v>
      </c>
      <c r="P13" s="28"/>
      <c r="Q13" s="28" t="s">
        <v>48</v>
      </c>
    </row>
    <row r="14" spans="1:17" ht="14" customHeight="1" x14ac:dyDescent="0.2">
      <c r="A14" s="17" t="s">
        <v>49</v>
      </c>
      <c r="B14" s="28"/>
      <c r="C14" s="9">
        <v>1196965.99</v>
      </c>
      <c r="D14" s="28"/>
      <c r="E14" s="21">
        <f>1196965.99/(C20+C26+C74+C96+C109+C119+C124+C129)</f>
        <v>1.2193313204414574E-3</v>
      </c>
      <c r="F14" s="28"/>
      <c r="G14" s="9">
        <v>1196965.99</v>
      </c>
      <c r="H14" s="28"/>
      <c r="I14" s="21">
        <f>1196965.99/1196965.99</f>
        <v>1</v>
      </c>
      <c r="J14" s="28"/>
      <c r="K14" s="9">
        <v>0</v>
      </c>
      <c r="L14" s="28"/>
      <c r="M14" s="21" t="s">
        <v>18</v>
      </c>
      <c r="N14" s="28"/>
      <c r="O14" s="19">
        <v>1</v>
      </c>
      <c r="P14" s="28"/>
      <c r="Q14" s="28" t="s">
        <v>50</v>
      </c>
    </row>
    <row r="15" spans="1:17" ht="14" customHeight="1" x14ac:dyDescent="0.2">
      <c r="A15" s="17" t="s">
        <v>51</v>
      </c>
      <c r="B15" s="28"/>
      <c r="C15" s="9">
        <v>818792.43</v>
      </c>
      <c r="D15" s="28"/>
      <c r="E15" s="21">
        <f>818792.43/(C20+C26+C74+C96+C109+C119+C124+C129)</f>
        <v>8.3409158086385541E-4</v>
      </c>
      <c r="F15" s="28"/>
      <c r="G15" s="9">
        <v>818792.43</v>
      </c>
      <c r="H15" s="28"/>
      <c r="I15" s="21">
        <f>818792.43/818792.43</f>
        <v>1</v>
      </c>
      <c r="J15" s="28"/>
      <c r="K15" s="9">
        <v>0</v>
      </c>
      <c r="L15" s="28"/>
      <c r="M15" s="21" t="s">
        <v>18</v>
      </c>
      <c r="N15" s="28"/>
      <c r="O15" s="19">
        <v>1</v>
      </c>
      <c r="P15" s="28"/>
      <c r="Q15" s="28" t="s">
        <v>52</v>
      </c>
    </row>
    <row r="16" spans="1:17" ht="14" customHeight="1" x14ac:dyDescent="0.2">
      <c r="A16" s="17" t="s">
        <v>53</v>
      </c>
      <c r="B16" s="28"/>
      <c r="C16" s="9">
        <v>73693.88</v>
      </c>
      <c r="D16" s="28"/>
      <c r="E16" s="21">
        <f>73693.88/(C20+C26+C74+C96+C109+C119+C124+C129)</f>
        <v>7.5070851435682238E-5</v>
      </c>
      <c r="F16" s="28"/>
      <c r="G16" s="9">
        <v>73693.88</v>
      </c>
      <c r="H16" s="28"/>
      <c r="I16" s="21">
        <f>73693.88/73693.88</f>
        <v>1</v>
      </c>
      <c r="J16" s="28"/>
      <c r="K16" s="9">
        <v>0</v>
      </c>
      <c r="L16" s="28"/>
      <c r="M16" s="21" t="s">
        <v>18</v>
      </c>
      <c r="N16" s="28"/>
      <c r="O16" s="19">
        <v>1</v>
      </c>
      <c r="P16" s="28"/>
      <c r="Q16" s="28" t="s">
        <v>54</v>
      </c>
    </row>
    <row r="17" spans="1:17" ht="14" customHeight="1" thickBot="1" x14ac:dyDescent="0.25">
      <c r="A17" s="17" t="s">
        <v>55</v>
      </c>
      <c r="B17" s="28"/>
      <c r="C17" s="9">
        <v>3816831.42</v>
      </c>
      <c r="D17" s="28"/>
      <c r="E17" s="21">
        <f>3816831.42/(C20+C26+C74+C96+C109+C119+C124+C129)</f>
        <v>3.8881489817860597E-3</v>
      </c>
      <c r="F17" s="28"/>
      <c r="G17" s="9">
        <v>3816831.42</v>
      </c>
      <c r="H17" s="28"/>
      <c r="I17" s="21">
        <f>3816831.42/3816831.42</f>
        <v>1</v>
      </c>
      <c r="J17" s="28"/>
      <c r="K17" s="9">
        <v>0</v>
      </c>
      <c r="L17" s="28"/>
      <c r="M17" s="21" t="s">
        <v>18</v>
      </c>
      <c r="N17" s="28"/>
      <c r="O17" s="19">
        <v>1</v>
      </c>
      <c r="P17" s="28"/>
      <c r="Q17" s="28" t="s">
        <v>56</v>
      </c>
    </row>
    <row r="18" spans="1:17" ht="14" customHeight="1" x14ac:dyDescent="0.2">
      <c r="A18" s="17" t="s">
        <v>57</v>
      </c>
      <c r="B18" s="28"/>
      <c r="C18" s="9">
        <v>33348.53</v>
      </c>
      <c r="D18" s="28"/>
      <c r="E18" s="21">
        <f>33348.53/(C20+C26+C74+C96+C109+C119+C124+C129)</f>
        <v>3.3971647865852529E-5</v>
      </c>
      <c r="F18" s="28"/>
      <c r="G18" s="9">
        <v>33348.53</v>
      </c>
      <c r="H18" s="28"/>
      <c r="I18" s="21">
        <f>33348.53/33348.53</f>
        <v>1</v>
      </c>
      <c r="J18" s="28"/>
      <c r="K18" s="9">
        <v>0</v>
      </c>
      <c r="L18" s="28"/>
      <c r="M18" s="21" t="s">
        <v>18</v>
      </c>
      <c r="N18" s="28"/>
      <c r="O18" s="19">
        <v>1</v>
      </c>
      <c r="P18" s="28"/>
      <c r="Q18" s="28" t="s">
        <v>58</v>
      </c>
    </row>
    <row r="19" spans="1:17" ht="14" customHeight="1" x14ac:dyDescent="0.2">
      <c r="A19" s="28"/>
      <c r="B19" s="28"/>
      <c r="C19" s="11"/>
      <c r="D19" s="28"/>
      <c r="E19" s="11"/>
      <c r="F19" s="28"/>
      <c r="G19" s="11"/>
      <c r="H19" s="28"/>
      <c r="I19" s="11"/>
      <c r="J19" s="28"/>
      <c r="K19" s="11"/>
      <c r="L19" s="28"/>
      <c r="M19" s="11"/>
      <c r="N19" s="28"/>
      <c r="O19" s="11"/>
      <c r="P19" s="28"/>
      <c r="Q19" s="28"/>
    </row>
    <row r="20" spans="1:17" ht="14" customHeight="1" x14ac:dyDescent="0.2">
      <c r="A20" s="8" t="s">
        <v>59</v>
      </c>
      <c r="B20" s="28"/>
      <c r="C20" s="25">
        <v>13609892.720000001</v>
      </c>
      <c r="D20" s="28"/>
      <c r="E20" s="22">
        <f>SUM(E10:E19)</f>
        <v>1.386419380332116E-2</v>
      </c>
      <c r="F20" s="28"/>
      <c r="G20" s="25">
        <v>13609892.720000001</v>
      </c>
      <c r="H20" s="28"/>
      <c r="I20" s="22">
        <f>G20/C20</f>
        <v>1</v>
      </c>
      <c r="J20" s="28"/>
      <c r="K20" s="25">
        <v>0</v>
      </c>
      <c r="L20" s="28"/>
      <c r="M20" s="22" t="s">
        <v>18</v>
      </c>
      <c r="N20" s="28"/>
      <c r="O20" s="15">
        <f>IFERROR(SUMPRODUCT(G10:G18, O10:O18)/SUMIF(G10:G18,"&gt;0"), 1)</f>
        <v>1</v>
      </c>
      <c r="P20" s="28"/>
      <c r="Q20" s="28"/>
    </row>
    <row r="21" spans="1:17" ht="14" customHeight="1" x14ac:dyDescent="0.2">
      <c r="A21" s="28"/>
      <c r="B21" s="28"/>
      <c r="C21" s="4"/>
      <c r="D21" s="28"/>
      <c r="E21" s="4"/>
      <c r="F21" s="28"/>
      <c r="G21" s="4"/>
      <c r="H21" s="28"/>
      <c r="I21" s="4"/>
      <c r="J21" s="28"/>
      <c r="K21" s="4"/>
      <c r="L21" s="28"/>
      <c r="M21" s="4"/>
      <c r="N21" s="28"/>
      <c r="O21" s="4"/>
      <c r="P21" s="28"/>
      <c r="Q21" s="28"/>
    </row>
    <row r="22" spans="1:17" ht="14" customHeight="1" x14ac:dyDescent="0.2">
      <c r="A22" s="5" t="s">
        <v>60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 ht="14" customHeight="1" thickBot="1" x14ac:dyDescent="0.25">
      <c r="A23" s="17" t="s">
        <v>61</v>
      </c>
      <c r="B23" s="28"/>
      <c r="C23" s="20">
        <v>60280128.140000001</v>
      </c>
      <c r="D23" s="28"/>
      <c r="E23" s="21">
        <f>60280128.14/(C20+C26+C74+C96+C109+C119+C124+C129)</f>
        <v>6.1406463387757959E-2</v>
      </c>
      <c r="F23" s="28"/>
      <c r="G23" s="20">
        <v>60280128.140000001</v>
      </c>
      <c r="H23" s="28"/>
      <c r="I23" s="21">
        <f>60280128.14/60280128.14</f>
        <v>1</v>
      </c>
      <c r="J23" s="28"/>
      <c r="K23" s="20">
        <v>0</v>
      </c>
      <c r="L23" s="28"/>
      <c r="M23" s="21">
        <v>1.078E-2</v>
      </c>
      <c r="N23" s="28"/>
      <c r="O23" s="19">
        <v>191</v>
      </c>
      <c r="P23" s="28"/>
      <c r="Q23" s="28" t="s">
        <v>62</v>
      </c>
    </row>
    <row r="24" spans="1:17" ht="14" customHeight="1" x14ac:dyDescent="0.2">
      <c r="A24" s="17" t="s">
        <v>63</v>
      </c>
      <c r="B24" s="28"/>
      <c r="C24" s="9">
        <v>7745220.2199999997</v>
      </c>
      <c r="D24" s="28"/>
      <c r="E24" s="21">
        <f>7745220.22/(C20+C26+C74+C96+C109+C119+C124+C129)</f>
        <v>7.889939795167009E-3</v>
      </c>
      <c r="F24" s="28"/>
      <c r="G24" s="9">
        <v>7745220.2199999997</v>
      </c>
      <c r="H24" s="28"/>
      <c r="I24" s="21">
        <f>7745220.22/7745220.22</f>
        <v>1</v>
      </c>
      <c r="J24" s="28"/>
      <c r="K24" s="9">
        <v>0</v>
      </c>
      <c r="L24" s="28"/>
      <c r="M24" s="21">
        <v>1.078E-2</v>
      </c>
      <c r="N24" s="28"/>
      <c r="O24" s="19">
        <v>191</v>
      </c>
      <c r="P24" s="28"/>
      <c r="Q24" s="28" t="s">
        <v>64</v>
      </c>
    </row>
    <row r="25" spans="1:17" ht="14" customHeight="1" x14ac:dyDescent="0.2">
      <c r="A25" s="28"/>
      <c r="B25" s="28"/>
      <c r="C25" s="11"/>
      <c r="D25" s="28"/>
      <c r="E25" s="11"/>
      <c r="F25" s="28"/>
      <c r="G25" s="11"/>
      <c r="H25" s="28"/>
      <c r="I25" s="11"/>
      <c r="J25" s="28"/>
      <c r="K25" s="11"/>
      <c r="L25" s="28"/>
      <c r="M25" s="11"/>
      <c r="N25" s="28"/>
      <c r="O25" s="11"/>
      <c r="P25" s="28"/>
      <c r="Q25" s="28"/>
    </row>
    <row r="26" spans="1:17" ht="14" customHeight="1" x14ac:dyDescent="0.2">
      <c r="A26" s="8" t="s">
        <v>65</v>
      </c>
      <c r="B26" s="28"/>
      <c r="C26" s="25">
        <v>68025348.359999999</v>
      </c>
      <c r="D26" s="28"/>
      <c r="E26" s="22">
        <f>SUM(E23:E25)</f>
        <v>6.9296403182924973E-2</v>
      </c>
      <c r="F26" s="28"/>
      <c r="G26" s="25">
        <v>68025348.359999999</v>
      </c>
      <c r="H26" s="28"/>
      <c r="I26" s="22">
        <f>G26/C26</f>
        <v>1</v>
      </c>
      <c r="J26" s="28"/>
      <c r="K26" s="25">
        <v>0</v>
      </c>
      <c r="L26" s="28"/>
      <c r="M26" s="22">
        <v>1.078E-2</v>
      </c>
      <c r="N26" s="28"/>
      <c r="O26" s="15">
        <f>IFERROR(SUMPRODUCT(G23:G24, O23:O24)/SUMIF(G23:G24,"&gt;0"), 1)</f>
        <v>191</v>
      </c>
      <c r="P26" s="28"/>
      <c r="Q26" s="28"/>
    </row>
    <row r="27" spans="1:17" ht="14" customHeight="1" x14ac:dyDescent="0.2">
      <c r="A27" s="28"/>
      <c r="B27" s="28"/>
      <c r="C27" s="4"/>
      <c r="D27" s="28"/>
      <c r="E27" s="4"/>
      <c r="F27" s="28"/>
      <c r="G27" s="4"/>
      <c r="H27" s="28"/>
      <c r="I27" s="4"/>
      <c r="J27" s="28"/>
      <c r="K27" s="4"/>
      <c r="L27" s="28"/>
      <c r="M27" s="4"/>
      <c r="N27" s="28"/>
      <c r="O27" s="4"/>
      <c r="P27" s="28"/>
      <c r="Q27" s="28"/>
    </row>
    <row r="28" spans="1:17" ht="14" customHeight="1" thickBot="1" x14ac:dyDescent="0.25">
      <c r="A28" s="5" t="s">
        <v>66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1:17" ht="14" customHeight="1" x14ac:dyDescent="0.2">
      <c r="A29" s="5" t="s">
        <v>67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1:17" ht="14" customHeight="1" thickBot="1" x14ac:dyDescent="0.25">
      <c r="A30" s="17" t="s">
        <v>68</v>
      </c>
      <c r="B30" s="28"/>
      <c r="C30" s="20">
        <v>821139</v>
      </c>
      <c r="D30" s="28"/>
      <c r="E30" s="21">
        <f>821139/(C20+C26+C74+C96+C109+C119+C124+C129)</f>
        <v>8.3648199656531424E-4</v>
      </c>
      <c r="F30" s="28"/>
      <c r="G30" s="20">
        <v>827927.93</v>
      </c>
      <c r="H30" s="28"/>
      <c r="I30" s="21">
        <f>827927.93/821139</f>
        <v>1.0082676988914179</v>
      </c>
      <c r="J30" s="28"/>
      <c r="K30" s="20">
        <v>6788.9300000000512</v>
      </c>
      <c r="L30" s="28"/>
      <c r="M30" s="21">
        <v>1.7897768000000001E-2</v>
      </c>
      <c r="N30" s="28"/>
      <c r="O30" s="19">
        <v>91</v>
      </c>
      <c r="P30" s="28"/>
      <c r="Q30" s="28" t="s">
        <v>69</v>
      </c>
    </row>
    <row r="31" spans="1:17" ht="14" customHeight="1" x14ac:dyDescent="0.2">
      <c r="A31" s="17" t="s">
        <v>70</v>
      </c>
      <c r="B31" s="28"/>
      <c r="C31" s="9">
        <v>3541276.64</v>
      </c>
      <c r="D31" s="28"/>
      <c r="E31" s="21">
        <f>3541276.64/(C20+C26+C74+C96+C109+C119+C124+C129)</f>
        <v>3.6074454559061348E-3</v>
      </c>
      <c r="F31" s="28"/>
      <c r="G31" s="9">
        <v>3595775.02</v>
      </c>
      <c r="H31" s="28"/>
      <c r="I31" s="21">
        <f>3595775.02/3541276.64</f>
        <v>1.0153894726507444</v>
      </c>
      <c r="J31" s="28"/>
      <c r="K31" s="9">
        <v>54498.379999999888</v>
      </c>
      <c r="L31" s="28"/>
      <c r="M31" s="21">
        <v>2.2459357999999999E-2</v>
      </c>
      <c r="N31" s="28"/>
      <c r="O31" s="19">
        <v>274</v>
      </c>
      <c r="P31" s="28"/>
      <c r="Q31" s="28" t="s">
        <v>71</v>
      </c>
    </row>
    <row r="32" spans="1:17" ht="14" customHeight="1" x14ac:dyDescent="0.2">
      <c r="A32" s="17" t="s">
        <v>72</v>
      </c>
      <c r="B32" s="28"/>
      <c r="C32" s="9">
        <v>16813753.050000001</v>
      </c>
      <c r="D32" s="28"/>
      <c r="E32" s="21">
        <f>16813753.05/(C20+C26+C74+C96+C109+C119+C124+C129)</f>
        <v>1.7127918319578224E-2</v>
      </c>
      <c r="F32" s="28"/>
      <c r="G32" s="9">
        <v>16991566.800000001</v>
      </c>
      <c r="H32" s="28"/>
      <c r="I32" s="21">
        <f>16991566.8/16813753.05</f>
        <v>1.0105754943272467</v>
      </c>
      <c r="J32" s="28"/>
      <c r="K32" s="9">
        <v>177813.75</v>
      </c>
      <c r="L32" s="28"/>
      <c r="M32" s="21">
        <v>1.7992809021144199E-2</v>
      </c>
      <c r="N32" s="28"/>
      <c r="O32" s="19">
        <v>78.9879925022571</v>
      </c>
      <c r="P32" s="28"/>
      <c r="Q32" s="28" t="s">
        <v>73</v>
      </c>
    </row>
    <row r="33" spans="1:17" ht="14" customHeight="1" x14ac:dyDescent="0.2">
      <c r="A33" s="17" t="s">
        <v>74</v>
      </c>
      <c r="B33" s="28"/>
      <c r="C33" s="9">
        <v>29039179.75</v>
      </c>
      <c r="D33" s="28"/>
      <c r="E33" s="21">
        <f>29039179.75/(C20+C26+C74+C96+C109+C119+C124+C129)</f>
        <v>2.9581777331120603E-2</v>
      </c>
      <c r="F33" s="28"/>
      <c r="G33" s="9">
        <v>29088168.449999999</v>
      </c>
      <c r="H33" s="28"/>
      <c r="I33" s="21">
        <f>29088168.45/29039179.75</f>
        <v>1.0016869863550468</v>
      </c>
      <c r="J33" s="28"/>
      <c r="K33" s="9">
        <v>48988.699999999248</v>
      </c>
      <c r="L33" s="28"/>
      <c r="M33" s="21">
        <v>1.8989042420995101E-2</v>
      </c>
      <c r="N33" s="28"/>
      <c r="O33" s="19">
        <v>129.79730456869001</v>
      </c>
      <c r="P33" s="28"/>
      <c r="Q33" s="28" t="s">
        <v>75</v>
      </c>
    </row>
    <row r="34" spans="1:17" ht="14" customHeight="1" x14ac:dyDescent="0.2">
      <c r="A34" s="17" t="s">
        <v>76</v>
      </c>
      <c r="B34" s="28"/>
      <c r="C34" s="9">
        <v>24879882.809999999</v>
      </c>
      <c r="D34" s="28"/>
      <c r="E34" s="21">
        <f>24879882.81/(C20+C26+C74+C96+C109+C119+C124+C129)</f>
        <v>2.5344763855108379E-2</v>
      </c>
      <c r="F34" s="28"/>
      <c r="G34" s="9">
        <v>25011720</v>
      </c>
      <c r="H34" s="28"/>
      <c r="I34" s="21">
        <f>25011720/24879882.81</f>
        <v>1.0052989473868024</v>
      </c>
      <c r="J34" s="28"/>
      <c r="K34" s="9">
        <v>131837.19000000131</v>
      </c>
      <c r="L34" s="28"/>
      <c r="M34" s="21">
        <v>1.9835991000000001E-2</v>
      </c>
      <c r="N34" s="28"/>
      <c r="O34" s="19">
        <v>15</v>
      </c>
      <c r="P34" s="28"/>
      <c r="Q34" s="28" t="s">
        <v>77</v>
      </c>
    </row>
    <row r="35" spans="1:17" ht="14" customHeight="1" x14ac:dyDescent="0.2">
      <c r="A35" s="28"/>
      <c r="B35" s="28"/>
      <c r="C35" s="11"/>
      <c r="D35" s="28"/>
      <c r="E35" s="11"/>
      <c r="F35" s="28"/>
      <c r="G35" s="11"/>
      <c r="H35" s="28"/>
      <c r="I35" s="11"/>
      <c r="J35" s="28"/>
      <c r="K35" s="11"/>
      <c r="L35" s="28"/>
      <c r="M35" s="11"/>
      <c r="N35" s="28"/>
      <c r="O35" s="11"/>
      <c r="P35" s="28"/>
      <c r="Q35" s="28"/>
    </row>
    <row r="36" spans="1:17" ht="14" customHeight="1" x14ac:dyDescent="0.2">
      <c r="A36" s="8" t="s">
        <v>78</v>
      </c>
      <c r="B36" s="28"/>
      <c r="C36" s="25">
        <v>75095231.25</v>
      </c>
      <c r="D36" s="28"/>
      <c r="E36" s="22">
        <f>SUM(E30:E35)</f>
        <v>7.6498386958278652E-2</v>
      </c>
      <c r="F36" s="28"/>
      <c r="G36" s="25">
        <v>75515158.200000003</v>
      </c>
      <c r="H36" s="28"/>
      <c r="I36" s="22">
        <f>G36/C36</f>
        <v>1.0055919256524029</v>
      </c>
      <c r="J36" s="28"/>
      <c r="K36" s="25">
        <v>419926.95000000048</v>
      </c>
      <c r="L36" s="28"/>
      <c r="M36" s="22">
        <v>1.91983076202824E-2</v>
      </c>
      <c r="N36" s="28"/>
      <c r="O36" s="15">
        <f>IFERROR(SUMPRODUCT(G30:G34, O30:O34)/SUMIF(G30:G34,"&gt;0"), 1)</f>
        <v>86.783307669214537</v>
      </c>
      <c r="P36" s="28"/>
      <c r="Q36" s="28"/>
    </row>
    <row r="37" spans="1:17" ht="14" customHeight="1" thickBot="1" x14ac:dyDescent="0.25">
      <c r="A37" s="28"/>
      <c r="B37" s="28"/>
      <c r="C37" s="4"/>
      <c r="D37" s="28"/>
      <c r="E37" s="4"/>
      <c r="F37" s="28"/>
      <c r="G37" s="4"/>
      <c r="H37" s="28"/>
      <c r="I37" s="4"/>
      <c r="J37" s="28"/>
      <c r="K37" s="4"/>
      <c r="L37" s="28"/>
      <c r="M37" s="4"/>
      <c r="N37" s="28"/>
      <c r="O37" s="4"/>
      <c r="P37" s="28"/>
      <c r="Q37" s="28"/>
    </row>
    <row r="38" spans="1:17" ht="14" customHeight="1" x14ac:dyDescent="0.2">
      <c r="A38" s="5" t="s">
        <v>79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17" ht="14" customHeight="1" x14ac:dyDescent="0.2">
      <c r="A39" s="17" t="s">
        <v>80</v>
      </c>
      <c r="B39" s="28"/>
      <c r="C39" s="20">
        <v>5736450.8300000001</v>
      </c>
      <c r="D39" s="28"/>
      <c r="E39" s="21">
        <f>5736450.83/(C20+C26+C74+C96+C109+C119+C124+C129)</f>
        <v>5.8436365140093873E-3</v>
      </c>
      <c r="F39" s="28"/>
      <c r="G39" s="20">
        <v>5736450.8300000001</v>
      </c>
      <c r="H39" s="28"/>
      <c r="I39" s="21">
        <f>5736450.83/5736450.83</f>
        <v>1</v>
      </c>
      <c r="J39" s="28"/>
      <c r="K39" s="20">
        <v>0</v>
      </c>
      <c r="L39" s="28"/>
      <c r="M39" s="21">
        <v>5.1000000000000004E-3</v>
      </c>
      <c r="N39" s="28"/>
      <c r="O39" s="19">
        <v>53</v>
      </c>
      <c r="P39" s="28"/>
      <c r="Q39" s="28" t="s">
        <v>81</v>
      </c>
    </row>
    <row r="40" spans="1:17" ht="14" customHeight="1" x14ac:dyDescent="0.2">
      <c r="A40" s="17" t="s">
        <v>82</v>
      </c>
      <c r="B40" s="28"/>
      <c r="C40" s="9">
        <v>1</v>
      </c>
      <c r="D40" s="28"/>
      <c r="E40" s="21">
        <f>1/(C20+C26+C74+C96+C109+C119+C124+C129)</f>
        <v>1.0186850174761084E-9</v>
      </c>
      <c r="F40" s="28"/>
      <c r="G40" s="9">
        <v>1</v>
      </c>
      <c r="H40" s="28"/>
      <c r="I40" s="21">
        <f>1/1</f>
        <v>1</v>
      </c>
      <c r="J40" s="28"/>
      <c r="K40" s="9">
        <v>0</v>
      </c>
      <c r="L40" s="28"/>
      <c r="M40" s="21">
        <v>5.1000000000000004E-3</v>
      </c>
      <c r="N40" s="28"/>
      <c r="O40" s="19">
        <v>53</v>
      </c>
      <c r="P40" s="28"/>
      <c r="Q40" s="28" t="s">
        <v>83</v>
      </c>
    </row>
    <row r="41" spans="1:17" ht="14" customHeight="1" x14ac:dyDescent="0.2">
      <c r="A41" s="17" t="s">
        <v>84</v>
      </c>
      <c r="B41" s="28"/>
      <c r="C41" s="9">
        <v>13673231.619999999</v>
      </c>
      <c r="D41" s="28"/>
      <c r="E41" s="21">
        <f>13673231.62/(C20+C26+C74+C96+C109+C119+C124+C129)</f>
        <v>1.3928716191774578E-2</v>
      </c>
      <c r="F41" s="28"/>
      <c r="G41" s="9">
        <v>13673231.619999999</v>
      </c>
      <c r="H41" s="28"/>
      <c r="I41" s="21">
        <f>13673231.62/13673231.62</f>
        <v>1</v>
      </c>
      <c r="J41" s="28"/>
      <c r="K41" s="9">
        <v>0</v>
      </c>
      <c r="L41" s="28"/>
      <c r="M41" s="21">
        <v>5.1000000000000004E-3</v>
      </c>
      <c r="N41" s="28"/>
      <c r="O41" s="19">
        <v>53</v>
      </c>
      <c r="P41" s="28"/>
      <c r="Q41" s="28" t="s">
        <v>85</v>
      </c>
    </row>
    <row r="42" spans="1:17" ht="14" customHeight="1" x14ac:dyDescent="0.2">
      <c r="A42" s="17" t="s">
        <v>86</v>
      </c>
      <c r="B42" s="28"/>
      <c r="C42" s="9">
        <v>1</v>
      </c>
      <c r="D42" s="28"/>
      <c r="E42" s="21">
        <f>1/(C20+C26+C74+C96+C109+C119+C124+C129)</f>
        <v>1.0186850174761084E-9</v>
      </c>
      <c r="F42" s="28"/>
      <c r="G42" s="9">
        <v>1</v>
      </c>
      <c r="H42" s="28"/>
      <c r="I42" s="21">
        <f>1/1</f>
        <v>1</v>
      </c>
      <c r="J42" s="28"/>
      <c r="K42" s="9">
        <v>0</v>
      </c>
      <c r="L42" s="28"/>
      <c r="M42" s="21">
        <v>5.1000000000000004E-3</v>
      </c>
      <c r="N42" s="28"/>
      <c r="O42" s="19">
        <v>53</v>
      </c>
      <c r="P42" s="28"/>
      <c r="Q42" s="28" t="s">
        <v>87</v>
      </c>
    </row>
    <row r="43" spans="1:17" ht="14" customHeight="1" thickBot="1" x14ac:dyDescent="0.25">
      <c r="A43" s="17" t="s">
        <v>88</v>
      </c>
      <c r="B43" s="28"/>
      <c r="C43" s="9">
        <v>1</v>
      </c>
      <c r="D43" s="28"/>
      <c r="E43" s="21">
        <f>1/(C20+C26+C74+C96+C109+C119+C124+C129)</f>
        <v>1.0186850174761084E-9</v>
      </c>
      <c r="F43" s="28"/>
      <c r="G43" s="9">
        <v>1</v>
      </c>
      <c r="H43" s="28"/>
      <c r="I43" s="21">
        <f>1/1</f>
        <v>1</v>
      </c>
      <c r="J43" s="28"/>
      <c r="K43" s="9">
        <v>0</v>
      </c>
      <c r="L43" s="28"/>
      <c r="M43" s="21">
        <v>5.1000000000000004E-3</v>
      </c>
      <c r="N43" s="28"/>
      <c r="O43" s="19">
        <v>53</v>
      </c>
      <c r="P43" s="28"/>
      <c r="Q43" s="28" t="s">
        <v>89</v>
      </c>
    </row>
    <row r="44" spans="1:17" ht="14" customHeight="1" x14ac:dyDescent="0.2">
      <c r="A44" s="17" t="s">
        <v>90</v>
      </c>
      <c r="B44" s="28"/>
      <c r="C44" s="9">
        <v>1</v>
      </c>
      <c r="D44" s="28"/>
      <c r="E44" s="21">
        <f>1/(C20+C26+C74+C96+C109+C119+C124+C129)</f>
        <v>1.0186850174761084E-9</v>
      </c>
      <c r="F44" s="28"/>
      <c r="G44" s="9">
        <v>1</v>
      </c>
      <c r="H44" s="28"/>
      <c r="I44" s="21">
        <f>1/1</f>
        <v>1</v>
      </c>
      <c r="J44" s="28"/>
      <c r="K44" s="9">
        <v>0</v>
      </c>
      <c r="L44" s="28"/>
      <c r="M44" s="21">
        <v>5.1000000000000004E-3</v>
      </c>
      <c r="N44" s="28"/>
      <c r="O44" s="19">
        <v>53</v>
      </c>
      <c r="P44" s="28"/>
      <c r="Q44" s="28" t="s">
        <v>91</v>
      </c>
    </row>
    <row r="45" spans="1:17" ht="14" customHeight="1" x14ac:dyDescent="0.2">
      <c r="A45" s="17" t="s">
        <v>92</v>
      </c>
      <c r="B45" s="28"/>
      <c r="C45" s="9">
        <v>57042240.579999998</v>
      </c>
      <c r="D45" s="28"/>
      <c r="E45" s="21">
        <f>57042240.58/(C20+C26+C74+C96+C109+C119+C124+C129)</f>
        <v>5.8108075842113679E-2</v>
      </c>
      <c r="F45" s="28"/>
      <c r="G45" s="9">
        <v>57042240.579999998</v>
      </c>
      <c r="H45" s="28"/>
      <c r="I45" s="21">
        <f>57042240.58/57042240.58</f>
        <v>1</v>
      </c>
      <c r="J45" s="28"/>
      <c r="K45" s="9">
        <v>0</v>
      </c>
      <c r="L45" s="28"/>
      <c r="M45" s="21">
        <v>5.1000000000000004E-3</v>
      </c>
      <c r="N45" s="28"/>
      <c r="O45" s="19">
        <v>53</v>
      </c>
      <c r="P45" s="28"/>
      <c r="Q45" s="28" t="s">
        <v>93</v>
      </c>
    </row>
    <row r="46" spans="1:17" ht="14" customHeight="1" x14ac:dyDescent="0.2">
      <c r="A46" s="17" t="s">
        <v>94</v>
      </c>
      <c r="B46" s="28"/>
      <c r="C46" s="9">
        <v>5011864.3899999997</v>
      </c>
      <c r="D46" s="28"/>
      <c r="E46" s="21">
        <f>5011864.39/(C20+C26+C74+C96+C109+C119+C124+C129)</f>
        <v>5.1055111637150355E-3</v>
      </c>
      <c r="F46" s="28"/>
      <c r="G46" s="9">
        <v>5011864.3899999997</v>
      </c>
      <c r="H46" s="28"/>
      <c r="I46" s="21">
        <f>5011864.39/5011864.39</f>
        <v>1</v>
      </c>
      <c r="J46" s="28"/>
      <c r="K46" s="9">
        <v>0</v>
      </c>
      <c r="L46" s="28"/>
      <c r="M46" s="21">
        <v>5.1000000000000004E-3</v>
      </c>
      <c r="N46" s="28"/>
      <c r="O46" s="19">
        <v>53</v>
      </c>
      <c r="P46" s="28"/>
      <c r="Q46" s="28" t="s">
        <v>95</v>
      </c>
    </row>
    <row r="47" spans="1:17" ht="14" customHeight="1" x14ac:dyDescent="0.2">
      <c r="A47" s="17" t="s">
        <v>96</v>
      </c>
      <c r="B47" s="28"/>
      <c r="C47" s="9">
        <v>1860338.64</v>
      </c>
      <c r="D47" s="28"/>
      <c r="E47" s="21">
        <f>1860338.64/(C20+C26+C74+C96+C109+C119+C124+C129)</f>
        <v>1.8950990999998798E-3</v>
      </c>
      <c r="F47" s="28"/>
      <c r="G47" s="9">
        <v>1860338.64</v>
      </c>
      <c r="H47" s="28"/>
      <c r="I47" s="21">
        <f>1860338.64/1860338.64</f>
        <v>1</v>
      </c>
      <c r="J47" s="28"/>
      <c r="K47" s="9">
        <v>0</v>
      </c>
      <c r="L47" s="28"/>
      <c r="M47" s="21">
        <v>5.1000000000000004E-3</v>
      </c>
      <c r="N47" s="28"/>
      <c r="O47" s="19">
        <v>53</v>
      </c>
      <c r="P47" s="28"/>
      <c r="Q47" s="28" t="s">
        <v>97</v>
      </c>
    </row>
    <row r="48" spans="1:17" ht="14" customHeight="1" thickBot="1" x14ac:dyDescent="0.25">
      <c r="A48" s="17" t="s">
        <v>98</v>
      </c>
      <c r="B48" s="28"/>
      <c r="C48" s="9">
        <v>4995425.47</v>
      </c>
      <c r="D48" s="28"/>
      <c r="E48" s="21">
        <f>4995425.47/(C20+C26+C74+C96+C109+C119+C124+C129)</f>
        <v>5.0887650822075466E-3</v>
      </c>
      <c r="F48" s="28"/>
      <c r="G48" s="9">
        <v>4995425.47</v>
      </c>
      <c r="H48" s="28"/>
      <c r="I48" s="21">
        <f>4995425.47/4995425.47</f>
        <v>1</v>
      </c>
      <c r="J48" s="28"/>
      <c r="K48" s="9">
        <v>0</v>
      </c>
      <c r="L48" s="28"/>
      <c r="M48" s="21">
        <v>5.1000000000000004E-3</v>
      </c>
      <c r="N48" s="28"/>
      <c r="O48" s="19">
        <v>53</v>
      </c>
      <c r="P48" s="28"/>
      <c r="Q48" s="28" t="s">
        <v>99</v>
      </c>
    </row>
    <row r="49" spans="1:17" ht="14" customHeight="1" x14ac:dyDescent="0.2">
      <c r="A49" s="17" t="s">
        <v>100</v>
      </c>
      <c r="B49" s="28"/>
      <c r="C49" s="9">
        <v>2131434.94</v>
      </c>
      <c r="D49" s="28"/>
      <c r="E49" s="21">
        <f>2131434.94/(C20+C26+C74+C96+C109+C119+C124+C129)</f>
        <v>2.1712608391030882E-3</v>
      </c>
      <c r="F49" s="28"/>
      <c r="G49" s="9">
        <v>2131434.94</v>
      </c>
      <c r="H49" s="28"/>
      <c r="I49" s="21">
        <f>2131434.94/2131434.94</f>
        <v>1</v>
      </c>
      <c r="J49" s="28"/>
      <c r="K49" s="9">
        <v>0</v>
      </c>
      <c r="L49" s="28"/>
      <c r="M49" s="21">
        <v>5.1000000000000004E-3</v>
      </c>
      <c r="N49" s="28"/>
      <c r="O49" s="19">
        <v>53</v>
      </c>
      <c r="P49" s="28"/>
      <c r="Q49" s="28" t="s">
        <v>101</v>
      </c>
    </row>
    <row r="50" spans="1:17" ht="14" customHeight="1" x14ac:dyDescent="0.2">
      <c r="A50" s="17" t="s">
        <v>102</v>
      </c>
      <c r="B50" s="28"/>
      <c r="C50" s="9">
        <v>1395770.94</v>
      </c>
      <c r="D50" s="28"/>
      <c r="E50" s="21">
        <f>1395770.94/(C20+C26+C74+C96+C109+C119+C124+C129)</f>
        <v>1.4218509444065442E-3</v>
      </c>
      <c r="F50" s="28"/>
      <c r="G50" s="9">
        <v>1395770.94</v>
      </c>
      <c r="H50" s="28"/>
      <c r="I50" s="21">
        <f>1395770.94/1395770.94</f>
        <v>1</v>
      </c>
      <c r="J50" s="28"/>
      <c r="K50" s="9">
        <v>0</v>
      </c>
      <c r="L50" s="28"/>
      <c r="M50" s="21">
        <v>5.1000000000000004E-3</v>
      </c>
      <c r="N50" s="28"/>
      <c r="O50" s="19">
        <v>53</v>
      </c>
      <c r="P50" s="28"/>
      <c r="Q50" s="28" t="s">
        <v>103</v>
      </c>
    </row>
    <row r="51" spans="1:17" ht="14" customHeight="1" x14ac:dyDescent="0.2">
      <c r="A51" s="17" t="s">
        <v>104</v>
      </c>
      <c r="B51" s="28"/>
      <c r="C51" s="9">
        <v>3850764.86</v>
      </c>
      <c r="D51" s="28"/>
      <c r="E51" s="21">
        <f>3850764.86/(C20+C26+C74+C96+C109+C119+C124+C129)</f>
        <v>3.9227164687054838E-3</v>
      </c>
      <c r="F51" s="28"/>
      <c r="G51" s="9">
        <v>3850764.86</v>
      </c>
      <c r="H51" s="28"/>
      <c r="I51" s="21">
        <f>3850764.86/3850764.86</f>
        <v>1</v>
      </c>
      <c r="J51" s="28"/>
      <c r="K51" s="9">
        <v>0</v>
      </c>
      <c r="L51" s="28"/>
      <c r="M51" s="21">
        <v>5.1000000000000004E-3</v>
      </c>
      <c r="N51" s="28"/>
      <c r="O51" s="19">
        <v>53</v>
      </c>
      <c r="P51" s="28"/>
      <c r="Q51" s="28" t="s">
        <v>105</v>
      </c>
    </row>
    <row r="52" spans="1:17" ht="14" customHeight="1" x14ac:dyDescent="0.2">
      <c r="A52" s="17" t="s">
        <v>106</v>
      </c>
      <c r="B52" s="28"/>
      <c r="C52" s="9">
        <v>1318290.73</v>
      </c>
      <c r="D52" s="28"/>
      <c r="E52" s="21">
        <f>1318290.73/(C20+C26+C74+C96+C109+C119+C124+C129)</f>
        <v>1.3429230153286418E-3</v>
      </c>
      <c r="F52" s="28"/>
      <c r="G52" s="9">
        <v>1318290.73</v>
      </c>
      <c r="H52" s="28"/>
      <c r="I52" s="21">
        <f>1318290.73/1318290.73</f>
        <v>1</v>
      </c>
      <c r="J52" s="28"/>
      <c r="K52" s="9">
        <v>0</v>
      </c>
      <c r="L52" s="28"/>
      <c r="M52" s="21">
        <v>5.1000000000000004E-3</v>
      </c>
      <c r="N52" s="28"/>
      <c r="O52" s="19">
        <v>53</v>
      </c>
      <c r="P52" s="28"/>
      <c r="Q52" s="28" t="s">
        <v>107</v>
      </c>
    </row>
    <row r="53" spans="1:17" ht="14" customHeight="1" thickBot="1" x14ac:dyDescent="0.25">
      <c r="A53" s="17" t="s">
        <v>108</v>
      </c>
      <c r="B53" s="28"/>
      <c r="C53" s="9">
        <v>5139098.0199999996</v>
      </c>
      <c r="D53" s="28"/>
      <c r="E53" s="21">
        <f>5139098.02/(C20+C26+C74+C96+C109+C119+C124+C129)</f>
        <v>5.2351221563151336E-3</v>
      </c>
      <c r="F53" s="28"/>
      <c r="G53" s="9">
        <v>5139098.0199999996</v>
      </c>
      <c r="H53" s="28"/>
      <c r="I53" s="21">
        <f>5139098.02/5139098.02</f>
        <v>1</v>
      </c>
      <c r="J53" s="28"/>
      <c r="K53" s="9">
        <v>0</v>
      </c>
      <c r="L53" s="28"/>
      <c r="M53" s="21">
        <v>5.1000000000000004E-3</v>
      </c>
      <c r="N53" s="28"/>
      <c r="O53" s="19">
        <v>53</v>
      </c>
      <c r="P53" s="28"/>
      <c r="Q53" s="28" t="s">
        <v>109</v>
      </c>
    </row>
    <row r="54" spans="1:17" ht="14" customHeight="1" x14ac:dyDescent="0.2">
      <c r="A54" s="17" t="s">
        <v>110</v>
      </c>
      <c r="B54" s="28"/>
      <c r="C54" s="9">
        <v>888956.46</v>
      </c>
      <c r="D54" s="28"/>
      <c r="E54" s="21">
        <f>888956.46/(C20+C26+C74+C96+C109+C119+C124+C129)</f>
        <v>9.0556662699059942E-4</v>
      </c>
      <c r="F54" s="28"/>
      <c r="G54" s="9">
        <v>888956.46</v>
      </c>
      <c r="H54" s="28"/>
      <c r="I54" s="21">
        <f>888956.46/888956.46</f>
        <v>1</v>
      </c>
      <c r="J54" s="28"/>
      <c r="K54" s="9">
        <v>0</v>
      </c>
      <c r="L54" s="28"/>
      <c r="M54" s="21">
        <v>5.1000000000000004E-3</v>
      </c>
      <c r="N54" s="28"/>
      <c r="O54" s="19">
        <v>53</v>
      </c>
      <c r="P54" s="28"/>
      <c r="Q54" s="28" t="s">
        <v>111</v>
      </c>
    </row>
    <row r="55" spans="1:17" ht="14" customHeight="1" x14ac:dyDescent="0.2">
      <c r="A55" s="17" t="s">
        <v>112</v>
      </c>
      <c r="B55" s="28"/>
      <c r="C55" s="9">
        <v>385223.86</v>
      </c>
      <c r="D55" s="28"/>
      <c r="E55" s="21">
        <f>385223.86/(C20+C26+C74+C96+C109+C119+C124+C129)</f>
        <v>3.9242177455631395E-4</v>
      </c>
      <c r="F55" s="28"/>
      <c r="G55" s="9">
        <v>385223.86</v>
      </c>
      <c r="H55" s="28"/>
      <c r="I55" s="21">
        <f>385223.86/385223.86</f>
        <v>1</v>
      </c>
      <c r="J55" s="28"/>
      <c r="K55" s="9">
        <v>0</v>
      </c>
      <c r="L55" s="28"/>
      <c r="M55" s="21">
        <v>5.1000000000000004E-3</v>
      </c>
      <c r="N55" s="28"/>
      <c r="O55" s="19">
        <v>53</v>
      </c>
      <c r="P55" s="28"/>
      <c r="Q55" s="28" t="s">
        <v>113</v>
      </c>
    </row>
    <row r="56" spans="1:17" ht="14" customHeight="1" x14ac:dyDescent="0.2">
      <c r="A56" s="17" t="s">
        <v>114</v>
      </c>
      <c r="B56" s="28"/>
      <c r="C56" s="9">
        <v>15514.07</v>
      </c>
      <c r="D56" s="28"/>
      <c r="E56" s="21">
        <f>15514.07/(C20+C26+C74+C96+C109+C119+C124+C129)</f>
        <v>1.580395066907557E-5</v>
      </c>
      <c r="F56" s="28"/>
      <c r="G56" s="9">
        <v>15514.07</v>
      </c>
      <c r="H56" s="28"/>
      <c r="I56" s="21">
        <f>15514.07/15514.07</f>
        <v>1</v>
      </c>
      <c r="J56" s="28"/>
      <c r="K56" s="9">
        <v>0</v>
      </c>
      <c r="L56" s="28"/>
      <c r="M56" s="21">
        <v>5.1000000000000004E-3</v>
      </c>
      <c r="N56" s="28"/>
      <c r="O56" s="19">
        <v>53</v>
      </c>
      <c r="P56" s="28"/>
      <c r="Q56" s="28" t="s">
        <v>115</v>
      </c>
    </row>
    <row r="57" spans="1:17" ht="14" customHeight="1" x14ac:dyDescent="0.2">
      <c r="A57" s="17" t="s">
        <v>68</v>
      </c>
      <c r="B57" s="28"/>
      <c r="C57" s="9">
        <v>45242.33</v>
      </c>
      <c r="D57" s="28"/>
      <c r="E57" s="21">
        <f>45242.33/(C20+C26+C74+C96+C109+C119+C124+C129)</f>
        <v>4.6087683726709867E-5</v>
      </c>
      <c r="F57" s="28"/>
      <c r="G57" s="9">
        <v>45242.33</v>
      </c>
      <c r="H57" s="28"/>
      <c r="I57" s="21">
        <f>45242.33/45242.33</f>
        <v>1</v>
      </c>
      <c r="J57" s="28"/>
      <c r="K57" s="9">
        <v>0</v>
      </c>
      <c r="L57" s="28"/>
      <c r="M57" s="21">
        <v>5.1000000000000004E-3</v>
      </c>
      <c r="N57" s="28"/>
      <c r="O57" s="19">
        <v>53</v>
      </c>
      <c r="P57" s="28"/>
      <c r="Q57" s="28" t="s">
        <v>116</v>
      </c>
    </row>
    <row r="58" spans="1:17" ht="14" customHeight="1" thickBot="1" x14ac:dyDescent="0.25">
      <c r="A58" s="17" t="s">
        <v>72</v>
      </c>
      <c r="B58" s="28"/>
      <c r="C58" s="9">
        <v>39152171.07</v>
      </c>
      <c r="D58" s="28"/>
      <c r="E58" s="21">
        <f>39152171.07/(C20+C26+C74+C96+C109+C119+C124+C129)</f>
        <v>3.9883730070670538E-2</v>
      </c>
      <c r="F58" s="28"/>
      <c r="G58" s="9">
        <v>39152171.07</v>
      </c>
      <c r="H58" s="28"/>
      <c r="I58" s="21">
        <f>39152171.07/39152171.07</f>
        <v>1</v>
      </c>
      <c r="J58" s="28"/>
      <c r="K58" s="9">
        <v>0</v>
      </c>
      <c r="L58" s="28"/>
      <c r="M58" s="21">
        <v>5.1000000000000004E-3</v>
      </c>
      <c r="N58" s="28"/>
      <c r="O58" s="19">
        <v>53</v>
      </c>
      <c r="P58" s="28"/>
      <c r="Q58" s="28" t="s">
        <v>117</v>
      </c>
    </row>
    <row r="59" spans="1:17" ht="14" customHeight="1" x14ac:dyDescent="0.2">
      <c r="A59" s="17" t="s">
        <v>118</v>
      </c>
      <c r="B59" s="28"/>
      <c r="C59" s="9">
        <v>310856.06</v>
      </c>
      <c r="D59" s="28"/>
      <c r="E59" s="21">
        <f>310856.06/(C20+C26+C74+C96+C109+C119+C124+C129)</f>
        <v>3.1666441091365421E-4</v>
      </c>
      <c r="F59" s="28"/>
      <c r="G59" s="9">
        <v>310856.06</v>
      </c>
      <c r="H59" s="28"/>
      <c r="I59" s="21">
        <f>310856.06/310856.06</f>
        <v>1</v>
      </c>
      <c r="J59" s="28"/>
      <c r="K59" s="9">
        <v>0</v>
      </c>
      <c r="L59" s="28"/>
      <c r="M59" s="21">
        <v>5.1000000000000004E-3</v>
      </c>
      <c r="N59" s="28"/>
      <c r="O59" s="19">
        <v>53</v>
      </c>
      <c r="P59" s="28"/>
      <c r="Q59" s="28" t="s">
        <v>119</v>
      </c>
    </row>
    <row r="60" spans="1:17" ht="14" customHeight="1" x14ac:dyDescent="0.2">
      <c r="A60" s="17" t="s">
        <v>120</v>
      </c>
      <c r="B60" s="28"/>
      <c r="C60" s="9">
        <v>101114.04</v>
      </c>
      <c r="D60" s="28"/>
      <c r="E60" s="21">
        <f>101114.04/(C20+C26+C74+C96+C109+C119+C124+C129)</f>
        <v>1.0300335760447993E-4</v>
      </c>
      <c r="F60" s="28"/>
      <c r="G60" s="9">
        <v>101114.04</v>
      </c>
      <c r="H60" s="28"/>
      <c r="I60" s="21">
        <f>101114.04/101114.04</f>
        <v>1</v>
      </c>
      <c r="J60" s="28"/>
      <c r="K60" s="9">
        <v>0</v>
      </c>
      <c r="L60" s="28"/>
      <c r="M60" s="21">
        <v>5.1000000000000004E-3</v>
      </c>
      <c r="N60" s="28"/>
      <c r="O60" s="19">
        <v>53</v>
      </c>
      <c r="P60" s="28"/>
      <c r="Q60" s="28" t="s">
        <v>121</v>
      </c>
    </row>
    <row r="61" spans="1:17" ht="14" customHeight="1" x14ac:dyDescent="0.2">
      <c r="A61" s="17" t="s">
        <v>122</v>
      </c>
      <c r="B61" s="28"/>
      <c r="C61" s="9">
        <v>12826602.42</v>
      </c>
      <c r="D61" s="28"/>
      <c r="E61" s="21">
        <f>12826602.42/(C20+C26+C74+C96+C109+C119+C124+C129)</f>
        <v>1.3066267710376795E-2</v>
      </c>
      <c r="F61" s="28"/>
      <c r="G61" s="9">
        <v>12826602.42</v>
      </c>
      <c r="H61" s="28"/>
      <c r="I61" s="21">
        <f>12826602.42/12826602.42</f>
        <v>1</v>
      </c>
      <c r="J61" s="28"/>
      <c r="K61" s="9">
        <v>0</v>
      </c>
      <c r="L61" s="28"/>
      <c r="M61" s="21">
        <v>5.1000000000000004E-3</v>
      </c>
      <c r="N61" s="28"/>
      <c r="O61" s="19">
        <v>53</v>
      </c>
      <c r="P61" s="28"/>
      <c r="Q61" s="28" t="s">
        <v>123</v>
      </c>
    </row>
    <row r="62" spans="1:17" ht="14" customHeight="1" x14ac:dyDescent="0.2">
      <c r="A62" s="17" t="s">
        <v>124</v>
      </c>
      <c r="B62" s="28"/>
      <c r="C62" s="9">
        <v>80559191.150000006</v>
      </c>
      <c r="D62" s="28"/>
      <c r="E62" s="21">
        <f>80559191.15/(C20+C26+C74+C96+C109+C119+C124+C129)</f>
        <v>8.206444104449892E-2</v>
      </c>
      <c r="F62" s="28"/>
      <c r="G62" s="9">
        <v>80559191.150000006</v>
      </c>
      <c r="H62" s="28"/>
      <c r="I62" s="21">
        <f>80559191.15/80559191.15</f>
        <v>1</v>
      </c>
      <c r="J62" s="28"/>
      <c r="K62" s="9">
        <v>0</v>
      </c>
      <c r="L62" s="28"/>
      <c r="M62" s="21">
        <v>5.1000000000000004E-3</v>
      </c>
      <c r="N62" s="28"/>
      <c r="O62" s="19">
        <v>53</v>
      </c>
      <c r="P62" s="28"/>
      <c r="Q62" s="28" t="s">
        <v>125</v>
      </c>
    </row>
    <row r="63" spans="1:17" ht="14" customHeight="1" thickBot="1" x14ac:dyDescent="0.25">
      <c r="A63" s="17" t="s">
        <v>126</v>
      </c>
      <c r="B63" s="28"/>
      <c r="C63" s="9">
        <v>1052907.2</v>
      </c>
      <c r="D63" s="28"/>
      <c r="E63" s="21">
        <f>1052907.2/(C20+C26+C74+C96+C109+C119+C124+C129)</f>
        <v>1.0725807894327204E-3</v>
      </c>
      <c r="F63" s="28"/>
      <c r="G63" s="9">
        <v>1052907.2</v>
      </c>
      <c r="H63" s="28"/>
      <c r="I63" s="21">
        <f>1052907.2/1052907.2</f>
        <v>1</v>
      </c>
      <c r="J63" s="28"/>
      <c r="K63" s="9">
        <v>0</v>
      </c>
      <c r="L63" s="28"/>
      <c r="M63" s="21">
        <v>5.1000000000000004E-3</v>
      </c>
      <c r="N63" s="28"/>
      <c r="O63" s="19">
        <v>53</v>
      </c>
      <c r="P63" s="28"/>
      <c r="Q63" s="28" t="s">
        <v>127</v>
      </c>
    </row>
    <row r="64" spans="1:17" ht="14" customHeight="1" x14ac:dyDescent="0.2">
      <c r="A64" s="17" t="s">
        <v>128</v>
      </c>
      <c r="B64" s="28"/>
      <c r="C64" s="9">
        <v>284840.27</v>
      </c>
      <c r="D64" s="28"/>
      <c r="E64" s="21">
        <f>284840.27/(C20+C26+C74+C96+C109+C119+C124+C129)</f>
        <v>2.9016251542284948E-4</v>
      </c>
      <c r="F64" s="28"/>
      <c r="G64" s="9">
        <v>284840.27</v>
      </c>
      <c r="H64" s="28"/>
      <c r="I64" s="21">
        <f>284840.27/284840.27</f>
        <v>1</v>
      </c>
      <c r="J64" s="28"/>
      <c r="K64" s="9">
        <v>0</v>
      </c>
      <c r="L64" s="28"/>
      <c r="M64" s="21">
        <v>5.1000000000000004E-3</v>
      </c>
      <c r="N64" s="28"/>
      <c r="O64" s="19">
        <v>53</v>
      </c>
      <c r="P64" s="28"/>
      <c r="Q64" s="28" t="s">
        <v>129</v>
      </c>
    </row>
    <row r="65" spans="1:17" ht="14" customHeight="1" thickBot="1" x14ac:dyDescent="0.25">
      <c r="A65" s="17" t="s">
        <v>130</v>
      </c>
      <c r="B65" s="28"/>
      <c r="C65" s="9">
        <v>5047854.04</v>
      </c>
      <c r="D65" s="28"/>
      <c r="E65" s="21">
        <f>5047854.04/(C20+C26+C74+C96+C109+C119+C124+C129)</f>
        <v>5.142173280954245E-3</v>
      </c>
      <c r="F65" s="28"/>
      <c r="G65" s="9">
        <v>5047854.04</v>
      </c>
      <c r="H65" s="28"/>
      <c r="I65" s="21">
        <f>5047854.04/5047854.04</f>
        <v>1</v>
      </c>
      <c r="J65" s="28"/>
      <c r="K65" s="9">
        <v>0</v>
      </c>
      <c r="L65" s="28"/>
      <c r="M65" s="21">
        <v>5.1000000000000004E-3</v>
      </c>
      <c r="N65" s="28"/>
      <c r="O65" s="19">
        <v>53</v>
      </c>
      <c r="P65" s="28"/>
      <c r="Q65" s="28" t="s">
        <v>131</v>
      </c>
    </row>
    <row r="66" spans="1:17" ht="14" customHeight="1" thickTop="1" x14ac:dyDescent="0.2">
      <c r="A66" s="17" t="s">
        <v>132</v>
      </c>
      <c r="B66" s="28"/>
      <c r="C66" s="9">
        <v>661878.22</v>
      </c>
      <c r="D66" s="28"/>
      <c r="E66" s="21">
        <f>661878.22/(C20+C26+C74+C96+C109+C119+C124+C129)</f>
        <v>6.7424542610775549E-4</v>
      </c>
      <c r="F66" s="28"/>
      <c r="G66" s="9">
        <v>661878.22</v>
      </c>
      <c r="H66" s="28"/>
      <c r="I66" s="21">
        <f>661878.22/661878.22</f>
        <v>1</v>
      </c>
      <c r="J66" s="28"/>
      <c r="K66" s="9">
        <v>0</v>
      </c>
      <c r="L66" s="28"/>
      <c r="M66" s="21">
        <v>5.1000000000000004E-3</v>
      </c>
      <c r="N66" s="28"/>
      <c r="O66" s="19">
        <v>53</v>
      </c>
      <c r="P66" s="28"/>
      <c r="Q66" s="28" t="s">
        <v>133</v>
      </c>
    </row>
    <row r="67" spans="1:17" ht="14" customHeight="1" x14ac:dyDescent="0.2">
      <c r="A67" s="17" t="s">
        <v>134</v>
      </c>
      <c r="B67" s="28"/>
      <c r="C67" s="9">
        <v>1972791.11</v>
      </c>
      <c r="D67" s="28"/>
      <c r="E67" s="21">
        <f>1972791.11/(C20+C26+C74+C96+C109+C119+C124+C129)</f>
        <v>2.0096527463670617E-3</v>
      </c>
      <c r="F67" s="28"/>
      <c r="G67" s="9">
        <v>1972791.11</v>
      </c>
      <c r="H67" s="28"/>
      <c r="I67" s="21">
        <f>1972791.11/1972791.11</f>
        <v>1</v>
      </c>
      <c r="J67" s="28"/>
      <c r="K67" s="9">
        <v>0</v>
      </c>
      <c r="L67" s="28"/>
      <c r="M67" s="21">
        <v>5.1000000000000004E-3</v>
      </c>
      <c r="N67" s="28"/>
      <c r="O67" s="19">
        <v>53</v>
      </c>
      <c r="P67" s="28"/>
      <c r="Q67" s="28" t="s">
        <v>135</v>
      </c>
    </row>
    <row r="68" spans="1:17" ht="14" customHeight="1" x14ac:dyDescent="0.2">
      <c r="A68" s="17" t="s">
        <v>134</v>
      </c>
      <c r="B68" s="28"/>
      <c r="C68" s="9">
        <v>30004854.43</v>
      </c>
      <c r="D68" s="28"/>
      <c r="E68" s="21">
        <f>30004854.43/(C20+C26+C74+C96+C109+C119+C124+C129)</f>
        <v>3.0565495659392639E-2</v>
      </c>
      <c r="F68" s="28"/>
      <c r="G68" s="9">
        <v>30004854.43</v>
      </c>
      <c r="H68" s="28"/>
      <c r="I68" s="21">
        <f>30004854.43/30004854.43</f>
        <v>1</v>
      </c>
      <c r="J68" s="28"/>
      <c r="K68" s="9">
        <v>0</v>
      </c>
      <c r="L68" s="28"/>
      <c r="M68" s="21">
        <v>5.1000000000000004E-3</v>
      </c>
      <c r="N68" s="28"/>
      <c r="O68" s="19">
        <v>53</v>
      </c>
      <c r="P68" s="28"/>
      <c r="Q68" s="28" t="s">
        <v>136</v>
      </c>
    </row>
    <row r="69" spans="1:17" ht="14" customHeight="1" x14ac:dyDescent="0.2">
      <c r="A69" s="17" t="s">
        <v>134</v>
      </c>
      <c r="B69" s="28"/>
      <c r="C69" s="9">
        <v>22186242.129999999</v>
      </c>
      <c r="D69" s="28"/>
      <c r="E69" s="21">
        <f>22186242.13/(C20+C26+C74+C96+C109+C119+C124+C129)</f>
        <v>2.2600792451928222E-2</v>
      </c>
      <c r="F69" s="28"/>
      <c r="G69" s="9">
        <v>22186242.129999999</v>
      </c>
      <c r="H69" s="28"/>
      <c r="I69" s="21">
        <f>22186242.13/22186242.13</f>
        <v>1</v>
      </c>
      <c r="J69" s="28"/>
      <c r="K69" s="9">
        <v>0</v>
      </c>
      <c r="L69" s="28"/>
      <c r="M69" s="21">
        <v>5.1000000000000004E-3</v>
      </c>
      <c r="N69" s="28"/>
      <c r="O69" s="19">
        <v>53</v>
      </c>
      <c r="P69" s="28"/>
      <c r="Q69" s="28" t="s">
        <v>137</v>
      </c>
    </row>
    <row r="70" spans="1:17" ht="14" customHeight="1" x14ac:dyDescent="0.2">
      <c r="A70" s="17" t="s">
        <v>138</v>
      </c>
      <c r="B70" s="28"/>
      <c r="C70" s="9">
        <v>172159.27</v>
      </c>
      <c r="D70" s="28"/>
      <c r="E70" s="21">
        <f>172159.27/(C20+C26+C74+C96+C109+C119+C124+C129)</f>
        <v>1.7537606896862406E-4</v>
      </c>
      <c r="F70" s="28"/>
      <c r="G70" s="9">
        <v>172159.27</v>
      </c>
      <c r="H70" s="28"/>
      <c r="I70" s="21">
        <f>172159.27/172159.27</f>
        <v>1</v>
      </c>
      <c r="J70" s="28"/>
      <c r="K70" s="9">
        <v>0</v>
      </c>
      <c r="L70" s="28"/>
      <c r="M70" s="21">
        <v>5.1000000000000004E-3</v>
      </c>
      <c r="N70" s="28"/>
      <c r="O70" s="19">
        <v>53</v>
      </c>
      <c r="P70" s="28"/>
      <c r="Q70" s="28" t="s">
        <v>139</v>
      </c>
    </row>
    <row r="71" spans="1:17" ht="14" customHeight="1" x14ac:dyDescent="0.2">
      <c r="A71" s="28"/>
      <c r="B71" s="28"/>
      <c r="C71" s="11"/>
      <c r="D71" s="28"/>
      <c r="E71" s="11"/>
      <c r="F71" s="28"/>
      <c r="G71" s="11"/>
      <c r="H71" s="28"/>
      <c r="I71" s="11"/>
      <c r="J71" s="28"/>
      <c r="K71" s="11"/>
      <c r="L71" s="28"/>
      <c r="M71" s="11"/>
      <c r="N71" s="28"/>
      <c r="O71" s="11"/>
      <c r="P71" s="28"/>
      <c r="Q71" s="28"/>
    </row>
    <row r="72" spans="1:17" ht="14" customHeight="1" x14ac:dyDescent="0.2">
      <c r="A72" s="8" t="s">
        <v>140</v>
      </c>
      <c r="B72" s="28"/>
      <c r="C72" s="25">
        <v>297823313.14999992</v>
      </c>
      <c r="D72" s="28"/>
      <c r="E72" s="22">
        <f>SUM(E39:E71)</f>
        <v>0.30338814696100025</v>
      </c>
      <c r="F72" s="28"/>
      <c r="G72" s="25">
        <v>297823313.14999992</v>
      </c>
      <c r="H72" s="28"/>
      <c r="I72" s="22">
        <f>G72/C72</f>
        <v>1</v>
      </c>
      <c r="J72" s="28"/>
      <c r="K72" s="25">
        <v>0</v>
      </c>
      <c r="L72" s="28"/>
      <c r="M72" s="22">
        <v>5.1000000000000004E-3</v>
      </c>
      <c r="N72" s="28"/>
      <c r="O72" s="15">
        <f>IFERROR(SUMPRODUCT(G39:G70, O39:O70)/SUMIF(G39:G70,"&gt;0"), 1)</f>
        <v>53.000000000000014</v>
      </c>
      <c r="P72" s="28"/>
      <c r="Q72" s="28"/>
    </row>
    <row r="73" spans="1:17" ht="14" customHeight="1" x14ac:dyDescent="0.2">
      <c r="A73" s="28"/>
      <c r="B73" s="28"/>
      <c r="C73" s="4"/>
      <c r="D73" s="28"/>
      <c r="E73" s="4"/>
      <c r="F73" s="28"/>
      <c r="G73" s="4"/>
      <c r="H73" s="28"/>
      <c r="I73" s="4"/>
      <c r="J73" s="28"/>
      <c r="K73" s="4"/>
      <c r="L73" s="28"/>
      <c r="M73" s="4"/>
      <c r="N73" s="28"/>
      <c r="O73" s="4"/>
      <c r="P73" s="28"/>
      <c r="Q73" s="28"/>
    </row>
    <row r="74" spans="1:17" ht="14" customHeight="1" x14ac:dyDescent="0.2">
      <c r="A74" s="8" t="s">
        <v>141</v>
      </c>
      <c r="B74" s="28"/>
      <c r="C74" s="25">
        <f>C36+C72</f>
        <v>372918544.39999992</v>
      </c>
      <c r="D74" s="28"/>
      <c r="E74" s="22">
        <f>E36+E72</f>
        <v>0.3798865339192789</v>
      </c>
      <c r="F74" s="28"/>
      <c r="G74" s="25">
        <f>G36+G72</f>
        <v>373338471.3499999</v>
      </c>
      <c r="H74" s="28"/>
      <c r="I74" s="22">
        <f>G74/C74</f>
        <v>1.0011260554249872</v>
      </c>
      <c r="J74" s="28"/>
      <c r="K74" s="25">
        <f>K36+K72</f>
        <v>419926.95000000048</v>
      </c>
      <c r="L74" s="28"/>
      <c r="M74" s="22">
        <f>IFERROR(C36/(C36*(IF(M36&gt;0,1,0))+C72*(IF(M72&gt;0,1,0)))*M36, 0)+IFERROR(C72/(C36*(IF(M36&gt;0,1,0))+C72*(IF(M72&gt;0,1,0)))*M72, 0)</f>
        <v>7.9389997946660018E-3</v>
      </c>
      <c r="N74" s="28"/>
      <c r="O74" s="15">
        <f>IFERROR(G36/(G36+G72)*O36,0)+IFERROR(G72/(G36+G72)*O72,0)</f>
        <v>59.833348339202743</v>
      </c>
      <c r="P74" s="28"/>
      <c r="Q74" s="28"/>
    </row>
    <row r="75" spans="1:17" ht="14" customHeight="1" x14ac:dyDescent="0.2">
      <c r="A75" s="28"/>
      <c r="B75" s="28"/>
      <c r="C75" s="4"/>
      <c r="D75" s="28"/>
      <c r="E75" s="4"/>
      <c r="F75" s="28"/>
      <c r="G75" s="4"/>
      <c r="H75" s="28"/>
      <c r="I75" s="4"/>
      <c r="J75" s="28"/>
      <c r="K75" s="4"/>
      <c r="L75" s="28"/>
      <c r="M75" s="4"/>
      <c r="N75" s="28"/>
      <c r="O75" s="4"/>
      <c r="P75" s="28"/>
      <c r="Q75" s="28"/>
    </row>
    <row r="76" spans="1:17" ht="14" customHeight="1" x14ac:dyDescent="0.2">
      <c r="A76" s="5" t="s">
        <v>142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</row>
    <row r="77" spans="1:17" ht="14" customHeight="1" x14ac:dyDescent="0.2">
      <c r="A77" s="17" t="s">
        <v>143</v>
      </c>
      <c r="B77" s="28"/>
      <c r="C77" s="20">
        <v>1312579.02</v>
      </c>
      <c r="D77" s="28"/>
      <c r="E77" s="21">
        <f>1312579.02/(C20+C26+C74+C96+C109+C119+C124+C129)</f>
        <v>1.3371045819274734E-3</v>
      </c>
      <c r="F77" s="28"/>
      <c r="G77" s="20">
        <v>1312579.02</v>
      </c>
      <c r="H77" s="28"/>
      <c r="I77" s="21">
        <f>1312579.02/1312579.02</f>
        <v>1</v>
      </c>
      <c r="J77" s="28"/>
      <c r="K77" s="20">
        <v>0</v>
      </c>
      <c r="L77" s="28"/>
      <c r="M77" s="21">
        <v>1E-4</v>
      </c>
      <c r="N77" s="28"/>
      <c r="O77" s="19">
        <v>1</v>
      </c>
      <c r="P77" s="28"/>
      <c r="Q77" s="28" t="s">
        <v>144</v>
      </c>
    </row>
    <row r="78" spans="1:17" ht="14" customHeight="1" x14ac:dyDescent="0.2">
      <c r="A78" s="17" t="s">
        <v>145</v>
      </c>
      <c r="B78" s="28"/>
      <c r="C78" s="9">
        <v>60432.19</v>
      </c>
      <c r="D78" s="28"/>
      <c r="E78" s="21">
        <f>60432.19/(C20+C26+C74+C96+C109+C119+C124+C129)</f>
        <v>6.1561366526269515E-5</v>
      </c>
      <c r="F78" s="28"/>
      <c r="G78" s="9">
        <v>60432.19</v>
      </c>
      <c r="H78" s="28"/>
      <c r="I78" s="21">
        <f>60432.19/60432.19</f>
        <v>1</v>
      </c>
      <c r="J78" s="28"/>
      <c r="K78" s="9">
        <v>0</v>
      </c>
      <c r="L78" s="28"/>
      <c r="M78" s="21">
        <v>1E-4</v>
      </c>
      <c r="N78" s="28"/>
      <c r="O78" s="19">
        <v>1</v>
      </c>
      <c r="P78" s="28"/>
      <c r="Q78" s="28" t="s">
        <v>146</v>
      </c>
    </row>
    <row r="79" spans="1:17" ht="14" customHeight="1" x14ac:dyDescent="0.2">
      <c r="A79" s="17" t="s">
        <v>147</v>
      </c>
      <c r="B79" s="28"/>
      <c r="C79" s="9">
        <v>4539.67</v>
      </c>
      <c r="D79" s="28"/>
      <c r="E79" s="21">
        <f>4539.67/(C20+C26+C74+C96+C109+C119+C124+C129)</f>
        <v>4.624493813285765E-6</v>
      </c>
      <c r="F79" s="28"/>
      <c r="G79" s="9">
        <v>4539.67</v>
      </c>
      <c r="H79" s="28"/>
      <c r="I79" s="21">
        <f>4539.67/4539.67</f>
        <v>1</v>
      </c>
      <c r="J79" s="28"/>
      <c r="K79" s="9">
        <v>0</v>
      </c>
      <c r="L79" s="28"/>
      <c r="M79" s="21">
        <v>1E-4</v>
      </c>
      <c r="N79" s="28"/>
      <c r="O79" s="19">
        <v>1</v>
      </c>
      <c r="P79" s="28"/>
      <c r="Q79" s="28" t="s">
        <v>148</v>
      </c>
    </row>
    <row r="80" spans="1:17" ht="14" customHeight="1" x14ac:dyDescent="0.2">
      <c r="A80" s="17" t="s">
        <v>149</v>
      </c>
      <c r="B80" s="28"/>
      <c r="C80" s="9">
        <v>0.43</v>
      </c>
      <c r="D80" s="28"/>
      <c r="E80" s="21">
        <f>0.43/(C20+C26+C74+C96+C109+C119+C124+C129)</f>
        <v>4.3803455751472663E-10</v>
      </c>
      <c r="F80" s="28"/>
      <c r="G80" s="9">
        <v>0.43</v>
      </c>
      <c r="H80" s="28"/>
      <c r="I80" s="21">
        <f>0.43/0.43</f>
        <v>1</v>
      </c>
      <c r="J80" s="28"/>
      <c r="K80" s="9">
        <v>0</v>
      </c>
      <c r="L80" s="28"/>
      <c r="M80" s="21" t="s">
        <v>18</v>
      </c>
      <c r="N80" s="28"/>
      <c r="O80" s="19">
        <v>1</v>
      </c>
      <c r="P80" s="28"/>
      <c r="Q80" s="28" t="s">
        <v>150</v>
      </c>
    </row>
    <row r="81" spans="1:17" ht="14" customHeight="1" x14ac:dyDescent="0.2">
      <c r="A81" s="17" t="s">
        <v>151</v>
      </c>
      <c r="B81" s="28"/>
      <c r="C81" s="9">
        <v>3404362.72</v>
      </c>
      <c r="D81" s="28"/>
      <c r="E81" s="21">
        <f>3404362.72/(C20+C26+C74+C96+C109+C119+C124+C129)</f>
        <v>3.4679732969182123E-3</v>
      </c>
      <c r="F81" s="28"/>
      <c r="G81" s="9">
        <v>3404362.72</v>
      </c>
      <c r="H81" s="28"/>
      <c r="I81" s="21">
        <f>3404362.72/3404362.72</f>
        <v>1</v>
      </c>
      <c r="J81" s="28"/>
      <c r="K81" s="9">
        <v>0</v>
      </c>
      <c r="L81" s="28"/>
      <c r="M81" s="21">
        <v>1E-4</v>
      </c>
      <c r="N81" s="28"/>
      <c r="O81" s="19">
        <v>1</v>
      </c>
      <c r="P81" s="28"/>
      <c r="Q81" s="28" t="s">
        <v>152</v>
      </c>
    </row>
    <row r="82" spans="1:17" ht="14" customHeight="1" x14ac:dyDescent="0.2">
      <c r="A82" s="17" t="s">
        <v>153</v>
      </c>
      <c r="B82" s="28"/>
      <c r="C82" s="9">
        <v>0.24</v>
      </c>
      <c r="D82" s="28"/>
      <c r="E82" s="21">
        <f>0.24/(C20+C26+C74+C96+C109+C119+C124+C129)</f>
        <v>2.44484404194266E-10</v>
      </c>
      <c r="F82" s="28"/>
      <c r="G82" s="9">
        <v>0.24</v>
      </c>
      <c r="H82" s="28"/>
      <c r="I82" s="21">
        <f>0.24/0.24</f>
        <v>1</v>
      </c>
      <c r="J82" s="28"/>
      <c r="K82" s="9">
        <v>0</v>
      </c>
      <c r="L82" s="28"/>
      <c r="M82" s="21" t="s">
        <v>18</v>
      </c>
      <c r="N82" s="28"/>
      <c r="O82" s="19">
        <v>1</v>
      </c>
      <c r="P82" s="28"/>
      <c r="Q82" s="28" t="s">
        <v>154</v>
      </c>
    </row>
    <row r="83" spans="1:17" ht="14" customHeight="1" x14ac:dyDescent="0.2">
      <c r="A83" s="17" t="s">
        <v>155</v>
      </c>
      <c r="B83" s="28"/>
      <c r="C83" s="9">
        <v>22999.16</v>
      </c>
      <c r="D83" s="28"/>
      <c r="E83" s="21">
        <f>22999.16/(C20+C26+C74+C96+C109+C119+C124+C129)</f>
        <v>2.3428899706535815E-5</v>
      </c>
      <c r="F83" s="28"/>
      <c r="G83" s="9">
        <v>22999.16</v>
      </c>
      <c r="H83" s="28"/>
      <c r="I83" s="21">
        <f>22999.16/22999.16</f>
        <v>1</v>
      </c>
      <c r="J83" s="28"/>
      <c r="K83" s="9">
        <v>0</v>
      </c>
      <c r="L83" s="28"/>
      <c r="M83" s="21">
        <v>1E-4</v>
      </c>
      <c r="N83" s="28"/>
      <c r="O83" s="19">
        <v>1</v>
      </c>
      <c r="P83" s="28"/>
      <c r="Q83" s="28" t="s">
        <v>156</v>
      </c>
    </row>
    <row r="84" spans="1:17" ht="14" customHeight="1" x14ac:dyDescent="0.2">
      <c r="A84" s="17" t="s">
        <v>157</v>
      </c>
      <c r="B84" s="28"/>
      <c r="C84" s="9">
        <v>5674.15</v>
      </c>
      <c r="D84" s="28"/>
      <c r="E84" s="21">
        <f>5674.15/(C20+C26+C74+C96+C109+C119+C124+C129)</f>
        <v>5.7801715919120606E-6</v>
      </c>
      <c r="F84" s="28"/>
      <c r="G84" s="9">
        <v>5674.15</v>
      </c>
      <c r="H84" s="28"/>
      <c r="I84" s="21">
        <f>5674.15/5674.15</f>
        <v>1</v>
      </c>
      <c r="J84" s="28"/>
      <c r="K84" s="9">
        <v>0</v>
      </c>
      <c r="L84" s="28"/>
      <c r="M84" s="21">
        <v>1E-4</v>
      </c>
      <c r="N84" s="28"/>
      <c r="O84" s="19">
        <v>1</v>
      </c>
      <c r="P84" s="28"/>
      <c r="Q84" s="28" t="s">
        <v>158</v>
      </c>
    </row>
    <row r="85" spans="1:17" ht="14" customHeight="1" x14ac:dyDescent="0.2">
      <c r="A85" s="17" t="s">
        <v>159</v>
      </c>
      <c r="B85" s="28"/>
      <c r="C85" s="9">
        <v>1622672.95</v>
      </c>
      <c r="D85" s="28"/>
      <c r="E85" s="21">
        <f>1622672.95/(C20+C26+C74+C96+C109+C119+C124+C129)</f>
        <v>1.6529926224287583E-3</v>
      </c>
      <c r="F85" s="28"/>
      <c r="G85" s="9">
        <v>1622672.95</v>
      </c>
      <c r="H85" s="28"/>
      <c r="I85" s="21">
        <f>1622672.95/1622672.95</f>
        <v>1</v>
      </c>
      <c r="J85" s="28"/>
      <c r="K85" s="9">
        <v>0</v>
      </c>
      <c r="L85" s="28"/>
      <c r="M85" s="21">
        <v>1E-4</v>
      </c>
      <c r="N85" s="28"/>
      <c r="O85" s="19">
        <v>1</v>
      </c>
      <c r="P85" s="28"/>
      <c r="Q85" s="28" t="s">
        <v>160</v>
      </c>
    </row>
    <row r="86" spans="1:17" ht="14" customHeight="1" x14ac:dyDescent="0.2">
      <c r="A86" s="17" t="s">
        <v>161</v>
      </c>
      <c r="B86" s="28"/>
      <c r="C86" s="9">
        <v>236971.11</v>
      </c>
      <c r="D86" s="28"/>
      <c r="E86" s="21">
        <f>236971.11/(C20+C26+C74+C96+C109+C119+C124+C129)</f>
        <v>2.4139891933168281E-4</v>
      </c>
      <c r="F86" s="28"/>
      <c r="G86" s="9">
        <v>236971.11</v>
      </c>
      <c r="H86" s="28"/>
      <c r="I86" s="21">
        <f>236971.11/236971.11</f>
        <v>1</v>
      </c>
      <c r="J86" s="28"/>
      <c r="K86" s="9">
        <v>0</v>
      </c>
      <c r="L86" s="28"/>
      <c r="M86" s="21">
        <v>1E-4</v>
      </c>
      <c r="N86" s="28"/>
      <c r="O86" s="19">
        <v>1</v>
      </c>
      <c r="P86" s="28"/>
      <c r="Q86" s="28" t="s">
        <v>162</v>
      </c>
    </row>
    <row r="87" spans="1:17" ht="14" customHeight="1" x14ac:dyDescent="0.2">
      <c r="A87" s="17" t="s">
        <v>163</v>
      </c>
      <c r="B87" s="28"/>
      <c r="C87" s="9">
        <v>3.48</v>
      </c>
      <c r="D87" s="28"/>
      <c r="E87" s="21">
        <f>3.48/(C20+C26+C74+C96+C109+C119+C124+C129)</f>
        <v>3.5450238608168575E-9</v>
      </c>
      <c r="F87" s="28"/>
      <c r="G87" s="9">
        <v>3.48</v>
      </c>
      <c r="H87" s="28"/>
      <c r="I87" s="21">
        <f>3.48/3.48</f>
        <v>1</v>
      </c>
      <c r="J87" s="28"/>
      <c r="K87" s="9">
        <v>0</v>
      </c>
      <c r="L87" s="28"/>
      <c r="M87" s="21" t="s">
        <v>18</v>
      </c>
      <c r="N87" s="28"/>
      <c r="O87" s="19">
        <v>1</v>
      </c>
      <c r="P87" s="28"/>
      <c r="Q87" s="28" t="s">
        <v>164</v>
      </c>
    </row>
    <row r="88" spans="1:17" ht="14" customHeight="1" x14ac:dyDescent="0.2">
      <c r="A88" s="17" t="s">
        <v>165</v>
      </c>
      <c r="B88" s="28"/>
      <c r="C88" s="9">
        <v>318266.40999999997</v>
      </c>
      <c r="D88" s="28"/>
      <c r="E88" s="21">
        <f>318266.41/(C20+C26+C74+C96+C109+C119+C124+C129)</f>
        <v>3.2421322343290825E-4</v>
      </c>
      <c r="F88" s="28"/>
      <c r="G88" s="9">
        <v>318266.40999999997</v>
      </c>
      <c r="H88" s="28"/>
      <c r="I88" s="21">
        <f>318266.41/318266.41</f>
        <v>1</v>
      </c>
      <c r="J88" s="28"/>
      <c r="K88" s="9">
        <v>0</v>
      </c>
      <c r="L88" s="28"/>
      <c r="M88" s="21">
        <v>1E-4</v>
      </c>
      <c r="N88" s="28"/>
      <c r="O88" s="19">
        <v>1</v>
      </c>
      <c r="P88" s="28"/>
      <c r="Q88" s="28" t="s">
        <v>166</v>
      </c>
    </row>
    <row r="89" spans="1:17" ht="14" customHeight="1" x14ac:dyDescent="0.2">
      <c r="A89" s="17" t="s">
        <v>167</v>
      </c>
      <c r="B89" s="28"/>
      <c r="C89" s="9">
        <v>4759059.71</v>
      </c>
      <c r="D89" s="28"/>
      <c r="E89" s="21">
        <f>4759059.71/(C20+C26+C74+C96+C109+C119+C124+C129)</f>
        <v>4.8479828238511937E-3</v>
      </c>
      <c r="F89" s="28"/>
      <c r="G89" s="9">
        <v>4759059.71</v>
      </c>
      <c r="H89" s="28"/>
      <c r="I89" s="21">
        <f>4759059.71/4759059.71</f>
        <v>1</v>
      </c>
      <c r="J89" s="28"/>
      <c r="K89" s="9">
        <v>0</v>
      </c>
      <c r="L89" s="28"/>
      <c r="M89" s="21">
        <v>1E-4</v>
      </c>
      <c r="N89" s="28"/>
      <c r="O89" s="19">
        <v>1</v>
      </c>
      <c r="P89" s="28"/>
      <c r="Q89" s="28" t="s">
        <v>168</v>
      </c>
    </row>
    <row r="90" spans="1:17" ht="14" customHeight="1" x14ac:dyDescent="0.2">
      <c r="A90" s="17" t="s">
        <v>169</v>
      </c>
      <c r="B90" s="28"/>
      <c r="C90" s="9">
        <v>4561516.5</v>
      </c>
      <c r="D90" s="28"/>
      <c r="E90" s="21">
        <f>4561516.5/(C20+C26+C74+C96+C109+C119+C124+C129)</f>
        <v>4.6467485155200572E-3</v>
      </c>
      <c r="F90" s="28"/>
      <c r="G90" s="9">
        <v>4561516.5</v>
      </c>
      <c r="H90" s="28"/>
      <c r="I90" s="21">
        <f>4561516.5/4561516.5</f>
        <v>1</v>
      </c>
      <c r="J90" s="28"/>
      <c r="K90" s="9">
        <v>0</v>
      </c>
      <c r="L90" s="28"/>
      <c r="M90" s="21">
        <v>1E-4</v>
      </c>
      <c r="N90" s="28"/>
      <c r="O90" s="19">
        <v>1</v>
      </c>
      <c r="P90" s="28"/>
      <c r="Q90" s="28" t="s">
        <v>170</v>
      </c>
    </row>
    <row r="91" spans="1:17" ht="14" customHeight="1" x14ac:dyDescent="0.2">
      <c r="A91" s="17" t="s">
        <v>171</v>
      </c>
      <c r="B91" s="28"/>
      <c r="C91" s="9">
        <v>13824993.560000001</v>
      </c>
      <c r="D91" s="28"/>
      <c r="E91" s="21">
        <f>13824993.56/(C20+C26+C74+C96+C109+C119+C124+C129)</f>
        <v>1.4083313806275687E-2</v>
      </c>
      <c r="F91" s="28"/>
      <c r="G91" s="9">
        <v>13824993.560000001</v>
      </c>
      <c r="H91" s="28"/>
      <c r="I91" s="21">
        <f>13824993.56/13824993.56</f>
        <v>1</v>
      </c>
      <c r="J91" s="28"/>
      <c r="K91" s="9">
        <v>0</v>
      </c>
      <c r="L91" s="28"/>
      <c r="M91" s="21">
        <v>1E-4</v>
      </c>
      <c r="N91" s="28"/>
      <c r="O91" s="19">
        <v>1</v>
      </c>
      <c r="P91" s="28"/>
      <c r="Q91" s="28" t="s">
        <v>172</v>
      </c>
    </row>
    <row r="92" spans="1:17" ht="14" customHeight="1" x14ac:dyDescent="0.2">
      <c r="A92" s="17" t="s">
        <v>173</v>
      </c>
      <c r="B92" s="28"/>
      <c r="C92" s="9">
        <v>2031717.18</v>
      </c>
      <c r="D92" s="28"/>
      <c r="E92" s="21">
        <f>2031717.18/(C20+C26+C74+C96+C109+C119+C124+C129)</f>
        <v>2.0696798510148099E-3</v>
      </c>
      <c r="F92" s="28"/>
      <c r="G92" s="9">
        <v>2031717.18</v>
      </c>
      <c r="H92" s="28"/>
      <c r="I92" s="21">
        <f>2031717.18/2031717.18</f>
        <v>1</v>
      </c>
      <c r="J92" s="28"/>
      <c r="K92" s="9">
        <v>0</v>
      </c>
      <c r="L92" s="28"/>
      <c r="M92" s="21">
        <v>1E-4</v>
      </c>
      <c r="N92" s="28"/>
      <c r="O92" s="19">
        <v>1</v>
      </c>
      <c r="P92" s="28"/>
      <c r="Q92" s="28" t="s">
        <v>174</v>
      </c>
    </row>
    <row r="93" spans="1:17" ht="14" customHeight="1" x14ac:dyDescent="0.2">
      <c r="A93" s="17" t="s">
        <v>175</v>
      </c>
      <c r="B93" s="28"/>
      <c r="C93" s="9">
        <v>23050000</v>
      </c>
      <c r="D93" s="28"/>
      <c r="E93" s="21">
        <f>23050000/(C20+C26+C74+C96+C109+C119+C124+C129)</f>
        <v>2.3480689652824301E-2</v>
      </c>
      <c r="F93" s="28"/>
      <c r="G93" s="9">
        <v>23050000</v>
      </c>
      <c r="H93" s="28"/>
      <c r="I93" s="21">
        <f>23050000/23050000</f>
        <v>1</v>
      </c>
      <c r="J93" s="28"/>
      <c r="K93" s="9">
        <v>0</v>
      </c>
      <c r="L93" s="28"/>
      <c r="M93" s="21">
        <v>1.895E-3</v>
      </c>
      <c r="N93" s="28"/>
      <c r="O93" s="19">
        <v>79</v>
      </c>
      <c r="P93" s="28"/>
      <c r="Q93" s="28" t="s">
        <v>162</v>
      </c>
    </row>
    <row r="94" spans="1:17" ht="14" customHeight="1" x14ac:dyDescent="0.2">
      <c r="A94" s="17" t="s">
        <v>176</v>
      </c>
      <c r="B94" s="28"/>
      <c r="C94" s="9">
        <v>53602491.810000002</v>
      </c>
      <c r="D94" s="28"/>
      <c r="E94" s="21">
        <f>53602491.81/(C20+C26+C74+C96+C109+C119+C124+C129)</f>
        <v>5.4604055306232815E-2</v>
      </c>
      <c r="F94" s="28"/>
      <c r="G94" s="9">
        <v>53602491.810000002</v>
      </c>
      <c r="H94" s="28"/>
      <c r="I94" s="21">
        <f>53602491.81/53602491.81</f>
        <v>1</v>
      </c>
      <c r="J94" s="28"/>
      <c r="K94" s="9">
        <v>0</v>
      </c>
      <c r="L94" s="28"/>
      <c r="M94" s="21" t="s">
        <v>18</v>
      </c>
      <c r="N94" s="28"/>
      <c r="O94" s="19">
        <v>1</v>
      </c>
      <c r="P94" s="28"/>
      <c r="Q94" s="28"/>
    </row>
    <row r="95" spans="1:17" ht="14" customHeight="1" x14ac:dyDescent="0.2">
      <c r="A95" s="28"/>
      <c r="B95" s="28"/>
      <c r="C95" s="11"/>
      <c r="D95" s="28"/>
      <c r="E95" s="11"/>
      <c r="F95" s="28"/>
      <c r="G95" s="11"/>
      <c r="H95" s="28"/>
      <c r="I95" s="11"/>
      <c r="J95" s="28"/>
      <c r="K95" s="11"/>
      <c r="L95" s="28"/>
      <c r="M95" s="11"/>
      <c r="N95" s="28"/>
      <c r="O95" s="11"/>
      <c r="P95" s="28"/>
      <c r="Q95" s="28"/>
    </row>
    <row r="96" spans="1:17" ht="14" customHeight="1" x14ac:dyDescent="0.2">
      <c r="A96" s="8" t="s">
        <v>177</v>
      </c>
      <c r="B96" s="28"/>
      <c r="C96" s="25">
        <v>108818280.29000001</v>
      </c>
      <c r="D96" s="28"/>
      <c r="E96" s="22">
        <f>SUM(E77:E95)</f>
        <v>0.11085155175893872</v>
      </c>
      <c r="F96" s="28"/>
      <c r="G96" s="25">
        <v>108818280.29000001</v>
      </c>
      <c r="H96" s="28"/>
      <c r="I96" s="22">
        <f>G96/C96</f>
        <v>1</v>
      </c>
      <c r="J96" s="28"/>
      <c r="K96" s="25">
        <v>0</v>
      </c>
      <c r="L96" s="28"/>
      <c r="M96" s="22">
        <v>4.3096002168037899E-4</v>
      </c>
      <c r="N96" s="28"/>
      <c r="O96" s="15">
        <f>IFERROR(SUMPRODUCT(G77:G94, O77:O94)/SUMIF(G77:G94,"&gt;0"), 1)</f>
        <v>17.522040186709514</v>
      </c>
      <c r="P96" s="28"/>
      <c r="Q96" s="28"/>
    </row>
    <row r="97" spans="1:17" ht="14" customHeight="1" x14ac:dyDescent="0.2">
      <c r="A97" s="28"/>
      <c r="B97" s="28"/>
      <c r="C97" s="4"/>
      <c r="D97" s="28"/>
      <c r="E97" s="4"/>
      <c r="F97" s="28"/>
      <c r="G97" s="4"/>
      <c r="H97" s="28"/>
      <c r="I97" s="4"/>
      <c r="J97" s="28"/>
      <c r="K97" s="4"/>
      <c r="L97" s="28"/>
      <c r="M97" s="4"/>
      <c r="N97" s="28"/>
      <c r="O97" s="4"/>
      <c r="P97" s="28"/>
      <c r="Q97" s="28"/>
    </row>
    <row r="98" spans="1:17" ht="14" customHeight="1" x14ac:dyDescent="0.2">
      <c r="A98" s="5" t="s">
        <v>178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</row>
    <row r="99" spans="1:17" ht="14" customHeight="1" x14ac:dyDescent="0.2">
      <c r="A99" s="5" t="s">
        <v>67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</row>
    <row r="100" spans="1:17" ht="14" customHeight="1" x14ac:dyDescent="0.2">
      <c r="A100" s="17" t="s">
        <v>179</v>
      </c>
      <c r="B100" s="28"/>
      <c r="C100" s="20">
        <v>222175263.41</v>
      </c>
      <c r="D100" s="28"/>
      <c r="E100" s="21">
        <f>222175263.41/(C20+C26+C74+C96+C109+C119+C124+C129)</f>
        <v>0.22632661208957486</v>
      </c>
      <c r="F100" s="28"/>
      <c r="G100" s="20">
        <v>228592249.41</v>
      </c>
      <c r="H100" s="28"/>
      <c r="I100" s="21">
        <f>228592249.41/222175263.41</f>
        <v>1.0288825403040398</v>
      </c>
      <c r="J100" s="28"/>
      <c r="K100" s="20">
        <v>6416986</v>
      </c>
      <c r="L100" s="28"/>
      <c r="M100" s="21">
        <v>1.9886590612869001E-2</v>
      </c>
      <c r="N100" s="28"/>
      <c r="O100" s="19">
        <v>785.50781249009799</v>
      </c>
      <c r="P100" s="28"/>
      <c r="Q100" s="28" t="s">
        <v>180</v>
      </c>
    </row>
    <row r="101" spans="1:17" ht="14" customHeight="1" x14ac:dyDescent="0.2">
      <c r="A101" s="28"/>
      <c r="B101" s="28"/>
      <c r="C101" s="11"/>
      <c r="D101" s="28"/>
      <c r="E101" s="11"/>
      <c r="F101" s="28"/>
      <c r="G101" s="11"/>
      <c r="H101" s="28"/>
      <c r="I101" s="11"/>
      <c r="J101" s="28"/>
      <c r="K101" s="11"/>
      <c r="L101" s="28"/>
      <c r="M101" s="11"/>
      <c r="N101" s="28"/>
      <c r="O101" s="11"/>
      <c r="P101" s="28"/>
      <c r="Q101" s="28"/>
    </row>
    <row r="102" spans="1:17" ht="14" customHeight="1" x14ac:dyDescent="0.2">
      <c r="A102" s="8" t="s">
        <v>78</v>
      </c>
      <c r="B102" s="28"/>
      <c r="C102" s="25">
        <v>222175263.41</v>
      </c>
      <c r="D102" s="28"/>
      <c r="E102" s="22">
        <f>SUM(E100:E101)</f>
        <v>0.22632661208957486</v>
      </c>
      <c r="F102" s="28"/>
      <c r="G102" s="25">
        <v>228592249.41</v>
      </c>
      <c r="H102" s="28"/>
      <c r="I102" s="22">
        <f>G102/C102</f>
        <v>1.0288825403040398</v>
      </c>
      <c r="J102" s="28"/>
      <c r="K102" s="25">
        <v>6416986</v>
      </c>
      <c r="L102" s="28"/>
      <c r="M102" s="22">
        <v>1.9886590612869001E-2</v>
      </c>
      <c r="N102" s="28"/>
      <c r="O102" s="15">
        <f>IFERROR(SUMPRODUCT(G100:G100, O100:O100)/SUMIF(G100:G100,"&gt;0"), 1)</f>
        <v>785.50781249009799</v>
      </c>
      <c r="P102" s="28"/>
      <c r="Q102" s="28"/>
    </row>
    <row r="103" spans="1:17" ht="14" customHeight="1" x14ac:dyDescent="0.2">
      <c r="A103" s="28"/>
      <c r="B103" s="28"/>
      <c r="C103" s="4"/>
      <c r="D103" s="28"/>
      <c r="E103" s="4"/>
      <c r="F103" s="28"/>
      <c r="G103" s="4"/>
      <c r="H103" s="28"/>
      <c r="I103" s="4"/>
      <c r="J103" s="28"/>
      <c r="K103" s="4"/>
      <c r="L103" s="28"/>
      <c r="M103" s="4"/>
      <c r="N103" s="28"/>
      <c r="O103" s="4"/>
      <c r="P103" s="28"/>
      <c r="Q103" s="28"/>
    </row>
    <row r="104" spans="1:17" ht="14" customHeight="1" x14ac:dyDescent="0.2">
      <c r="A104" s="5" t="s">
        <v>181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</row>
    <row r="105" spans="1:17" ht="14" customHeight="1" x14ac:dyDescent="0.2">
      <c r="A105" s="17" t="s">
        <v>179</v>
      </c>
      <c r="B105" s="28"/>
      <c r="C105" s="20">
        <v>801065.93</v>
      </c>
      <c r="D105" s="28"/>
      <c r="E105" s="21">
        <f>801065.93/(C20+C26+C74+C96+C109+C119+C124+C129)</f>
        <v>8.1603386090156518E-4</v>
      </c>
      <c r="F105" s="28"/>
      <c r="G105" s="20">
        <v>801065.93</v>
      </c>
      <c r="H105" s="28"/>
      <c r="I105" s="21">
        <f>801065.93/801065.93</f>
        <v>1</v>
      </c>
      <c r="J105" s="28"/>
      <c r="K105" s="20">
        <v>0</v>
      </c>
      <c r="L105" s="28"/>
      <c r="M105" s="21">
        <v>0</v>
      </c>
      <c r="N105" s="28"/>
      <c r="O105" s="19">
        <v>1</v>
      </c>
      <c r="P105" s="28"/>
      <c r="Q105" s="28" t="s">
        <v>180</v>
      </c>
    </row>
    <row r="106" spans="1:17" ht="14" customHeight="1" x14ac:dyDescent="0.2">
      <c r="A106" s="28"/>
      <c r="B106" s="28"/>
      <c r="C106" s="11"/>
      <c r="D106" s="28"/>
      <c r="E106" s="11"/>
      <c r="F106" s="28"/>
      <c r="G106" s="11"/>
      <c r="H106" s="28"/>
      <c r="I106" s="11"/>
      <c r="J106" s="28"/>
      <c r="K106" s="11"/>
      <c r="L106" s="28"/>
      <c r="M106" s="11"/>
      <c r="N106" s="28"/>
      <c r="O106" s="11"/>
      <c r="P106" s="28"/>
      <c r="Q106" s="28"/>
    </row>
    <row r="107" spans="1:17" ht="14" customHeight="1" x14ac:dyDescent="0.2">
      <c r="A107" s="8" t="s">
        <v>182</v>
      </c>
      <c r="B107" s="28"/>
      <c r="C107" s="25">
        <v>801065.93</v>
      </c>
      <c r="D107" s="28"/>
      <c r="E107" s="22">
        <f>SUM(E105:E106)</f>
        <v>8.1603386090156518E-4</v>
      </c>
      <c r="F107" s="28"/>
      <c r="G107" s="25">
        <v>801065.93</v>
      </c>
      <c r="H107" s="28"/>
      <c r="I107" s="22">
        <f>G107/C107</f>
        <v>1</v>
      </c>
      <c r="J107" s="28"/>
      <c r="K107" s="25">
        <v>0</v>
      </c>
      <c r="L107" s="28"/>
      <c r="M107" s="14">
        <v>0</v>
      </c>
      <c r="N107" s="28"/>
      <c r="O107" s="15">
        <f>IFERROR(SUMPRODUCT(G105:G105, O105:O105)/SUMIF(G105:G105,"&gt;0"), 1)</f>
        <v>1</v>
      </c>
      <c r="P107" s="28"/>
      <c r="Q107" s="28"/>
    </row>
    <row r="108" spans="1:17" ht="14" customHeight="1" x14ac:dyDescent="0.2">
      <c r="A108" s="28"/>
      <c r="B108" s="28"/>
      <c r="C108" s="4"/>
      <c r="D108" s="28"/>
      <c r="E108" s="4"/>
      <c r="F108" s="28"/>
      <c r="G108" s="4"/>
      <c r="H108" s="28"/>
      <c r="I108" s="4"/>
      <c r="J108" s="28"/>
      <c r="K108" s="4"/>
      <c r="L108" s="28"/>
      <c r="M108" s="4"/>
      <c r="N108" s="28"/>
      <c r="O108" s="4"/>
      <c r="P108" s="28"/>
      <c r="Q108" s="28"/>
    </row>
    <row r="109" spans="1:17" ht="14" customHeight="1" x14ac:dyDescent="0.2">
      <c r="A109" s="8" t="s">
        <v>183</v>
      </c>
      <c r="B109" s="28"/>
      <c r="C109" s="25">
        <f>C102+C107</f>
        <v>222976329.34</v>
      </c>
      <c r="D109" s="28"/>
      <c r="E109" s="22">
        <f>E102+E107</f>
        <v>0.22714264595047642</v>
      </c>
      <c r="F109" s="28"/>
      <c r="G109" s="25">
        <f>G102+G107</f>
        <v>229393315.34</v>
      </c>
      <c r="H109" s="28"/>
      <c r="I109" s="22">
        <f>G109/C109</f>
        <v>1.0287787767382932</v>
      </c>
      <c r="J109" s="28"/>
      <c r="K109" s="25">
        <f>K102+K107</f>
        <v>6416986</v>
      </c>
      <c r="L109" s="28"/>
      <c r="M109" s="22">
        <v>1.9815145943154578E-2</v>
      </c>
      <c r="N109" s="28"/>
      <c r="O109" s="15">
        <f>IFERROR(G102/(G102+G107)*O102,0)+IFERROR(G107/(G102+G107)*O107,0)</f>
        <v>782.76822751364307</v>
      </c>
      <c r="P109" s="28"/>
      <c r="Q109" s="28"/>
    </row>
    <row r="110" spans="1:17" ht="14" customHeight="1" x14ac:dyDescent="0.2">
      <c r="A110" s="28"/>
      <c r="B110" s="28"/>
      <c r="C110" s="4"/>
      <c r="D110" s="28"/>
      <c r="E110" s="4"/>
      <c r="F110" s="28"/>
      <c r="G110" s="4"/>
      <c r="H110" s="28"/>
      <c r="I110" s="4"/>
      <c r="J110" s="28"/>
      <c r="K110" s="4"/>
      <c r="L110" s="28"/>
      <c r="M110" s="4"/>
      <c r="N110" s="28"/>
      <c r="O110" s="4"/>
      <c r="P110" s="28"/>
      <c r="Q110" s="28"/>
    </row>
    <row r="111" spans="1:17" ht="14" customHeight="1" x14ac:dyDescent="0.2">
      <c r="A111" s="5" t="s">
        <v>184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</row>
    <row r="112" spans="1:17" ht="14" customHeight="1" x14ac:dyDescent="0.2">
      <c r="A112" s="17" t="s">
        <v>80</v>
      </c>
      <c r="B112" s="28"/>
      <c r="C112" s="20">
        <v>2617063.0299999998</v>
      </c>
      <c r="D112" s="28"/>
      <c r="E112" s="21">
        <f>2617063.03/(C20+C26+C74+C96+C109+C119+C124+C129)</f>
        <v>2.6659628984516274E-3</v>
      </c>
      <c r="F112" s="28"/>
      <c r="G112" s="20">
        <v>2617063.0299999998</v>
      </c>
      <c r="H112" s="28"/>
      <c r="I112" s="21">
        <f>2617063.03/2617063.03</f>
        <v>1</v>
      </c>
      <c r="J112" s="28"/>
      <c r="K112" s="20">
        <v>0</v>
      </c>
      <c r="L112" s="28"/>
      <c r="M112" s="21">
        <v>1.5599999999999999E-2</v>
      </c>
      <c r="N112" s="28"/>
      <c r="O112" s="19">
        <v>556</v>
      </c>
      <c r="P112" s="28"/>
      <c r="Q112" s="28" t="s">
        <v>185</v>
      </c>
    </row>
    <row r="113" spans="1:17" ht="14" customHeight="1" x14ac:dyDescent="0.2">
      <c r="A113" s="17" t="s">
        <v>186</v>
      </c>
      <c r="B113" s="28"/>
      <c r="C113" s="9">
        <v>78565239.349999994</v>
      </c>
      <c r="D113" s="28"/>
      <c r="E113" s="21">
        <f>78565239.35/(C20+C26+C74+C96+C109+C119+C124+C129)</f>
        <v>8.0033232220269382E-2</v>
      </c>
      <c r="F113" s="28"/>
      <c r="G113" s="9">
        <v>78565239.349999994</v>
      </c>
      <c r="H113" s="28"/>
      <c r="I113" s="21">
        <f>78565239.35/78565239.35</f>
        <v>1</v>
      </c>
      <c r="J113" s="28"/>
      <c r="K113" s="9">
        <v>0</v>
      </c>
      <c r="L113" s="28"/>
      <c r="M113" s="21">
        <v>1.5599999999999999E-2</v>
      </c>
      <c r="N113" s="28"/>
      <c r="O113" s="19">
        <v>556</v>
      </c>
      <c r="P113" s="28"/>
      <c r="Q113" s="28" t="s">
        <v>187</v>
      </c>
    </row>
    <row r="114" spans="1:17" ht="14" customHeight="1" x14ac:dyDescent="0.2">
      <c r="A114" s="17" t="s">
        <v>188</v>
      </c>
      <c r="B114" s="28"/>
      <c r="C114" s="9">
        <v>61343579.43</v>
      </c>
      <c r="D114" s="28"/>
      <c r="E114" s="21">
        <f>61343579.43/(C20+C26+C74+C96+C109+C119+C124+C129)</f>
        <v>6.24897852836966E-2</v>
      </c>
      <c r="F114" s="28"/>
      <c r="G114" s="9">
        <v>61343579.43</v>
      </c>
      <c r="H114" s="28"/>
      <c r="I114" s="21">
        <f>61343579.43/61343579.43</f>
        <v>1</v>
      </c>
      <c r="J114" s="28"/>
      <c r="K114" s="9">
        <v>0</v>
      </c>
      <c r="L114" s="28"/>
      <c r="M114" s="21">
        <v>1.5599999999999999E-2</v>
      </c>
      <c r="N114" s="28"/>
      <c r="O114" s="19">
        <v>556</v>
      </c>
      <c r="P114" s="28"/>
      <c r="Q114" s="28" t="s">
        <v>189</v>
      </c>
    </row>
    <row r="115" spans="1:17" ht="14" customHeight="1" x14ac:dyDescent="0.2">
      <c r="A115" s="17" t="s">
        <v>132</v>
      </c>
      <c r="B115" s="28"/>
      <c r="C115" s="9">
        <v>35037844.859999999</v>
      </c>
      <c r="D115" s="28"/>
      <c r="E115" s="21">
        <f>35037844.86/(C20+C26+C74+C96+C109+C119+C124+C129)</f>
        <v>3.5692527603534273E-2</v>
      </c>
      <c r="F115" s="28"/>
      <c r="G115" s="9">
        <v>35037844.859999999</v>
      </c>
      <c r="H115" s="28"/>
      <c r="I115" s="21">
        <f>35037844.86/35037844.86</f>
        <v>1</v>
      </c>
      <c r="J115" s="28"/>
      <c r="K115" s="9">
        <v>0</v>
      </c>
      <c r="L115" s="28"/>
      <c r="M115" s="21">
        <v>1.5599999999999999E-2</v>
      </c>
      <c r="N115" s="28"/>
      <c r="O115" s="19">
        <v>556</v>
      </c>
      <c r="P115" s="28"/>
      <c r="Q115" s="28" t="s">
        <v>190</v>
      </c>
    </row>
    <row r="116" spans="1:17" ht="14" customHeight="1" x14ac:dyDescent="0.2">
      <c r="A116" s="17" t="s">
        <v>191</v>
      </c>
      <c r="B116" s="28"/>
      <c r="C116" s="9">
        <v>8915408.6699999999</v>
      </c>
      <c r="D116" s="28"/>
      <c r="E116" s="21">
        <f>8915408.67/(C20+C26+C74+C96+C109+C119+C124+C129)</f>
        <v>9.0819932368055994E-3</v>
      </c>
      <c r="F116" s="28"/>
      <c r="G116" s="9">
        <v>8915408.6699999999</v>
      </c>
      <c r="H116" s="28"/>
      <c r="I116" s="21">
        <f>8915408.67/8915408.67</f>
        <v>1</v>
      </c>
      <c r="J116" s="28"/>
      <c r="K116" s="9">
        <v>0</v>
      </c>
      <c r="L116" s="28"/>
      <c r="M116" s="21">
        <v>1.5599999999999999E-2</v>
      </c>
      <c r="N116" s="28"/>
      <c r="O116" s="19">
        <v>556</v>
      </c>
      <c r="P116" s="28"/>
      <c r="Q116" s="28" t="s">
        <v>192</v>
      </c>
    </row>
    <row r="117" spans="1:17" ht="14" customHeight="1" x14ac:dyDescent="0.2">
      <c r="A117" s="17" t="s">
        <v>193</v>
      </c>
      <c r="B117" s="28"/>
      <c r="C117" s="9">
        <v>180266.17</v>
      </c>
      <c r="D117" s="28"/>
      <c r="E117" s="21">
        <f>180266.17/(C20+C26+C74+C96+C109+C119+C124+C129)</f>
        <v>1.8363444653680114E-4</v>
      </c>
      <c r="F117" s="28"/>
      <c r="G117" s="9">
        <v>180266.17</v>
      </c>
      <c r="H117" s="28"/>
      <c r="I117" s="21">
        <f>180266.17/180266.17</f>
        <v>1</v>
      </c>
      <c r="J117" s="28"/>
      <c r="K117" s="9">
        <v>0</v>
      </c>
      <c r="L117" s="28"/>
      <c r="M117" s="21">
        <v>1.5599999999999999E-2</v>
      </c>
      <c r="N117" s="28"/>
      <c r="O117" s="19">
        <v>556</v>
      </c>
      <c r="P117" s="28"/>
      <c r="Q117" s="28" t="s">
        <v>194</v>
      </c>
    </row>
    <row r="118" spans="1:17" ht="14" customHeight="1" x14ac:dyDescent="0.2">
      <c r="A118" s="28"/>
      <c r="B118" s="28"/>
      <c r="C118" s="11"/>
      <c r="D118" s="28"/>
      <c r="E118" s="11"/>
      <c r="F118" s="28"/>
      <c r="G118" s="11"/>
      <c r="H118" s="28"/>
      <c r="I118" s="11"/>
      <c r="J118" s="28"/>
      <c r="K118" s="11"/>
      <c r="L118" s="28"/>
      <c r="M118" s="11"/>
      <c r="N118" s="28"/>
      <c r="O118" s="11"/>
      <c r="P118" s="28"/>
      <c r="Q118" s="28"/>
    </row>
    <row r="119" spans="1:17" ht="14" customHeight="1" x14ac:dyDescent="0.2">
      <c r="A119" s="8" t="s">
        <v>195</v>
      </c>
      <c r="B119" s="28"/>
      <c r="C119" s="25">
        <v>186659401.50999999</v>
      </c>
      <c r="D119" s="28"/>
      <c r="E119" s="22">
        <f>SUM(E112:E118)</f>
        <v>0.19014713568929431</v>
      </c>
      <c r="F119" s="28"/>
      <c r="G119" s="25">
        <v>186659401.50999999</v>
      </c>
      <c r="H119" s="28"/>
      <c r="I119" s="22">
        <f>G119/C119</f>
        <v>1</v>
      </c>
      <c r="J119" s="28"/>
      <c r="K119" s="25">
        <v>0</v>
      </c>
      <c r="L119" s="28"/>
      <c r="M119" s="22">
        <v>1.5599999999999999E-2</v>
      </c>
      <c r="N119" s="28"/>
      <c r="O119" s="15">
        <f>IFERROR(SUMPRODUCT(G112:G117, O112:O117)/SUMIF(G112:G117,"&gt;0"), 1)</f>
        <v>556.00000000000011</v>
      </c>
      <c r="P119" s="28"/>
      <c r="Q119" s="28"/>
    </row>
    <row r="120" spans="1:17" ht="14" customHeight="1" x14ac:dyDescent="0.2">
      <c r="A120" s="28"/>
      <c r="B120" s="28"/>
      <c r="C120" s="4"/>
      <c r="D120" s="28"/>
      <c r="E120" s="4"/>
      <c r="F120" s="28"/>
      <c r="G120" s="4"/>
      <c r="H120" s="28"/>
      <c r="I120" s="4"/>
      <c r="J120" s="28"/>
      <c r="K120" s="4"/>
      <c r="L120" s="28"/>
      <c r="M120" s="4"/>
      <c r="N120" s="28"/>
      <c r="O120" s="4"/>
      <c r="P120" s="28"/>
      <c r="Q120" s="28"/>
    </row>
    <row r="121" spans="1:17" ht="14" customHeight="1" x14ac:dyDescent="0.2">
      <c r="A121" s="5" t="s">
        <v>196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</row>
    <row r="122" spans="1:17" ht="14" customHeight="1" x14ac:dyDescent="0.2">
      <c r="A122" s="17" t="s">
        <v>176</v>
      </c>
      <c r="B122" s="28"/>
      <c r="C122" s="20">
        <v>904175.9</v>
      </c>
      <c r="D122" s="28"/>
      <c r="E122" s="21">
        <f>904175.9/(C20+C26+C74+C96+C109+C119+C124+C129)</f>
        <v>9.2107044249297614E-4</v>
      </c>
      <c r="F122" s="28"/>
      <c r="G122" s="20">
        <v>904175.9</v>
      </c>
      <c r="H122" s="28"/>
      <c r="I122" s="21">
        <f>904175.9/904175.9</f>
        <v>1</v>
      </c>
      <c r="J122" s="28"/>
      <c r="K122" s="20">
        <v>0</v>
      </c>
      <c r="L122" s="28"/>
      <c r="M122" s="21" t="s">
        <v>18</v>
      </c>
      <c r="N122" s="28"/>
      <c r="O122" s="19">
        <v>1</v>
      </c>
      <c r="P122" s="28"/>
      <c r="Q122" s="28"/>
    </row>
    <row r="123" spans="1:17" ht="14" customHeight="1" x14ac:dyDescent="0.2">
      <c r="A123" s="28"/>
      <c r="B123" s="28"/>
      <c r="C123" s="11"/>
      <c r="D123" s="28"/>
      <c r="E123" s="11"/>
      <c r="F123" s="28"/>
      <c r="G123" s="11"/>
      <c r="H123" s="28"/>
      <c r="I123" s="11"/>
      <c r="J123" s="28"/>
      <c r="K123" s="11"/>
      <c r="L123" s="28"/>
      <c r="M123" s="11"/>
      <c r="N123" s="28"/>
      <c r="O123" s="11"/>
      <c r="P123" s="28"/>
      <c r="Q123" s="28"/>
    </row>
    <row r="124" spans="1:17" ht="14" customHeight="1" x14ac:dyDescent="0.2">
      <c r="A124" s="8" t="s">
        <v>197</v>
      </c>
      <c r="B124" s="28"/>
      <c r="C124" s="25">
        <v>904175.9</v>
      </c>
      <c r="D124" s="28"/>
      <c r="E124" s="22">
        <f>SUM(E122:E123)</f>
        <v>9.2107044249297614E-4</v>
      </c>
      <c r="F124" s="28"/>
      <c r="G124" s="25">
        <v>904175.9</v>
      </c>
      <c r="H124" s="28"/>
      <c r="I124" s="22">
        <f>G124/C124</f>
        <v>1</v>
      </c>
      <c r="J124" s="28"/>
      <c r="K124" s="25">
        <v>0</v>
      </c>
      <c r="L124" s="28"/>
      <c r="M124" s="22" t="s">
        <v>18</v>
      </c>
      <c r="N124" s="28"/>
      <c r="O124" s="15">
        <f>IFERROR(SUMPRODUCT(G122:G122, O122:O122)/SUMIF(G122:G122,"&gt;0"), 1)</f>
        <v>1</v>
      </c>
      <c r="P124" s="28"/>
      <c r="Q124" s="28"/>
    </row>
    <row r="125" spans="1:17" ht="14" customHeight="1" x14ac:dyDescent="0.2">
      <c r="A125" s="28"/>
      <c r="B125" s="28"/>
      <c r="C125" s="4"/>
      <c r="D125" s="28"/>
      <c r="E125" s="4"/>
      <c r="F125" s="28"/>
      <c r="G125" s="4"/>
      <c r="H125" s="28"/>
      <c r="I125" s="4"/>
      <c r="J125" s="28"/>
      <c r="K125" s="4"/>
      <c r="L125" s="28"/>
      <c r="M125" s="4"/>
      <c r="N125" s="28"/>
      <c r="O125" s="4"/>
      <c r="P125" s="28"/>
      <c r="Q125" s="28"/>
    </row>
    <row r="126" spans="1:17" ht="14" customHeight="1" x14ac:dyDescent="0.2">
      <c r="A126" s="5" t="s">
        <v>198</v>
      </c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</row>
    <row r="127" spans="1:17" ht="14" customHeight="1" x14ac:dyDescent="0.2">
      <c r="A127" s="17" t="s">
        <v>199</v>
      </c>
      <c r="B127" s="28"/>
      <c r="C127" s="20">
        <v>7745736.04</v>
      </c>
      <c r="D127" s="28"/>
      <c r="E127" s="21">
        <f>7745736.04/(C20+C26+C74+C96+C109+C119+C124+C129)</f>
        <v>7.8904652532727233E-3</v>
      </c>
      <c r="F127" s="28"/>
      <c r="G127" s="20">
        <v>8112513.3799999999</v>
      </c>
      <c r="H127" s="28"/>
      <c r="I127" s="21">
        <f>8112513.38/7745736.04</f>
        <v>1.0473521609961809</v>
      </c>
      <c r="J127" s="28"/>
      <c r="K127" s="20">
        <v>366777.33999999991</v>
      </c>
      <c r="L127" s="28"/>
      <c r="M127" s="21">
        <v>2.29E-2</v>
      </c>
      <c r="N127" s="28"/>
      <c r="O127" s="19">
        <v>1</v>
      </c>
      <c r="P127" s="28"/>
      <c r="Q127" s="28" t="s">
        <v>200</v>
      </c>
    </row>
    <row r="128" spans="1:17" ht="14" customHeight="1" x14ac:dyDescent="0.2">
      <c r="A128" s="28"/>
      <c r="B128" s="28"/>
      <c r="C128" s="11"/>
      <c r="D128" s="28"/>
      <c r="E128" s="11"/>
      <c r="F128" s="28"/>
      <c r="G128" s="11"/>
      <c r="H128" s="28"/>
      <c r="I128" s="11"/>
      <c r="J128" s="28"/>
      <c r="K128" s="11"/>
      <c r="L128" s="28"/>
      <c r="M128" s="11"/>
      <c r="N128" s="28"/>
      <c r="O128" s="11"/>
      <c r="P128" s="28"/>
      <c r="Q128" s="28"/>
    </row>
    <row r="129" spans="1:15" ht="14" customHeight="1" x14ac:dyDescent="0.2">
      <c r="A129" s="8" t="s">
        <v>201</v>
      </c>
      <c r="B129" s="28"/>
      <c r="C129" s="25">
        <v>7745736.04</v>
      </c>
      <c r="D129" s="28"/>
      <c r="E129" s="22">
        <f>SUM(E127:E128)</f>
        <v>7.8904652532727233E-3</v>
      </c>
      <c r="F129" s="28"/>
      <c r="G129" s="25">
        <v>8112513.3799999999</v>
      </c>
      <c r="H129" s="28"/>
      <c r="I129" s="22">
        <f>G129/C129</f>
        <v>1.0473521609961809</v>
      </c>
      <c r="J129" s="28"/>
      <c r="K129" s="25">
        <v>366777.33999999991</v>
      </c>
      <c r="L129" s="28"/>
      <c r="M129" s="22">
        <v>2.29E-2</v>
      </c>
      <c r="N129" s="28"/>
      <c r="O129" s="15">
        <f>IFERROR(SUMPRODUCT(G127:G127, O127:O127)/SUMIF(G127:G127,"&gt;0"), 1)</f>
        <v>1</v>
      </c>
    </row>
    <row r="130" spans="1:15" ht="14" customHeight="1" x14ac:dyDescent="0.2">
      <c r="A130" s="28"/>
      <c r="B130" s="28"/>
      <c r="C130" s="4"/>
      <c r="D130" s="28"/>
      <c r="E130" s="4"/>
      <c r="F130" s="28"/>
      <c r="G130" s="4"/>
      <c r="H130" s="28"/>
      <c r="I130" s="4"/>
      <c r="J130" s="28"/>
      <c r="K130" s="4"/>
      <c r="L130" s="28"/>
      <c r="M130" s="4"/>
      <c r="N130" s="28"/>
      <c r="O130" s="4"/>
    </row>
    <row r="131" spans="1:15" ht="14" customHeight="1" x14ac:dyDescent="0.2">
      <c r="A131" s="5" t="s">
        <v>28</v>
      </c>
      <c r="B131" s="28"/>
      <c r="C131" s="23">
        <f>C20+C26+C74+C96+C109+C119+C124+C129</f>
        <v>981657708.55999982</v>
      </c>
      <c r="D131" s="28"/>
      <c r="E131" s="24">
        <f>E20+E26+E74+E96+E109+E119+E124+E129</f>
        <v>1.0000000000000002</v>
      </c>
      <c r="F131" s="28"/>
      <c r="G131" s="23">
        <f>G20+G26+G74+G96+G109+G119+G124+G129</f>
        <v>988861398.8499999</v>
      </c>
      <c r="H131" s="28"/>
      <c r="I131" s="24">
        <f>G131/C131</f>
        <v>1.0073382913689612</v>
      </c>
      <c r="J131" s="28"/>
      <c r="K131" s="23">
        <f>K20+K26+K74+K96+K109+K119+K124+K129</f>
        <v>7203690.29</v>
      </c>
      <c r="L131" s="28"/>
      <c r="M131" s="24">
        <v>1.1619655737795396E-2</v>
      </c>
      <c r="N131" s="28"/>
      <c r="O131" s="16">
        <f>IFERROR(G20/(G20+G26+G74+G96+G109+G119+G124+G129)*O20,0)+IFERROR(G26/(G20+G26+G74+G96+G109+G119+G124+G129)*O26,0)+IFERROR(G74/(G20+G26+G74+G96+G109+G119+G124+G129)*O74,0)+IFERROR(G96/(G20+G26+G74+G96+G109+G119+G124+G129)*O96,0)+IFERROR(G109/(G20+G26+G74+G96+G109+G119+G124+G129)*O109,0)+IFERROR(G119/(G20+G26+G74+G96+G109+G119+G124+G129)*O119,0)+IFERROR(G124/(G20+G26+G74+G96+G109+G119+G124+G129)*O124,0)+IFERROR(G129/(G20+G26+G74+G96+G109+G119+G124+G129)*O129,0)</f>
        <v>324.21601618623043</v>
      </c>
    </row>
    <row r="132" spans="1:15" ht="14" customHeight="1" x14ac:dyDescent="0.2">
      <c r="A132" s="28"/>
      <c r="B132" s="28"/>
      <c r="C132" s="3"/>
      <c r="D132" s="28"/>
      <c r="E132" s="3"/>
      <c r="F132" s="28"/>
      <c r="G132" s="3"/>
      <c r="H132" s="28"/>
      <c r="I132" s="3"/>
      <c r="J132" s="28"/>
      <c r="K132" s="3"/>
      <c r="L132" s="28"/>
      <c r="M132" s="3"/>
      <c r="N132" s="28"/>
      <c r="O132" s="3"/>
    </row>
    <row r="134" spans="1:15" ht="14" customHeight="1" x14ac:dyDescent="0.2">
      <c r="A134" s="18" t="s">
        <v>202</v>
      </c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</row>
    <row r="135" spans="1:15" ht="14" customHeight="1" x14ac:dyDescent="0.2">
      <c r="A135" s="28" t="s">
        <v>203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</row>
    <row r="136" spans="1:15" ht="14" customHeight="1" x14ac:dyDescent="0.2">
      <c r="A136" s="28" t="s">
        <v>204</v>
      </c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</row>
    <row r="137" spans="1:15" ht="14" customHeight="1" x14ac:dyDescent="0.2">
      <c r="A137" s="28" t="s">
        <v>205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ht="14" customHeight="1" x14ac:dyDescent="0.2">
      <c r="A138" s="28" t="s">
        <v>206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</row>
    <row r="139" spans="1:15" ht="14" customHeight="1" x14ac:dyDescent="0.2">
      <c r="A139" s="28" t="s">
        <v>207</v>
      </c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</row>
  </sheetData>
  <mergeCells count="3">
    <mergeCell ref="A1:O1"/>
    <mergeCell ref="A2:O2"/>
    <mergeCell ref="A3:O3"/>
  </mergeCells>
  <pageMargins left="0.7" right="0.7" top="0.75" bottom="0.75" header="0.3" footer="0.3"/>
  <pageSetup scale="68" fitToHeight="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04"/>
  <sheetViews>
    <sheetView zoomScaleNormal="100" workbookViewId="0">
      <selection sqref="A1:W1"/>
    </sheetView>
  </sheetViews>
  <sheetFormatPr baseColWidth="10" defaultColWidth="10.83203125" defaultRowHeight="14" x14ac:dyDescent="0.2"/>
  <cols>
    <col min="1" max="1" width="78.83203125" style="1" customWidth="1"/>
    <col min="2" max="2" width="1.33203125" style="1" customWidth="1"/>
    <col min="3" max="3" width="9.83203125" style="1" customWidth="1"/>
    <col min="4" max="4" width="1.33203125" style="1" customWidth="1"/>
    <col min="5" max="5" width="9.83203125" style="1" customWidth="1"/>
    <col min="6" max="6" width="1.33203125" style="1" customWidth="1"/>
    <col min="7" max="7" width="17.33203125" style="1" customWidth="1"/>
    <col min="8" max="8" width="1.33203125" style="1" customWidth="1"/>
    <col min="9" max="9" width="17.33203125" style="1" customWidth="1"/>
    <col min="10" max="10" width="1.33203125" style="1" customWidth="1"/>
    <col min="11" max="11" width="14.83203125" style="1" customWidth="1"/>
    <col min="12" max="12" width="1.33203125" style="1" customWidth="1"/>
    <col min="13" max="13" width="17.33203125" style="1" customWidth="1"/>
    <col min="14" max="14" width="1.33203125" style="1" customWidth="1"/>
    <col min="15" max="15" width="9.83203125" style="1" customWidth="1"/>
    <col min="16" max="16" width="1.33203125" style="1" customWidth="1"/>
    <col min="17" max="17" width="9.83203125" style="1" customWidth="1"/>
    <col min="18" max="18" width="1.33203125" style="1" customWidth="1"/>
    <col min="19" max="19" width="9.83203125" style="1" customWidth="1"/>
    <col min="20" max="20" width="1.33203125" style="1" customWidth="1"/>
    <col min="21" max="21" width="9.83203125" style="1" customWidth="1"/>
    <col min="22" max="22" width="1.33203125" style="1" customWidth="1"/>
    <col min="23" max="23" width="9.83203125" style="1" customWidth="1"/>
    <col min="24" max="24" width="1.33203125" style="1" customWidth="1"/>
    <col min="25" max="25" width="30.83203125" style="1" customWidth="1"/>
    <col min="26" max="26" width="10.83203125" style="1" customWidth="1"/>
    <col min="27" max="16384" width="10.83203125" style="1"/>
  </cols>
  <sheetData>
    <row r="1" spans="1:25" x14ac:dyDescent="0.2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28"/>
      <c r="Y1" s="28"/>
    </row>
    <row r="2" spans="1:25" x14ac:dyDescent="0.2">
      <c r="A2" s="30" t="s">
        <v>208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28"/>
      <c r="Y2" s="28"/>
    </row>
    <row r="3" spans="1:25" x14ac:dyDescent="0.2">
      <c r="A3" s="30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28"/>
      <c r="Y3" s="28"/>
    </row>
    <row r="4" spans="1:25" ht="15" customHeight="1" thickBo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8"/>
      <c r="Y4" s="28"/>
    </row>
    <row r="5" spans="1:25" ht="15" customHeight="1" thickTop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 t="s">
        <v>209</v>
      </c>
      <c r="X5" s="28"/>
      <c r="Y5" s="28" t="s">
        <v>38</v>
      </c>
    </row>
    <row r="6" spans="1:25" x14ac:dyDescent="0.2">
      <c r="A6" s="27"/>
      <c r="B6" s="27"/>
      <c r="C6" s="27" t="s">
        <v>210</v>
      </c>
      <c r="D6" s="27"/>
      <c r="E6" s="27" t="s">
        <v>16</v>
      </c>
      <c r="F6" s="27"/>
      <c r="G6" s="27" t="s">
        <v>4</v>
      </c>
      <c r="H6" s="27"/>
      <c r="I6" s="27" t="s">
        <v>6</v>
      </c>
      <c r="J6" s="27"/>
      <c r="K6" s="27" t="s">
        <v>7</v>
      </c>
      <c r="L6" s="27"/>
      <c r="M6" s="27" t="s">
        <v>211</v>
      </c>
      <c r="N6" s="27"/>
      <c r="O6" s="27" t="s">
        <v>212</v>
      </c>
      <c r="P6" s="27"/>
      <c r="Q6" s="27" t="s">
        <v>213</v>
      </c>
      <c r="R6" s="27"/>
      <c r="S6" s="27" t="s">
        <v>214</v>
      </c>
      <c r="T6" s="27"/>
      <c r="U6" s="27" t="s">
        <v>215</v>
      </c>
      <c r="V6" s="27"/>
      <c r="W6" s="27" t="s">
        <v>9</v>
      </c>
      <c r="X6" s="28"/>
      <c r="Y6" s="28"/>
    </row>
    <row r="7" spans="1:25" ht="15" customHeight="1" thickBot="1" x14ac:dyDescent="0.25">
      <c r="A7" s="7" t="s">
        <v>216</v>
      </c>
      <c r="B7" s="27"/>
      <c r="C7" s="7" t="s">
        <v>217</v>
      </c>
      <c r="D7" s="27"/>
      <c r="E7" s="7" t="s">
        <v>217</v>
      </c>
      <c r="F7" s="27"/>
      <c r="G7" s="7" t="s">
        <v>11</v>
      </c>
      <c r="H7" s="27"/>
      <c r="I7" s="7" t="s">
        <v>11</v>
      </c>
      <c r="J7" s="27"/>
      <c r="K7" s="7" t="s">
        <v>14</v>
      </c>
      <c r="L7" s="27"/>
      <c r="M7" s="7" t="s">
        <v>11</v>
      </c>
      <c r="N7" s="27"/>
      <c r="O7" s="7" t="s">
        <v>218</v>
      </c>
      <c r="P7" s="27"/>
      <c r="Q7" s="7" t="s">
        <v>218</v>
      </c>
      <c r="R7" s="27"/>
      <c r="S7" s="7" t="s">
        <v>218</v>
      </c>
      <c r="T7" s="27"/>
      <c r="U7" s="7" t="s">
        <v>219</v>
      </c>
      <c r="V7" s="27"/>
      <c r="W7" s="7" t="s">
        <v>16</v>
      </c>
      <c r="X7" s="28"/>
      <c r="Y7" s="28"/>
    </row>
    <row r="8" spans="1:25" x14ac:dyDescent="0.2">
      <c r="A8" s="4"/>
      <c r="B8" s="28"/>
      <c r="C8" s="4"/>
      <c r="D8" s="28"/>
      <c r="E8" s="4"/>
      <c r="F8" s="28"/>
      <c r="G8" s="4"/>
      <c r="H8" s="28"/>
      <c r="I8" s="4"/>
      <c r="J8" s="28"/>
      <c r="K8" s="4"/>
      <c r="L8" s="28"/>
      <c r="M8" s="4"/>
      <c r="N8" s="28"/>
      <c r="O8" s="4"/>
      <c r="P8" s="28"/>
      <c r="Q8" s="4"/>
      <c r="R8" s="28"/>
      <c r="S8" s="4"/>
      <c r="T8" s="28"/>
      <c r="U8" s="4"/>
      <c r="V8" s="28"/>
      <c r="W8" s="4"/>
      <c r="X8" s="28"/>
      <c r="Y8" s="28"/>
    </row>
    <row r="9" spans="1:25" x14ac:dyDescent="0.2">
      <c r="A9" s="5" t="s">
        <v>220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x14ac:dyDescent="0.2">
      <c r="A10" s="5" t="s">
        <v>221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25" x14ac:dyDescent="0.2">
      <c r="A11" s="17" t="s">
        <v>80</v>
      </c>
      <c r="B11" s="28"/>
      <c r="C11" s="12" t="s">
        <v>18</v>
      </c>
      <c r="D11" s="28"/>
      <c r="E11" s="12" t="s">
        <v>18</v>
      </c>
      <c r="F11" s="28"/>
      <c r="G11" s="20">
        <v>261251.36</v>
      </c>
      <c r="H11" s="28"/>
      <c r="I11" s="20">
        <v>261251.36</v>
      </c>
      <c r="J11" s="28"/>
      <c r="K11" s="20">
        <v>0</v>
      </c>
      <c r="L11" s="28"/>
      <c r="M11" s="20" t="s">
        <v>18</v>
      </c>
      <c r="N11" s="28"/>
      <c r="O11" s="12" t="s">
        <v>222</v>
      </c>
      <c r="P11" s="28"/>
      <c r="Q11" s="12" t="s">
        <v>222</v>
      </c>
      <c r="R11" s="28"/>
      <c r="S11" s="12" t="s">
        <v>222</v>
      </c>
      <c r="T11" s="28"/>
      <c r="U11" s="21" t="s">
        <v>18</v>
      </c>
      <c r="V11" s="28"/>
      <c r="W11" s="19">
        <v>1</v>
      </c>
      <c r="X11" s="28"/>
      <c r="Y11" s="28" t="s">
        <v>42</v>
      </c>
    </row>
    <row r="12" spans="1:25" x14ac:dyDescent="0.2">
      <c r="A12" s="17" t="s">
        <v>223</v>
      </c>
      <c r="B12" s="28"/>
      <c r="C12" s="12" t="s">
        <v>18</v>
      </c>
      <c r="D12" s="28"/>
      <c r="E12" s="12" t="s">
        <v>18</v>
      </c>
      <c r="F12" s="28"/>
      <c r="G12" s="9">
        <v>797997.66</v>
      </c>
      <c r="H12" s="28"/>
      <c r="I12" s="9">
        <v>797997.66</v>
      </c>
      <c r="J12" s="28"/>
      <c r="K12" s="9">
        <v>0</v>
      </c>
      <c r="L12" s="28"/>
      <c r="M12" s="9" t="s">
        <v>18</v>
      </c>
      <c r="N12" s="28"/>
      <c r="O12" s="12" t="s">
        <v>222</v>
      </c>
      <c r="P12" s="28"/>
      <c r="Q12" s="12" t="s">
        <v>222</v>
      </c>
      <c r="R12" s="28"/>
      <c r="S12" s="12" t="s">
        <v>222</v>
      </c>
      <c r="T12" s="28"/>
      <c r="U12" s="21" t="s">
        <v>18</v>
      </c>
      <c r="V12" s="28"/>
      <c r="W12" s="19">
        <v>1</v>
      </c>
      <c r="X12" s="28"/>
      <c r="Y12" s="28" t="s">
        <v>44</v>
      </c>
    </row>
    <row r="13" spans="1:25" ht="15" thickBot="1" x14ac:dyDescent="0.25">
      <c r="A13" s="17" t="s">
        <v>224</v>
      </c>
      <c r="B13" s="28"/>
      <c r="C13" s="12" t="s">
        <v>18</v>
      </c>
      <c r="D13" s="28"/>
      <c r="E13" s="12" t="s">
        <v>18</v>
      </c>
      <c r="F13" s="28"/>
      <c r="G13" s="9">
        <v>70187.929999999993</v>
      </c>
      <c r="H13" s="28"/>
      <c r="I13" s="9">
        <v>70187.929999999993</v>
      </c>
      <c r="J13" s="28"/>
      <c r="K13" s="9">
        <v>0</v>
      </c>
      <c r="L13" s="28"/>
      <c r="M13" s="9" t="s">
        <v>18</v>
      </c>
      <c r="N13" s="28"/>
      <c r="O13" s="12" t="s">
        <v>222</v>
      </c>
      <c r="P13" s="28"/>
      <c r="Q13" s="12" t="s">
        <v>222</v>
      </c>
      <c r="R13" s="28"/>
      <c r="S13" s="12" t="s">
        <v>222</v>
      </c>
      <c r="T13" s="28"/>
      <c r="U13" s="21" t="s">
        <v>18</v>
      </c>
      <c r="V13" s="28"/>
      <c r="W13" s="19">
        <v>1</v>
      </c>
      <c r="X13" s="28"/>
      <c r="Y13" s="28" t="s">
        <v>46</v>
      </c>
    </row>
    <row r="14" spans="1:25" x14ac:dyDescent="0.2">
      <c r="A14" s="17" t="s">
        <v>225</v>
      </c>
      <c r="B14" s="28"/>
      <c r="C14" s="12" t="s">
        <v>18</v>
      </c>
      <c r="D14" s="28"/>
      <c r="E14" s="12" t="s">
        <v>18</v>
      </c>
      <c r="F14" s="28"/>
      <c r="G14" s="9">
        <v>6540823.5199999996</v>
      </c>
      <c r="H14" s="28"/>
      <c r="I14" s="9">
        <v>6540823.5199999996</v>
      </c>
      <c r="J14" s="28"/>
      <c r="K14" s="9">
        <v>0</v>
      </c>
      <c r="L14" s="28"/>
      <c r="M14" s="9" t="s">
        <v>18</v>
      </c>
      <c r="N14" s="28"/>
      <c r="O14" s="12" t="s">
        <v>222</v>
      </c>
      <c r="P14" s="28"/>
      <c r="Q14" s="12" t="s">
        <v>222</v>
      </c>
      <c r="R14" s="28"/>
      <c r="S14" s="12" t="s">
        <v>222</v>
      </c>
      <c r="T14" s="28"/>
      <c r="U14" s="21" t="s">
        <v>18</v>
      </c>
      <c r="V14" s="28"/>
      <c r="W14" s="19">
        <v>1</v>
      </c>
      <c r="X14" s="28"/>
      <c r="Y14" s="28" t="s">
        <v>48</v>
      </c>
    </row>
    <row r="15" spans="1:25" x14ac:dyDescent="0.2">
      <c r="A15" s="17" t="s">
        <v>226</v>
      </c>
      <c r="B15" s="28"/>
      <c r="C15" s="12" t="s">
        <v>18</v>
      </c>
      <c r="D15" s="28"/>
      <c r="E15" s="12" t="s">
        <v>18</v>
      </c>
      <c r="F15" s="28"/>
      <c r="G15" s="9">
        <v>1196965.99</v>
      </c>
      <c r="H15" s="28"/>
      <c r="I15" s="9">
        <v>1196965.99</v>
      </c>
      <c r="J15" s="28"/>
      <c r="K15" s="9">
        <v>0</v>
      </c>
      <c r="L15" s="28"/>
      <c r="M15" s="9" t="s">
        <v>18</v>
      </c>
      <c r="N15" s="28"/>
      <c r="O15" s="12" t="s">
        <v>222</v>
      </c>
      <c r="P15" s="28"/>
      <c r="Q15" s="12" t="s">
        <v>222</v>
      </c>
      <c r="R15" s="28"/>
      <c r="S15" s="12" t="s">
        <v>222</v>
      </c>
      <c r="T15" s="28"/>
      <c r="U15" s="21" t="s">
        <v>18</v>
      </c>
      <c r="V15" s="28"/>
      <c r="W15" s="19">
        <v>1</v>
      </c>
      <c r="X15" s="28"/>
      <c r="Y15" s="28" t="s">
        <v>50</v>
      </c>
    </row>
    <row r="16" spans="1:25" x14ac:dyDescent="0.2">
      <c r="A16" s="17" t="s">
        <v>227</v>
      </c>
      <c r="B16" s="28"/>
      <c r="C16" s="12" t="s">
        <v>18</v>
      </c>
      <c r="D16" s="28"/>
      <c r="E16" s="12" t="s">
        <v>18</v>
      </c>
      <c r="F16" s="28"/>
      <c r="G16" s="9">
        <v>818792.43</v>
      </c>
      <c r="H16" s="28"/>
      <c r="I16" s="9">
        <v>818792.43</v>
      </c>
      <c r="J16" s="28"/>
      <c r="K16" s="9">
        <v>0</v>
      </c>
      <c r="L16" s="28"/>
      <c r="M16" s="9" t="s">
        <v>18</v>
      </c>
      <c r="N16" s="28"/>
      <c r="O16" s="12" t="s">
        <v>222</v>
      </c>
      <c r="P16" s="28"/>
      <c r="Q16" s="12" t="s">
        <v>222</v>
      </c>
      <c r="R16" s="28"/>
      <c r="S16" s="12" t="s">
        <v>222</v>
      </c>
      <c r="T16" s="28"/>
      <c r="U16" s="21" t="s">
        <v>18</v>
      </c>
      <c r="V16" s="28"/>
      <c r="W16" s="19">
        <v>1</v>
      </c>
      <c r="X16" s="28"/>
      <c r="Y16" s="28" t="s">
        <v>52</v>
      </c>
    </row>
    <row r="17" spans="1:25" x14ac:dyDescent="0.2">
      <c r="A17" s="17" t="s">
        <v>228</v>
      </c>
      <c r="B17" s="28"/>
      <c r="C17" s="12" t="s">
        <v>18</v>
      </c>
      <c r="D17" s="28"/>
      <c r="E17" s="12" t="s">
        <v>18</v>
      </c>
      <c r="F17" s="28"/>
      <c r="G17" s="9">
        <v>73693.88</v>
      </c>
      <c r="H17" s="28"/>
      <c r="I17" s="9">
        <v>73693.88</v>
      </c>
      <c r="J17" s="28"/>
      <c r="K17" s="9">
        <v>0</v>
      </c>
      <c r="L17" s="28"/>
      <c r="M17" s="9" t="s">
        <v>18</v>
      </c>
      <c r="N17" s="28"/>
      <c r="O17" s="12" t="s">
        <v>222</v>
      </c>
      <c r="P17" s="28"/>
      <c r="Q17" s="12" t="s">
        <v>222</v>
      </c>
      <c r="R17" s="28"/>
      <c r="S17" s="12" t="s">
        <v>222</v>
      </c>
      <c r="T17" s="28"/>
      <c r="U17" s="21" t="s">
        <v>18</v>
      </c>
      <c r="V17" s="28"/>
      <c r="W17" s="19">
        <v>1</v>
      </c>
      <c r="X17" s="28"/>
      <c r="Y17" s="28" t="s">
        <v>54</v>
      </c>
    </row>
    <row r="18" spans="1:25" x14ac:dyDescent="0.2">
      <c r="A18" s="17" t="s">
        <v>229</v>
      </c>
      <c r="B18" s="28"/>
      <c r="C18" s="12" t="s">
        <v>18</v>
      </c>
      <c r="D18" s="28"/>
      <c r="E18" s="12" t="s">
        <v>18</v>
      </c>
      <c r="F18" s="28"/>
      <c r="G18" s="9">
        <v>3816831.42</v>
      </c>
      <c r="H18" s="28"/>
      <c r="I18" s="9">
        <v>3816831.42</v>
      </c>
      <c r="J18" s="28"/>
      <c r="K18" s="9">
        <v>0</v>
      </c>
      <c r="L18" s="28"/>
      <c r="M18" s="9" t="s">
        <v>18</v>
      </c>
      <c r="N18" s="28"/>
      <c r="O18" s="12" t="s">
        <v>222</v>
      </c>
      <c r="P18" s="28"/>
      <c r="Q18" s="12" t="s">
        <v>222</v>
      </c>
      <c r="R18" s="28"/>
      <c r="S18" s="12" t="s">
        <v>222</v>
      </c>
      <c r="T18" s="28"/>
      <c r="U18" s="21" t="s">
        <v>18</v>
      </c>
      <c r="V18" s="28"/>
      <c r="W18" s="19">
        <v>1</v>
      </c>
      <c r="X18" s="28"/>
      <c r="Y18" s="28" t="s">
        <v>56</v>
      </c>
    </row>
    <row r="19" spans="1:25" x14ac:dyDescent="0.2">
      <c r="A19" s="17" t="s">
        <v>230</v>
      </c>
      <c r="B19" s="28"/>
      <c r="C19" s="12" t="s">
        <v>18</v>
      </c>
      <c r="D19" s="28"/>
      <c r="E19" s="12" t="s">
        <v>18</v>
      </c>
      <c r="F19" s="28"/>
      <c r="G19" s="9">
        <v>33348.53</v>
      </c>
      <c r="H19" s="28"/>
      <c r="I19" s="9">
        <v>33348.53</v>
      </c>
      <c r="J19" s="28"/>
      <c r="K19" s="9">
        <v>0</v>
      </c>
      <c r="L19" s="28"/>
      <c r="M19" s="9" t="s">
        <v>18</v>
      </c>
      <c r="N19" s="28"/>
      <c r="O19" s="12" t="s">
        <v>222</v>
      </c>
      <c r="P19" s="28"/>
      <c r="Q19" s="12" t="s">
        <v>222</v>
      </c>
      <c r="R19" s="28"/>
      <c r="S19" s="12" t="s">
        <v>222</v>
      </c>
      <c r="T19" s="28"/>
      <c r="U19" s="21" t="s">
        <v>18</v>
      </c>
      <c r="V19" s="28"/>
      <c r="W19" s="19">
        <v>1</v>
      </c>
      <c r="X19" s="28"/>
      <c r="Y19" s="28" t="s">
        <v>58</v>
      </c>
    </row>
    <row r="20" spans="1:25" ht="15" thickBot="1" x14ac:dyDescent="0.25">
      <c r="A20" s="28"/>
      <c r="B20" s="28"/>
      <c r="C20" s="28"/>
      <c r="D20" s="28"/>
      <c r="E20" s="28"/>
      <c r="F20" s="28"/>
      <c r="G20" s="11"/>
      <c r="H20" s="28"/>
      <c r="I20" s="11"/>
      <c r="J20" s="28"/>
      <c r="K20" s="11"/>
      <c r="L20" s="28"/>
      <c r="M20" s="11"/>
      <c r="N20" s="28"/>
      <c r="O20" s="28"/>
      <c r="P20" s="28"/>
      <c r="Q20" s="28"/>
      <c r="R20" s="28"/>
      <c r="S20" s="28"/>
      <c r="T20" s="28"/>
      <c r="U20" s="11"/>
      <c r="V20" s="28"/>
      <c r="W20" s="11"/>
      <c r="X20" s="28"/>
      <c r="Y20" s="28"/>
    </row>
    <row r="21" spans="1:25" ht="15" customHeight="1" x14ac:dyDescent="0.2">
      <c r="A21" s="8" t="s">
        <v>231</v>
      </c>
      <c r="B21" s="28"/>
      <c r="C21" s="28"/>
      <c r="D21" s="28"/>
      <c r="E21" s="28"/>
      <c r="F21" s="28"/>
      <c r="G21" s="25">
        <v>13609892.720000001</v>
      </c>
      <c r="H21" s="28"/>
      <c r="I21" s="25">
        <v>13609892.720000001</v>
      </c>
      <c r="J21" s="28"/>
      <c r="K21" s="25">
        <v>0</v>
      </c>
      <c r="L21" s="28"/>
      <c r="M21" s="25">
        <v>0</v>
      </c>
      <c r="N21" s="28"/>
      <c r="O21" s="28"/>
      <c r="P21" s="28"/>
      <c r="Q21" s="12"/>
      <c r="R21" s="28"/>
      <c r="S21" s="12"/>
      <c r="T21" s="28"/>
      <c r="U21" s="22" t="s">
        <v>18</v>
      </c>
      <c r="V21" s="28"/>
      <c r="W21" s="15">
        <f>IFERROR(SUMPRODUCT(I11:I19, W11:W19)/SUMIF(I11:I19,"&gt;0"), 1)</f>
        <v>1</v>
      </c>
      <c r="X21" s="28"/>
      <c r="Y21" s="28"/>
    </row>
    <row r="22" spans="1:25" ht="15" thickBot="1" x14ac:dyDescent="0.25">
      <c r="A22" s="28"/>
      <c r="B22" s="28"/>
      <c r="C22" s="28"/>
      <c r="D22" s="28"/>
      <c r="E22" s="28"/>
      <c r="F22" s="28"/>
      <c r="G22" s="4"/>
      <c r="H22" s="28"/>
      <c r="I22" s="4"/>
      <c r="J22" s="28"/>
      <c r="K22" s="4"/>
      <c r="L22" s="28"/>
      <c r="M22" s="4"/>
      <c r="N22" s="28"/>
      <c r="O22" s="28"/>
      <c r="P22" s="28"/>
      <c r="Q22" s="28"/>
      <c r="R22" s="28"/>
      <c r="S22" s="28"/>
      <c r="T22" s="28"/>
      <c r="U22" s="4"/>
      <c r="V22" s="28"/>
      <c r="W22" s="4"/>
      <c r="X22" s="28"/>
      <c r="Y22" s="28"/>
    </row>
    <row r="23" spans="1:25" x14ac:dyDescent="0.2">
      <c r="A23" s="5" t="s">
        <v>232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">
      <c r="A24" s="17" t="s">
        <v>233</v>
      </c>
      <c r="B24" s="28"/>
      <c r="C24" s="12" t="s">
        <v>18</v>
      </c>
      <c r="D24" s="28"/>
      <c r="E24" s="12" t="s">
        <v>18</v>
      </c>
      <c r="F24" s="28"/>
      <c r="G24" s="20">
        <v>5736450.8300000001</v>
      </c>
      <c r="H24" s="28"/>
      <c r="I24" s="20">
        <v>5736450.8300000001</v>
      </c>
      <c r="J24" s="28"/>
      <c r="K24" s="20">
        <v>0</v>
      </c>
      <c r="L24" s="28"/>
      <c r="M24" s="20" t="s">
        <v>18</v>
      </c>
      <c r="N24" s="28"/>
      <c r="O24" s="12" t="s">
        <v>234</v>
      </c>
      <c r="P24" s="28"/>
      <c r="Q24" s="12" t="s">
        <v>222</v>
      </c>
      <c r="R24" s="28"/>
      <c r="S24" s="12" t="s">
        <v>222</v>
      </c>
      <c r="T24" s="28"/>
      <c r="U24" s="21">
        <v>5.1000000000000004E-3</v>
      </c>
      <c r="V24" s="28"/>
      <c r="W24" s="19">
        <v>53</v>
      </c>
      <c r="X24" s="28"/>
      <c r="Y24" s="28" t="s">
        <v>81</v>
      </c>
    </row>
    <row r="25" spans="1:25" x14ac:dyDescent="0.2">
      <c r="A25" s="17" t="s">
        <v>235</v>
      </c>
      <c r="B25" s="28"/>
      <c r="C25" s="12" t="s">
        <v>18</v>
      </c>
      <c r="D25" s="28"/>
      <c r="E25" s="12" t="s">
        <v>18</v>
      </c>
      <c r="F25" s="28"/>
      <c r="G25" s="9">
        <v>1</v>
      </c>
      <c r="H25" s="28"/>
      <c r="I25" s="9">
        <v>1</v>
      </c>
      <c r="J25" s="28"/>
      <c r="K25" s="9">
        <v>0</v>
      </c>
      <c r="L25" s="28"/>
      <c r="M25" s="9" t="s">
        <v>18</v>
      </c>
      <c r="N25" s="28"/>
      <c r="O25" s="12" t="s">
        <v>234</v>
      </c>
      <c r="P25" s="28"/>
      <c r="Q25" s="12" t="s">
        <v>222</v>
      </c>
      <c r="R25" s="28"/>
      <c r="S25" s="12" t="s">
        <v>222</v>
      </c>
      <c r="T25" s="28"/>
      <c r="U25" s="21">
        <v>5.1000000000000004E-3</v>
      </c>
      <c r="V25" s="28"/>
      <c r="W25" s="19">
        <v>53</v>
      </c>
      <c r="X25" s="28"/>
      <c r="Y25" s="28" t="s">
        <v>83</v>
      </c>
    </row>
    <row r="26" spans="1:25" x14ac:dyDescent="0.2">
      <c r="A26" s="17" t="s">
        <v>236</v>
      </c>
      <c r="B26" s="28"/>
      <c r="C26" s="12" t="s">
        <v>18</v>
      </c>
      <c r="D26" s="28"/>
      <c r="E26" s="12" t="s">
        <v>18</v>
      </c>
      <c r="F26" s="28"/>
      <c r="G26" s="9">
        <v>13673231.619999999</v>
      </c>
      <c r="H26" s="28"/>
      <c r="I26" s="9">
        <v>13673231.619999999</v>
      </c>
      <c r="J26" s="28"/>
      <c r="K26" s="9">
        <v>0</v>
      </c>
      <c r="L26" s="28"/>
      <c r="M26" s="9" t="s">
        <v>18</v>
      </c>
      <c r="N26" s="28"/>
      <c r="O26" s="12" t="s">
        <v>234</v>
      </c>
      <c r="P26" s="28"/>
      <c r="Q26" s="12" t="s">
        <v>222</v>
      </c>
      <c r="R26" s="28"/>
      <c r="S26" s="12" t="s">
        <v>222</v>
      </c>
      <c r="T26" s="28"/>
      <c r="U26" s="21">
        <v>5.1000000000000004E-3</v>
      </c>
      <c r="V26" s="28"/>
      <c r="W26" s="19">
        <v>53</v>
      </c>
      <c r="X26" s="28"/>
      <c r="Y26" s="28" t="s">
        <v>85</v>
      </c>
    </row>
    <row r="27" spans="1:25" x14ac:dyDescent="0.2">
      <c r="A27" s="17" t="s">
        <v>237</v>
      </c>
      <c r="B27" s="28"/>
      <c r="C27" s="12" t="s">
        <v>18</v>
      </c>
      <c r="D27" s="28"/>
      <c r="E27" s="12" t="s">
        <v>18</v>
      </c>
      <c r="F27" s="28"/>
      <c r="G27" s="9">
        <v>1</v>
      </c>
      <c r="H27" s="28"/>
      <c r="I27" s="9">
        <v>1</v>
      </c>
      <c r="J27" s="28"/>
      <c r="K27" s="9">
        <v>0</v>
      </c>
      <c r="L27" s="28"/>
      <c r="M27" s="9" t="s">
        <v>18</v>
      </c>
      <c r="N27" s="28"/>
      <c r="O27" s="12" t="s">
        <v>234</v>
      </c>
      <c r="P27" s="28"/>
      <c r="Q27" s="12" t="s">
        <v>222</v>
      </c>
      <c r="R27" s="28"/>
      <c r="S27" s="12" t="s">
        <v>222</v>
      </c>
      <c r="T27" s="28"/>
      <c r="U27" s="21">
        <v>5.1000000000000004E-3</v>
      </c>
      <c r="V27" s="28"/>
      <c r="W27" s="19">
        <v>53</v>
      </c>
      <c r="X27" s="28"/>
      <c r="Y27" s="28" t="s">
        <v>87</v>
      </c>
    </row>
    <row r="28" spans="1:25" x14ac:dyDescent="0.2">
      <c r="A28" s="17" t="s">
        <v>238</v>
      </c>
      <c r="B28" s="28"/>
      <c r="C28" s="12" t="s">
        <v>18</v>
      </c>
      <c r="D28" s="28"/>
      <c r="E28" s="12" t="s">
        <v>18</v>
      </c>
      <c r="F28" s="28"/>
      <c r="G28" s="9">
        <v>1</v>
      </c>
      <c r="H28" s="28"/>
      <c r="I28" s="9">
        <v>1</v>
      </c>
      <c r="J28" s="28"/>
      <c r="K28" s="9">
        <v>0</v>
      </c>
      <c r="L28" s="28"/>
      <c r="M28" s="9" t="s">
        <v>18</v>
      </c>
      <c r="N28" s="28"/>
      <c r="O28" s="12" t="s">
        <v>234</v>
      </c>
      <c r="P28" s="28"/>
      <c r="Q28" s="12" t="s">
        <v>222</v>
      </c>
      <c r="R28" s="28"/>
      <c r="S28" s="12" t="s">
        <v>222</v>
      </c>
      <c r="T28" s="28"/>
      <c r="U28" s="21">
        <v>5.1000000000000004E-3</v>
      </c>
      <c r="V28" s="28"/>
      <c r="W28" s="19">
        <v>53</v>
      </c>
      <c r="X28" s="28"/>
      <c r="Y28" s="28" t="s">
        <v>89</v>
      </c>
    </row>
    <row r="29" spans="1:25" ht="15" thickBot="1" x14ac:dyDescent="0.25">
      <c r="A29" s="17" t="s">
        <v>239</v>
      </c>
      <c r="B29" s="28"/>
      <c r="C29" s="12" t="s">
        <v>18</v>
      </c>
      <c r="D29" s="28"/>
      <c r="E29" s="12" t="s">
        <v>18</v>
      </c>
      <c r="F29" s="28"/>
      <c r="G29" s="9">
        <v>1</v>
      </c>
      <c r="H29" s="28"/>
      <c r="I29" s="9">
        <v>1</v>
      </c>
      <c r="J29" s="28"/>
      <c r="K29" s="9">
        <v>0</v>
      </c>
      <c r="L29" s="28"/>
      <c r="M29" s="9" t="s">
        <v>18</v>
      </c>
      <c r="N29" s="28"/>
      <c r="O29" s="12" t="s">
        <v>234</v>
      </c>
      <c r="P29" s="28"/>
      <c r="Q29" s="12" t="s">
        <v>222</v>
      </c>
      <c r="R29" s="28"/>
      <c r="S29" s="12" t="s">
        <v>222</v>
      </c>
      <c r="T29" s="28"/>
      <c r="U29" s="21">
        <v>5.1000000000000004E-3</v>
      </c>
      <c r="V29" s="28"/>
      <c r="W29" s="19">
        <v>53</v>
      </c>
      <c r="X29" s="28"/>
      <c r="Y29" s="28" t="s">
        <v>91</v>
      </c>
    </row>
    <row r="30" spans="1:25" x14ac:dyDescent="0.2">
      <c r="A30" s="17" t="s">
        <v>240</v>
      </c>
      <c r="B30" s="28"/>
      <c r="C30" s="12" t="s">
        <v>18</v>
      </c>
      <c r="D30" s="28"/>
      <c r="E30" s="12" t="s">
        <v>18</v>
      </c>
      <c r="F30" s="28"/>
      <c r="G30" s="9">
        <v>57042240.579999998</v>
      </c>
      <c r="H30" s="28"/>
      <c r="I30" s="9">
        <v>57042240.579999998</v>
      </c>
      <c r="J30" s="28"/>
      <c r="K30" s="9">
        <v>0</v>
      </c>
      <c r="L30" s="28"/>
      <c r="M30" s="9" t="s">
        <v>18</v>
      </c>
      <c r="N30" s="28"/>
      <c r="O30" s="12" t="s">
        <v>234</v>
      </c>
      <c r="P30" s="28"/>
      <c r="Q30" s="12" t="s">
        <v>222</v>
      </c>
      <c r="R30" s="28"/>
      <c r="S30" s="12" t="s">
        <v>222</v>
      </c>
      <c r="T30" s="28"/>
      <c r="U30" s="21">
        <v>5.1000000000000004E-3</v>
      </c>
      <c r="V30" s="28"/>
      <c r="W30" s="19">
        <v>53</v>
      </c>
      <c r="X30" s="28"/>
      <c r="Y30" s="28" t="s">
        <v>93</v>
      </c>
    </row>
    <row r="31" spans="1:25" x14ac:dyDescent="0.2">
      <c r="A31" s="17" t="s">
        <v>241</v>
      </c>
      <c r="B31" s="28"/>
      <c r="C31" s="12" t="s">
        <v>18</v>
      </c>
      <c r="D31" s="28"/>
      <c r="E31" s="12" t="s">
        <v>18</v>
      </c>
      <c r="F31" s="28"/>
      <c r="G31" s="9">
        <v>5011864.3899999997</v>
      </c>
      <c r="H31" s="28"/>
      <c r="I31" s="9">
        <v>5011864.3899999997</v>
      </c>
      <c r="J31" s="28"/>
      <c r="K31" s="9">
        <v>0</v>
      </c>
      <c r="L31" s="28"/>
      <c r="M31" s="9" t="s">
        <v>18</v>
      </c>
      <c r="N31" s="28"/>
      <c r="O31" s="12" t="s">
        <v>234</v>
      </c>
      <c r="P31" s="28"/>
      <c r="Q31" s="12" t="s">
        <v>222</v>
      </c>
      <c r="R31" s="28"/>
      <c r="S31" s="12" t="s">
        <v>222</v>
      </c>
      <c r="T31" s="28"/>
      <c r="U31" s="21">
        <v>5.1000000000000004E-3</v>
      </c>
      <c r="V31" s="28"/>
      <c r="W31" s="19">
        <v>53</v>
      </c>
      <c r="X31" s="28"/>
      <c r="Y31" s="28" t="s">
        <v>95</v>
      </c>
    </row>
    <row r="32" spans="1:25" x14ac:dyDescent="0.2">
      <c r="A32" s="17" t="s">
        <v>242</v>
      </c>
      <c r="B32" s="28"/>
      <c r="C32" s="12" t="s">
        <v>18</v>
      </c>
      <c r="D32" s="28"/>
      <c r="E32" s="12" t="s">
        <v>18</v>
      </c>
      <c r="F32" s="28"/>
      <c r="G32" s="9">
        <v>1860338.64</v>
      </c>
      <c r="H32" s="28"/>
      <c r="I32" s="9">
        <v>1860338.64</v>
      </c>
      <c r="J32" s="28"/>
      <c r="K32" s="9">
        <v>0</v>
      </c>
      <c r="L32" s="28"/>
      <c r="M32" s="9" t="s">
        <v>18</v>
      </c>
      <c r="N32" s="28"/>
      <c r="O32" s="12" t="s">
        <v>234</v>
      </c>
      <c r="P32" s="28"/>
      <c r="Q32" s="12" t="s">
        <v>222</v>
      </c>
      <c r="R32" s="28"/>
      <c r="S32" s="12" t="s">
        <v>222</v>
      </c>
      <c r="T32" s="28"/>
      <c r="U32" s="21">
        <v>5.1000000000000004E-3</v>
      </c>
      <c r="V32" s="28"/>
      <c r="W32" s="19">
        <v>53</v>
      </c>
      <c r="X32" s="28"/>
      <c r="Y32" s="28" t="s">
        <v>97</v>
      </c>
    </row>
    <row r="33" spans="1:25" x14ac:dyDescent="0.2">
      <c r="A33" s="17" t="s">
        <v>243</v>
      </c>
      <c r="B33" s="28"/>
      <c r="C33" s="12" t="s">
        <v>18</v>
      </c>
      <c r="D33" s="28"/>
      <c r="E33" s="12" t="s">
        <v>18</v>
      </c>
      <c r="F33" s="28"/>
      <c r="G33" s="9">
        <v>4995425.47</v>
      </c>
      <c r="H33" s="28"/>
      <c r="I33" s="9">
        <v>4995425.47</v>
      </c>
      <c r="J33" s="28"/>
      <c r="K33" s="9">
        <v>0</v>
      </c>
      <c r="L33" s="28"/>
      <c r="M33" s="9" t="s">
        <v>18</v>
      </c>
      <c r="N33" s="28"/>
      <c r="O33" s="12" t="s">
        <v>234</v>
      </c>
      <c r="P33" s="28"/>
      <c r="Q33" s="12" t="s">
        <v>222</v>
      </c>
      <c r="R33" s="28"/>
      <c r="S33" s="12" t="s">
        <v>222</v>
      </c>
      <c r="T33" s="28"/>
      <c r="U33" s="21">
        <v>5.1000000000000004E-3</v>
      </c>
      <c r="V33" s="28"/>
      <c r="W33" s="19">
        <v>53</v>
      </c>
      <c r="X33" s="28"/>
      <c r="Y33" s="28" t="s">
        <v>99</v>
      </c>
    </row>
    <row r="34" spans="1:25" x14ac:dyDescent="0.2">
      <c r="A34" s="17" t="s">
        <v>244</v>
      </c>
      <c r="B34" s="28"/>
      <c r="C34" s="12" t="s">
        <v>18</v>
      </c>
      <c r="D34" s="28"/>
      <c r="E34" s="12" t="s">
        <v>18</v>
      </c>
      <c r="F34" s="28"/>
      <c r="G34" s="9">
        <v>2131434.94</v>
      </c>
      <c r="H34" s="28"/>
      <c r="I34" s="9">
        <v>2131434.94</v>
      </c>
      <c r="J34" s="28"/>
      <c r="K34" s="9">
        <v>0</v>
      </c>
      <c r="L34" s="28"/>
      <c r="M34" s="9" t="s">
        <v>18</v>
      </c>
      <c r="N34" s="28"/>
      <c r="O34" s="12" t="s">
        <v>234</v>
      </c>
      <c r="P34" s="28"/>
      <c r="Q34" s="12" t="s">
        <v>222</v>
      </c>
      <c r="R34" s="28"/>
      <c r="S34" s="12" t="s">
        <v>222</v>
      </c>
      <c r="T34" s="28"/>
      <c r="U34" s="21">
        <v>5.1000000000000004E-3</v>
      </c>
      <c r="V34" s="28"/>
      <c r="W34" s="19">
        <v>53</v>
      </c>
      <c r="X34" s="28"/>
      <c r="Y34" s="28" t="s">
        <v>101</v>
      </c>
    </row>
    <row r="35" spans="1:25" x14ac:dyDescent="0.2">
      <c r="A35" s="17" t="s">
        <v>245</v>
      </c>
      <c r="B35" s="28"/>
      <c r="C35" s="12" t="s">
        <v>18</v>
      </c>
      <c r="D35" s="28"/>
      <c r="E35" s="12" t="s">
        <v>18</v>
      </c>
      <c r="F35" s="28"/>
      <c r="G35" s="9">
        <v>1395770.94</v>
      </c>
      <c r="H35" s="28"/>
      <c r="I35" s="9">
        <v>1395770.94</v>
      </c>
      <c r="J35" s="28"/>
      <c r="K35" s="9">
        <v>0</v>
      </c>
      <c r="L35" s="28"/>
      <c r="M35" s="9" t="s">
        <v>18</v>
      </c>
      <c r="N35" s="28"/>
      <c r="O35" s="12" t="s">
        <v>234</v>
      </c>
      <c r="P35" s="28"/>
      <c r="Q35" s="12" t="s">
        <v>222</v>
      </c>
      <c r="R35" s="28"/>
      <c r="S35" s="12" t="s">
        <v>222</v>
      </c>
      <c r="T35" s="28"/>
      <c r="U35" s="21">
        <v>5.1000000000000004E-3</v>
      </c>
      <c r="V35" s="28"/>
      <c r="W35" s="19">
        <v>53</v>
      </c>
      <c r="X35" s="28"/>
      <c r="Y35" s="28" t="s">
        <v>103</v>
      </c>
    </row>
    <row r="36" spans="1:25" x14ac:dyDescent="0.2">
      <c r="A36" s="17" t="s">
        <v>246</v>
      </c>
      <c r="B36" s="28"/>
      <c r="C36" s="12" t="s">
        <v>18</v>
      </c>
      <c r="D36" s="28"/>
      <c r="E36" s="12" t="s">
        <v>18</v>
      </c>
      <c r="F36" s="28"/>
      <c r="G36" s="9">
        <v>3850764.86</v>
      </c>
      <c r="H36" s="28"/>
      <c r="I36" s="9">
        <v>3850764.86</v>
      </c>
      <c r="J36" s="28"/>
      <c r="K36" s="9">
        <v>0</v>
      </c>
      <c r="L36" s="28"/>
      <c r="M36" s="9" t="s">
        <v>18</v>
      </c>
      <c r="N36" s="28"/>
      <c r="O36" s="12" t="s">
        <v>234</v>
      </c>
      <c r="P36" s="28"/>
      <c r="Q36" s="12" t="s">
        <v>222</v>
      </c>
      <c r="R36" s="28"/>
      <c r="S36" s="12" t="s">
        <v>222</v>
      </c>
      <c r="T36" s="28"/>
      <c r="U36" s="21">
        <v>5.1000000000000004E-3</v>
      </c>
      <c r="V36" s="28"/>
      <c r="W36" s="19">
        <v>53</v>
      </c>
      <c r="X36" s="28"/>
      <c r="Y36" s="28" t="s">
        <v>105</v>
      </c>
    </row>
    <row r="37" spans="1:25" ht="15" thickBot="1" x14ac:dyDescent="0.25">
      <c r="A37" s="17" t="s">
        <v>247</v>
      </c>
      <c r="B37" s="28"/>
      <c r="C37" s="12" t="s">
        <v>18</v>
      </c>
      <c r="D37" s="28"/>
      <c r="E37" s="12" t="s">
        <v>18</v>
      </c>
      <c r="F37" s="28"/>
      <c r="G37" s="9">
        <v>1318290.73</v>
      </c>
      <c r="H37" s="28"/>
      <c r="I37" s="9">
        <v>1318290.73</v>
      </c>
      <c r="J37" s="28"/>
      <c r="K37" s="9">
        <v>0</v>
      </c>
      <c r="L37" s="28"/>
      <c r="M37" s="9" t="s">
        <v>18</v>
      </c>
      <c r="N37" s="28"/>
      <c r="O37" s="12" t="s">
        <v>234</v>
      </c>
      <c r="P37" s="28"/>
      <c r="Q37" s="12" t="s">
        <v>222</v>
      </c>
      <c r="R37" s="28"/>
      <c r="S37" s="12" t="s">
        <v>222</v>
      </c>
      <c r="T37" s="28"/>
      <c r="U37" s="21">
        <v>5.1000000000000004E-3</v>
      </c>
      <c r="V37" s="28"/>
      <c r="W37" s="19">
        <v>53</v>
      </c>
      <c r="X37" s="28"/>
      <c r="Y37" s="28" t="s">
        <v>107</v>
      </c>
    </row>
    <row r="38" spans="1:25" x14ac:dyDescent="0.2">
      <c r="A38" s="17" t="s">
        <v>248</v>
      </c>
      <c r="B38" s="28"/>
      <c r="C38" s="12" t="s">
        <v>18</v>
      </c>
      <c r="D38" s="28"/>
      <c r="E38" s="12" t="s">
        <v>18</v>
      </c>
      <c r="F38" s="28"/>
      <c r="G38" s="9">
        <v>5139098.0199999996</v>
      </c>
      <c r="H38" s="28"/>
      <c r="I38" s="9">
        <v>5139098.0199999996</v>
      </c>
      <c r="J38" s="28"/>
      <c r="K38" s="9">
        <v>0</v>
      </c>
      <c r="L38" s="28"/>
      <c r="M38" s="9" t="s">
        <v>18</v>
      </c>
      <c r="N38" s="28"/>
      <c r="O38" s="12" t="s">
        <v>234</v>
      </c>
      <c r="P38" s="28"/>
      <c r="Q38" s="12" t="s">
        <v>222</v>
      </c>
      <c r="R38" s="28"/>
      <c r="S38" s="12" t="s">
        <v>222</v>
      </c>
      <c r="T38" s="28"/>
      <c r="U38" s="21">
        <v>5.1000000000000004E-3</v>
      </c>
      <c r="V38" s="28"/>
      <c r="W38" s="19">
        <v>53</v>
      </c>
      <c r="X38" s="28"/>
      <c r="Y38" s="28" t="s">
        <v>109</v>
      </c>
    </row>
    <row r="39" spans="1:25" x14ac:dyDescent="0.2">
      <c r="A39" s="17" t="s">
        <v>249</v>
      </c>
      <c r="B39" s="28"/>
      <c r="C39" s="12" t="s">
        <v>18</v>
      </c>
      <c r="D39" s="28"/>
      <c r="E39" s="12" t="s">
        <v>18</v>
      </c>
      <c r="F39" s="28"/>
      <c r="G39" s="9">
        <v>888956.46</v>
      </c>
      <c r="H39" s="28"/>
      <c r="I39" s="9">
        <v>888956.46</v>
      </c>
      <c r="J39" s="28"/>
      <c r="K39" s="9">
        <v>0</v>
      </c>
      <c r="L39" s="28"/>
      <c r="M39" s="9" t="s">
        <v>18</v>
      </c>
      <c r="N39" s="28"/>
      <c r="O39" s="12" t="s">
        <v>234</v>
      </c>
      <c r="P39" s="28"/>
      <c r="Q39" s="12" t="s">
        <v>222</v>
      </c>
      <c r="R39" s="28"/>
      <c r="S39" s="12" t="s">
        <v>222</v>
      </c>
      <c r="T39" s="28"/>
      <c r="U39" s="21">
        <v>5.1000000000000004E-3</v>
      </c>
      <c r="V39" s="28"/>
      <c r="W39" s="19">
        <v>53</v>
      </c>
      <c r="X39" s="28"/>
      <c r="Y39" s="28" t="s">
        <v>111</v>
      </c>
    </row>
    <row r="40" spans="1:25" x14ac:dyDescent="0.2">
      <c r="A40" s="17" t="s">
        <v>250</v>
      </c>
      <c r="B40" s="28"/>
      <c r="C40" s="12" t="s">
        <v>18</v>
      </c>
      <c r="D40" s="28"/>
      <c r="E40" s="12" t="s">
        <v>18</v>
      </c>
      <c r="F40" s="28"/>
      <c r="G40" s="9">
        <v>385223.86</v>
      </c>
      <c r="H40" s="28"/>
      <c r="I40" s="9">
        <v>385223.86</v>
      </c>
      <c r="J40" s="28"/>
      <c r="K40" s="9">
        <v>0</v>
      </c>
      <c r="L40" s="28"/>
      <c r="M40" s="9" t="s">
        <v>18</v>
      </c>
      <c r="N40" s="28"/>
      <c r="O40" s="12" t="s">
        <v>234</v>
      </c>
      <c r="P40" s="28"/>
      <c r="Q40" s="12" t="s">
        <v>222</v>
      </c>
      <c r="R40" s="28"/>
      <c r="S40" s="12" t="s">
        <v>222</v>
      </c>
      <c r="T40" s="28"/>
      <c r="U40" s="21">
        <v>5.1000000000000004E-3</v>
      </c>
      <c r="V40" s="28"/>
      <c r="W40" s="19">
        <v>53</v>
      </c>
      <c r="X40" s="28"/>
      <c r="Y40" s="28" t="s">
        <v>113</v>
      </c>
    </row>
    <row r="41" spans="1:25" x14ac:dyDescent="0.2">
      <c r="A41" s="17" t="s">
        <v>251</v>
      </c>
      <c r="B41" s="28"/>
      <c r="C41" s="12" t="s">
        <v>18</v>
      </c>
      <c r="D41" s="28"/>
      <c r="E41" s="12" t="s">
        <v>18</v>
      </c>
      <c r="F41" s="28"/>
      <c r="G41" s="9">
        <v>15514.07</v>
      </c>
      <c r="H41" s="28"/>
      <c r="I41" s="9">
        <v>15514.07</v>
      </c>
      <c r="J41" s="28"/>
      <c r="K41" s="9">
        <v>0</v>
      </c>
      <c r="L41" s="28"/>
      <c r="M41" s="9" t="s">
        <v>18</v>
      </c>
      <c r="N41" s="28"/>
      <c r="O41" s="12" t="s">
        <v>234</v>
      </c>
      <c r="P41" s="28"/>
      <c r="Q41" s="12" t="s">
        <v>222</v>
      </c>
      <c r="R41" s="28"/>
      <c r="S41" s="12" t="s">
        <v>222</v>
      </c>
      <c r="T41" s="28"/>
      <c r="U41" s="21">
        <v>5.1000000000000004E-3</v>
      </c>
      <c r="V41" s="28"/>
      <c r="W41" s="19">
        <v>53</v>
      </c>
      <c r="X41" s="28"/>
      <c r="Y41" s="28" t="s">
        <v>115</v>
      </c>
    </row>
    <row r="42" spans="1:25" ht="15" thickBot="1" x14ac:dyDescent="0.25">
      <c r="A42" s="17" t="s">
        <v>252</v>
      </c>
      <c r="B42" s="28"/>
      <c r="C42" s="12" t="s">
        <v>18</v>
      </c>
      <c r="D42" s="28"/>
      <c r="E42" s="12" t="s">
        <v>18</v>
      </c>
      <c r="F42" s="28"/>
      <c r="G42" s="9">
        <v>45242.33</v>
      </c>
      <c r="H42" s="28"/>
      <c r="I42" s="9">
        <v>45242.33</v>
      </c>
      <c r="J42" s="28"/>
      <c r="K42" s="9">
        <v>0</v>
      </c>
      <c r="L42" s="28"/>
      <c r="M42" s="9" t="s">
        <v>18</v>
      </c>
      <c r="N42" s="28"/>
      <c r="O42" s="12" t="s">
        <v>234</v>
      </c>
      <c r="P42" s="28"/>
      <c r="Q42" s="12" t="s">
        <v>222</v>
      </c>
      <c r="R42" s="28"/>
      <c r="S42" s="12" t="s">
        <v>222</v>
      </c>
      <c r="T42" s="28"/>
      <c r="U42" s="21">
        <v>5.1000000000000004E-3</v>
      </c>
      <c r="V42" s="28"/>
      <c r="W42" s="19">
        <v>53</v>
      </c>
      <c r="X42" s="28"/>
      <c r="Y42" s="28" t="s">
        <v>116</v>
      </c>
    </row>
    <row r="43" spans="1:25" x14ac:dyDescent="0.2">
      <c r="A43" s="17" t="s">
        <v>253</v>
      </c>
      <c r="B43" s="28"/>
      <c r="C43" s="12" t="s">
        <v>18</v>
      </c>
      <c r="D43" s="28"/>
      <c r="E43" s="12" t="s">
        <v>18</v>
      </c>
      <c r="F43" s="28"/>
      <c r="G43" s="9">
        <v>39152171.07</v>
      </c>
      <c r="H43" s="28"/>
      <c r="I43" s="9">
        <v>39152171.07</v>
      </c>
      <c r="J43" s="28"/>
      <c r="K43" s="9">
        <v>0</v>
      </c>
      <c r="L43" s="28"/>
      <c r="M43" s="9" t="s">
        <v>18</v>
      </c>
      <c r="N43" s="28"/>
      <c r="O43" s="12" t="s">
        <v>234</v>
      </c>
      <c r="P43" s="28"/>
      <c r="Q43" s="12" t="s">
        <v>222</v>
      </c>
      <c r="R43" s="28"/>
      <c r="S43" s="12" t="s">
        <v>222</v>
      </c>
      <c r="T43" s="28"/>
      <c r="U43" s="21">
        <v>5.1000000000000004E-3</v>
      </c>
      <c r="V43" s="28"/>
      <c r="W43" s="19">
        <v>53</v>
      </c>
      <c r="X43" s="28"/>
      <c r="Y43" s="28" t="s">
        <v>117</v>
      </c>
    </row>
    <row r="44" spans="1:25" x14ac:dyDescent="0.2">
      <c r="A44" s="17" t="s">
        <v>254</v>
      </c>
      <c r="B44" s="28"/>
      <c r="C44" s="12" t="s">
        <v>18</v>
      </c>
      <c r="D44" s="28"/>
      <c r="E44" s="12" t="s">
        <v>18</v>
      </c>
      <c r="F44" s="28"/>
      <c r="G44" s="9">
        <v>310856.06</v>
      </c>
      <c r="H44" s="28"/>
      <c r="I44" s="9">
        <v>310856.06</v>
      </c>
      <c r="J44" s="28"/>
      <c r="K44" s="9">
        <v>0</v>
      </c>
      <c r="L44" s="28"/>
      <c r="M44" s="9" t="s">
        <v>18</v>
      </c>
      <c r="N44" s="28"/>
      <c r="O44" s="12" t="s">
        <v>234</v>
      </c>
      <c r="P44" s="28"/>
      <c r="Q44" s="12" t="s">
        <v>222</v>
      </c>
      <c r="R44" s="28"/>
      <c r="S44" s="12" t="s">
        <v>222</v>
      </c>
      <c r="T44" s="28"/>
      <c r="U44" s="21">
        <v>5.1000000000000004E-3</v>
      </c>
      <c r="V44" s="28"/>
      <c r="W44" s="19">
        <v>53</v>
      </c>
      <c r="X44" s="28"/>
      <c r="Y44" s="28" t="s">
        <v>119</v>
      </c>
    </row>
    <row r="45" spans="1:25" x14ac:dyDescent="0.2">
      <c r="A45" s="17" t="s">
        <v>255</v>
      </c>
      <c r="B45" s="28"/>
      <c r="C45" s="12" t="s">
        <v>18</v>
      </c>
      <c r="D45" s="28"/>
      <c r="E45" s="12" t="s">
        <v>18</v>
      </c>
      <c r="F45" s="28"/>
      <c r="G45" s="9">
        <v>101114.04</v>
      </c>
      <c r="H45" s="28"/>
      <c r="I45" s="9">
        <v>101114.04</v>
      </c>
      <c r="J45" s="28"/>
      <c r="K45" s="9">
        <v>0</v>
      </c>
      <c r="L45" s="28"/>
      <c r="M45" s="9" t="s">
        <v>18</v>
      </c>
      <c r="N45" s="28"/>
      <c r="O45" s="12" t="s">
        <v>234</v>
      </c>
      <c r="P45" s="28"/>
      <c r="Q45" s="12" t="s">
        <v>222</v>
      </c>
      <c r="R45" s="28"/>
      <c r="S45" s="12" t="s">
        <v>222</v>
      </c>
      <c r="T45" s="28"/>
      <c r="U45" s="21">
        <v>5.1000000000000004E-3</v>
      </c>
      <c r="V45" s="28"/>
      <c r="W45" s="19">
        <v>53</v>
      </c>
      <c r="X45" s="28"/>
      <c r="Y45" s="28" t="s">
        <v>121</v>
      </c>
    </row>
    <row r="46" spans="1:25" x14ac:dyDescent="0.2">
      <c r="A46" s="17" t="s">
        <v>256</v>
      </c>
      <c r="B46" s="28"/>
      <c r="C46" s="12" t="s">
        <v>18</v>
      </c>
      <c r="D46" s="28"/>
      <c r="E46" s="12" t="s">
        <v>18</v>
      </c>
      <c r="F46" s="28"/>
      <c r="G46" s="9">
        <v>12826602.42</v>
      </c>
      <c r="H46" s="28"/>
      <c r="I46" s="9">
        <v>12826602.42</v>
      </c>
      <c r="J46" s="28"/>
      <c r="K46" s="9">
        <v>0</v>
      </c>
      <c r="L46" s="28"/>
      <c r="M46" s="9" t="s">
        <v>18</v>
      </c>
      <c r="N46" s="28"/>
      <c r="O46" s="12" t="s">
        <v>234</v>
      </c>
      <c r="P46" s="28"/>
      <c r="Q46" s="12" t="s">
        <v>222</v>
      </c>
      <c r="R46" s="28"/>
      <c r="S46" s="12" t="s">
        <v>222</v>
      </c>
      <c r="T46" s="28"/>
      <c r="U46" s="21">
        <v>5.1000000000000004E-3</v>
      </c>
      <c r="V46" s="28"/>
      <c r="W46" s="19">
        <v>53</v>
      </c>
      <c r="X46" s="28"/>
      <c r="Y46" s="28" t="s">
        <v>123</v>
      </c>
    </row>
    <row r="47" spans="1:25" ht="15" thickBot="1" x14ac:dyDescent="0.25">
      <c r="A47" s="17" t="s">
        <v>257</v>
      </c>
      <c r="B47" s="28"/>
      <c r="C47" s="12" t="s">
        <v>18</v>
      </c>
      <c r="D47" s="28"/>
      <c r="E47" s="12" t="s">
        <v>18</v>
      </c>
      <c r="F47" s="28"/>
      <c r="G47" s="9">
        <v>80559191.150000006</v>
      </c>
      <c r="H47" s="28"/>
      <c r="I47" s="9">
        <v>80559191.150000006</v>
      </c>
      <c r="J47" s="28"/>
      <c r="K47" s="9">
        <v>0</v>
      </c>
      <c r="L47" s="28"/>
      <c r="M47" s="9" t="s">
        <v>18</v>
      </c>
      <c r="N47" s="28"/>
      <c r="O47" s="12" t="s">
        <v>234</v>
      </c>
      <c r="P47" s="28"/>
      <c r="Q47" s="12" t="s">
        <v>222</v>
      </c>
      <c r="R47" s="28"/>
      <c r="S47" s="12" t="s">
        <v>222</v>
      </c>
      <c r="T47" s="28"/>
      <c r="U47" s="21">
        <v>5.1000000000000004E-3</v>
      </c>
      <c r="V47" s="28"/>
      <c r="W47" s="19">
        <v>53</v>
      </c>
      <c r="X47" s="28"/>
      <c r="Y47" s="28" t="s">
        <v>125</v>
      </c>
    </row>
    <row r="48" spans="1:25" x14ac:dyDescent="0.2">
      <c r="A48" s="17" t="s">
        <v>258</v>
      </c>
      <c r="B48" s="28"/>
      <c r="C48" s="12" t="s">
        <v>18</v>
      </c>
      <c r="D48" s="28"/>
      <c r="E48" s="12" t="s">
        <v>18</v>
      </c>
      <c r="F48" s="28"/>
      <c r="G48" s="9">
        <v>1052907.2</v>
      </c>
      <c r="H48" s="28"/>
      <c r="I48" s="9">
        <v>1052907.2</v>
      </c>
      <c r="J48" s="28"/>
      <c r="K48" s="9">
        <v>0</v>
      </c>
      <c r="L48" s="28"/>
      <c r="M48" s="9" t="s">
        <v>18</v>
      </c>
      <c r="N48" s="28"/>
      <c r="O48" s="12" t="s">
        <v>234</v>
      </c>
      <c r="P48" s="28"/>
      <c r="Q48" s="12" t="s">
        <v>222</v>
      </c>
      <c r="R48" s="28"/>
      <c r="S48" s="12" t="s">
        <v>222</v>
      </c>
      <c r="T48" s="28"/>
      <c r="U48" s="21">
        <v>5.1000000000000004E-3</v>
      </c>
      <c r="V48" s="28"/>
      <c r="W48" s="19">
        <v>53</v>
      </c>
      <c r="X48" s="28"/>
      <c r="Y48" s="28" t="s">
        <v>127</v>
      </c>
    </row>
    <row r="49" spans="1:25" x14ac:dyDescent="0.2">
      <c r="A49" s="17" t="s">
        <v>259</v>
      </c>
      <c r="B49" s="28"/>
      <c r="C49" s="12" t="s">
        <v>18</v>
      </c>
      <c r="D49" s="28"/>
      <c r="E49" s="12" t="s">
        <v>18</v>
      </c>
      <c r="F49" s="28"/>
      <c r="G49" s="9">
        <v>284840.27</v>
      </c>
      <c r="H49" s="28"/>
      <c r="I49" s="9">
        <v>284840.27</v>
      </c>
      <c r="J49" s="28"/>
      <c r="K49" s="9">
        <v>0</v>
      </c>
      <c r="L49" s="28"/>
      <c r="M49" s="9" t="s">
        <v>18</v>
      </c>
      <c r="N49" s="28"/>
      <c r="O49" s="12" t="s">
        <v>234</v>
      </c>
      <c r="P49" s="28"/>
      <c r="Q49" s="12" t="s">
        <v>222</v>
      </c>
      <c r="R49" s="28"/>
      <c r="S49" s="12" t="s">
        <v>222</v>
      </c>
      <c r="T49" s="28"/>
      <c r="U49" s="21">
        <v>5.1000000000000004E-3</v>
      </c>
      <c r="V49" s="28"/>
      <c r="W49" s="19">
        <v>53</v>
      </c>
      <c r="X49" s="28"/>
      <c r="Y49" s="28" t="s">
        <v>129</v>
      </c>
    </row>
    <row r="50" spans="1:25" x14ac:dyDescent="0.2">
      <c r="A50" s="17" t="s">
        <v>260</v>
      </c>
      <c r="B50" s="28"/>
      <c r="C50" s="12" t="s">
        <v>18</v>
      </c>
      <c r="D50" s="28"/>
      <c r="E50" s="12" t="s">
        <v>18</v>
      </c>
      <c r="F50" s="28"/>
      <c r="G50" s="9">
        <v>5047854.04</v>
      </c>
      <c r="H50" s="28"/>
      <c r="I50" s="9">
        <v>5047854.04</v>
      </c>
      <c r="J50" s="28"/>
      <c r="K50" s="9">
        <v>0</v>
      </c>
      <c r="L50" s="28"/>
      <c r="M50" s="9" t="s">
        <v>18</v>
      </c>
      <c r="N50" s="28"/>
      <c r="O50" s="12" t="s">
        <v>234</v>
      </c>
      <c r="P50" s="28"/>
      <c r="Q50" s="12" t="s">
        <v>222</v>
      </c>
      <c r="R50" s="28"/>
      <c r="S50" s="12" t="s">
        <v>222</v>
      </c>
      <c r="T50" s="28"/>
      <c r="U50" s="21">
        <v>5.1000000000000004E-3</v>
      </c>
      <c r="V50" s="28"/>
      <c r="W50" s="19">
        <v>53</v>
      </c>
      <c r="X50" s="28"/>
      <c r="Y50" s="28" t="s">
        <v>131</v>
      </c>
    </row>
    <row r="51" spans="1:25" x14ac:dyDescent="0.2">
      <c r="A51" s="17" t="s">
        <v>261</v>
      </c>
      <c r="B51" s="28"/>
      <c r="C51" s="12" t="s">
        <v>18</v>
      </c>
      <c r="D51" s="28"/>
      <c r="E51" s="12" t="s">
        <v>18</v>
      </c>
      <c r="F51" s="28"/>
      <c r="G51" s="9">
        <v>661878.22</v>
      </c>
      <c r="H51" s="28"/>
      <c r="I51" s="9">
        <v>661878.22</v>
      </c>
      <c r="J51" s="28"/>
      <c r="K51" s="9">
        <v>0</v>
      </c>
      <c r="L51" s="28"/>
      <c r="M51" s="9" t="s">
        <v>18</v>
      </c>
      <c r="N51" s="28"/>
      <c r="O51" s="12" t="s">
        <v>234</v>
      </c>
      <c r="P51" s="28"/>
      <c r="Q51" s="12" t="s">
        <v>222</v>
      </c>
      <c r="R51" s="28"/>
      <c r="S51" s="12" t="s">
        <v>222</v>
      </c>
      <c r="T51" s="28"/>
      <c r="U51" s="21">
        <v>5.1000000000000004E-3</v>
      </c>
      <c r="V51" s="28"/>
      <c r="W51" s="19">
        <v>53</v>
      </c>
      <c r="X51" s="28"/>
      <c r="Y51" s="28" t="s">
        <v>133</v>
      </c>
    </row>
    <row r="52" spans="1:25" ht="15" thickBot="1" x14ac:dyDescent="0.25">
      <c r="A52" s="17" t="s">
        <v>262</v>
      </c>
      <c r="B52" s="28"/>
      <c r="C52" s="12" t="s">
        <v>18</v>
      </c>
      <c r="D52" s="28"/>
      <c r="E52" s="12" t="s">
        <v>18</v>
      </c>
      <c r="F52" s="28"/>
      <c r="G52" s="9">
        <v>172159.27</v>
      </c>
      <c r="H52" s="28"/>
      <c r="I52" s="9">
        <v>172159.27</v>
      </c>
      <c r="J52" s="28"/>
      <c r="K52" s="9">
        <v>0</v>
      </c>
      <c r="L52" s="28"/>
      <c r="M52" s="9" t="s">
        <v>18</v>
      </c>
      <c r="N52" s="28"/>
      <c r="O52" s="12" t="s">
        <v>234</v>
      </c>
      <c r="P52" s="28"/>
      <c r="Q52" s="12" t="s">
        <v>222</v>
      </c>
      <c r="R52" s="28"/>
      <c r="S52" s="12" t="s">
        <v>222</v>
      </c>
      <c r="T52" s="28"/>
      <c r="U52" s="21">
        <v>5.1000000000000004E-3</v>
      </c>
      <c r="V52" s="28"/>
      <c r="W52" s="19">
        <v>53</v>
      </c>
      <c r="X52" s="28"/>
      <c r="Y52" s="28" t="s">
        <v>139</v>
      </c>
    </row>
    <row r="53" spans="1:25" x14ac:dyDescent="0.2">
      <c r="A53" s="17" t="s">
        <v>263</v>
      </c>
      <c r="B53" s="28"/>
      <c r="C53" s="12" t="s">
        <v>18</v>
      </c>
      <c r="D53" s="28"/>
      <c r="E53" s="12" t="s">
        <v>18</v>
      </c>
      <c r="F53" s="28"/>
      <c r="G53" s="9">
        <v>22186242.129999999</v>
      </c>
      <c r="H53" s="28"/>
      <c r="I53" s="9">
        <v>22186242.129999999</v>
      </c>
      <c r="J53" s="28"/>
      <c r="K53" s="9">
        <v>0</v>
      </c>
      <c r="L53" s="28"/>
      <c r="M53" s="9" t="s">
        <v>18</v>
      </c>
      <c r="N53" s="28"/>
      <c r="O53" s="12" t="s">
        <v>234</v>
      </c>
      <c r="P53" s="28"/>
      <c r="Q53" s="12" t="s">
        <v>222</v>
      </c>
      <c r="R53" s="28"/>
      <c r="S53" s="12" t="s">
        <v>222</v>
      </c>
      <c r="T53" s="28"/>
      <c r="U53" s="21">
        <v>5.1000000000000004E-3</v>
      </c>
      <c r="V53" s="28"/>
      <c r="W53" s="19">
        <v>53</v>
      </c>
      <c r="X53" s="28"/>
      <c r="Y53" s="28" t="s">
        <v>137</v>
      </c>
    </row>
    <row r="54" spans="1:25" ht="15" thickBot="1" x14ac:dyDescent="0.25">
      <c r="A54" s="17" t="s">
        <v>263</v>
      </c>
      <c r="B54" s="28"/>
      <c r="C54" s="12" t="s">
        <v>18</v>
      </c>
      <c r="D54" s="28"/>
      <c r="E54" s="12" t="s">
        <v>18</v>
      </c>
      <c r="F54" s="28"/>
      <c r="G54" s="9">
        <v>30004854.43</v>
      </c>
      <c r="H54" s="28"/>
      <c r="I54" s="9">
        <v>30004854.43</v>
      </c>
      <c r="J54" s="28"/>
      <c r="K54" s="9">
        <v>0</v>
      </c>
      <c r="L54" s="28"/>
      <c r="M54" s="9" t="s">
        <v>18</v>
      </c>
      <c r="N54" s="28"/>
      <c r="O54" s="12" t="s">
        <v>234</v>
      </c>
      <c r="P54" s="28"/>
      <c r="Q54" s="12" t="s">
        <v>222</v>
      </c>
      <c r="R54" s="28"/>
      <c r="S54" s="12" t="s">
        <v>222</v>
      </c>
      <c r="T54" s="28"/>
      <c r="U54" s="21">
        <v>5.1000000000000004E-3</v>
      </c>
      <c r="V54" s="28"/>
      <c r="W54" s="19">
        <v>53</v>
      </c>
      <c r="X54" s="28"/>
      <c r="Y54" s="28" t="s">
        <v>136</v>
      </c>
    </row>
    <row r="55" spans="1:25" x14ac:dyDescent="0.2">
      <c r="A55" s="17" t="s">
        <v>263</v>
      </c>
      <c r="B55" s="28"/>
      <c r="C55" s="12" t="s">
        <v>18</v>
      </c>
      <c r="D55" s="28"/>
      <c r="E55" s="12" t="s">
        <v>18</v>
      </c>
      <c r="F55" s="28"/>
      <c r="G55" s="9">
        <v>1972791.11</v>
      </c>
      <c r="H55" s="28"/>
      <c r="I55" s="9">
        <v>1972791.11</v>
      </c>
      <c r="J55" s="28"/>
      <c r="K55" s="9">
        <v>0</v>
      </c>
      <c r="L55" s="28"/>
      <c r="M55" s="9" t="s">
        <v>18</v>
      </c>
      <c r="N55" s="28"/>
      <c r="O55" s="12" t="s">
        <v>234</v>
      </c>
      <c r="P55" s="28"/>
      <c r="Q55" s="12" t="s">
        <v>222</v>
      </c>
      <c r="R55" s="28"/>
      <c r="S55" s="12" t="s">
        <v>222</v>
      </c>
      <c r="T55" s="28"/>
      <c r="U55" s="21">
        <v>5.1000000000000004E-3</v>
      </c>
      <c r="V55" s="28"/>
      <c r="W55" s="19">
        <v>53</v>
      </c>
      <c r="X55" s="28"/>
      <c r="Y55" s="28" t="s">
        <v>135</v>
      </c>
    </row>
    <row r="56" spans="1:25" x14ac:dyDescent="0.2">
      <c r="A56" s="17" t="s">
        <v>143</v>
      </c>
      <c r="B56" s="28"/>
      <c r="C56" s="12" t="s">
        <v>18</v>
      </c>
      <c r="D56" s="28"/>
      <c r="E56" s="12" t="s">
        <v>18</v>
      </c>
      <c r="F56" s="28"/>
      <c r="G56" s="9">
        <v>1312579.02</v>
      </c>
      <c r="H56" s="28"/>
      <c r="I56" s="9">
        <v>1312579.02</v>
      </c>
      <c r="J56" s="28"/>
      <c r="K56" s="9">
        <v>0</v>
      </c>
      <c r="L56" s="28"/>
      <c r="M56" s="9" t="s">
        <v>18</v>
      </c>
      <c r="N56" s="28"/>
      <c r="O56" s="12" t="s">
        <v>222</v>
      </c>
      <c r="P56" s="28"/>
      <c r="Q56" s="12" t="s">
        <v>222</v>
      </c>
      <c r="R56" s="28"/>
      <c r="S56" s="12" t="s">
        <v>222</v>
      </c>
      <c r="T56" s="28"/>
      <c r="U56" s="21">
        <v>1E-4</v>
      </c>
      <c r="V56" s="28"/>
      <c r="W56" s="19">
        <v>1</v>
      </c>
      <c r="X56" s="28"/>
      <c r="Y56" s="28" t="s">
        <v>144</v>
      </c>
    </row>
    <row r="57" spans="1:25" x14ac:dyDescent="0.2">
      <c r="A57" s="17" t="s">
        <v>145</v>
      </c>
      <c r="B57" s="28"/>
      <c r="C57" s="12" t="s">
        <v>18</v>
      </c>
      <c r="D57" s="28"/>
      <c r="E57" s="12" t="s">
        <v>18</v>
      </c>
      <c r="F57" s="28"/>
      <c r="G57" s="9">
        <v>60432.19</v>
      </c>
      <c r="H57" s="28"/>
      <c r="I57" s="9">
        <v>60432.19</v>
      </c>
      <c r="J57" s="28"/>
      <c r="K57" s="9">
        <v>0</v>
      </c>
      <c r="L57" s="28"/>
      <c r="M57" s="9" t="s">
        <v>18</v>
      </c>
      <c r="N57" s="28"/>
      <c r="O57" s="12" t="s">
        <v>222</v>
      </c>
      <c r="P57" s="28"/>
      <c r="Q57" s="12" t="s">
        <v>222</v>
      </c>
      <c r="R57" s="28"/>
      <c r="S57" s="12" t="s">
        <v>222</v>
      </c>
      <c r="T57" s="28"/>
      <c r="U57" s="21">
        <v>1E-4</v>
      </c>
      <c r="V57" s="28"/>
      <c r="W57" s="19">
        <v>1</v>
      </c>
      <c r="X57" s="28"/>
      <c r="Y57" s="28" t="s">
        <v>146</v>
      </c>
    </row>
    <row r="58" spans="1:25" x14ac:dyDescent="0.2">
      <c r="A58" s="17" t="s">
        <v>147</v>
      </c>
      <c r="B58" s="28"/>
      <c r="C58" s="12" t="s">
        <v>18</v>
      </c>
      <c r="D58" s="28"/>
      <c r="E58" s="12" t="s">
        <v>18</v>
      </c>
      <c r="F58" s="28"/>
      <c r="G58" s="9">
        <v>4539.67</v>
      </c>
      <c r="H58" s="28"/>
      <c r="I58" s="9">
        <v>4539.67</v>
      </c>
      <c r="J58" s="28"/>
      <c r="K58" s="9">
        <v>0</v>
      </c>
      <c r="L58" s="28"/>
      <c r="M58" s="9" t="s">
        <v>18</v>
      </c>
      <c r="N58" s="28"/>
      <c r="O58" s="12" t="s">
        <v>222</v>
      </c>
      <c r="P58" s="28"/>
      <c r="Q58" s="12" t="s">
        <v>222</v>
      </c>
      <c r="R58" s="28"/>
      <c r="S58" s="12" t="s">
        <v>222</v>
      </c>
      <c r="T58" s="28"/>
      <c r="U58" s="21">
        <v>1E-4</v>
      </c>
      <c r="V58" s="28"/>
      <c r="W58" s="19">
        <v>1</v>
      </c>
      <c r="X58" s="28"/>
      <c r="Y58" s="28" t="s">
        <v>148</v>
      </c>
    </row>
    <row r="59" spans="1:25" x14ac:dyDescent="0.2">
      <c r="A59" s="17" t="s">
        <v>149</v>
      </c>
      <c r="B59" s="28"/>
      <c r="C59" s="12" t="s">
        <v>18</v>
      </c>
      <c r="D59" s="28"/>
      <c r="E59" s="12" t="s">
        <v>18</v>
      </c>
      <c r="F59" s="28"/>
      <c r="G59" s="9">
        <v>0.43</v>
      </c>
      <c r="H59" s="28"/>
      <c r="I59" s="9">
        <v>0.43</v>
      </c>
      <c r="J59" s="28"/>
      <c r="K59" s="9">
        <v>0</v>
      </c>
      <c r="L59" s="28"/>
      <c r="M59" s="9" t="s">
        <v>18</v>
      </c>
      <c r="N59" s="28"/>
      <c r="O59" s="12" t="s">
        <v>222</v>
      </c>
      <c r="P59" s="28"/>
      <c r="Q59" s="12" t="s">
        <v>222</v>
      </c>
      <c r="R59" s="28"/>
      <c r="S59" s="12" t="s">
        <v>222</v>
      </c>
      <c r="T59" s="28"/>
      <c r="U59" s="21" t="s">
        <v>18</v>
      </c>
      <c r="V59" s="28"/>
      <c r="W59" s="19">
        <v>1</v>
      </c>
      <c r="X59" s="28"/>
      <c r="Y59" s="28" t="s">
        <v>150</v>
      </c>
    </row>
    <row r="60" spans="1:25" x14ac:dyDescent="0.2">
      <c r="A60" s="17" t="s">
        <v>151</v>
      </c>
      <c r="B60" s="28"/>
      <c r="C60" s="12" t="s">
        <v>18</v>
      </c>
      <c r="D60" s="28"/>
      <c r="E60" s="12" t="s">
        <v>18</v>
      </c>
      <c r="F60" s="28"/>
      <c r="G60" s="9">
        <v>3404362.72</v>
      </c>
      <c r="H60" s="28"/>
      <c r="I60" s="9">
        <v>3404362.72</v>
      </c>
      <c r="J60" s="28"/>
      <c r="K60" s="9">
        <v>0</v>
      </c>
      <c r="L60" s="28"/>
      <c r="M60" s="9" t="s">
        <v>18</v>
      </c>
      <c r="N60" s="28"/>
      <c r="O60" s="12" t="s">
        <v>222</v>
      </c>
      <c r="P60" s="28"/>
      <c r="Q60" s="12" t="s">
        <v>222</v>
      </c>
      <c r="R60" s="28"/>
      <c r="S60" s="12" t="s">
        <v>222</v>
      </c>
      <c r="T60" s="28"/>
      <c r="U60" s="21">
        <v>1E-4</v>
      </c>
      <c r="V60" s="28"/>
      <c r="W60" s="19">
        <v>1</v>
      </c>
      <c r="X60" s="28"/>
      <c r="Y60" s="28" t="s">
        <v>152</v>
      </c>
    </row>
    <row r="61" spans="1:25" x14ac:dyDescent="0.2">
      <c r="A61" s="17" t="s">
        <v>153</v>
      </c>
      <c r="B61" s="28"/>
      <c r="C61" s="12" t="s">
        <v>18</v>
      </c>
      <c r="D61" s="28"/>
      <c r="E61" s="12" t="s">
        <v>18</v>
      </c>
      <c r="F61" s="28"/>
      <c r="G61" s="9">
        <v>0.24</v>
      </c>
      <c r="H61" s="28"/>
      <c r="I61" s="9">
        <v>0.24</v>
      </c>
      <c r="J61" s="28"/>
      <c r="K61" s="9">
        <v>0</v>
      </c>
      <c r="L61" s="28"/>
      <c r="M61" s="9" t="s">
        <v>18</v>
      </c>
      <c r="N61" s="28"/>
      <c r="O61" s="12" t="s">
        <v>222</v>
      </c>
      <c r="P61" s="28"/>
      <c r="Q61" s="12" t="s">
        <v>222</v>
      </c>
      <c r="R61" s="28"/>
      <c r="S61" s="12" t="s">
        <v>222</v>
      </c>
      <c r="T61" s="28"/>
      <c r="U61" s="21" t="s">
        <v>18</v>
      </c>
      <c r="V61" s="28"/>
      <c r="W61" s="19">
        <v>1</v>
      </c>
      <c r="X61" s="28"/>
      <c r="Y61" s="28" t="s">
        <v>154</v>
      </c>
    </row>
    <row r="62" spans="1:25" x14ac:dyDescent="0.2">
      <c r="A62" s="17" t="s">
        <v>155</v>
      </c>
      <c r="B62" s="28"/>
      <c r="C62" s="12" t="s">
        <v>18</v>
      </c>
      <c r="D62" s="28"/>
      <c r="E62" s="12" t="s">
        <v>18</v>
      </c>
      <c r="F62" s="28"/>
      <c r="G62" s="9">
        <v>22999.16</v>
      </c>
      <c r="H62" s="28"/>
      <c r="I62" s="9">
        <v>22999.16</v>
      </c>
      <c r="J62" s="28"/>
      <c r="K62" s="9">
        <v>0</v>
      </c>
      <c r="L62" s="28"/>
      <c r="M62" s="9" t="s">
        <v>18</v>
      </c>
      <c r="N62" s="28"/>
      <c r="O62" s="12" t="s">
        <v>222</v>
      </c>
      <c r="P62" s="28"/>
      <c r="Q62" s="12" t="s">
        <v>222</v>
      </c>
      <c r="R62" s="28"/>
      <c r="S62" s="12" t="s">
        <v>222</v>
      </c>
      <c r="T62" s="28"/>
      <c r="U62" s="21">
        <v>1E-4</v>
      </c>
      <c r="V62" s="28"/>
      <c r="W62" s="19">
        <v>1</v>
      </c>
      <c r="X62" s="28"/>
      <c r="Y62" s="28" t="s">
        <v>156</v>
      </c>
    </row>
    <row r="63" spans="1:25" x14ac:dyDescent="0.2">
      <c r="A63" s="17" t="s">
        <v>157</v>
      </c>
      <c r="B63" s="28"/>
      <c r="C63" s="12" t="s">
        <v>18</v>
      </c>
      <c r="D63" s="28"/>
      <c r="E63" s="12" t="s">
        <v>18</v>
      </c>
      <c r="F63" s="28"/>
      <c r="G63" s="9">
        <v>5674.15</v>
      </c>
      <c r="H63" s="28"/>
      <c r="I63" s="9">
        <v>5674.15</v>
      </c>
      <c r="J63" s="28"/>
      <c r="K63" s="9">
        <v>0</v>
      </c>
      <c r="L63" s="28"/>
      <c r="M63" s="9" t="s">
        <v>18</v>
      </c>
      <c r="N63" s="28"/>
      <c r="O63" s="12" t="s">
        <v>222</v>
      </c>
      <c r="P63" s="28"/>
      <c r="Q63" s="12" t="s">
        <v>222</v>
      </c>
      <c r="R63" s="28"/>
      <c r="S63" s="12" t="s">
        <v>222</v>
      </c>
      <c r="T63" s="28"/>
      <c r="U63" s="21">
        <v>1E-4</v>
      </c>
      <c r="V63" s="28"/>
      <c r="W63" s="19">
        <v>1</v>
      </c>
      <c r="X63" s="28"/>
      <c r="Y63" s="28" t="s">
        <v>158</v>
      </c>
    </row>
    <row r="64" spans="1:25" x14ac:dyDescent="0.2">
      <c r="A64" s="17" t="s">
        <v>159</v>
      </c>
      <c r="B64" s="28"/>
      <c r="C64" s="12" t="s">
        <v>18</v>
      </c>
      <c r="D64" s="28"/>
      <c r="E64" s="12" t="s">
        <v>18</v>
      </c>
      <c r="F64" s="28"/>
      <c r="G64" s="9">
        <v>1622672.95</v>
      </c>
      <c r="H64" s="28"/>
      <c r="I64" s="9">
        <v>1622672.95</v>
      </c>
      <c r="J64" s="28"/>
      <c r="K64" s="9">
        <v>0</v>
      </c>
      <c r="L64" s="28"/>
      <c r="M64" s="9" t="s">
        <v>18</v>
      </c>
      <c r="N64" s="28"/>
      <c r="O64" s="12" t="s">
        <v>222</v>
      </c>
      <c r="P64" s="28"/>
      <c r="Q64" s="12" t="s">
        <v>222</v>
      </c>
      <c r="R64" s="28"/>
      <c r="S64" s="12" t="s">
        <v>222</v>
      </c>
      <c r="T64" s="28"/>
      <c r="U64" s="21">
        <v>1E-4</v>
      </c>
      <c r="V64" s="28"/>
      <c r="W64" s="19">
        <v>1</v>
      </c>
      <c r="X64" s="28"/>
      <c r="Y64" s="28" t="s">
        <v>160</v>
      </c>
    </row>
    <row r="65" spans="1:25" x14ac:dyDescent="0.2">
      <c r="A65" s="17" t="s">
        <v>161</v>
      </c>
      <c r="B65" s="28"/>
      <c r="C65" s="12" t="s">
        <v>18</v>
      </c>
      <c r="D65" s="28"/>
      <c r="E65" s="12" t="s">
        <v>18</v>
      </c>
      <c r="F65" s="28"/>
      <c r="G65" s="9">
        <v>236971.11</v>
      </c>
      <c r="H65" s="28"/>
      <c r="I65" s="9">
        <v>236971.11</v>
      </c>
      <c r="J65" s="28"/>
      <c r="K65" s="9">
        <v>0</v>
      </c>
      <c r="L65" s="28"/>
      <c r="M65" s="9" t="s">
        <v>18</v>
      </c>
      <c r="N65" s="28"/>
      <c r="O65" s="12" t="s">
        <v>222</v>
      </c>
      <c r="P65" s="28"/>
      <c r="Q65" s="12" t="s">
        <v>222</v>
      </c>
      <c r="R65" s="28"/>
      <c r="S65" s="12" t="s">
        <v>222</v>
      </c>
      <c r="T65" s="28"/>
      <c r="U65" s="21">
        <v>1E-4</v>
      </c>
      <c r="V65" s="28"/>
      <c r="W65" s="19">
        <v>1</v>
      </c>
      <c r="X65" s="28"/>
      <c r="Y65" s="28" t="s">
        <v>162</v>
      </c>
    </row>
    <row r="66" spans="1:25" x14ac:dyDescent="0.2">
      <c r="A66" s="17" t="s">
        <v>163</v>
      </c>
      <c r="B66" s="28"/>
      <c r="C66" s="12" t="s">
        <v>18</v>
      </c>
      <c r="D66" s="28"/>
      <c r="E66" s="12" t="s">
        <v>18</v>
      </c>
      <c r="F66" s="28"/>
      <c r="G66" s="9">
        <v>3.48</v>
      </c>
      <c r="H66" s="28"/>
      <c r="I66" s="9">
        <v>3.48</v>
      </c>
      <c r="J66" s="28"/>
      <c r="K66" s="9">
        <v>0</v>
      </c>
      <c r="L66" s="28"/>
      <c r="M66" s="9" t="s">
        <v>18</v>
      </c>
      <c r="N66" s="28"/>
      <c r="O66" s="12" t="s">
        <v>222</v>
      </c>
      <c r="P66" s="28"/>
      <c r="Q66" s="12" t="s">
        <v>222</v>
      </c>
      <c r="R66" s="28"/>
      <c r="S66" s="12" t="s">
        <v>222</v>
      </c>
      <c r="T66" s="28"/>
      <c r="U66" s="21" t="s">
        <v>18</v>
      </c>
      <c r="V66" s="28"/>
      <c r="W66" s="19">
        <v>1</v>
      </c>
      <c r="X66" s="28"/>
      <c r="Y66" s="28" t="s">
        <v>164</v>
      </c>
    </row>
    <row r="67" spans="1:25" x14ac:dyDescent="0.2">
      <c r="A67" s="17" t="s">
        <v>165</v>
      </c>
      <c r="B67" s="28"/>
      <c r="C67" s="12" t="s">
        <v>18</v>
      </c>
      <c r="D67" s="28"/>
      <c r="E67" s="12" t="s">
        <v>18</v>
      </c>
      <c r="F67" s="28"/>
      <c r="G67" s="9">
        <v>318266.40999999997</v>
      </c>
      <c r="H67" s="28"/>
      <c r="I67" s="9">
        <v>318266.40999999997</v>
      </c>
      <c r="J67" s="28"/>
      <c r="K67" s="9">
        <v>0</v>
      </c>
      <c r="L67" s="28"/>
      <c r="M67" s="9" t="s">
        <v>18</v>
      </c>
      <c r="N67" s="28"/>
      <c r="O67" s="12" t="s">
        <v>222</v>
      </c>
      <c r="P67" s="28"/>
      <c r="Q67" s="12" t="s">
        <v>222</v>
      </c>
      <c r="R67" s="28"/>
      <c r="S67" s="12" t="s">
        <v>222</v>
      </c>
      <c r="T67" s="28"/>
      <c r="U67" s="21">
        <v>1E-4</v>
      </c>
      <c r="V67" s="28"/>
      <c r="W67" s="19">
        <v>1</v>
      </c>
      <c r="X67" s="28"/>
      <c r="Y67" s="28" t="s">
        <v>166</v>
      </c>
    </row>
    <row r="68" spans="1:25" x14ac:dyDescent="0.2">
      <c r="A68" s="17" t="s">
        <v>167</v>
      </c>
      <c r="B68" s="28"/>
      <c r="C68" s="12" t="s">
        <v>18</v>
      </c>
      <c r="D68" s="28"/>
      <c r="E68" s="12" t="s">
        <v>18</v>
      </c>
      <c r="F68" s="28"/>
      <c r="G68" s="9">
        <v>4759059.71</v>
      </c>
      <c r="H68" s="28"/>
      <c r="I68" s="9">
        <v>4759059.71</v>
      </c>
      <c r="J68" s="28"/>
      <c r="K68" s="9">
        <v>0</v>
      </c>
      <c r="L68" s="28"/>
      <c r="M68" s="9" t="s">
        <v>18</v>
      </c>
      <c r="N68" s="28"/>
      <c r="O68" s="12" t="s">
        <v>222</v>
      </c>
      <c r="P68" s="28"/>
      <c r="Q68" s="12" t="s">
        <v>222</v>
      </c>
      <c r="R68" s="28"/>
      <c r="S68" s="12" t="s">
        <v>222</v>
      </c>
      <c r="T68" s="28"/>
      <c r="U68" s="21">
        <v>1E-4</v>
      </c>
      <c r="V68" s="28"/>
      <c r="W68" s="19">
        <v>1</v>
      </c>
      <c r="X68" s="28"/>
      <c r="Y68" s="28" t="s">
        <v>168</v>
      </c>
    </row>
    <row r="69" spans="1:25" x14ac:dyDescent="0.2">
      <c r="A69" s="17" t="s">
        <v>169</v>
      </c>
      <c r="B69" s="28"/>
      <c r="C69" s="12" t="s">
        <v>18</v>
      </c>
      <c r="D69" s="28"/>
      <c r="E69" s="12" t="s">
        <v>18</v>
      </c>
      <c r="F69" s="28"/>
      <c r="G69" s="9">
        <v>4561516.5</v>
      </c>
      <c r="H69" s="28"/>
      <c r="I69" s="9">
        <v>4561516.5</v>
      </c>
      <c r="J69" s="28"/>
      <c r="K69" s="9">
        <v>0</v>
      </c>
      <c r="L69" s="28"/>
      <c r="M69" s="9" t="s">
        <v>18</v>
      </c>
      <c r="N69" s="28"/>
      <c r="O69" s="12" t="s">
        <v>222</v>
      </c>
      <c r="P69" s="28"/>
      <c r="Q69" s="12" t="s">
        <v>222</v>
      </c>
      <c r="R69" s="28"/>
      <c r="S69" s="12" t="s">
        <v>222</v>
      </c>
      <c r="T69" s="28"/>
      <c r="U69" s="21">
        <v>1E-4</v>
      </c>
      <c r="V69" s="28"/>
      <c r="W69" s="19">
        <v>1</v>
      </c>
      <c r="X69" s="28"/>
      <c r="Y69" s="28" t="s">
        <v>170</v>
      </c>
    </row>
    <row r="70" spans="1:25" x14ac:dyDescent="0.2">
      <c r="A70" s="17" t="s">
        <v>171</v>
      </c>
      <c r="B70" s="28"/>
      <c r="C70" s="12" t="s">
        <v>18</v>
      </c>
      <c r="D70" s="28"/>
      <c r="E70" s="12" t="s">
        <v>18</v>
      </c>
      <c r="F70" s="28"/>
      <c r="G70" s="9">
        <v>13824993.560000001</v>
      </c>
      <c r="H70" s="28"/>
      <c r="I70" s="9">
        <v>13824993.560000001</v>
      </c>
      <c r="J70" s="28"/>
      <c r="K70" s="9">
        <v>0</v>
      </c>
      <c r="L70" s="28"/>
      <c r="M70" s="9" t="s">
        <v>18</v>
      </c>
      <c r="N70" s="28"/>
      <c r="O70" s="12" t="s">
        <v>222</v>
      </c>
      <c r="P70" s="28"/>
      <c r="Q70" s="12" t="s">
        <v>222</v>
      </c>
      <c r="R70" s="28"/>
      <c r="S70" s="12" t="s">
        <v>222</v>
      </c>
      <c r="T70" s="28"/>
      <c r="U70" s="21">
        <v>1E-4</v>
      </c>
      <c r="V70" s="28"/>
      <c r="W70" s="19">
        <v>1</v>
      </c>
      <c r="X70" s="28"/>
      <c r="Y70" s="28" t="s">
        <v>172</v>
      </c>
    </row>
    <row r="71" spans="1:25" x14ac:dyDescent="0.2">
      <c r="A71" s="17" t="s">
        <v>173</v>
      </c>
      <c r="B71" s="28"/>
      <c r="C71" s="12" t="s">
        <v>18</v>
      </c>
      <c r="D71" s="28"/>
      <c r="E71" s="12" t="s">
        <v>18</v>
      </c>
      <c r="F71" s="28"/>
      <c r="G71" s="9">
        <v>2031717.18</v>
      </c>
      <c r="H71" s="28"/>
      <c r="I71" s="9">
        <v>2031717.18</v>
      </c>
      <c r="J71" s="28"/>
      <c r="K71" s="9">
        <v>0</v>
      </c>
      <c r="L71" s="28"/>
      <c r="M71" s="9" t="s">
        <v>18</v>
      </c>
      <c r="N71" s="28"/>
      <c r="O71" s="12" t="s">
        <v>222</v>
      </c>
      <c r="P71" s="28"/>
      <c r="Q71" s="12" t="s">
        <v>222</v>
      </c>
      <c r="R71" s="28"/>
      <c r="S71" s="12" t="s">
        <v>222</v>
      </c>
      <c r="T71" s="28"/>
      <c r="U71" s="21">
        <v>1E-4</v>
      </c>
      <c r="V71" s="28"/>
      <c r="W71" s="19">
        <v>1</v>
      </c>
      <c r="X71" s="28"/>
      <c r="Y71" s="28" t="s">
        <v>174</v>
      </c>
    </row>
    <row r="72" spans="1:25" x14ac:dyDescent="0.2">
      <c r="A72" s="17" t="s">
        <v>264</v>
      </c>
      <c r="B72" s="28"/>
      <c r="C72" s="12" t="s">
        <v>18</v>
      </c>
      <c r="D72" s="28"/>
      <c r="E72" s="12" t="s">
        <v>18</v>
      </c>
      <c r="F72" s="28"/>
      <c r="G72" s="9">
        <v>2617063.0299999998</v>
      </c>
      <c r="H72" s="28"/>
      <c r="I72" s="9">
        <v>2617063.0299999998</v>
      </c>
      <c r="J72" s="28"/>
      <c r="K72" s="9">
        <v>0</v>
      </c>
      <c r="L72" s="28"/>
      <c r="M72" s="9" t="s">
        <v>18</v>
      </c>
      <c r="N72" s="28"/>
      <c r="O72" s="12" t="s">
        <v>222</v>
      </c>
      <c r="P72" s="28"/>
      <c r="Q72" s="12" t="s">
        <v>222</v>
      </c>
      <c r="R72" s="28"/>
      <c r="S72" s="12" t="s">
        <v>265</v>
      </c>
      <c r="T72" s="28"/>
      <c r="U72" s="21">
        <v>1.5599999999999999E-2</v>
      </c>
      <c r="V72" s="28"/>
      <c r="W72" s="19">
        <v>556</v>
      </c>
      <c r="X72" s="28"/>
      <c r="Y72" s="28" t="s">
        <v>185</v>
      </c>
    </row>
    <row r="73" spans="1:25" x14ac:dyDescent="0.2">
      <c r="A73" s="17" t="s">
        <v>266</v>
      </c>
      <c r="B73" s="28"/>
      <c r="C73" s="12" t="s">
        <v>18</v>
      </c>
      <c r="D73" s="28"/>
      <c r="E73" s="12" t="s">
        <v>18</v>
      </c>
      <c r="F73" s="28"/>
      <c r="G73" s="9">
        <v>78565239.349999994</v>
      </c>
      <c r="H73" s="28"/>
      <c r="I73" s="9">
        <v>78565239.349999994</v>
      </c>
      <c r="J73" s="28"/>
      <c r="K73" s="9">
        <v>0</v>
      </c>
      <c r="L73" s="28"/>
      <c r="M73" s="9" t="s">
        <v>18</v>
      </c>
      <c r="N73" s="28"/>
      <c r="O73" s="12" t="s">
        <v>222</v>
      </c>
      <c r="P73" s="28"/>
      <c r="Q73" s="12" t="s">
        <v>222</v>
      </c>
      <c r="R73" s="28"/>
      <c r="S73" s="12" t="s">
        <v>265</v>
      </c>
      <c r="T73" s="28"/>
      <c r="U73" s="21">
        <v>1.5599999999999999E-2</v>
      </c>
      <c r="V73" s="28"/>
      <c r="W73" s="19">
        <v>556</v>
      </c>
      <c r="X73" s="28"/>
      <c r="Y73" s="28" t="s">
        <v>187</v>
      </c>
    </row>
    <row r="74" spans="1:25" x14ac:dyDescent="0.2">
      <c r="A74" s="17" t="s">
        <v>267</v>
      </c>
      <c r="B74" s="28"/>
      <c r="C74" s="12" t="s">
        <v>18</v>
      </c>
      <c r="D74" s="28"/>
      <c r="E74" s="12" t="s">
        <v>18</v>
      </c>
      <c r="F74" s="28"/>
      <c r="G74" s="9">
        <v>61343579.43</v>
      </c>
      <c r="H74" s="28"/>
      <c r="I74" s="9">
        <v>61343579.43</v>
      </c>
      <c r="J74" s="28"/>
      <c r="K74" s="9">
        <v>0</v>
      </c>
      <c r="L74" s="28"/>
      <c r="M74" s="9" t="s">
        <v>18</v>
      </c>
      <c r="N74" s="28"/>
      <c r="O74" s="12" t="s">
        <v>222</v>
      </c>
      <c r="P74" s="28"/>
      <c r="Q74" s="12" t="s">
        <v>222</v>
      </c>
      <c r="R74" s="28"/>
      <c r="S74" s="12" t="s">
        <v>265</v>
      </c>
      <c r="T74" s="28"/>
      <c r="U74" s="21">
        <v>1.5599999999999999E-2</v>
      </c>
      <c r="V74" s="28"/>
      <c r="W74" s="19">
        <v>556</v>
      </c>
      <c r="X74" s="28"/>
      <c r="Y74" s="28" t="s">
        <v>189</v>
      </c>
    </row>
    <row r="75" spans="1:25" x14ac:dyDescent="0.2">
      <c r="A75" s="17" t="s">
        <v>268</v>
      </c>
      <c r="B75" s="28"/>
      <c r="C75" s="12" t="s">
        <v>18</v>
      </c>
      <c r="D75" s="28"/>
      <c r="E75" s="12" t="s">
        <v>18</v>
      </c>
      <c r="F75" s="28"/>
      <c r="G75" s="9">
        <v>35037844.859999999</v>
      </c>
      <c r="H75" s="28"/>
      <c r="I75" s="9">
        <v>35037844.859999999</v>
      </c>
      <c r="J75" s="28"/>
      <c r="K75" s="9">
        <v>0</v>
      </c>
      <c r="L75" s="28"/>
      <c r="M75" s="9" t="s">
        <v>18</v>
      </c>
      <c r="N75" s="28"/>
      <c r="O75" s="12" t="s">
        <v>222</v>
      </c>
      <c r="P75" s="28"/>
      <c r="Q75" s="12" t="s">
        <v>222</v>
      </c>
      <c r="R75" s="28"/>
      <c r="S75" s="12" t="s">
        <v>265</v>
      </c>
      <c r="T75" s="28"/>
      <c r="U75" s="21">
        <v>1.5599999999999999E-2</v>
      </c>
      <c r="V75" s="28"/>
      <c r="W75" s="19">
        <v>556</v>
      </c>
      <c r="X75" s="28"/>
      <c r="Y75" s="28" t="s">
        <v>190</v>
      </c>
    </row>
    <row r="76" spans="1:25" x14ac:dyDescent="0.2">
      <c r="A76" s="17" t="s">
        <v>269</v>
      </c>
      <c r="B76" s="28"/>
      <c r="C76" s="12" t="s">
        <v>18</v>
      </c>
      <c r="D76" s="28"/>
      <c r="E76" s="12" t="s">
        <v>18</v>
      </c>
      <c r="F76" s="28"/>
      <c r="G76" s="9">
        <v>8915408.6699999999</v>
      </c>
      <c r="H76" s="28"/>
      <c r="I76" s="9">
        <v>8915408.6699999999</v>
      </c>
      <c r="J76" s="28"/>
      <c r="K76" s="9">
        <v>0</v>
      </c>
      <c r="L76" s="28"/>
      <c r="M76" s="9" t="s">
        <v>18</v>
      </c>
      <c r="N76" s="28"/>
      <c r="O76" s="12" t="s">
        <v>222</v>
      </c>
      <c r="P76" s="28"/>
      <c r="Q76" s="12" t="s">
        <v>222</v>
      </c>
      <c r="R76" s="28"/>
      <c r="S76" s="12" t="s">
        <v>265</v>
      </c>
      <c r="T76" s="28"/>
      <c r="U76" s="21">
        <v>1.5599999999999999E-2</v>
      </c>
      <c r="V76" s="28"/>
      <c r="W76" s="19">
        <v>556</v>
      </c>
      <c r="X76" s="28"/>
      <c r="Y76" s="28" t="s">
        <v>192</v>
      </c>
    </row>
    <row r="77" spans="1:25" x14ac:dyDescent="0.2">
      <c r="A77" s="17" t="s">
        <v>270</v>
      </c>
      <c r="B77" s="28"/>
      <c r="C77" s="12" t="s">
        <v>18</v>
      </c>
      <c r="D77" s="28"/>
      <c r="E77" s="12" t="s">
        <v>18</v>
      </c>
      <c r="F77" s="28"/>
      <c r="G77" s="9">
        <v>180266.17</v>
      </c>
      <c r="H77" s="28"/>
      <c r="I77" s="9">
        <v>180266.17</v>
      </c>
      <c r="J77" s="28"/>
      <c r="K77" s="9">
        <v>0</v>
      </c>
      <c r="L77" s="28"/>
      <c r="M77" s="9" t="s">
        <v>18</v>
      </c>
      <c r="N77" s="28"/>
      <c r="O77" s="12" t="s">
        <v>222</v>
      </c>
      <c r="P77" s="28"/>
      <c r="Q77" s="12" t="s">
        <v>222</v>
      </c>
      <c r="R77" s="28"/>
      <c r="S77" s="12" t="s">
        <v>265</v>
      </c>
      <c r="T77" s="28"/>
      <c r="U77" s="21">
        <v>1.5599999999999999E-2</v>
      </c>
      <c r="V77" s="28"/>
      <c r="W77" s="19">
        <v>556</v>
      </c>
      <c r="X77" s="28"/>
      <c r="Y77" s="28" t="s">
        <v>194</v>
      </c>
    </row>
    <row r="78" spans="1:25" x14ac:dyDescent="0.2">
      <c r="A78" s="17" t="s">
        <v>271</v>
      </c>
      <c r="B78" s="28"/>
      <c r="C78" s="12" t="s">
        <v>18</v>
      </c>
      <c r="D78" s="28"/>
      <c r="E78" s="12" t="s">
        <v>18</v>
      </c>
      <c r="F78" s="28"/>
      <c r="G78" s="9">
        <v>60280128.140000001</v>
      </c>
      <c r="H78" s="28"/>
      <c r="I78" s="9">
        <v>60280128.140000001</v>
      </c>
      <c r="J78" s="28"/>
      <c r="K78" s="9">
        <v>0</v>
      </c>
      <c r="L78" s="28"/>
      <c r="M78" s="9" t="s">
        <v>18</v>
      </c>
      <c r="N78" s="28"/>
      <c r="O78" s="12" t="s">
        <v>222</v>
      </c>
      <c r="P78" s="28"/>
      <c r="Q78" s="12" t="s">
        <v>222</v>
      </c>
      <c r="R78" s="28"/>
      <c r="S78" s="12" t="s">
        <v>222</v>
      </c>
      <c r="T78" s="28"/>
      <c r="U78" s="21">
        <v>1.078E-2</v>
      </c>
      <c r="V78" s="28"/>
      <c r="W78" s="19">
        <v>191</v>
      </c>
      <c r="X78" s="28"/>
      <c r="Y78" s="28" t="s">
        <v>62</v>
      </c>
    </row>
    <row r="79" spans="1:25" x14ac:dyDescent="0.2">
      <c r="A79" s="17" t="s">
        <v>272</v>
      </c>
      <c r="B79" s="28"/>
      <c r="C79" s="12" t="s">
        <v>18</v>
      </c>
      <c r="D79" s="28"/>
      <c r="E79" s="12" t="s">
        <v>18</v>
      </c>
      <c r="F79" s="28"/>
      <c r="G79" s="9">
        <v>7745220.2199999997</v>
      </c>
      <c r="H79" s="28"/>
      <c r="I79" s="9">
        <v>7745220.2199999997</v>
      </c>
      <c r="J79" s="28"/>
      <c r="K79" s="9">
        <v>0</v>
      </c>
      <c r="L79" s="28"/>
      <c r="M79" s="9" t="s">
        <v>18</v>
      </c>
      <c r="N79" s="28"/>
      <c r="O79" s="12" t="s">
        <v>222</v>
      </c>
      <c r="P79" s="28"/>
      <c r="Q79" s="12" t="s">
        <v>222</v>
      </c>
      <c r="R79" s="28"/>
      <c r="S79" s="12" t="s">
        <v>222</v>
      </c>
      <c r="T79" s="28"/>
      <c r="U79" s="21">
        <v>1.078E-2</v>
      </c>
      <c r="V79" s="28"/>
      <c r="W79" s="19">
        <v>191</v>
      </c>
      <c r="X79" s="28"/>
      <c r="Y79" s="28" t="s">
        <v>64</v>
      </c>
    </row>
    <row r="80" spans="1:25" x14ac:dyDescent="0.2">
      <c r="A80" s="17" t="s">
        <v>273</v>
      </c>
      <c r="B80" s="28"/>
      <c r="C80" s="12" t="s">
        <v>18</v>
      </c>
      <c r="D80" s="28"/>
      <c r="E80" s="12" t="s">
        <v>18</v>
      </c>
      <c r="F80" s="28"/>
      <c r="G80" s="9">
        <v>801065.93</v>
      </c>
      <c r="H80" s="28"/>
      <c r="I80" s="9">
        <v>801065.93</v>
      </c>
      <c r="J80" s="28"/>
      <c r="K80" s="9">
        <v>0</v>
      </c>
      <c r="L80" s="28"/>
      <c r="M80" s="9" t="s">
        <v>18</v>
      </c>
      <c r="N80" s="28"/>
      <c r="O80" s="12" t="s">
        <v>222</v>
      </c>
      <c r="P80" s="28"/>
      <c r="Q80" s="12" t="s">
        <v>222</v>
      </c>
      <c r="R80" s="28"/>
      <c r="S80" s="12" t="s">
        <v>222</v>
      </c>
      <c r="T80" s="28"/>
      <c r="U80" s="21">
        <v>0</v>
      </c>
      <c r="V80" s="28"/>
      <c r="W80" s="19">
        <v>1</v>
      </c>
      <c r="X80" s="28"/>
      <c r="Y80" s="28" t="s">
        <v>180</v>
      </c>
    </row>
    <row r="81" spans="1:25" x14ac:dyDescent="0.2">
      <c r="A81" s="17" t="s">
        <v>274</v>
      </c>
      <c r="B81" s="28"/>
      <c r="C81" s="12" t="s">
        <v>18</v>
      </c>
      <c r="D81" s="28"/>
      <c r="E81" s="12" t="s">
        <v>18</v>
      </c>
      <c r="F81" s="28"/>
      <c r="G81" s="9">
        <v>7745736.04</v>
      </c>
      <c r="H81" s="28"/>
      <c r="I81" s="9">
        <v>8112513.3799999999</v>
      </c>
      <c r="J81" s="28"/>
      <c r="K81" s="9">
        <v>366777.33999999991</v>
      </c>
      <c r="L81" s="28"/>
      <c r="M81" s="9" t="s">
        <v>18</v>
      </c>
      <c r="N81" s="28"/>
      <c r="O81" s="12" t="s">
        <v>222</v>
      </c>
      <c r="P81" s="28"/>
      <c r="Q81" s="12" t="s">
        <v>222</v>
      </c>
      <c r="R81" s="28"/>
      <c r="S81" s="12" t="s">
        <v>222</v>
      </c>
      <c r="T81" s="28"/>
      <c r="U81" s="21">
        <v>2.29E-2</v>
      </c>
      <c r="V81" s="28"/>
      <c r="W81" s="19">
        <v>1</v>
      </c>
      <c r="X81" s="28"/>
      <c r="Y81" s="28" t="s">
        <v>200</v>
      </c>
    </row>
    <row r="82" spans="1:25" x14ac:dyDescent="0.2">
      <c r="A82" s="17" t="s">
        <v>275</v>
      </c>
      <c r="B82" s="28"/>
      <c r="C82" s="12" t="s">
        <v>18</v>
      </c>
      <c r="D82" s="28"/>
      <c r="E82" s="12" t="s">
        <v>18</v>
      </c>
      <c r="F82" s="28"/>
      <c r="G82" s="9">
        <v>53602491.810000002</v>
      </c>
      <c r="H82" s="28"/>
      <c r="I82" s="9">
        <v>53602491.810000002</v>
      </c>
      <c r="J82" s="28"/>
      <c r="K82" s="9">
        <v>0</v>
      </c>
      <c r="L82" s="28"/>
      <c r="M82" s="9" t="s">
        <v>18</v>
      </c>
      <c r="N82" s="28"/>
      <c r="O82" s="12" t="s">
        <v>222</v>
      </c>
      <c r="P82" s="28"/>
      <c r="Q82" s="12" t="s">
        <v>222</v>
      </c>
      <c r="R82" s="28"/>
      <c r="S82" s="12" t="s">
        <v>222</v>
      </c>
      <c r="T82" s="28"/>
      <c r="U82" s="21" t="s">
        <v>18</v>
      </c>
      <c r="V82" s="28"/>
      <c r="W82" s="19">
        <v>1</v>
      </c>
      <c r="X82" s="28"/>
      <c r="Y82" s="28" t="s">
        <v>276</v>
      </c>
    </row>
    <row r="83" spans="1:25" x14ac:dyDescent="0.2">
      <c r="A83" s="17" t="s">
        <v>277</v>
      </c>
      <c r="B83" s="28"/>
      <c r="C83" s="12" t="s">
        <v>18</v>
      </c>
      <c r="D83" s="28"/>
      <c r="E83" s="12" t="s">
        <v>18</v>
      </c>
      <c r="F83" s="28"/>
      <c r="G83" s="9">
        <v>904175.9</v>
      </c>
      <c r="H83" s="28"/>
      <c r="I83" s="9">
        <v>904175.9</v>
      </c>
      <c r="J83" s="28"/>
      <c r="K83" s="9">
        <v>0</v>
      </c>
      <c r="L83" s="28"/>
      <c r="M83" s="9" t="s">
        <v>18</v>
      </c>
      <c r="N83" s="28"/>
      <c r="O83" s="12" t="s">
        <v>222</v>
      </c>
      <c r="P83" s="28"/>
      <c r="Q83" s="12" t="s">
        <v>222</v>
      </c>
      <c r="R83" s="28"/>
      <c r="S83" s="12" t="s">
        <v>222</v>
      </c>
      <c r="T83" s="28"/>
      <c r="U83" s="21" t="s">
        <v>18</v>
      </c>
      <c r="V83" s="28"/>
      <c r="W83" s="19">
        <v>1</v>
      </c>
      <c r="X83" s="28"/>
      <c r="Y83" s="28" t="s">
        <v>278</v>
      </c>
    </row>
    <row r="84" spans="1:25" x14ac:dyDescent="0.2">
      <c r="A84" s="28"/>
      <c r="B84" s="28"/>
      <c r="C84" s="28"/>
      <c r="D84" s="28"/>
      <c r="E84" s="28"/>
      <c r="F84" s="28"/>
      <c r="G84" s="11"/>
      <c r="H84" s="28"/>
      <c r="I84" s="11"/>
      <c r="J84" s="28"/>
      <c r="K84" s="11"/>
      <c r="L84" s="28"/>
      <c r="M84" s="11"/>
      <c r="N84" s="28"/>
      <c r="O84" s="28"/>
      <c r="P84" s="28"/>
      <c r="Q84" s="28"/>
      <c r="R84" s="28"/>
      <c r="S84" s="28"/>
      <c r="T84" s="28"/>
      <c r="U84" s="11"/>
      <c r="V84" s="28"/>
      <c r="W84" s="11"/>
      <c r="X84" s="28"/>
      <c r="Y84" s="28"/>
    </row>
    <row r="85" spans="1:25" ht="15" customHeight="1" x14ac:dyDescent="0.2">
      <c r="A85" s="8" t="s">
        <v>279</v>
      </c>
      <c r="B85" s="28"/>
      <c r="C85" s="28"/>
      <c r="D85" s="28"/>
      <c r="E85" s="28"/>
      <c r="F85" s="28"/>
      <c r="G85" s="25">
        <v>647727321.17999995</v>
      </c>
      <c r="H85" s="28"/>
      <c r="I85" s="25">
        <v>648094098.5200001</v>
      </c>
      <c r="J85" s="28"/>
      <c r="K85" s="25">
        <v>366777.33999999991</v>
      </c>
      <c r="L85" s="28"/>
      <c r="M85" s="25">
        <v>0</v>
      </c>
      <c r="N85" s="28"/>
      <c r="O85" s="28"/>
      <c r="P85" s="28"/>
      <c r="Q85" s="28"/>
      <c r="R85" s="28"/>
      <c r="S85" s="28"/>
      <c r="T85" s="28"/>
      <c r="U85" s="22">
        <v>8.2514548559632812E-3</v>
      </c>
      <c r="V85" s="28"/>
      <c r="W85" s="15">
        <f>IFERROR(SUMPRODUCT(I24:I83, W24:W83)/SUMIF(I24:I83,"&gt;0"), 1)</f>
        <v>204.6858484156931</v>
      </c>
      <c r="X85" s="28"/>
      <c r="Y85" s="28"/>
    </row>
    <row r="86" spans="1:25" x14ac:dyDescent="0.2">
      <c r="A86" s="28"/>
      <c r="B86" s="28"/>
      <c r="C86" s="28"/>
      <c r="D86" s="28"/>
      <c r="E86" s="28"/>
      <c r="F86" s="28"/>
      <c r="G86" s="4"/>
      <c r="H86" s="28"/>
      <c r="I86" s="4"/>
      <c r="J86" s="28"/>
      <c r="K86" s="4"/>
      <c r="L86" s="28"/>
      <c r="M86" s="4"/>
      <c r="N86" s="28"/>
      <c r="O86" s="28"/>
      <c r="P86" s="28"/>
      <c r="Q86" s="28"/>
      <c r="R86" s="28"/>
      <c r="S86" s="28"/>
      <c r="T86" s="28"/>
      <c r="U86" s="4"/>
      <c r="V86" s="28"/>
      <c r="W86" s="4"/>
      <c r="X86" s="28"/>
      <c r="Y86" s="28"/>
    </row>
    <row r="87" spans="1:25" ht="15" customHeight="1" x14ac:dyDescent="0.2">
      <c r="A87" s="8" t="s">
        <v>280</v>
      </c>
      <c r="B87" s="28"/>
      <c r="C87" s="28"/>
      <c r="D87" s="28"/>
      <c r="E87" s="28"/>
      <c r="F87" s="28"/>
      <c r="G87" s="25">
        <f>G21+G85</f>
        <v>661337213.89999998</v>
      </c>
      <c r="H87" s="28"/>
      <c r="I87" s="25">
        <f>I21+I85</f>
        <v>661703991.24000013</v>
      </c>
      <c r="J87" s="28"/>
      <c r="K87" s="25">
        <f>K85+K26</f>
        <v>366777.33999999991</v>
      </c>
      <c r="L87" s="28"/>
      <c r="M87" s="25">
        <f>M21+M85</f>
        <v>0</v>
      </c>
      <c r="N87" s="28"/>
      <c r="O87" s="28"/>
      <c r="P87" s="28"/>
      <c r="Q87" s="28"/>
      <c r="R87" s="28"/>
      <c r="S87" s="28"/>
      <c r="T87" s="28"/>
      <c r="U87" s="22">
        <v>8.251454855963283E-3</v>
      </c>
      <c r="V87" s="28"/>
      <c r="W87" s="15">
        <f>IFERROR(I21/(I21+I85)*W21,0)+IFERROR(I85/(I21+I85)*W85,0)</f>
        <v>200.49644865051272</v>
      </c>
      <c r="X87" s="28"/>
      <c r="Y87" s="29"/>
    </row>
    <row r="88" spans="1:25" x14ac:dyDescent="0.2">
      <c r="A88" s="28"/>
      <c r="B88" s="28"/>
      <c r="C88" s="28"/>
      <c r="D88" s="28"/>
      <c r="E88" s="28"/>
      <c r="F88" s="28"/>
      <c r="G88" s="4"/>
      <c r="H88" s="28"/>
      <c r="I88" s="4"/>
      <c r="J88" s="28"/>
      <c r="K88" s="4"/>
      <c r="L88" s="28"/>
      <c r="M88" s="4"/>
      <c r="N88" s="28"/>
      <c r="O88" s="28"/>
      <c r="P88" s="28"/>
      <c r="Q88" s="28"/>
      <c r="R88" s="28"/>
      <c r="S88" s="28"/>
      <c r="T88" s="28"/>
      <c r="U88" s="4"/>
      <c r="V88" s="28"/>
      <c r="W88" s="4"/>
      <c r="X88" s="28"/>
      <c r="Y88" s="28"/>
    </row>
    <row r="89" spans="1:25" x14ac:dyDescent="0.2">
      <c r="A89" s="5" t="s">
        <v>281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1" spans="1:25" x14ac:dyDescent="0.2">
      <c r="A91" s="5" t="s">
        <v>282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x14ac:dyDescent="0.2">
      <c r="A92" s="17" t="s">
        <v>283</v>
      </c>
      <c r="B92" s="28"/>
      <c r="C92" s="12" t="s">
        <v>284</v>
      </c>
      <c r="D92" s="28"/>
      <c r="E92" s="12" t="s">
        <v>285</v>
      </c>
      <c r="F92" s="28"/>
      <c r="G92" s="20">
        <v>5079870</v>
      </c>
      <c r="H92" s="28"/>
      <c r="I92" s="20">
        <v>5348336.7</v>
      </c>
      <c r="J92" s="28"/>
      <c r="K92" s="20">
        <v>268466.70000000019</v>
      </c>
      <c r="L92" s="28"/>
      <c r="M92" s="20">
        <v>5000000</v>
      </c>
      <c r="N92" s="28"/>
      <c r="O92" s="12" t="s">
        <v>286</v>
      </c>
      <c r="P92" s="28"/>
      <c r="Q92" s="12" t="s">
        <v>287</v>
      </c>
      <c r="R92" s="28"/>
      <c r="S92" s="12" t="s">
        <v>288</v>
      </c>
      <c r="T92" s="28"/>
      <c r="U92" s="21">
        <v>1.7399999999999999E-2</v>
      </c>
      <c r="V92" s="28"/>
      <c r="W92" s="19">
        <v>1533</v>
      </c>
      <c r="X92" s="28"/>
      <c r="Y92" s="28" t="s">
        <v>180</v>
      </c>
    </row>
    <row r="93" spans="1:25" x14ac:dyDescent="0.2">
      <c r="A93" s="17" t="s">
        <v>283</v>
      </c>
      <c r="B93" s="28"/>
      <c r="C93" s="12" t="s">
        <v>289</v>
      </c>
      <c r="D93" s="28"/>
      <c r="E93" s="12" t="s">
        <v>290</v>
      </c>
      <c r="F93" s="28"/>
      <c r="G93" s="9">
        <v>4999029.0999999996</v>
      </c>
      <c r="H93" s="28"/>
      <c r="I93" s="9">
        <v>5072562</v>
      </c>
      <c r="J93" s="28"/>
      <c r="K93" s="9">
        <v>73532.900000000373</v>
      </c>
      <c r="L93" s="28"/>
      <c r="M93" s="9">
        <v>5000000</v>
      </c>
      <c r="N93" s="28"/>
      <c r="O93" s="12" t="s">
        <v>286</v>
      </c>
      <c r="P93" s="28"/>
      <c r="Q93" s="12" t="s">
        <v>287</v>
      </c>
      <c r="R93" s="28"/>
      <c r="S93" s="12" t="s">
        <v>288</v>
      </c>
      <c r="T93" s="28"/>
      <c r="U93" s="21">
        <v>2.5100000000000001E-2</v>
      </c>
      <c r="V93" s="28"/>
      <c r="W93" s="19">
        <v>226</v>
      </c>
      <c r="X93" s="28"/>
      <c r="Y93" s="28" t="s">
        <v>180</v>
      </c>
    </row>
    <row r="94" spans="1:25" x14ac:dyDescent="0.2">
      <c r="A94" s="17" t="s">
        <v>283</v>
      </c>
      <c r="B94" s="28"/>
      <c r="C94" s="12" t="s">
        <v>291</v>
      </c>
      <c r="D94" s="28"/>
      <c r="E94" s="12" t="s">
        <v>292</v>
      </c>
      <c r="F94" s="28"/>
      <c r="G94" s="9">
        <v>5002450</v>
      </c>
      <c r="H94" s="28"/>
      <c r="I94" s="9">
        <v>5000869.9000000004</v>
      </c>
      <c r="J94" s="28"/>
      <c r="K94" s="9">
        <v>-1580.099999999627</v>
      </c>
      <c r="L94" s="28"/>
      <c r="M94" s="9">
        <v>5000000</v>
      </c>
      <c r="N94" s="28"/>
      <c r="O94" s="12" t="s">
        <v>286</v>
      </c>
      <c r="P94" s="28"/>
      <c r="Q94" s="12" t="s">
        <v>287</v>
      </c>
      <c r="R94" s="28"/>
      <c r="S94" s="12" t="s">
        <v>288</v>
      </c>
      <c r="T94" s="28"/>
      <c r="U94" s="21">
        <v>8.3000000000000001E-3</v>
      </c>
      <c r="V94" s="28"/>
      <c r="W94" s="19">
        <v>619</v>
      </c>
      <c r="X94" s="28"/>
      <c r="Y94" s="28" t="s">
        <v>180</v>
      </c>
    </row>
    <row r="95" spans="1:25" x14ac:dyDescent="0.2">
      <c r="A95" s="17" t="s">
        <v>283</v>
      </c>
      <c r="B95" s="28"/>
      <c r="C95" s="12" t="s">
        <v>293</v>
      </c>
      <c r="D95" s="28"/>
      <c r="E95" s="12" t="s">
        <v>294</v>
      </c>
      <c r="F95" s="28"/>
      <c r="G95" s="9">
        <v>6000000</v>
      </c>
      <c r="H95" s="28"/>
      <c r="I95" s="9">
        <v>6008081.7000000002</v>
      </c>
      <c r="J95" s="28"/>
      <c r="K95" s="9">
        <v>8081.7000000001863</v>
      </c>
      <c r="L95" s="28"/>
      <c r="M95" s="9">
        <v>6000000</v>
      </c>
      <c r="N95" s="28"/>
      <c r="O95" s="12" t="s">
        <v>286</v>
      </c>
      <c r="P95" s="28"/>
      <c r="Q95" s="12" t="s">
        <v>287</v>
      </c>
      <c r="R95" s="28"/>
      <c r="S95" s="12" t="s">
        <v>288</v>
      </c>
      <c r="T95" s="28"/>
      <c r="U95" s="21">
        <v>0.01</v>
      </c>
      <c r="V95" s="28"/>
      <c r="W95" s="19">
        <v>730</v>
      </c>
      <c r="X95" s="28"/>
      <c r="Y95" s="28" t="s">
        <v>180</v>
      </c>
    </row>
    <row r="96" spans="1:25" x14ac:dyDescent="0.2">
      <c r="A96" s="17" t="s">
        <v>283</v>
      </c>
      <c r="B96" s="28"/>
      <c r="C96" s="12" t="s">
        <v>295</v>
      </c>
      <c r="D96" s="28"/>
      <c r="E96" s="12" t="s">
        <v>296</v>
      </c>
      <c r="F96" s="28"/>
      <c r="G96" s="9">
        <v>5082900</v>
      </c>
      <c r="H96" s="28"/>
      <c r="I96" s="9">
        <v>5253610.8</v>
      </c>
      <c r="J96" s="28"/>
      <c r="K96" s="9">
        <v>170710.79999999981</v>
      </c>
      <c r="L96" s="28"/>
      <c r="M96" s="9">
        <v>5000000</v>
      </c>
      <c r="N96" s="28"/>
      <c r="O96" s="12" t="s">
        <v>286</v>
      </c>
      <c r="P96" s="28"/>
      <c r="Q96" s="12" t="s">
        <v>287</v>
      </c>
      <c r="R96" s="28"/>
      <c r="S96" s="12" t="s">
        <v>288</v>
      </c>
      <c r="T96" s="28"/>
      <c r="U96" s="21">
        <v>1.77E-2</v>
      </c>
      <c r="V96" s="28"/>
      <c r="W96" s="19">
        <v>953</v>
      </c>
      <c r="X96" s="28"/>
      <c r="Y96" s="28" t="s">
        <v>180</v>
      </c>
    </row>
    <row r="97" spans="1:25" x14ac:dyDescent="0.2">
      <c r="A97" s="17" t="s">
        <v>283</v>
      </c>
      <c r="B97" s="28"/>
      <c r="C97" s="12" t="s">
        <v>297</v>
      </c>
      <c r="D97" s="28"/>
      <c r="E97" s="12" t="s">
        <v>298</v>
      </c>
      <c r="F97" s="28"/>
      <c r="G97" s="9">
        <v>6968500</v>
      </c>
      <c r="H97" s="28"/>
      <c r="I97" s="9">
        <v>7374979.5</v>
      </c>
      <c r="J97" s="28"/>
      <c r="K97" s="9">
        <v>406479.5</v>
      </c>
      <c r="L97" s="28"/>
      <c r="M97" s="9">
        <v>7000000</v>
      </c>
      <c r="N97" s="28"/>
      <c r="O97" s="12" t="s">
        <v>286</v>
      </c>
      <c r="P97" s="28"/>
      <c r="Q97" s="12" t="s">
        <v>287</v>
      </c>
      <c r="R97" s="28"/>
      <c r="S97" s="12" t="s">
        <v>288</v>
      </c>
      <c r="T97" s="28"/>
      <c r="U97" s="21">
        <v>2.3699999999999999E-2</v>
      </c>
      <c r="V97" s="28"/>
      <c r="W97" s="19">
        <v>1009</v>
      </c>
      <c r="X97" s="28"/>
      <c r="Y97" s="28" t="s">
        <v>180</v>
      </c>
    </row>
    <row r="98" spans="1:25" x14ac:dyDescent="0.2">
      <c r="A98" s="17" t="s">
        <v>283</v>
      </c>
      <c r="B98" s="28"/>
      <c r="C98" s="12" t="s">
        <v>299</v>
      </c>
      <c r="D98" s="28"/>
      <c r="E98" s="12" t="s">
        <v>300</v>
      </c>
      <c r="F98" s="28"/>
      <c r="G98" s="9">
        <v>6022560</v>
      </c>
      <c r="H98" s="28"/>
      <c r="I98" s="9">
        <v>6393528.1799999997</v>
      </c>
      <c r="J98" s="28"/>
      <c r="K98" s="9">
        <v>370968.1799999997</v>
      </c>
      <c r="L98" s="28"/>
      <c r="M98" s="9">
        <v>6000000</v>
      </c>
      <c r="N98" s="28"/>
      <c r="O98" s="12" t="s">
        <v>286</v>
      </c>
      <c r="P98" s="28"/>
      <c r="Q98" s="12" t="s">
        <v>287</v>
      </c>
      <c r="R98" s="28"/>
      <c r="S98" s="12" t="s">
        <v>288</v>
      </c>
      <c r="T98" s="28"/>
      <c r="U98" s="21">
        <v>2.2100000000000002E-2</v>
      </c>
      <c r="V98" s="28"/>
      <c r="W98" s="19">
        <v>1226</v>
      </c>
      <c r="X98" s="28"/>
      <c r="Y98" s="28" t="s">
        <v>180</v>
      </c>
    </row>
    <row r="99" spans="1:25" x14ac:dyDescent="0.2">
      <c r="A99" s="17" t="s">
        <v>283</v>
      </c>
      <c r="B99" s="28"/>
      <c r="C99" s="12" t="s">
        <v>301</v>
      </c>
      <c r="D99" s="28"/>
      <c r="E99" s="12" t="s">
        <v>302</v>
      </c>
      <c r="F99" s="28"/>
      <c r="G99" s="9">
        <v>6615310</v>
      </c>
      <c r="H99" s="28"/>
      <c r="I99" s="9">
        <v>6883377.4800000004</v>
      </c>
      <c r="J99" s="28"/>
      <c r="K99" s="9">
        <v>268067.48000000039</v>
      </c>
      <c r="L99" s="28"/>
      <c r="M99" s="9">
        <v>6500000</v>
      </c>
      <c r="N99" s="28"/>
      <c r="O99" s="12" t="s">
        <v>286</v>
      </c>
      <c r="P99" s="28"/>
      <c r="Q99" s="12" t="s">
        <v>287</v>
      </c>
      <c r="R99" s="28"/>
      <c r="S99" s="12" t="s">
        <v>288</v>
      </c>
      <c r="T99" s="28"/>
      <c r="U99" s="21">
        <v>1.47E-2</v>
      </c>
      <c r="V99" s="28"/>
      <c r="W99" s="19">
        <v>1487</v>
      </c>
      <c r="X99" s="28"/>
      <c r="Y99" s="28" t="s">
        <v>180</v>
      </c>
    </row>
    <row r="100" spans="1:25" x14ac:dyDescent="0.2">
      <c r="A100" s="17" t="s">
        <v>303</v>
      </c>
      <c r="B100" s="28"/>
      <c r="C100" s="12" t="s">
        <v>289</v>
      </c>
      <c r="D100" s="28"/>
      <c r="E100" s="12" t="s">
        <v>304</v>
      </c>
      <c r="F100" s="28"/>
      <c r="G100" s="9">
        <v>5008150</v>
      </c>
      <c r="H100" s="28"/>
      <c r="I100" s="9">
        <v>5030598.8</v>
      </c>
      <c r="J100" s="28"/>
      <c r="K100" s="9">
        <v>22448.79999999981</v>
      </c>
      <c r="L100" s="28"/>
      <c r="M100" s="9">
        <v>5000000</v>
      </c>
      <c r="N100" s="28"/>
      <c r="O100" s="12" t="s">
        <v>286</v>
      </c>
      <c r="P100" s="28"/>
      <c r="Q100" s="12" t="s">
        <v>287</v>
      </c>
      <c r="R100" s="28"/>
      <c r="S100" s="12" t="s">
        <v>305</v>
      </c>
      <c r="T100" s="28"/>
      <c r="U100" s="21">
        <v>2.53E-2</v>
      </c>
      <c r="V100" s="28"/>
      <c r="W100" s="19">
        <v>93</v>
      </c>
      <c r="X100" s="28"/>
      <c r="Y100" s="28" t="s">
        <v>180</v>
      </c>
    </row>
    <row r="101" spans="1:25" x14ac:dyDescent="0.2">
      <c r="A101" s="17" t="s">
        <v>303</v>
      </c>
      <c r="B101" s="28"/>
      <c r="C101" s="12" t="s">
        <v>306</v>
      </c>
      <c r="D101" s="28"/>
      <c r="E101" s="12" t="s">
        <v>307</v>
      </c>
      <c r="F101" s="28"/>
      <c r="G101" s="9">
        <v>4924100</v>
      </c>
      <c r="H101" s="28"/>
      <c r="I101" s="9">
        <v>5075251.1500000004</v>
      </c>
      <c r="J101" s="28"/>
      <c r="K101" s="9">
        <v>151151.1500000004</v>
      </c>
      <c r="L101" s="28"/>
      <c r="M101" s="9">
        <v>5000000</v>
      </c>
      <c r="N101" s="28"/>
      <c r="O101" s="12" t="s">
        <v>286</v>
      </c>
      <c r="P101" s="28"/>
      <c r="Q101" s="12" t="s">
        <v>287</v>
      </c>
      <c r="R101" s="28"/>
      <c r="S101" s="12" t="s">
        <v>305</v>
      </c>
      <c r="T101" s="28"/>
      <c r="U101" s="21">
        <v>2.5600000000000001E-2</v>
      </c>
      <c r="V101" s="28"/>
      <c r="W101" s="19">
        <v>346</v>
      </c>
      <c r="X101" s="28"/>
      <c r="Y101" s="28" t="s">
        <v>180</v>
      </c>
    </row>
    <row r="102" spans="1:25" x14ac:dyDescent="0.2">
      <c r="A102" s="17" t="s">
        <v>303</v>
      </c>
      <c r="B102" s="28"/>
      <c r="C102" s="12" t="s">
        <v>306</v>
      </c>
      <c r="D102" s="28"/>
      <c r="E102" s="12" t="s">
        <v>308</v>
      </c>
      <c r="F102" s="28"/>
      <c r="G102" s="9">
        <v>3648843</v>
      </c>
      <c r="H102" s="28"/>
      <c r="I102" s="9">
        <v>3698380.06</v>
      </c>
      <c r="J102" s="28"/>
      <c r="K102" s="9">
        <v>49537.060000000063</v>
      </c>
      <c r="L102" s="28"/>
      <c r="M102" s="9">
        <v>3300000</v>
      </c>
      <c r="N102" s="28"/>
      <c r="O102" s="12" t="s">
        <v>286</v>
      </c>
      <c r="P102" s="28"/>
      <c r="Q102" s="12" t="s">
        <v>287</v>
      </c>
      <c r="R102" s="28"/>
      <c r="S102" s="12" t="s">
        <v>305</v>
      </c>
      <c r="T102" s="28"/>
      <c r="U102" s="21">
        <v>2.2499999999999999E-2</v>
      </c>
      <c r="V102" s="28"/>
      <c r="W102" s="19">
        <v>892</v>
      </c>
      <c r="X102" s="28"/>
      <c r="Y102" s="28" t="s">
        <v>180</v>
      </c>
    </row>
    <row r="103" spans="1:25" x14ac:dyDescent="0.2">
      <c r="A103" s="17" t="s">
        <v>303</v>
      </c>
      <c r="B103" s="28"/>
      <c r="C103" s="12" t="s">
        <v>295</v>
      </c>
      <c r="D103" s="28"/>
      <c r="E103" s="12" t="s">
        <v>309</v>
      </c>
      <c r="F103" s="28"/>
      <c r="G103" s="9">
        <v>5063453.47</v>
      </c>
      <c r="H103" s="28"/>
      <c r="I103" s="9">
        <v>5242313.5</v>
      </c>
      <c r="J103" s="28"/>
      <c r="K103" s="9">
        <v>178860.03000000029</v>
      </c>
      <c r="L103" s="28"/>
      <c r="M103" s="9">
        <v>5000000</v>
      </c>
      <c r="N103" s="28"/>
      <c r="O103" s="12" t="s">
        <v>286</v>
      </c>
      <c r="P103" s="28"/>
      <c r="Q103" s="12" t="s">
        <v>287</v>
      </c>
      <c r="R103" s="28"/>
      <c r="S103" s="12" t="s">
        <v>305</v>
      </c>
      <c r="T103" s="28"/>
      <c r="U103" s="21">
        <v>1.77E-2</v>
      </c>
      <c r="V103" s="28"/>
      <c r="W103" s="19">
        <v>983</v>
      </c>
      <c r="X103" s="28"/>
      <c r="Y103" s="28" t="s">
        <v>180</v>
      </c>
    </row>
    <row r="104" spans="1:25" x14ac:dyDescent="0.2">
      <c r="A104" s="17" t="s">
        <v>303</v>
      </c>
      <c r="B104" s="28"/>
      <c r="C104" s="12" t="s">
        <v>310</v>
      </c>
      <c r="D104" s="28"/>
      <c r="E104" s="12" t="s">
        <v>311</v>
      </c>
      <c r="F104" s="28"/>
      <c r="G104" s="9">
        <v>4915300</v>
      </c>
      <c r="H104" s="28"/>
      <c r="I104" s="9">
        <v>5121340.0999999996</v>
      </c>
      <c r="J104" s="28"/>
      <c r="K104" s="9">
        <v>206040.0999999996</v>
      </c>
      <c r="L104" s="28"/>
      <c r="M104" s="9">
        <v>5000000</v>
      </c>
      <c r="N104" s="28"/>
      <c r="O104" s="12" t="s">
        <v>286</v>
      </c>
      <c r="P104" s="28"/>
      <c r="Q104" s="12" t="s">
        <v>287</v>
      </c>
      <c r="R104" s="28"/>
      <c r="S104" s="12" t="s">
        <v>305</v>
      </c>
      <c r="T104" s="28"/>
      <c r="U104" s="21">
        <v>2.52E-2</v>
      </c>
      <c r="V104" s="28"/>
      <c r="W104" s="19">
        <v>517</v>
      </c>
      <c r="X104" s="28"/>
      <c r="Y104" s="28" t="s">
        <v>180</v>
      </c>
    </row>
    <row r="105" spans="1:25" x14ac:dyDescent="0.2">
      <c r="A105" s="17" t="s">
        <v>303</v>
      </c>
      <c r="B105" s="28"/>
      <c r="C105" s="12" t="s">
        <v>306</v>
      </c>
      <c r="D105" s="28"/>
      <c r="E105" s="12" t="s">
        <v>312</v>
      </c>
      <c r="F105" s="28"/>
      <c r="G105" s="9">
        <v>4979485</v>
      </c>
      <c r="H105" s="28"/>
      <c r="I105" s="9">
        <v>5076206.7</v>
      </c>
      <c r="J105" s="28"/>
      <c r="K105" s="9">
        <v>96721.700000000186</v>
      </c>
      <c r="L105" s="28"/>
      <c r="M105" s="9">
        <v>5000000</v>
      </c>
      <c r="N105" s="28"/>
      <c r="O105" s="12" t="s">
        <v>286</v>
      </c>
      <c r="P105" s="28"/>
      <c r="Q105" s="12" t="s">
        <v>287</v>
      </c>
      <c r="R105" s="28"/>
      <c r="S105" s="12" t="s">
        <v>305</v>
      </c>
      <c r="T105" s="28"/>
      <c r="U105" s="21">
        <v>2.58E-2</v>
      </c>
      <c r="V105" s="28"/>
      <c r="W105" s="19">
        <v>255</v>
      </c>
      <c r="X105" s="28"/>
      <c r="Y105" s="28" t="s">
        <v>180</v>
      </c>
    </row>
    <row r="106" spans="1:25" x14ac:dyDescent="0.2">
      <c r="A106" s="17" t="s">
        <v>313</v>
      </c>
      <c r="B106" s="28"/>
      <c r="C106" s="12" t="s">
        <v>314</v>
      </c>
      <c r="D106" s="28"/>
      <c r="E106" s="12" t="s">
        <v>315</v>
      </c>
      <c r="F106" s="28"/>
      <c r="G106" s="9">
        <v>4563265.5</v>
      </c>
      <c r="H106" s="28"/>
      <c r="I106" s="9">
        <v>4650016.82</v>
      </c>
      <c r="J106" s="28"/>
      <c r="K106" s="9">
        <v>86751.320000000298</v>
      </c>
      <c r="L106" s="28"/>
      <c r="M106" s="9">
        <v>4500000</v>
      </c>
      <c r="N106" s="28"/>
      <c r="O106" s="12" t="s">
        <v>286</v>
      </c>
      <c r="P106" s="28"/>
      <c r="Q106" s="12" t="s">
        <v>287</v>
      </c>
      <c r="R106" s="28"/>
      <c r="S106" s="12" t="s">
        <v>288</v>
      </c>
      <c r="T106" s="28"/>
      <c r="U106" s="21">
        <v>1.7100000000000001E-2</v>
      </c>
      <c r="V106" s="28"/>
      <c r="W106" s="19">
        <v>562</v>
      </c>
      <c r="X106" s="28"/>
      <c r="Y106" s="28" t="s">
        <v>180</v>
      </c>
    </row>
    <row r="107" spans="1:25" x14ac:dyDescent="0.2">
      <c r="A107" s="17" t="s">
        <v>313</v>
      </c>
      <c r="B107" s="28"/>
      <c r="C107" s="12" t="s">
        <v>316</v>
      </c>
      <c r="D107" s="28"/>
      <c r="E107" s="12" t="s">
        <v>317</v>
      </c>
      <c r="F107" s="28"/>
      <c r="G107" s="9">
        <v>5702052</v>
      </c>
      <c r="H107" s="28"/>
      <c r="I107" s="9">
        <v>5702265.3499999996</v>
      </c>
      <c r="J107" s="28"/>
      <c r="K107" s="9">
        <v>213.3499999996275</v>
      </c>
      <c r="L107" s="28"/>
      <c r="M107" s="9">
        <v>5700000</v>
      </c>
      <c r="N107" s="28"/>
      <c r="O107" s="12" t="s">
        <v>305</v>
      </c>
      <c r="P107" s="28"/>
      <c r="Q107" s="12" t="s">
        <v>287</v>
      </c>
      <c r="R107" s="28"/>
      <c r="S107" s="12" t="s">
        <v>288</v>
      </c>
      <c r="T107" s="28"/>
      <c r="U107" s="21">
        <v>1.5900000000000001E-2</v>
      </c>
      <c r="V107" s="28"/>
      <c r="W107" s="19">
        <v>743</v>
      </c>
      <c r="X107" s="28"/>
      <c r="Y107" s="28" t="s">
        <v>180</v>
      </c>
    </row>
    <row r="108" spans="1:25" x14ac:dyDescent="0.2">
      <c r="A108" s="17" t="s">
        <v>313</v>
      </c>
      <c r="B108" s="28"/>
      <c r="C108" s="12" t="s">
        <v>318</v>
      </c>
      <c r="D108" s="28"/>
      <c r="E108" s="12" t="s">
        <v>319</v>
      </c>
      <c r="F108" s="28"/>
      <c r="G108" s="9">
        <v>5900000</v>
      </c>
      <c r="H108" s="28"/>
      <c r="I108" s="9">
        <v>5902077.3899999997</v>
      </c>
      <c r="J108" s="28"/>
      <c r="K108" s="9">
        <v>2077.3899999996652</v>
      </c>
      <c r="L108" s="28"/>
      <c r="M108" s="9">
        <v>5900000</v>
      </c>
      <c r="N108" s="28"/>
      <c r="O108" s="12" t="s">
        <v>305</v>
      </c>
      <c r="P108" s="28"/>
      <c r="Q108" s="12" t="s">
        <v>287</v>
      </c>
      <c r="R108" s="28"/>
      <c r="S108" s="12" t="s">
        <v>288</v>
      </c>
      <c r="T108" s="28"/>
      <c r="U108" s="21">
        <v>7.4000000000000003E-3</v>
      </c>
      <c r="V108" s="28"/>
      <c r="W108" s="19">
        <v>1024</v>
      </c>
      <c r="X108" s="28"/>
      <c r="Y108" s="28" t="s">
        <v>180</v>
      </c>
    </row>
    <row r="109" spans="1:25" x14ac:dyDescent="0.2">
      <c r="A109" s="17" t="s">
        <v>320</v>
      </c>
      <c r="B109" s="28"/>
      <c r="C109" s="12" t="s">
        <v>321</v>
      </c>
      <c r="D109" s="28"/>
      <c r="E109" s="12" t="s">
        <v>322</v>
      </c>
      <c r="F109" s="28"/>
      <c r="G109" s="9">
        <v>4982050</v>
      </c>
      <c r="H109" s="28"/>
      <c r="I109" s="9">
        <v>5182834.8</v>
      </c>
      <c r="J109" s="28"/>
      <c r="K109" s="9">
        <v>200784.79999999981</v>
      </c>
      <c r="L109" s="28"/>
      <c r="M109" s="9">
        <v>5000000</v>
      </c>
      <c r="N109" s="28"/>
      <c r="O109" s="12" t="s">
        <v>286</v>
      </c>
      <c r="P109" s="28"/>
      <c r="Q109" s="12" t="s">
        <v>287</v>
      </c>
      <c r="R109" s="28"/>
      <c r="S109" s="12" t="s">
        <v>288</v>
      </c>
      <c r="T109" s="28"/>
      <c r="U109" s="21">
        <v>2.3800000000000002E-2</v>
      </c>
      <c r="V109" s="28"/>
      <c r="W109" s="19">
        <v>651</v>
      </c>
      <c r="X109" s="28"/>
      <c r="Y109" s="28" t="s">
        <v>180</v>
      </c>
    </row>
    <row r="110" spans="1:25" x14ac:dyDescent="0.2">
      <c r="A110" s="17" t="s">
        <v>320</v>
      </c>
      <c r="B110" s="28"/>
      <c r="C110" s="12" t="s">
        <v>314</v>
      </c>
      <c r="D110" s="28"/>
      <c r="E110" s="12" t="s">
        <v>323</v>
      </c>
      <c r="F110" s="28"/>
      <c r="G110" s="9">
        <v>4993150</v>
      </c>
      <c r="H110" s="28"/>
      <c r="I110" s="9">
        <v>5278686.25</v>
      </c>
      <c r="J110" s="28"/>
      <c r="K110" s="9">
        <v>285536.25</v>
      </c>
      <c r="L110" s="28"/>
      <c r="M110" s="9">
        <v>5000000</v>
      </c>
      <c r="N110" s="28"/>
      <c r="O110" s="12" t="s">
        <v>286</v>
      </c>
      <c r="P110" s="28"/>
      <c r="Q110" s="12" t="s">
        <v>287</v>
      </c>
      <c r="R110" s="28"/>
      <c r="S110" s="12" t="s">
        <v>288</v>
      </c>
      <c r="T110" s="28"/>
      <c r="U110" s="21">
        <v>1.78E-2</v>
      </c>
      <c r="V110" s="28"/>
      <c r="W110" s="19">
        <v>1463</v>
      </c>
      <c r="X110" s="28"/>
      <c r="Y110" s="28" t="s">
        <v>180</v>
      </c>
    </row>
    <row r="111" spans="1:25" x14ac:dyDescent="0.2">
      <c r="A111" s="17" t="s">
        <v>320</v>
      </c>
      <c r="B111" s="28"/>
      <c r="C111" s="12" t="s">
        <v>324</v>
      </c>
      <c r="D111" s="28"/>
      <c r="E111" s="12" t="s">
        <v>325</v>
      </c>
      <c r="F111" s="28"/>
      <c r="G111" s="9">
        <v>5028950</v>
      </c>
      <c r="H111" s="28"/>
      <c r="I111" s="9">
        <v>5191525.4000000004</v>
      </c>
      <c r="J111" s="28"/>
      <c r="K111" s="9">
        <v>162575.4000000004</v>
      </c>
      <c r="L111" s="28"/>
      <c r="M111" s="9">
        <v>5000000</v>
      </c>
      <c r="N111" s="28"/>
      <c r="O111" s="12" t="s">
        <v>286</v>
      </c>
      <c r="P111" s="28"/>
      <c r="Q111" s="12" t="s">
        <v>287</v>
      </c>
      <c r="R111" s="28"/>
      <c r="S111" s="12" t="s">
        <v>305</v>
      </c>
      <c r="T111" s="28"/>
      <c r="U111" s="21">
        <v>1.8200000000000001E-2</v>
      </c>
      <c r="V111" s="28"/>
      <c r="W111" s="19">
        <v>827</v>
      </c>
      <c r="X111" s="28"/>
      <c r="Y111" s="28" t="s">
        <v>180</v>
      </c>
    </row>
    <row r="112" spans="1:25" x14ac:dyDescent="0.2">
      <c r="A112" s="17" t="s">
        <v>320</v>
      </c>
      <c r="B112" s="28"/>
      <c r="C112" s="12" t="s">
        <v>326</v>
      </c>
      <c r="D112" s="28"/>
      <c r="E112" s="12" t="s">
        <v>327</v>
      </c>
      <c r="F112" s="28"/>
      <c r="G112" s="9">
        <v>5262158</v>
      </c>
      <c r="H112" s="28"/>
      <c r="I112" s="9">
        <v>5431646.3799999999</v>
      </c>
      <c r="J112" s="28"/>
      <c r="K112" s="9">
        <v>169488.37999999989</v>
      </c>
      <c r="L112" s="28"/>
      <c r="M112" s="9">
        <v>5300000</v>
      </c>
      <c r="N112" s="28"/>
      <c r="O112" s="12" t="s">
        <v>286</v>
      </c>
      <c r="P112" s="28"/>
      <c r="Q112" s="12" t="s">
        <v>287</v>
      </c>
      <c r="R112" s="28"/>
      <c r="S112" s="12" t="s">
        <v>288</v>
      </c>
      <c r="T112" s="28"/>
      <c r="U112" s="21">
        <v>1.6299999999999999E-2</v>
      </c>
      <c r="V112" s="28"/>
      <c r="W112" s="19">
        <v>798</v>
      </c>
      <c r="X112" s="28"/>
      <c r="Y112" s="28" t="s">
        <v>180</v>
      </c>
    </row>
    <row r="113" spans="1:25" x14ac:dyDescent="0.2">
      <c r="A113" s="17" t="s">
        <v>328</v>
      </c>
      <c r="B113" s="28"/>
      <c r="C113" s="12" t="s">
        <v>329</v>
      </c>
      <c r="D113" s="28"/>
      <c r="E113" s="12" t="s">
        <v>330</v>
      </c>
      <c r="F113" s="28"/>
      <c r="G113" s="9">
        <v>309004.90000000002</v>
      </c>
      <c r="H113" s="28"/>
      <c r="I113" s="9">
        <v>310900.55</v>
      </c>
      <c r="J113" s="28"/>
      <c r="K113" s="9">
        <v>1895.6499999999651</v>
      </c>
      <c r="L113" s="28"/>
      <c r="M113" s="9">
        <v>310000</v>
      </c>
      <c r="N113" s="28"/>
      <c r="O113" s="12" t="s">
        <v>286</v>
      </c>
      <c r="P113" s="28"/>
      <c r="Q113" s="12" t="s">
        <v>287</v>
      </c>
      <c r="R113" s="28"/>
      <c r="S113" s="12" t="s">
        <v>222</v>
      </c>
      <c r="T113" s="28"/>
      <c r="U113" s="21">
        <v>1.4649704E-2</v>
      </c>
      <c r="V113" s="28"/>
      <c r="W113" s="19">
        <v>90</v>
      </c>
      <c r="X113" s="28"/>
      <c r="Y113" s="28" t="s">
        <v>73</v>
      </c>
    </row>
    <row r="114" spans="1:25" x14ac:dyDescent="0.2">
      <c r="A114" s="17" t="s">
        <v>328</v>
      </c>
      <c r="B114" s="28"/>
      <c r="C114" s="12" t="s">
        <v>331</v>
      </c>
      <c r="D114" s="28"/>
      <c r="E114" s="12" t="s">
        <v>330</v>
      </c>
      <c r="F114" s="28"/>
      <c r="G114" s="9">
        <v>5303070</v>
      </c>
      <c r="H114" s="28"/>
      <c r="I114" s="9">
        <v>5415687</v>
      </c>
      <c r="J114" s="28"/>
      <c r="K114" s="9">
        <v>112617</v>
      </c>
      <c r="L114" s="28"/>
      <c r="M114" s="9">
        <v>5400000</v>
      </c>
      <c r="N114" s="28"/>
      <c r="O114" s="12" t="s">
        <v>286</v>
      </c>
      <c r="P114" s="28"/>
      <c r="Q114" s="12" t="s">
        <v>287</v>
      </c>
      <c r="R114" s="28"/>
      <c r="S114" s="12" t="s">
        <v>222</v>
      </c>
      <c r="T114" s="28"/>
      <c r="U114" s="21">
        <v>2.004881E-2</v>
      </c>
      <c r="V114" s="28"/>
      <c r="W114" s="19">
        <v>90</v>
      </c>
      <c r="X114" s="28"/>
      <c r="Y114" s="28" t="s">
        <v>73</v>
      </c>
    </row>
    <row r="115" spans="1:25" x14ac:dyDescent="0.2">
      <c r="A115" s="17" t="s">
        <v>328</v>
      </c>
      <c r="B115" s="28"/>
      <c r="C115" s="12" t="s">
        <v>331</v>
      </c>
      <c r="D115" s="28"/>
      <c r="E115" s="12" t="s">
        <v>330</v>
      </c>
      <c r="F115" s="28"/>
      <c r="G115" s="9">
        <v>569548.4</v>
      </c>
      <c r="H115" s="28"/>
      <c r="I115" s="9">
        <v>581684.9</v>
      </c>
      <c r="J115" s="28"/>
      <c r="K115" s="9">
        <v>12136.5</v>
      </c>
      <c r="L115" s="28"/>
      <c r="M115" s="9">
        <v>580000</v>
      </c>
      <c r="N115" s="28"/>
      <c r="O115" s="12" t="s">
        <v>286</v>
      </c>
      <c r="P115" s="28"/>
      <c r="Q115" s="12" t="s">
        <v>287</v>
      </c>
      <c r="R115" s="28"/>
      <c r="S115" s="12" t="s">
        <v>222</v>
      </c>
      <c r="T115" s="28"/>
      <c r="U115" s="21">
        <v>2.0073651000000001E-2</v>
      </c>
      <c r="V115" s="28"/>
      <c r="W115" s="19">
        <v>90</v>
      </c>
      <c r="X115" s="28"/>
      <c r="Y115" s="28" t="s">
        <v>73</v>
      </c>
    </row>
    <row r="116" spans="1:25" x14ac:dyDescent="0.2">
      <c r="A116" s="17" t="s">
        <v>332</v>
      </c>
      <c r="B116" s="28"/>
      <c r="C116" s="12" t="s">
        <v>333</v>
      </c>
      <c r="D116" s="28"/>
      <c r="E116" s="12" t="s">
        <v>334</v>
      </c>
      <c r="F116" s="28"/>
      <c r="G116" s="9">
        <v>821139</v>
      </c>
      <c r="H116" s="28"/>
      <c r="I116" s="9">
        <v>827927.93</v>
      </c>
      <c r="J116" s="28"/>
      <c r="K116" s="9">
        <v>6788.9300000000512</v>
      </c>
      <c r="L116" s="28"/>
      <c r="M116" s="9">
        <v>825000</v>
      </c>
      <c r="N116" s="28"/>
      <c r="O116" s="12" t="s">
        <v>286</v>
      </c>
      <c r="P116" s="28"/>
      <c r="Q116" s="12" t="s">
        <v>287</v>
      </c>
      <c r="R116" s="28"/>
      <c r="S116" s="12" t="s">
        <v>288</v>
      </c>
      <c r="T116" s="28"/>
      <c r="U116" s="21">
        <v>1.7897768000000001E-2</v>
      </c>
      <c r="V116" s="28"/>
      <c r="W116" s="19">
        <v>91</v>
      </c>
      <c r="X116" s="28"/>
      <c r="Y116" s="28" t="s">
        <v>69</v>
      </c>
    </row>
    <row r="117" spans="1:25" x14ac:dyDescent="0.2">
      <c r="A117" s="17" t="s">
        <v>332</v>
      </c>
      <c r="B117" s="28"/>
      <c r="C117" s="12" t="s">
        <v>335</v>
      </c>
      <c r="D117" s="28"/>
      <c r="E117" s="12" t="s">
        <v>336</v>
      </c>
      <c r="F117" s="28"/>
      <c r="G117" s="9">
        <v>4087167</v>
      </c>
      <c r="H117" s="28"/>
      <c r="I117" s="9">
        <v>4126240</v>
      </c>
      <c r="J117" s="28"/>
      <c r="K117" s="9">
        <v>39073</v>
      </c>
      <c r="L117" s="28"/>
      <c r="M117" s="9">
        <v>4100000</v>
      </c>
      <c r="N117" s="28"/>
      <c r="O117" s="12" t="s">
        <v>286</v>
      </c>
      <c r="P117" s="28"/>
      <c r="Q117" s="12" t="s">
        <v>287</v>
      </c>
      <c r="R117" s="28"/>
      <c r="S117" s="12" t="s">
        <v>288</v>
      </c>
      <c r="T117" s="28"/>
      <c r="U117" s="21">
        <v>1.9743930999999999E-2</v>
      </c>
      <c r="V117" s="28"/>
      <c r="W117" s="19">
        <v>140</v>
      </c>
      <c r="X117" s="28"/>
      <c r="Y117" s="28" t="s">
        <v>73</v>
      </c>
    </row>
    <row r="118" spans="1:25" x14ac:dyDescent="0.2">
      <c r="A118" s="17" t="s">
        <v>337</v>
      </c>
      <c r="B118" s="28"/>
      <c r="C118" s="12" t="s">
        <v>338</v>
      </c>
      <c r="D118" s="28"/>
      <c r="E118" s="12" t="s">
        <v>339</v>
      </c>
      <c r="F118" s="28"/>
      <c r="G118" s="9">
        <v>274166.75</v>
      </c>
      <c r="H118" s="28"/>
      <c r="I118" s="9">
        <v>275296.18</v>
      </c>
      <c r="J118" s="28"/>
      <c r="K118" s="9">
        <v>1129.429999999993</v>
      </c>
      <c r="L118" s="28"/>
      <c r="M118" s="9">
        <v>275000</v>
      </c>
      <c r="N118" s="28"/>
      <c r="O118" s="12" t="s">
        <v>286</v>
      </c>
      <c r="P118" s="28"/>
      <c r="Q118" s="12" t="s">
        <v>287</v>
      </c>
      <c r="R118" s="28"/>
      <c r="S118" s="12" t="s">
        <v>288</v>
      </c>
      <c r="T118" s="28"/>
      <c r="U118" s="21">
        <v>1.5827430999999999E-2</v>
      </c>
      <c r="V118" s="28"/>
      <c r="W118" s="19">
        <v>30</v>
      </c>
      <c r="X118" s="28"/>
      <c r="Y118" s="28" t="s">
        <v>73</v>
      </c>
    </row>
    <row r="119" spans="1:25" x14ac:dyDescent="0.2">
      <c r="A119" s="17" t="s">
        <v>337</v>
      </c>
      <c r="B119" s="28"/>
      <c r="C119" s="12" t="s">
        <v>340</v>
      </c>
      <c r="D119" s="28"/>
      <c r="E119" s="12" t="s">
        <v>339</v>
      </c>
      <c r="F119" s="28"/>
      <c r="G119" s="9">
        <v>4674252</v>
      </c>
      <c r="H119" s="28"/>
      <c r="I119" s="9">
        <v>4680034.97</v>
      </c>
      <c r="J119" s="28"/>
      <c r="K119" s="9">
        <v>5782.9699999997392</v>
      </c>
      <c r="L119" s="28"/>
      <c r="M119" s="9">
        <v>4675000</v>
      </c>
      <c r="N119" s="28"/>
      <c r="O119" s="12" t="s">
        <v>286</v>
      </c>
      <c r="P119" s="28"/>
      <c r="Q119" s="12" t="s">
        <v>287</v>
      </c>
      <c r="R119" s="28"/>
      <c r="S119" s="12" t="s">
        <v>288</v>
      </c>
      <c r="T119" s="28"/>
      <c r="U119" s="21">
        <v>1.5043691E-2</v>
      </c>
      <c r="V119" s="28"/>
      <c r="W119" s="19">
        <v>30</v>
      </c>
      <c r="X119" s="28"/>
      <c r="Y119" s="28" t="s">
        <v>73</v>
      </c>
    </row>
    <row r="120" spans="1:25" x14ac:dyDescent="0.2">
      <c r="A120" s="17" t="s">
        <v>337</v>
      </c>
      <c r="B120" s="28"/>
      <c r="C120" s="12" t="s">
        <v>338</v>
      </c>
      <c r="D120" s="28"/>
      <c r="E120" s="12" t="s">
        <v>339</v>
      </c>
      <c r="F120" s="28"/>
      <c r="G120" s="9">
        <v>3623985.95</v>
      </c>
      <c r="H120" s="28"/>
      <c r="I120" s="9">
        <v>3638914.9</v>
      </c>
      <c r="J120" s="28"/>
      <c r="K120" s="9">
        <v>14928.949999999721</v>
      </c>
      <c r="L120" s="28"/>
      <c r="M120" s="9">
        <v>3635000</v>
      </c>
      <c r="N120" s="28"/>
      <c r="O120" s="12" t="s">
        <v>286</v>
      </c>
      <c r="P120" s="28"/>
      <c r="Q120" s="12" t="s">
        <v>287</v>
      </c>
      <c r="R120" s="28"/>
      <c r="S120" s="12" t="s">
        <v>288</v>
      </c>
      <c r="T120" s="28"/>
      <c r="U120" s="21">
        <v>1.6039535000000001E-2</v>
      </c>
      <c r="V120" s="28"/>
      <c r="W120" s="19">
        <v>30</v>
      </c>
      <c r="X120" s="28"/>
      <c r="Y120" s="28" t="s">
        <v>75</v>
      </c>
    </row>
    <row r="121" spans="1:25" x14ac:dyDescent="0.2">
      <c r="A121" s="17" t="s">
        <v>337</v>
      </c>
      <c r="B121" s="28"/>
      <c r="C121" s="12" t="s">
        <v>341</v>
      </c>
      <c r="D121" s="28"/>
      <c r="E121" s="12" t="s">
        <v>339</v>
      </c>
      <c r="F121" s="28"/>
      <c r="G121" s="9">
        <v>1596544</v>
      </c>
      <c r="H121" s="28"/>
      <c r="I121" s="9">
        <v>1601723.2</v>
      </c>
      <c r="J121" s="28"/>
      <c r="K121" s="9">
        <v>5179.1999999999534</v>
      </c>
      <c r="L121" s="28"/>
      <c r="M121" s="9">
        <v>1600000</v>
      </c>
      <c r="N121" s="28"/>
      <c r="O121" s="12" t="s">
        <v>286</v>
      </c>
      <c r="P121" s="28"/>
      <c r="Q121" s="12" t="s">
        <v>287</v>
      </c>
      <c r="R121" s="28"/>
      <c r="S121" s="12" t="s">
        <v>288</v>
      </c>
      <c r="T121" s="28"/>
      <c r="U121" s="21">
        <v>1.5591526E-2</v>
      </c>
      <c r="V121" s="28"/>
      <c r="W121" s="19">
        <v>30</v>
      </c>
      <c r="X121" s="28"/>
      <c r="Y121" s="28" t="s">
        <v>73</v>
      </c>
    </row>
    <row r="122" spans="1:25" x14ac:dyDescent="0.2">
      <c r="A122" s="17" t="s">
        <v>342</v>
      </c>
      <c r="B122" s="28"/>
      <c r="C122" s="12" t="s">
        <v>343</v>
      </c>
      <c r="D122" s="28"/>
      <c r="E122" s="12" t="s">
        <v>344</v>
      </c>
      <c r="F122" s="28"/>
      <c r="G122" s="9">
        <v>3925794.65</v>
      </c>
      <c r="H122" s="28"/>
      <c r="I122" s="9">
        <v>4150781.24</v>
      </c>
      <c r="J122" s="28"/>
      <c r="K122" s="9">
        <v>224986.59000000029</v>
      </c>
      <c r="L122" s="28"/>
      <c r="M122" s="9">
        <v>4000000</v>
      </c>
      <c r="N122" s="28"/>
      <c r="O122" s="12" t="s">
        <v>286</v>
      </c>
      <c r="P122" s="28"/>
      <c r="Q122" s="12" t="s">
        <v>287</v>
      </c>
      <c r="R122" s="28"/>
      <c r="S122" s="12" t="s">
        <v>288</v>
      </c>
      <c r="T122" s="28"/>
      <c r="U122" s="21">
        <v>1.84E-2</v>
      </c>
      <c r="V122" s="28"/>
      <c r="W122" s="19">
        <v>1157</v>
      </c>
      <c r="X122" s="28"/>
      <c r="Y122" s="28" t="s">
        <v>180</v>
      </c>
    </row>
    <row r="123" spans="1:25" x14ac:dyDescent="0.2">
      <c r="A123" s="17" t="s">
        <v>342</v>
      </c>
      <c r="B123" s="28"/>
      <c r="C123" s="12" t="s">
        <v>345</v>
      </c>
      <c r="D123" s="28"/>
      <c r="E123" s="12" t="s">
        <v>346</v>
      </c>
      <c r="F123" s="28"/>
      <c r="G123" s="9">
        <v>5099203.13</v>
      </c>
      <c r="H123" s="28"/>
      <c r="I123" s="9">
        <v>5129882.84</v>
      </c>
      <c r="J123" s="28"/>
      <c r="K123" s="9">
        <v>30679.709999999959</v>
      </c>
      <c r="L123" s="28"/>
      <c r="M123" s="9">
        <v>5100000</v>
      </c>
      <c r="N123" s="28"/>
      <c r="O123" s="12" t="s">
        <v>286</v>
      </c>
      <c r="P123" s="28"/>
      <c r="Q123" s="12" t="s">
        <v>287</v>
      </c>
      <c r="R123" s="28"/>
      <c r="S123" s="12" t="s">
        <v>288</v>
      </c>
      <c r="T123" s="28"/>
      <c r="U123" s="21">
        <v>1.6400000000000001E-2</v>
      </c>
      <c r="V123" s="28"/>
      <c r="W123" s="19">
        <v>153</v>
      </c>
      <c r="X123" s="28"/>
      <c r="Y123" s="28" t="s">
        <v>180</v>
      </c>
    </row>
    <row r="124" spans="1:25" x14ac:dyDescent="0.2">
      <c r="A124" s="17" t="s">
        <v>342</v>
      </c>
      <c r="B124" s="28"/>
      <c r="C124" s="12" t="s">
        <v>306</v>
      </c>
      <c r="D124" s="28"/>
      <c r="E124" s="12" t="s">
        <v>347</v>
      </c>
      <c r="F124" s="28"/>
      <c r="G124" s="9">
        <v>5013298</v>
      </c>
      <c r="H124" s="28"/>
      <c r="I124" s="9">
        <v>5178125</v>
      </c>
      <c r="J124" s="28"/>
      <c r="K124" s="9">
        <v>164827</v>
      </c>
      <c r="L124" s="28"/>
      <c r="M124" s="9">
        <v>5000000</v>
      </c>
      <c r="N124" s="28"/>
      <c r="O124" s="12" t="s">
        <v>286</v>
      </c>
      <c r="P124" s="28"/>
      <c r="Q124" s="12" t="s">
        <v>287</v>
      </c>
      <c r="R124" s="28"/>
      <c r="S124" s="12" t="s">
        <v>288</v>
      </c>
      <c r="T124" s="28"/>
      <c r="U124" s="21">
        <v>2.52E-2</v>
      </c>
      <c r="V124" s="28"/>
      <c r="W124" s="19">
        <v>533</v>
      </c>
      <c r="X124" s="28"/>
      <c r="Y124" s="28" t="s">
        <v>180</v>
      </c>
    </row>
    <row r="125" spans="1:25" x14ac:dyDescent="0.2">
      <c r="A125" s="17" t="s">
        <v>342</v>
      </c>
      <c r="B125" s="28"/>
      <c r="C125" s="12" t="s">
        <v>306</v>
      </c>
      <c r="D125" s="28"/>
      <c r="E125" s="12" t="s">
        <v>348</v>
      </c>
      <c r="F125" s="28"/>
      <c r="G125" s="9">
        <v>4980078.13</v>
      </c>
      <c r="H125" s="28"/>
      <c r="I125" s="9">
        <v>5210546.9000000004</v>
      </c>
      <c r="J125" s="28"/>
      <c r="K125" s="9">
        <v>230468.77000000051</v>
      </c>
      <c r="L125" s="28"/>
      <c r="M125" s="9">
        <v>5000000</v>
      </c>
      <c r="N125" s="28"/>
      <c r="O125" s="12" t="s">
        <v>286</v>
      </c>
      <c r="P125" s="28"/>
      <c r="Q125" s="12" t="s">
        <v>287</v>
      </c>
      <c r="R125" s="28"/>
      <c r="S125" s="12" t="s">
        <v>288</v>
      </c>
      <c r="T125" s="28"/>
      <c r="U125" s="21">
        <v>1.7299999999999999E-2</v>
      </c>
      <c r="V125" s="28"/>
      <c r="W125" s="19">
        <v>1065</v>
      </c>
      <c r="X125" s="28"/>
      <c r="Y125" s="28" t="s">
        <v>180</v>
      </c>
    </row>
    <row r="126" spans="1:25" x14ac:dyDescent="0.2">
      <c r="A126" s="17" t="s">
        <v>342</v>
      </c>
      <c r="B126" s="28"/>
      <c r="C126" s="12" t="s">
        <v>295</v>
      </c>
      <c r="D126" s="28"/>
      <c r="E126" s="12" t="s">
        <v>349</v>
      </c>
      <c r="F126" s="28"/>
      <c r="G126" s="9">
        <v>4235500</v>
      </c>
      <c r="H126" s="28"/>
      <c r="I126" s="9">
        <v>4466121.08</v>
      </c>
      <c r="J126" s="28"/>
      <c r="K126" s="9">
        <v>230621.0800000001</v>
      </c>
      <c r="L126" s="28"/>
      <c r="M126" s="9">
        <v>4300000</v>
      </c>
      <c r="N126" s="28"/>
      <c r="O126" s="12" t="s">
        <v>286</v>
      </c>
      <c r="P126" s="28"/>
      <c r="Q126" s="12" t="s">
        <v>287</v>
      </c>
      <c r="R126" s="28"/>
      <c r="S126" s="12" t="s">
        <v>288</v>
      </c>
      <c r="T126" s="28"/>
      <c r="U126" s="21">
        <v>1.7399999999999999E-2</v>
      </c>
      <c r="V126" s="28"/>
      <c r="W126" s="19">
        <v>1187</v>
      </c>
      <c r="X126" s="28"/>
      <c r="Y126" s="28" t="s">
        <v>180</v>
      </c>
    </row>
    <row r="127" spans="1:25" x14ac:dyDescent="0.2">
      <c r="A127" s="17" t="s">
        <v>342</v>
      </c>
      <c r="B127" s="28"/>
      <c r="C127" s="12" t="s">
        <v>350</v>
      </c>
      <c r="D127" s="28"/>
      <c r="E127" s="12" t="s">
        <v>351</v>
      </c>
      <c r="F127" s="28"/>
      <c r="G127" s="9">
        <v>5091423</v>
      </c>
      <c r="H127" s="28"/>
      <c r="I127" s="9">
        <v>5340625</v>
      </c>
      <c r="J127" s="28"/>
      <c r="K127" s="9">
        <v>249202</v>
      </c>
      <c r="L127" s="28"/>
      <c r="M127" s="9">
        <v>5000000</v>
      </c>
      <c r="N127" s="28"/>
      <c r="O127" s="12" t="s">
        <v>286</v>
      </c>
      <c r="P127" s="28"/>
      <c r="Q127" s="12" t="s">
        <v>287</v>
      </c>
      <c r="R127" s="28"/>
      <c r="S127" s="12" t="s">
        <v>288</v>
      </c>
      <c r="T127" s="28"/>
      <c r="U127" s="21">
        <v>1.5800000000000002E-2</v>
      </c>
      <c r="V127" s="28"/>
      <c r="W127" s="19">
        <v>1400</v>
      </c>
      <c r="X127" s="28"/>
      <c r="Y127" s="28" t="s">
        <v>180</v>
      </c>
    </row>
    <row r="128" spans="1:25" x14ac:dyDescent="0.2">
      <c r="A128" s="17" t="s">
        <v>352</v>
      </c>
      <c r="B128" s="28"/>
      <c r="C128" s="12" t="s">
        <v>353</v>
      </c>
      <c r="D128" s="28"/>
      <c r="E128" s="12" t="s">
        <v>354</v>
      </c>
      <c r="F128" s="28"/>
      <c r="G128" s="9">
        <v>24879882.809999999</v>
      </c>
      <c r="H128" s="28"/>
      <c r="I128" s="9">
        <v>25011720</v>
      </c>
      <c r="J128" s="28"/>
      <c r="K128" s="9">
        <v>131837.19000000131</v>
      </c>
      <c r="L128" s="28"/>
      <c r="M128" s="9">
        <v>25000000</v>
      </c>
      <c r="N128" s="28"/>
      <c r="O128" s="12" t="s">
        <v>286</v>
      </c>
      <c r="P128" s="28"/>
      <c r="Q128" s="12" t="s">
        <v>287</v>
      </c>
      <c r="R128" s="28"/>
      <c r="S128" s="12" t="s">
        <v>288</v>
      </c>
      <c r="T128" s="28"/>
      <c r="U128" s="21">
        <v>1.9835991000000001E-2</v>
      </c>
      <c r="V128" s="28"/>
      <c r="W128" s="19">
        <v>15</v>
      </c>
      <c r="X128" s="28"/>
      <c r="Y128" s="28" t="s">
        <v>77</v>
      </c>
    </row>
    <row r="129" spans="1:25" x14ac:dyDescent="0.2">
      <c r="A129" s="17" t="s">
        <v>355</v>
      </c>
      <c r="B129" s="28"/>
      <c r="C129" s="12" t="s">
        <v>356</v>
      </c>
      <c r="D129" s="28"/>
      <c r="E129" s="12" t="s">
        <v>357</v>
      </c>
      <c r="F129" s="28"/>
      <c r="G129" s="9">
        <v>604858.01</v>
      </c>
      <c r="H129" s="28"/>
      <c r="I129" s="9">
        <v>586736.75</v>
      </c>
      <c r="J129" s="28"/>
      <c r="K129" s="9">
        <v>-18121.260000000009</v>
      </c>
      <c r="L129" s="28"/>
      <c r="M129" s="9">
        <v>585000</v>
      </c>
      <c r="N129" s="28"/>
      <c r="O129" s="12" t="s">
        <v>286</v>
      </c>
      <c r="P129" s="28"/>
      <c r="Q129" s="12" t="s">
        <v>287</v>
      </c>
      <c r="R129" s="28"/>
      <c r="S129" s="12" t="s">
        <v>288</v>
      </c>
      <c r="T129" s="28"/>
      <c r="U129" s="21">
        <v>1.4404587E-2</v>
      </c>
      <c r="V129" s="28"/>
      <c r="W129" s="19">
        <v>46</v>
      </c>
      <c r="X129" s="28"/>
      <c r="Y129" s="28" t="s">
        <v>75</v>
      </c>
    </row>
    <row r="130" spans="1:25" x14ac:dyDescent="0.2">
      <c r="A130" s="17" t="s">
        <v>355</v>
      </c>
      <c r="B130" s="28"/>
      <c r="C130" s="12" t="s">
        <v>358</v>
      </c>
      <c r="D130" s="28"/>
      <c r="E130" s="12" t="s">
        <v>359</v>
      </c>
      <c r="F130" s="28"/>
      <c r="G130" s="9">
        <v>1409080.08</v>
      </c>
      <c r="H130" s="28"/>
      <c r="I130" s="9">
        <v>1430789.06</v>
      </c>
      <c r="J130" s="28"/>
      <c r="K130" s="9">
        <v>21708.979999999981</v>
      </c>
      <c r="L130" s="28"/>
      <c r="M130" s="9">
        <v>1425000</v>
      </c>
      <c r="N130" s="28"/>
      <c r="O130" s="12" t="s">
        <v>286</v>
      </c>
      <c r="P130" s="28"/>
      <c r="Q130" s="12" t="s">
        <v>287</v>
      </c>
      <c r="R130" s="28"/>
      <c r="S130" s="12" t="s">
        <v>288</v>
      </c>
      <c r="T130" s="28"/>
      <c r="U130" s="21">
        <v>1.7599680999999999E-2</v>
      </c>
      <c r="V130" s="28"/>
      <c r="W130" s="19">
        <v>123</v>
      </c>
      <c r="X130" s="28"/>
      <c r="Y130" s="28" t="s">
        <v>75</v>
      </c>
    </row>
    <row r="131" spans="1:25" x14ac:dyDescent="0.2">
      <c r="A131" s="17" t="s">
        <v>355</v>
      </c>
      <c r="B131" s="28"/>
      <c r="C131" s="12" t="s">
        <v>360</v>
      </c>
      <c r="D131" s="28"/>
      <c r="E131" s="12" t="s">
        <v>361</v>
      </c>
      <c r="F131" s="28"/>
      <c r="G131" s="9">
        <v>3541276.64</v>
      </c>
      <c r="H131" s="28"/>
      <c r="I131" s="9">
        <v>3595775.02</v>
      </c>
      <c r="J131" s="28"/>
      <c r="K131" s="9">
        <v>54498.379999999888</v>
      </c>
      <c r="L131" s="28"/>
      <c r="M131" s="9">
        <v>3541000</v>
      </c>
      <c r="N131" s="28"/>
      <c r="O131" s="12" t="s">
        <v>286</v>
      </c>
      <c r="P131" s="28"/>
      <c r="Q131" s="12" t="s">
        <v>287</v>
      </c>
      <c r="R131" s="28"/>
      <c r="S131" s="12" t="s">
        <v>288</v>
      </c>
      <c r="T131" s="28"/>
      <c r="U131" s="21">
        <v>2.2459357999999999E-2</v>
      </c>
      <c r="V131" s="28"/>
      <c r="W131" s="19">
        <v>274</v>
      </c>
      <c r="X131" s="28"/>
      <c r="Y131" s="28" t="s">
        <v>71</v>
      </c>
    </row>
    <row r="132" spans="1:25" x14ac:dyDescent="0.2">
      <c r="A132" s="28"/>
      <c r="B132" s="28"/>
      <c r="C132" s="28"/>
      <c r="D132" s="28"/>
      <c r="E132" s="28"/>
      <c r="F132" s="28"/>
      <c r="G132" s="11"/>
      <c r="H132" s="28"/>
      <c r="I132" s="11"/>
      <c r="J132" s="28"/>
      <c r="K132" s="11"/>
      <c r="L132" s="28"/>
      <c r="M132" s="11"/>
      <c r="N132" s="28"/>
      <c r="O132" s="28"/>
      <c r="P132" s="28"/>
      <c r="Q132" s="28"/>
      <c r="R132" s="28"/>
      <c r="S132" s="28"/>
      <c r="T132" s="28"/>
      <c r="U132" s="11"/>
      <c r="V132" s="28"/>
      <c r="W132" s="11"/>
      <c r="X132" s="28"/>
      <c r="Y132" s="28"/>
    </row>
    <row r="133" spans="1:25" ht="15" customHeight="1" x14ac:dyDescent="0.2">
      <c r="A133" s="8" t="s">
        <v>362</v>
      </c>
      <c r="B133" s="28"/>
      <c r="C133" s="28"/>
      <c r="D133" s="28"/>
      <c r="E133" s="28"/>
      <c r="F133" s="28"/>
      <c r="G133" s="25">
        <v>190780848.52000001</v>
      </c>
      <c r="H133" s="28"/>
      <c r="I133" s="25">
        <v>195478001.48000011</v>
      </c>
      <c r="J133" s="28"/>
      <c r="K133" s="25">
        <v>4697152.9600000037</v>
      </c>
      <c r="L133" s="28"/>
      <c r="M133" s="25">
        <v>190551000</v>
      </c>
      <c r="N133" s="28"/>
      <c r="O133" s="28"/>
      <c r="P133" s="28"/>
      <c r="Q133" s="28"/>
      <c r="R133" s="28"/>
      <c r="S133" s="28"/>
      <c r="T133" s="28"/>
      <c r="U133" s="22">
        <v>1.87607169656684E-2</v>
      </c>
      <c r="V133" s="28"/>
      <c r="W133" s="15">
        <f>IFERROR(SUMPRODUCT(I92:I131, W92:W131)/SUMIF(I92:I131,"&gt;0"), 1)</f>
        <v>636.13413804147501</v>
      </c>
      <c r="X133" s="28"/>
      <c r="Y133" s="28"/>
    </row>
    <row r="134" spans="1:25" x14ac:dyDescent="0.2">
      <c r="A134" s="28"/>
      <c r="B134" s="28"/>
      <c r="C134" s="28"/>
      <c r="D134" s="28"/>
      <c r="E134" s="28"/>
      <c r="F134" s="28"/>
      <c r="G134" s="4"/>
      <c r="H134" s="28"/>
      <c r="I134" s="4"/>
      <c r="J134" s="28"/>
      <c r="K134" s="4"/>
      <c r="L134" s="28"/>
      <c r="M134" s="4"/>
      <c r="N134" s="28"/>
      <c r="O134" s="28"/>
      <c r="P134" s="28"/>
      <c r="Q134" s="28"/>
      <c r="R134" s="28"/>
      <c r="S134" s="28"/>
      <c r="T134" s="28"/>
      <c r="U134" s="4"/>
      <c r="V134" s="28"/>
      <c r="W134" s="4"/>
      <c r="X134" s="28"/>
      <c r="Y134" s="28"/>
    </row>
    <row r="135" spans="1:25" x14ac:dyDescent="0.2">
      <c r="A135" s="5" t="s">
        <v>363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spans="1:25" x14ac:dyDescent="0.2">
      <c r="A136" s="17" t="s">
        <v>364</v>
      </c>
      <c r="B136" s="28"/>
      <c r="C136" s="12" t="s">
        <v>291</v>
      </c>
      <c r="D136" s="28"/>
      <c r="E136" s="12" t="s">
        <v>365</v>
      </c>
      <c r="F136" s="28"/>
      <c r="G136" s="20">
        <v>2018560</v>
      </c>
      <c r="H136" s="28"/>
      <c r="I136" s="20">
        <v>2013593.5</v>
      </c>
      <c r="J136" s="28"/>
      <c r="K136" s="20">
        <v>-4966.5</v>
      </c>
      <c r="L136" s="28"/>
      <c r="M136" s="20">
        <v>2000000</v>
      </c>
      <c r="N136" s="28"/>
      <c r="O136" s="12" t="s">
        <v>366</v>
      </c>
      <c r="P136" s="28"/>
      <c r="Q136" s="12" t="s">
        <v>367</v>
      </c>
      <c r="R136" s="28"/>
      <c r="S136" s="12" t="s">
        <v>368</v>
      </c>
      <c r="T136" s="28"/>
      <c r="U136" s="21">
        <v>1.0699999999999999E-2</v>
      </c>
      <c r="V136" s="28"/>
      <c r="W136" s="19">
        <v>111</v>
      </c>
      <c r="X136" s="28"/>
      <c r="Y136" s="28" t="s">
        <v>180</v>
      </c>
    </row>
    <row r="137" spans="1:25" x14ac:dyDescent="0.2">
      <c r="A137" s="17" t="s">
        <v>369</v>
      </c>
      <c r="B137" s="28"/>
      <c r="C137" s="12" t="s">
        <v>370</v>
      </c>
      <c r="D137" s="28"/>
      <c r="E137" s="12" t="s">
        <v>371</v>
      </c>
      <c r="F137" s="28"/>
      <c r="G137" s="9">
        <v>999540</v>
      </c>
      <c r="H137" s="28"/>
      <c r="I137" s="9">
        <v>1008465</v>
      </c>
      <c r="J137" s="28"/>
      <c r="K137" s="9">
        <v>8925</v>
      </c>
      <c r="L137" s="28"/>
      <c r="M137" s="9">
        <v>1000000</v>
      </c>
      <c r="N137" s="28"/>
      <c r="O137" s="12" t="s">
        <v>366</v>
      </c>
      <c r="P137" s="28"/>
      <c r="Q137" s="12" t="s">
        <v>372</v>
      </c>
      <c r="R137" s="28"/>
      <c r="S137" s="12" t="s">
        <v>368</v>
      </c>
      <c r="T137" s="28"/>
      <c r="U137" s="21">
        <v>2.1651310999999999E-2</v>
      </c>
      <c r="V137" s="28"/>
      <c r="W137" s="19">
        <v>216</v>
      </c>
      <c r="X137" s="28"/>
      <c r="Y137" s="28" t="s">
        <v>75</v>
      </c>
    </row>
    <row r="138" spans="1:25" x14ac:dyDescent="0.2">
      <c r="A138" s="17" t="s">
        <v>373</v>
      </c>
      <c r="B138" s="28"/>
      <c r="C138" s="12" t="s">
        <v>374</v>
      </c>
      <c r="D138" s="28"/>
      <c r="E138" s="12" t="s">
        <v>375</v>
      </c>
      <c r="F138" s="28"/>
      <c r="G138" s="9">
        <v>4019240</v>
      </c>
      <c r="H138" s="28"/>
      <c r="I138" s="9">
        <v>4166253.84</v>
      </c>
      <c r="J138" s="28"/>
      <c r="K138" s="9">
        <v>147013.83999999991</v>
      </c>
      <c r="L138" s="28"/>
      <c r="M138" s="9">
        <v>4000000</v>
      </c>
      <c r="N138" s="28"/>
      <c r="O138" s="12" t="s">
        <v>376</v>
      </c>
      <c r="P138" s="28"/>
      <c r="Q138" s="12" t="s">
        <v>372</v>
      </c>
      <c r="R138" s="28"/>
      <c r="S138" s="12" t="s">
        <v>376</v>
      </c>
      <c r="T138" s="28"/>
      <c r="U138" s="21">
        <v>2.7699999999999999E-2</v>
      </c>
      <c r="V138" s="28"/>
      <c r="W138" s="19">
        <v>606</v>
      </c>
      <c r="X138" s="28"/>
      <c r="Y138" s="28" t="s">
        <v>180</v>
      </c>
    </row>
    <row r="139" spans="1:25" x14ac:dyDescent="0.2">
      <c r="A139" s="17" t="s">
        <v>373</v>
      </c>
      <c r="B139" s="28"/>
      <c r="C139" s="12" t="s">
        <v>377</v>
      </c>
      <c r="D139" s="28"/>
      <c r="E139" s="12" t="s">
        <v>378</v>
      </c>
      <c r="F139" s="28"/>
      <c r="G139" s="9">
        <v>3121890</v>
      </c>
      <c r="H139" s="28"/>
      <c r="I139" s="9">
        <v>3317704.08</v>
      </c>
      <c r="J139" s="28"/>
      <c r="K139" s="9">
        <v>195814.0800000001</v>
      </c>
      <c r="L139" s="28"/>
      <c r="M139" s="9">
        <v>3000000</v>
      </c>
      <c r="N139" s="28"/>
      <c r="O139" s="12" t="s">
        <v>376</v>
      </c>
      <c r="P139" s="28"/>
      <c r="Q139" s="12" t="s">
        <v>372</v>
      </c>
      <c r="R139" s="28"/>
      <c r="S139" s="12" t="s">
        <v>376</v>
      </c>
      <c r="T139" s="28"/>
      <c r="U139" s="21">
        <v>2.69E-2</v>
      </c>
      <c r="V139" s="28"/>
      <c r="W139" s="19">
        <v>1255</v>
      </c>
      <c r="X139" s="28"/>
      <c r="Y139" s="28" t="s">
        <v>180</v>
      </c>
    </row>
    <row r="140" spans="1:25" x14ac:dyDescent="0.2">
      <c r="A140" s="17" t="s">
        <v>379</v>
      </c>
      <c r="B140" s="28"/>
      <c r="C140" s="12" t="s">
        <v>380</v>
      </c>
      <c r="D140" s="28"/>
      <c r="E140" s="12" t="s">
        <v>381</v>
      </c>
      <c r="F140" s="28"/>
      <c r="G140" s="9">
        <v>1463769.4</v>
      </c>
      <c r="H140" s="28"/>
      <c r="I140" s="9">
        <v>1468769.45</v>
      </c>
      <c r="J140" s="28"/>
      <c r="K140" s="9">
        <v>5000.0500000000466</v>
      </c>
      <c r="L140" s="28"/>
      <c r="M140" s="9">
        <v>1465000</v>
      </c>
      <c r="N140" s="28"/>
      <c r="O140" s="12" t="s">
        <v>376</v>
      </c>
      <c r="P140" s="28"/>
      <c r="Q140" s="12" t="s">
        <v>372</v>
      </c>
      <c r="R140" s="28"/>
      <c r="S140" s="12" t="s">
        <v>376</v>
      </c>
      <c r="T140" s="28"/>
      <c r="U140" s="21">
        <v>1.8790305E-2</v>
      </c>
      <c r="V140" s="28"/>
      <c r="W140" s="19">
        <v>66</v>
      </c>
      <c r="X140" s="28"/>
      <c r="Y140" s="28" t="s">
        <v>75</v>
      </c>
    </row>
    <row r="141" spans="1:25" x14ac:dyDescent="0.2">
      <c r="A141" s="17" t="s">
        <v>382</v>
      </c>
      <c r="B141" s="28"/>
      <c r="C141" s="12" t="s">
        <v>299</v>
      </c>
      <c r="D141" s="28"/>
      <c r="E141" s="12" t="s">
        <v>383</v>
      </c>
      <c r="F141" s="28"/>
      <c r="G141" s="9">
        <v>5118900</v>
      </c>
      <c r="H141" s="28"/>
      <c r="I141" s="9">
        <v>5357475.05</v>
      </c>
      <c r="J141" s="28"/>
      <c r="K141" s="9">
        <v>238575.04999999981</v>
      </c>
      <c r="L141" s="28"/>
      <c r="M141" s="9">
        <v>5000000</v>
      </c>
      <c r="N141" s="28"/>
      <c r="O141" s="12" t="s">
        <v>384</v>
      </c>
      <c r="P141" s="28"/>
      <c r="Q141" s="12" t="s">
        <v>385</v>
      </c>
      <c r="R141" s="28"/>
      <c r="S141" s="12" t="s">
        <v>305</v>
      </c>
      <c r="T141" s="28"/>
      <c r="U141" s="21">
        <v>2.5700000000000001E-2</v>
      </c>
      <c r="V141" s="28"/>
      <c r="W141" s="19">
        <v>1089</v>
      </c>
      <c r="X141" s="28"/>
      <c r="Y141" s="28" t="s">
        <v>180</v>
      </c>
    </row>
    <row r="142" spans="1:25" x14ac:dyDescent="0.2">
      <c r="A142" s="17" t="s">
        <v>386</v>
      </c>
      <c r="B142" s="28"/>
      <c r="C142" s="12" t="s">
        <v>306</v>
      </c>
      <c r="D142" s="28"/>
      <c r="E142" s="12" t="s">
        <v>387</v>
      </c>
      <c r="F142" s="28"/>
      <c r="G142" s="9">
        <v>3914240</v>
      </c>
      <c r="H142" s="28"/>
      <c r="I142" s="9">
        <v>4071123.6</v>
      </c>
      <c r="J142" s="28"/>
      <c r="K142" s="9">
        <v>156883.60000000009</v>
      </c>
      <c r="L142" s="28"/>
      <c r="M142" s="9">
        <v>4000000</v>
      </c>
      <c r="N142" s="28"/>
      <c r="O142" s="12" t="s">
        <v>388</v>
      </c>
      <c r="P142" s="28"/>
      <c r="Q142" s="12" t="s">
        <v>389</v>
      </c>
      <c r="R142" s="28"/>
      <c r="S142" s="12" t="s">
        <v>305</v>
      </c>
      <c r="T142" s="28"/>
      <c r="U142" s="21">
        <v>2.7300000000000001E-2</v>
      </c>
      <c r="V142" s="28"/>
      <c r="W142" s="19">
        <v>447</v>
      </c>
      <c r="X142" s="28"/>
      <c r="Y142" s="28" t="s">
        <v>180</v>
      </c>
    </row>
    <row r="143" spans="1:25" x14ac:dyDescent="0.2">
      <c r="A143" s="17" t="s">
        <v>390</v>
      </c>
      <c r="B143" s="28"/>
      <c r="C143" s="12" t="s">
        <v>391</v>
      </c>
      <c r="D143" s="28"/>
      <c r="E143" s="12" t="s">
        <v>392</v>
      </c>
      <c r="F143" s="28"/>
      <c r="G143" s="9">
        <v>6158234.5</v>
      </c>
      <c r="H143" s="28"/>
      <c r="I143" s="9">
        <v>6230423.5800000001</v>
      </c>
      <c r="J143" s="28"/>
      <c r="K143" s="9">
        <v>72189.080000000075</v>
      </c>
      <c r="L143" s="28"/>
      <c r="M143" s="9">
        <v>6050000</v>
      </c>
      <c r="N143" s="28"/>
      <c r="O143" s="12" t="s">
        <v>368</v>
      </c>
      <c r="P143" s="28"/>
      <c r="Q143" s="12" t="s">
        <v>393</v>
      </c>
      <c r="R143" s="28"/>
      <c r="S143" s="12" t="s">
        <v>368</v>
      </c>
      <c r="T143" s="28"/>
      <c r="U143" s="21">
        <v>2.5399999999999999E-2</v>
      </c>
      <c r="V143" s="28"/>
      <c r="W143" s="19">
        <v>388</v>
      </c>
      <c r="X143" s="28"/>
      <c r="Y143" s="28" t="s">
        <v>180</v>
      </c>
    </row>
    <row r="144" spans="1:25" x14ac:dyDescent="0.2">
      <c r="A144" s="17" t="s">
        <v>394</v>
      </c>
      <c r="B144" s="28"/>
      <c r="C144" s="12" t="s">
        <v>374</v>
      </c>
      <c r="D144" s="28"/>
      <c r="E144" s="12" t="s">
        <v>395</v>
      </c>
      <c r="F144" s="28"/>
      <c r="G144" s="9">
        <v>4275054</v>
      </c>
      <c r="H144" s="28"/>
      <c r="I144" s="9">
        <v>4409251.8499999996</v>
      </c>
      <c r="J144" s="28"/>
      <c r="K144" s="9">
        <v>134197.8499999996</v>
      </c>
      <c r="L144" s="28"/>
      <c r="M144" s="9">
        <v>4200000</v>
      </c>
      <c r="N144" s="28"/>
      <c r="O144" s="12" t="s">
        <v>376</v>
      </c>
      <c r="P144" s="28"/>
      <c r="Q144" s="12" t="s">
        <v>367</v>
      </c>
      <c r="R144" s="28"/>
      <c r="S144" s="12" t="s">
        <v>376</v>
      </c>
      <c r="T144" s="28"/>
      <c r="U144" s="21">
        <v>2.6200000000000001E-2</v>
      </c>
      <c r="V144" s="28"/>
      <c r="W144" s="19">
        <v>609</v>
      </c>
      <c r="X144" s="28"/>
      <c r="Y144" s="28" t="s">
        <v>180</v>
      </c>
    </row>
    <row r="145" spans="1:25" x14ac:dyDescent="0.2">
      <c r="A145" s="17" t="s">
        <v>396</v>
      </c>
      <c r="B145" s="28"/>
      <c r="C145" s="12" t="s">
        <v>314</v>
      </c>
      <c r="D145" s="28"/>
      <c r="E145" s="12" t="s">
        <v>397</v>
      </c>
      <c r="F145" s="28"/>
      <c r="G145" s="9">
        <v>2933756</v>
      </c>
      <c r="H145" s="28"/>
      <c r="I145" s="9">
        <v>3085670.79</v>
      </c>
      <c r="J145" s="28"/>
      <c r="K145" s="9">
        <v>151914.79</v>
      </c>
      <c r="L145" s="28"/>
      <c r="M145" s="9">
        <v>2900000</v>
      </c>
      <c r="N145" s="28"/>
      <c r="O145" s="12" t="s">
        <v>376</v>
      </c>
      <c r="P145" s="28"/>
      <c r="Q145" s="12" t="s">
        <v>367</v>
      </c>
      <c r="R145" s="28"/>
      <c r="S145" s="12" t="s">
        <v>376</v>
      </c>
      <c r="T145" s="28"/>
      <c r="U145" s="21">
        <v>2.0400000000000001E-2</v>
      </c>
      <c r="V145" s="28"/>
      <c r="W145" s="19">
        <v>1507</v>
      </c>
      <c r="X145" s="28"/>
      <c r="Y145" s="28" t="s">
        <v>180</v>
      </c>
    </row>
    <row r="146" spans="1:25" x14ac:dyDescent="0.2">
      <c r="A146" s="17" t="s">
        <v>398</v>
      </c>
      <c r="B146" s="28"/>
      <c r="C146" s="12" t="s">
        <v>399</v>
      </c>
      <c r="D146" s="28"/>
      <c r="E146" s="12" t="s">
        <v>400</v>
      </c>
      <c r="F146" s="28"/>
      <c r="G146" s="9">
        <v>5156295.0999999996</v>
      </c>
      <c r="H146" s="28"/>
      <c r="I146" s="9">
        <v>5302283.1900000004</v>
      </c>
      <c r="J146" s="28"/>
      <c r="K146" s="9">
        <v>145988.09000000081</v>
      </c>
      <c r="L146" s="28"/>
      <c r="M146" s="9">
        <v>4895000</v>
      </c>
      <c r="N146" s="28"/>
      <c r="O146" s="12" t="s">
        <v>376</v>
      </c>
      <c r="P146" s="28"/>
      <c r="Q146" s="12" t="s">
        <v>367</v>
      </c>
      <c r="R146" s="28"/>
      <c r="S146" s="12" t="s">
        <v>305</v>
      </c>
      <c r="T146" s="28"/>
      <c r="U146" s="21">
        <v>1.95E-2</v>
      </c>
      <c r="V146" s="28"/>
      <c r="W146" s="19">
        <v>1127</v>
      </c>
      <c r="X146" s="28"/>
      <c r="Y146" s="28" t="s">
        <v>180</v>
      </c>
    </row>
    <row r="147" spans="1:25" x14ac:dyDescent="0.2">
      <c r="A147" s="17" t="s">
        <v>401</v>
      </c>
      <c r="B147" s="28"/>
      <c r="C147" s="12" t="s">
        <v>331</v>
      </c>
      <c r="D147" s="28"/>
      <c r="E147" s="12" t="s">
        <v>402</v>
      </c>
      <c r="F147" s="28"/>
      <c r="G147" s="9">
        <v>419781.6</v>
      </c>
      <c r="H147" s="28"/>
      <c r="I147" s="9">
        <v>424184.46</v>
      </c>
      <c r="J147" s="28"/>
      <c r="K147" s="9">
        <v>4402.8600000000442</v>
      </c>
      <c r="L147" s="28"/>
      <c r="M147" s="9">
        <v>420000</v>
      </c>
      <c r="N147" s="28"/>
      <c r="O147" s="12" t="s">
        <v>376</v>
      </c>
      <c r="P147" s="28"/>
      <c r="Q147" s="12" t="s">
        <v>367</v>
      </c>
      <c r="R147" s="28"/>
      <c r="S147" s="12" t="s">
        <v>376</v>
      </c>
      <c r="T147" s="28"/>
      <c r="U147" s="21">
        <v>2.3680586999999999E-2</v>
      </c>
      <c r="V147" s="28"/>
      <c r="W147" s="19">
        <v>192</v>
      </c>
      <c r="X147" s="28"/>
      <c r="Y147" s="28" t="s">
        <v>75</v>
      </c>
    </row>
    <row r="148" spans="1:25" x14ac:dyDescent="0.2">
      <c r="A148" s="17" t="s">
        <v>403</v>
      </c>
      <c r="B148" s="28"/>
      <c r="C148" s="12" t="s">
        <v>404</v>
      </c>
      <c r="D148" s="28"/>
      <c r="E148" s="12" t="s">
        <v>405</v>
      </c>
      <c r="F148" s="28"/>
      <c r="G148" s="9">
        <v>4030960</v>
      </c>
      <c r="H148" s="28"/>
      <c r="I148" s="9">
        <v>4049947.6</v>
      </c>
      <c r="J148" s="28"/>
      <c r="K148" s="9">
        <v>18987.600000000089</v>
      </c>
      <c r="L148" s="28"/>
      <c r="M148" s="9">
        <v>4000000</v>
      </c>
      <c r="N148" s="28"/>
      <c r="O148" s="12" t="s">
        <v>366</v>
      </c>
      <c r="P148" s="28"/>
      <c r="Q148" s="12" t="s">
        <v>367</v>
      </c>
      <c r="R148" s="28"/>
      <c r="S148" s="12" t="s">
        <v>388</v>
      </c>
      <c r="T148" s="28"/>
      <c r="U148" s="21">
        <v>1.9699999999999999E-2</v>
      </c>
      <c r="V148" s="28"/>
      <c r="W148" s="19">
        <v>244</v>
      </c>
      <c r="X148" s="28"/>
      <c r="Y148" s="28" t="s">
        <v>180</v>
      </c>
    </row>
    <row r="149" spans="1:25" x14ac:dyDescent="0.2">
      <c r="A149" s="17" t="s">
        <v>406</v>
      </c>
      <c r="B149" s="28"/>
      <c r="C149" s="12" t="s">
        <v>407</v>
      </c>
      <c r="D149" s="28"/>
      <c r="E149" s="12" t="s">
        <v>408</v>
      </c>
      <c r="F149" s="28"/>
      <c r="G149" s="9">
        <v>6043518</v>
      </c>
      <c r="H149" s="28"/>
      <c r="I149" s="9">
        <v>6301789.2999999998</v>
      </c>
      <c r="J149" s="28"/>
      <c r="K149" s="9">
        <v>258271.29999999981</v>
      </c>
      <c r="L149" s="28"/>
      <c r="M149" s="9">
        <v>5850000</v>
      </c>
      <c r="N149" s="28"/>
      <c r="O149" s="12" t="s">
        <v>288</v>
      </c>
      <c r="P149" s="28"/>
      <c r="Q149" s="12" t="s">
        <v>287</v>
      </c>
      <c r="R149" s="28"/>
      <c r="S149" s="12" t="s">
        <v>286</v>
      </c>
      <c r="T149" s="28"/>
      <c r="U149" s="21">
        <v>2.1100000000000001E-2</v>
      </c>
      <c r="V149" s="28"/>
      <c r="W149" s="19">
        <v>1316</v>
      </c>
      <c r="X149" s="28"/>
      <c r="Y149" s="28" t="s">
        <v>180</v>
      </c>
    </row>
    <row r="150" spans="1:25" x14ac:dyDescent="0.2">
      <c r="A150" s="17" t="s">
        <v>409</v>
      </c>
      <c r="B150" s="28"/>
      <c r="C150" s="12" t="s">
        <v>374</v>
      </c>
      <c r="D150" s="28"/>
      <c r="E150" s="12" t="s">
        <v>410</v>
      </c>
      <c r="F150" s="28"/>
      <c r="G150" s="9">
        <v>3993280</v>
      </c>
      <c r="H150" s="28"/>
      <c r="I150" s="9">
        <v>4135914.96</v>
      </c>
      <c r="J150" s="28"/>
      <c r="K150" s="9">
        <v>142634.96</v>
      </c>
      <c r="L150" s="28"/>
      <c r="M150" s="9">
        <v>4000000</v>
      </c>
      <c r="N150" s="28"/>
      <c r="O150" s="12" t="s">
        <v>376</v>
      </c>
      <c r="P150" s="28"/>
      <c r="Q150" s="12" t="s">
        <v>372</v>
      </c>
      <c r="R150" s="28"/>
      <c r="S150" s="12" t="s">
        <v>366</v>
      </c>
      <c r="T150" s="28"/>
      <c r="U150" s="21">
        <v>2.5600000000000001E-2</v>
      </c>
      <c r="V150" s="28"/>
      <c r="W150" s="19">
        <v>684</v>
      </c>
      <c r="X150" s="28"/>
      <c r="Y150" s="28" t="s">
        <v>180</v>
      </c>
    </row>
    <row r="151" spans="1:25" x14ac:dyDescent="0.2">
      <c r="A151" s="17" t="s">
        <v>411</v>
      </c>
      <c r="B151" s="28"/>
      <c r="C151" s="12" t="s">
        <v>412</v>
      </c>
      <c r="D151" s="28"/>
      <c r="E151" s="12" t="s">
        <v>413</v>
      </c>
      <c r="F151" s="28"/>
      <c r="G151" s="9">
        <v>4036968</v>
      </c>
      <c r="H151" s="28"/>
      <c r="I151" s="9">
        <v>4209518.17</v>
      </c>
      <c r="J151" s="28"/>
      <c r="K151" s="9">
        <v>172550.1699999999</v>
      </c>
      <c r="L151" s="28"/>
      <c r="M151" s="9">
        <v>3800000</v>
      </c>
      <c r="N151" s="28"/>
      <c r="O151" s="12" t="s">
        <v>388</v>
      </c>
      <c r="P151" s="28"/>
      <c r="Q151" s="12" t="s">
        <v>389</v>
      </c>
      <c r="R151" s="28"/>
      <c r="S151" s="12" t="s">
        <v>376</v>
      </c>
      <c r="T151" s="28"/>
      <c r="U151" s="21">
        <v>1.9800000000000002E-2</v>
      </c>
      <c r="V151" s="28"/>
      <c r="W151" s="19">
        <v>1415</v>
      </c>
      <c r="X151" s="28"/>
      <c r="Y151" s="28" t="s">
        <v>180</v>
      </c>
    </row>
    <row r="152" spans="1:25" x14ac:dyDescent="0.2">
      <c r="A152" s="17" t="s">
        <v>414</v>
      </c>
      <c r="B152" s="28"/>
      <c r="C152" s="12" t="s">
        <v>415</v>
      </c>
      <c r="D152" s="28"/>
      <c r="E152" s="12" t="s">
        <v>416</v>
      </c>
      <c r="F152" s="28"/>
      <c r="G152" s="9">
        <v>3185370</v>
      </c>
      <c r="H152" s="28"/>
      <c r="I152" s="9">
        <v>3262731.18</v>
      </c>
      <c r="J152" s="28"/>
      <c r="K152" s="9">
        <v>77361.180000000168</v>
      </c>
      <c r="L152" s="28"/>
      <c r="M152" s="9">
        <v>3000000</v>
      </c>
      <c r="N152" s="28"/>
      <c r="O152" s="12" t="s">
        <v>366</v>
      </c>
      <c r="P152" s="28"/>
      <c r="Q152" s="12" t="s">
        <v>372</v>
      </c>
      <c r="R152" s="28"/>
      <c r="S152" s="12" t="s">
        <v>376</v>
      </c>
      <c r="T152" s="28"/>
      <c r="U152" s="21">
        <v>1.95E-2</v>
      </c>
      <c r="V152" s="28"/>
      <c r="W152" s="19">
        <v>1120</v>
      </c>
      <c r="X152" s="28"/>
      <c r="Y152" s="28" t="s">
        <v>180</v>
      </c>
    </row>
    <row r="153" spans="1:25" x14ac:dyDescent="0.2">
      <c r="A153" s="17" t="s">
        <v>417</v>
      </c>
      <c r="B153" s="28"/>
      <c r="C153" s="12" t="s">
        <v>356</v>
      </c>
      <c r="D153" s="28"/>
      <c r="E153" s="12" t="s">
        <v>418</v>
      </c>
      <c r="F153" s="28"/>
      <c r="G153" s="9">
        <v>3063060</v>
      </c>
      <c r="H153" s="28"/>
      <c r="I153" s="9">
        <v>3009210</v>
      </c>
      <c r="J153" s="28"/>
      <c r="K153" s="9">
        <v>-53850</v>
      </c>
      <c r="L153" s="28"/>
      <c r="M153" s="9">
        <v>3000000</v>
      </c>
      <c r="N153" s="28"/>
      <c r="O153" s="12" t="s">
        <v>376</v>
      </c>
      <c r="P153" s="28"/>
      <c r="Q153" s="12" t="s">
        <v>389</v>
      </c>
      <c r="R153" s="28"/>
      <c r="S153" s="12" t="s">
        <v>388</v>
      </c>
      <c r="T153" s="28"/>
      <c r="U153" s="21">
        <v>1.8141305999999999E-2</v>
      </c>
      <c r="V153" s="28"/>
      <c r="W153" s="19">
        <v>49</v>
      </c>
      <c r="X153" s="28"/>
      <c r="Y153" s="28" t="s">
        <v>75</v>
      </c>
    </row>
    <row r="154" spans="1:25" x14ac:dyDescent="0.2">
      <c r="A154" s="17" t="s">
        <v>419</v>
      </c>
      <c r="B154" s="28"/>
      <c r="C154" s="12" t="s">
        <v>420</v>
      </c>
      <c r="D154" s="28"/>
      <c r="E154" s="12" t="s">
        <v>421</v>
      </c>
      <c r="F154" s="28"/>
      <c r="G154" s="9">
        <v>2460192</v>
      </c>
      <c r="H154" s="28"/>
      <c r="I154" s="9">
        <v>2452989</v>
      </c>
      <c r="J154" s="28"/>
      <c r="K154" s="9">
        <v>-7203</v>
      </c>
      <c r="L154" s="28"/>
      <c r="M154" s="9">
        <v>2450000</v>
      </c>
      <c r="N154" s="28"/>
      <c r="O154" s="12" t="s">
        <v>366</v>
      </c>
      <c r="P154" s="28"/>
      <c r="Q154" s="12" t="s">
        <v>367</v>
      </c>
      <c r="R154" s="28"/>
      <c r="S154" s="12" t="s">
        <v>368</v>
      </c>
      <c r="T154" s="28"/>
      <c r="U154" s="21">
        <v>1.9300000000000001E-2</v>
      </c>
      <c r="V154" s="28"/>
      <c r="W154" s="19">
        <v>22</v>
      </c>
      <c r="X154" s="28"/>
      <c r="Y154" s="28" t="s">
        <v>180</v>
      </c>
    </row>
    <row r="155" spans="1:25" x14ac:dyDescent="0.2">
      <c r="A155" s="17" t="s">
        <v>419</v>
      </c>
      <c r="B155" s="28"/>
      <c r="C155" s="12" t="s">
        <v>420</v>
      </c>
      <c r="D155" s="28"/>
      <c r="E155" s="12" t="s">
        <v>421</v>
      </c>
      <c r="F155" s="28"/>
      <c r="G155" s="9">
        <v>3263520</v>
      </c>
      <c r="H155" s="28"/>
      <c r="I155" s="9">
        <v>3253965</v>
      </c>
      <c r="J155" s="28"/>
      <c r="K155" s="9">
        <v>-9555</v>
      </c>
      <c r="L155" s="28"/>
      <c r="M155" s="9">
        <v>3250000</v>
      </c>
      <c r="N155" s="28"/>
      <c r="O155" s="12" t="s">
        <v>366</v>
      </c>
      <c r="P155" s="28"/>
      <c r="Q155" s="12" t="s">
        <v>367</v>
      </c>
      <c r="R155" s="28"/>
      <c r="S155" s="12" t="s">
        <v>368</v>
      </c>
      <c r="T155" s="28"/>
      <c r="U155" s="21">
        <v>1.9300000000000001E-2</v>
      </c>
      <c r="V155" s="28"/>
      <c r="W155" s="19">
        <v>22</v>
      </c>
      <c r="X155" s="28"/>
      <c r="Y155" s="28" t="s">
        <v>180</v>
      </c>
    </row>
    <row r="156" spans="1:25" x14ac:dyDescent="0.2">
      <c r="A156" s="28"/>
      <c r="B156" s="28"/>
      <c r="C156" s="28"/>
      <c r="D156" s="28"/>
      <c r="E156" s="28"/>
      <c r="F156" s="28"/>
      <c r="G156" s="11"/>
      <c r="H156" s="28"/>
      <c r="I156" s="11"/>
      <c r="J156" s="28"/>
      <c r="K156" s="11"/>
      <c r="L156" s="28"/>
      <c r="M156" s="11"/>
      <c r="N156" s="28"/>
      <c r="O156" s="28"/>
      <c r="P156" s="28"/>
      <c r="Q156" s="28"/>
      <c r="R156" s="28"/>
      <c r="S156" s="28"/>
      <c r="T156" s="28"/>
      <c r="U156" s="11"/>
      <c r="V156" s="28"/>
      <c r="W156" s="11"/>
      <c r="X156" s="28"/>
      <c r="Y156" s="28"/>
    </row>
    <row r="157" spans="1:25" ht="15" customHeight="1" x14ac:dyDescent="0.2">
      <c r="A157" s="8" t="s">
        <v>422</v>
      </c>
      <c r="B157" s="28"/>
      <c r="C157" s="28"/>
      <c r="D157" s="28"/>
      <c r="E157" s="28"/>
      <c r="F157" s="28"/>
      <c r="G157" s="25">
        <v>69676128.599999994</v>
      </c>
      <c r="H157" s="28"/>
      <c r="I157" s="25">
        <v>71531263.599999994</v>
      </c>
      <c r="J157" s="28"/>
      <c r="K157" s="25">
        <f>I157-G157</f>
        <v>1855135</v>
      </c>
      <c r="L157" s="28"/>
      <c r="M157" s="25">
        <v>68280000</v>
      </c>
      <c r="N157" s="28"/>
      <c r="O157" s="28"/>
      <c r="P157" s="28"/>
      <c r="Q157" s="28"/>
      <c r="R157" s="28"/>
      <c r="S157" s="28"/>
      <c r="T157" s="28"/>
      <c r="U157" s="22">
        <v>2.2396075721100934E-2</v>
      </c>
      <c r="V157" s="28"/>
      <c r="W157" s="15">
        <v>736.5272865381063</v>
      </c>
      <c r="X157" s="28"/>
      <c r="Y157" s="28"/>
    </row>
    <row r="158" spans="1:25" x14ac:dyDescent="0.2">
      <c r="A158" s="28"/>
      <c r="B158" s="28"/>
      <c r="C158" s="28"/>
      <c r="D158" s="28"/>
      <c r="E158" s="28"/>
      <c r="F158" s="28"/>
      <c r="G158" s="4"/>
      <c r="H158" s="28"/>
      <c r="I158" s="4"/>
      <c r="J158" s="28"/>
      <c r="K158" s="4"/>
      <c r="L158" s="28"/>
      <c r="M158" s="4"/>
      <c r="N158" s="28"/>
      <c r="O158" s="28"/>
      <c r="P158" s="28"/>
      <c r="Q158" s="28"/>
      <c r="R158" s="28"/>
      <c r="S158" s="28"/>
      <c r="T158" s="28"/>
      <c r="U158" s="4"/>
      <c r="V158" s="28"/>
      <c r="W158" s="4"/>
      <c r="X158" s="28"/>
      <c r="Y158" s="28"/>
    </row>
    <row r="159" spans="1:25" x14ac:dyDescent="0.2">
      <c r="A159" s="5" t="s">
        <v>423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spans="1:25" x14ac:dyDescent="0.2">
      <c r="A160" s="17" t="s">
        <v>424</v>
      </c>
      <c r="B160" s="28"/>
      <c r="C160" s="12" t="s">
        <v>289</v>
      </c>
      <c r="D160" s="28"/>
      <c r="E160" s="12" t="s">
        <v>425</v>
      </c>
      <c r="F160" s="28"/>
      <c r="G160" s="20">
        <v>4922860</v>
      </c>
      <c r="H160" s="28"/>
      <c r="I160" s="20">
        <v>5019149.3499999996</v>
      </c>
      <c r="J160" s="28"/>
      <c r="K160" s="20">
        <v>96289.349999999627</v>
      </c>
      <c r="L160" s="28"/>
      <c r="M160" s="20">
        <v>5000000</v>
      </c>
      <c r="N160" s="28"/>
      <c r="O160" s="12" t="s">
        <v>305</v>
      </c>
      <c r="P160" s="28"/>
      <c r="Q160" s="12" t="s">
        <v>287</v>
      </c>
      <c r="R160" s="28"/>
      <c r="S160" s="12" t="s">
        <v>288</v>
      </c>
      <c r="T160" s="28"/>
      <c r="U160" s="21">
        <v>2.5999999999999999E-2</v>
      </c>
      <c r="V160" s="28"/>
      <c r="W160" s="19">
        <v>74</v>
      </c>
      <c r="X160" s="28"/>
      <c r="Y160" s="28" t="s">
        <v>180</v>
      </c>
    </row>
    <row r="161" spans="1:25" x14ac:dyDescent="0.2">
      <c r="A161" s="17" t="s">
        <v>426</v>
      </c>
      <c r="B161" s="28"/>
      <c r="C161" s="12" t="s">
        <v>427</v>
      </c>
      <c r="D161" s="28"/>
      <c r="E161" s="12" t="s">
        <v>428</v>
      </c>
      <c r="F161" s="28"/>
      <c r="G161" s="9">
        <v>5319557</v>
      </c>
      <c r="H161" s="28"/>
      <c r="I161" s="9">
        <v>5333457.2</v>
      </c>
      <c r="J161" s="28"/>
      <c r="K161" s="9">
        <v>13900.20000000019</v>
      </c>
      <c r="L161" s="28"/>
      <c r="M161" s="9">
        <v>5300000</v>
      </c>
      <c r="N161" s="28"/>
      <c r="O161" s="12" t="s">
        <v>288</v>
      </c>
      <c r="P161" s="28"/>
      <c r="Q161" s="12" t="s">
        <v>287</v>
      </c>
      <c r="R161" s="28"/>
      <c r="S161" s="12" t="s">
        <v>288</v>
      </c>
      <c r="T161" s="28"/>
      <c r="U161" s="21">
        <v>1.67E-2</v>
      </c>
      <c r="V161" s="28"/>
      <c r="W161" s="19">
        <v>132</v>
      </c>
      <c r="X161" s="28"/>
      <c r="Y161" s="28" t="s">
        <v>180</v>
      </c>
    </row>
    <row r="162" spans="1:25" x14ac:dyDescent="0.2">
      <c r="A162" s="17" t="s">
        <v>426</v>
      </c>
      <c r="B162" s="28"/>
      <c r="C162" s="12" t="s">
        <v>429</v>
      </c>
      <c r="D162" s="28"/>
      <c r="E162" s="12" t="s">
        <v>430</v>
      </c>
      <c r="F162" s="28"/>
      <c r="G162" s="9">
        <v>3898440</v>
      </c>
      <c r="H162" s="28"/>
      <c r="I162" s="9">
        <v>3973016.89</v>
      </c>
      <c r="J162" s="28"/>
      <c r="K162" s="9">
        <v>74576.89000000013</v>
      </c>
      <c r="L162" s="28"/>
      <c r="M162" s="9">
        <v>3900000</v>
      </c>
      <c r="N162" s="28"/>
      <c r="O162" s="12" t="s">
        <v>288</v>
      </c>
      <c r="P162" s="28"/>
      <c r="Q162" s="12" t="s">
        <v>287</v>
      </c>
      <c r="R162" s="28"/>
      <c r="S162" s="12" t="s">
        <v>288</v>
      </c>
      <c r="T162" s="28"/>
      <c r="U162" s="21">
        <v>2.64E-2</v>
      </c>
      <c r="V162" s="28"/>
      <c r="W162" s="19">
        <v>293</v>
      </c>
      <c r="X162" s="28"/>
      <c r="Y162" s="28" t="s">
        <v>180</v>
      </c>
    </row>
    <row r="163" spans="1:25" x14ac:dyDescent="0.2">
      <c r="A163" s="17" t="s">
        <v>426</v>
      </c>
      <c r="B163" s="28"/>
      <c r="C163" s="12" t="s">
        <v>431</v>
      </c>
      <c r="D163" s="28"/>
      <c r="E163" s="12" t="s">
        <v>430</v>
      </c>
      <c r="F163" s="28"/>
      <c r="G163" s="9">
        <v>1685290.2</v>
      </c>
      <c r="H163" s="28"/>
      <c r="I163" s="9">
        <v>1680891.76</v>
      </c>
      <c r="J163" s="28"/>
      <c r="K163" s="9">
        <v>-4398.4399999999441</v>
      </c>
      <c r="L163" s="28"/>
      <c r="M163" s="9">
        <v>1650000</v>
      </c>
      <c r="N163" s="28"/>
      <c r="O163" s="12" t="s">
        <v>288</v>
      </c>
      <c r="P163" s="28"/>
      <c r="Q163" s="12" t="s">
        <v>287</v>
      </c>
      <c r="R163" s="28"/>
      <c r="S163" s="12" t="s">
        <v>288</v>
      </c>
      <c r="T163" s="28"/>
      <c r="U163" s="21">
        <v>4.1999999999999997E-3</v>
      </c>
      <c r="V163" s="28"/>
      <c r="W163" s="19">
        <v>293</v>
      </c>
      <c r="X163" s="28"/>
      <c r="Y163" s="28" t="s">
        <v>180</v>
      </c>
    </row>
    <row r="164" spans="1:25" x14ac:dyDescent="0.2">
      <c r="A164" s="17" t="s">
        <v>426</v>
      </c>
      <c r="B164" s="28"/>
      <c r="C164" s="12" t="s">
        <v>432</v>
      </c>
      <c r="D164" s="28"/>
      <c r="E164" s="12" t="s">
        <v>428</v>
      </c>
      <c r="F164" s="28"/>
      <c r="G164" s="9">
        <v>3638415.12</v>
      </c>
      <c r="H164" s="28"/>
      <c r="I164" s="9">
        <v>3628104.45</v>
      </c>
      <c r="J164" s="28"/>
      <c r="K164" s="9">
        <v>-10310.669999999929</v>
      </c>
      <c r="L164" s="28"/>
      <c r="M164" s="9">
        <v>3605000</v>
      </c>
      <c r="N164" s="28"/>
      <c r="O164" s="12" t="s">
        <v>288</v>
      </c>
      <c r="P164" s="28"/>
      <c r="Q164" s="12" t="s">
        <v>287</v>
      </c>
      <c r="R164" s="28"/>
      <c r="S164" s="12" t="s">
        <v>288</v>
      </c>
      <c r="T164" s="28"/>
      <c r="U164" s="21">
        <v>1.8140440000000001E-2</v>
      </c>
      <c r="V164" s="28"/>
      <c r="W164" s="19">
        <v>132</v>
      </c>
      <c r="X164" s="28"/>
      <c r="Y164" s="28" t="s">
        <v>75</v>
      </c>
    </row>
    <row r="165" spans="1:25" x14ac:dyDescent="0.2">
      <c r="A165" s="17" t="s">
        <v>433</v>
      </c>
      <c r="B165" s="28"/>
      <c r="C165" s="12" t="s">
        <v>434</v>
      </c>
      <c r="D165" s="28"/>
      <c r="E165" s="12" t="s">
        <v>435</v>
      </c>
      <c r="F165" s="28"/>
      <c r="G165" s="9">
        <v>1540457.7</v>
      </c>
      <c r="H165" s="28"/>
      <c r="I165" s="9">
        <v>1562166.5</v>
      </c>
      <c r="J165" s="28"/>
      <c r="K165" s="9">
        <v>21708.80000000005</v>
      </c>
      <c r="L165" s="28"/>
      <c r="M165" s="9">
        <v>1545000</v>
      </c>
      <c r="N165" s="28"/>
      <c r="O165" s="12" t="s">
        <v>288</v>
      </c>
      <c r="P165" s="28"/>
      <c r="Q165" s="12" t="s">
        <v>287</v>
      </c>
      <c r="R165" s="28"/>
      <c r="S165" s="12" t="s">
        <v>222</v>
      </c>
      <c r="T165" s="28"/>
      <c r="U165" s="21">
        <v>2.3520731E-2</v>
      </c>
      <c r="V165" s="28"/>
      <c r="W165" s="19">
        <v>209</v>
      </c>
      <c r="X165" s="28"/>
      <c r="Y165" s="28" t="s">
        <v>75</v>
      </c>
    </row>
    <row r="166" spans="1:25" x14ac:dyDescent="0.2">
      <c r="A166" s="17" t="s">
        <v>436</v>
      </c>
      <c r="B166" s="28"/>
      <c r="C166" s="12" t="s">
        <v>437</v>
      </c>
      <c r="D166" s="28"/>
      <c r="E166" s="12" t="s">
        <v>425</v>
      </c>
      <c r="F166" s="28"/>
      <c r="G166" s="9">
        <v>3666180</v>
      </c>
      <c r="H166" s="28"/>
      <c r="I166" s="9">
        <v>3683048.25</v>
      </c>
      <c r="J166" s="28"/>
      <c r="K166" s="9">
        <v>16868.25</v>
      </c>
      <c r="L166" s="28"/>
      <c r="M166" s="9">
        <v>3675000</v>
      </c>
      <c r="N166" s="28"/>
      <c r="O166" s="12" t="s">
        <v>288</v>
      </c>
      <c r="P166" s="28"/>
      <c r="Q166" s="12" t="s">
        <v>287</v>
      </c>
      <c r="R166" s="28"/>
      <c r="S166" s="12" t="s">
        <v>288</v>
      </c>
      <c r="T166" s="28"/>
      <c r="U166" s="21">
        <v>1.643882E-2</v>
      </c>
      <c r="V166" s="28"/>
      <c r="W166" s="19">
        <v>74</v>
      </c>
      <c r="X166" s="28"/>
      <c r="Y166" s="28" t="s">
        <v>75</v>
      </c>
    </row>
    <row r="167" spans="1:25" x14ac:dyDescent="0.2">
      <c r="A167" s="28"/>
      <c r="B167" s="28"/>
      <c r="C167" s="28"/>
      <c r="D167" s="28"/>
      <c r="E167" s="28"/>
      <c r="F167" s="28"/>
      <c r="G167" s="11"/>
      <c r="H167" s="28"/>
      <c r="I167" s="11"/>
      <c r="J167" s="28"/>
      <c r="K167" s="11"/>
      <c r="L167" s="28"/>
      <c r="M167" s="11"/>
      <c r="N167" s="28"/>
      <c r="O167" s="28"/>
      <c r="P167" s="28"/>
      <c r="Q167" s="28"/>
      <c r="R167" s="28"/>
      <c r="S167" s="28"/>
      <c r="T167" s="28"/>
      <c r="U167" s="11"/>
      <c r="V167" s="28"/>
      <c r="W167" s="11"/>
      <c r="X167" s="28"/>
      <c r="Y167" s="28"/>
    </row>
    <row r="168" spans="1:25" ht="15" customHeight="1" x14ac:dyDescent="0.2">
      <c r="A168" s="8" t="s">
        <v>438</v>
      </c>
      <c r="B168" s="28"/>
      <c r="C168" s="28"/>
      <c r="D168" s="28"/>
      <c r="E168" s="28"/>
      <c r="F168" s="28"/>
      <c r="G168" s="25">
        <v>24671200.02</v>
      </c>
      <c r="H168" s="28"/>
      <c r="I168" s="25">
        <v>24879834.399999999</v>
      </c>
      <c r="J168" s="28"/>
      <c r="K168" s="25">
        <v>208634.38000000009</v>
      </c>
      <c r="L168" s="28"/>
      <c r="M168" s="25">
        <v>24675000</v>
      </c>
      <c r="N168" s="28"/>
      <c r="O168" s="28"/>
      <c r="P168" s="28"/>
      <c r="Q168" s="28"/>
      <c r="R168" s="28"/>
      <c r="S168" s="28"/>
      <c r="T168" s="28"/>
      <c r="U168" s="22">
        <v>1.98340904296893E-2</v>
      </c>
      <c r="V168" s="28"/>
      <c r="W168" s="15">
        <f>IFERROR(SUMPRODUCT(I160:I166, W160:W166)/SUMIF(I160:I166,"&gt;0"), 1)</f>
        <v>153.13513473988394</v>
      </c>
      <c r="X168" s="28" t="s">
        <v>439</v>
      </c>
      <c r="Y168" s="28"/>
    </row>
    <row r="169" spans="1:25" x14ac:dyDescent="0.2">
      <c r="A169" s="28"/>
      <c r="B169" s="28"/>
      <c r="C169" s="28"/>
      <c r="D169" s="28"/>
      <c r="E169" s="28"/>
      <c r="F169" s="28"/>
      <c r="G169" s="4"/>
      <c r="H169" s="28"/>
      <c r="I169" s="4"/>
      <c r="J169" s="28"/>
      <c r="K169" s="4"/>
      <c r="L169" s="28"/>
      <c r="M169" s="4"/>
      <c r="N169" s="28"/>
      <c r="O169" s="28"/>
      <c r="P169" s="28"/>
      <c r="Q169" s="28"/>
      <c r="R169" s="28"/>
      <c r="S169" s="28"/>
      <c r="T169" s="28"/>
      <c r="U169" s="4"/>
      <c r="V169" s="28"/>
      <c r="W169" s="4"/>
      <c r="X169" s="28"/>
      <c r="Y169" s="28"/>
    </row>
    <row r="170" spans="1:25" x14ac:dyDescent="0.2">
      <c r="A170" s="5" t="s">
        <v>440</v>
      </c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spans="1:25" x14ac:dyDescent="0.2">
      <c r="A171" s="17" t="s">
        <v>441</v>
      </c>
      <c r="B171" s="28"/>
      <c r="C171" s="12" t="s">
        <v>442</v>
      </c>
      <c r="D171" s="28"/>
      <c r="E171" s="12" t="s">
        <v>443</v>
      </c>
      <c r="F171" s="28"/>
      <c r="G171" s="20">
        <v>2905000</v>
      </c>
      <c r="H171" s="28"/>
      <c r="I171" s="20">
        <v>2925311.76</v>
      </c>
      <c r="J171" s="28"/>
      <c r="K171" s="20">
        <v>20311.75999999978</v>
      </c>
      <c r="L171" s="28"/>
      <c r="M171" s="20">
        <v>2905000</v>
      </c>
      <c r="N171" s="28"/>
      <c r="O171" s="12" t="s">
        <v>444</v>
      </c>
      <c r="P171" s="28"/>
      <c r="Q171" s="12" t="s">
        <v>445</v>
      </c>
      <c r="R171" s="28"/>
      <c r="S171" s="12" t="s">
        <v>222</v>
      </c>
      <c r="T171" s="28"/>
      <c r="U171" s="21">
        <v>2.2700000000000001E-2</v>
      </c>
      <c r="V171" s="28"/>
      <c r="W171" s="19">
        <v>139</v>
      </c>
      <c r="X171" s="28"/>
      <c r="Y171" s="28" t="s">
        <v>75</v>
      </c>
    </row>
    <row r="172" spans="1:25" x14ac:dyDescent="0.2">
      <c r="A172" s="17" t="s">
        <v>446</v>
      </c>
      <c r="B172" s="28"/>
      <c r="C172" s="12" t="s">
        <v>447</v>
      </c>
      <c r="D172" s="28"/>
      <c r="E172" s="12" t="s">
        <v>448</v>
      </c>
      <c r="F172" s="28"/>
      <c r="G172" s="9">
        <v>3500000</v>
      </c>
      <c r="H172" s="28"/>
      <c r="I172" s="9">
        <v>3506342</v>
      </c>
      <c r="J172" s="28"/>
      <c r="K172" s="9">
        <v>6342</v>
      </c>
      <c r="L172" s="28"/>
      <c r="M172" s="9">
        <v>3500000</v>
      </c>
      <c r="N172" s="28"/>
      <c r="O172" s="12" t="s">
        <v>449</v>
      </c>
      <c r="P172" s="28"/>
      <c r="Q172" s="12" t="s">
        <v>445</v>
      </c>
      <c r="R172" s="28"/>
      <c r="S172" s="12" t="s">
        <v>222</v>
      </c>
      <c r="T172" s="28"/>
      <c r="U172" s="21">
        <v>2.0500371E-2</v>
      </c>
      <c r="V172" s="28"/>
      <c r="W172" s="19">
        <v>34</v>
      </c>
      <c r="X172" s="28"/>
      <c r="Y172" s="28" t="s">
        <v>75</v>
      </c>
    </row>
    <row r="173" spans="1:25" x14ac:dyDescent="0.2">
      <c r="A173" s="28"/>
      <c r="B173" s="28"/>
      <c r="C173" s="28"/>
      <c r="D173" s="28"/>
      <c r="E173" s="28"/>
      <c r="F173" s="28"/>
      <c r="G173" s="11"/>
      <c r="H173" s="28"/>
      <c r="I173" s="11"/>
      <c r="J173" s="28"/>
      <c r="K173" s="11"/>
      <c r="L173" s="28"/>
      <c r="M173" s="11"/>
      <c r="N173" s="28"/>
      <c r="O173" s="28"/>
      <c r="P173" s="28"/>
      <c r="Q173" s="28"/>
      <c r="R173" s="28"/>
      <c r="S173" s="28"/>
      <c r="T173" s="28"/>
      <c r="U173" s="11"/>
      <c r="V173" s="28"/>
      <c r="W173" s="11"/>
      <c r="X173" s="28"/>
      <c r="Y173" s="28"/>
    </row>
    <row r="174" spans="1:25" ht="15" customHeight="1" x14ac:dyDescent="0.2">
      <c r="A174" s="8" t="s">
        <v>450</v>
      </c>
      <c r="B174" s="28"/>
      <c r="C174" s="28"/>
      <c r="D174" s="28"/>
      <c r="E174" s="28"/>
      <c r="F174" s="28"/>
      <c r="G174" s="25">
        <v>6405000</v>
      </c>
      <c r="H174" s="28"/>
      <c r="I174" s="25">
        <v>6431653.7599999998</v>
      </c>
      <c r="J174" s="28"/>
      <c r="K174" s="25">
        <v>26653.75999999978</v>
      </c>
      <c r="L174" s="28"/>
      <c r="M174" s="25">
        <v>6405000</v>
      </c>
      <c r="N174" s="28"/>
      <c r="O174" s="28"/>
      <c r="P174" s="28"/>
      <c r="Q174" s="28"/>
      <c r="R174" s="28"/>
      <c r="S174" s="28"/>
      <c r="T174" s="28"/>
      <c r="U174" s="22">
        <v>2.1498016939890702E-2</v>
      </c>
      <c r="V174" s="28"/>
      <c r="W174" s="15">
        <f>IFERROR(SUMPRODUCT(I171:I172, W171:W172)/SUMIF(I171:I172,"&gt;0"), 1)</f>
        <v>81.757193757892836</v>
      </c>
      <c r="X174" s="28"/>
      <c r="Y174" s="28"/>
    </row>
    <row r="175" spans="1:25" x14ac:dyDescent="0.2">
      <c r="A175" s="28"/>
      <c r="B175" s="28"/>
      <c r="C175" s="28"/>
      <c r="D175" s="28"/>
      <c r="E175" s="28"/>
      <c r="F175" s="28"/>
      <c r="G175" s="4"/>
      <c r="H175" s="28"/>
      <c r="I175" s="4"/>
      <c r="J175" s="28"/>
      <c r="K175" s="4"/>
      <c r="L175" s="28"/>
      <c r="M175" s="4"/>
      <c r="N175" s="28"/>
      <c r="O175" s="28"/>
      <c r="P175" s="28"/>
      <c r="Q175" s="28"/>
      <c r="R175" s="28"/>
      <c r="S175" s="28"/>
      <c r="T175" s="28"/>
      <c r="U175" s="4"/>
      <c r="V175" s="28"/>
      <c r="W175" s="4"/>
      <c r="X175" s="28"/>
      <c r="Y175" s="28"/>
    </row>
    <row r="176" spans="1:25" x14ac:dyDescent="0.2">
      <c r="A176" s="5" t="s">
        <v>451</v>
      </c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spans="1:25" ht="14" customHeight="1" x14ac:dyDescent="0.2">
      <c r="A177" s="17" t="s">
        <v>452</v>
      </c>
      <c r="B177" s="28"/>
      <c r="C177" s="12" t="s">
        <v>453</v>
      </c>
      <c r="D177" s="28"/>
      <c r="E177" s="12" t="s">
        <v>454</v>
      </c>
      <c r="F177" s="28"/>
      <c r="G177" s="20">
        <v>11962.55</v>
      </c>
      <c r="H177" s="28"/>
      <c r="I177" s="20">
        <v>11969.85</v>
      </c>
      <c r="J177" s="28"/>
      <c r="K177" s="20">
        <v>7.3000000000010914</v>
      </c>
      <c r="L177" s="28"/>
      <c r="M177" s="20">
        <v>11963.96</v>
      </c>
      <c r="N177" s="28"/>
      <c r="O177" s="12" t="s">
        <v>222</v>
      </c>
      <c r="P177" s="28"/>
      <c r="Q177" s="12" t="s">
        <v>287</v>
      </c>
      <c r="R177" s="28"/>
      <c r="S177" s="12" t="s">
        <v>288</v>
      </c>
      <c r="T177" s="28"/>
      <c r="U177" s="21">
        <v>1.7828080999999999E-2</v>
      </c>
      <c r="V177" s="28"/>
      <c r="W177" s="19">
        <v>411</v>
      </c>
      <c r="X177" s="28"/>
      <c r="Y177" s="28" t="s">
        <v>75</v>
      </c>
    </row>
    <row r="178" spans="1:25" ht="14" customHeight="1" x14ac:dyDescent="0.2">
      <c r="A178" s="17" t="s">
        <v>455</v>
      </c>
      <c r="B178" s="28"/>
      <c r="C178" s="12" t="s">
        <v>456</v>
      </c>
      <c r="D178" s="28"/>
      <c r="E178" s="12" t="s">
        <v>457</v>
      </c>
      <c r="F178" s="28"/>
      <c r="G178" s="9">
        <v>402126.8</v>
      </c>
      <c r="H178" s="28"/>
      <c r="I178" s="9">
        <v>403528.9</v>
      </c>
      <c r="J178" s="28"/>
      <c r="K178" s="9">
        <v>1402.1000000000349</v>
      </c>
      <c r="L178" s="28"/>
      <c r="M178" s="9">
        <v>402158.02</v>
      </c>
      <c r="N178" s="28"/>
      <c r="O178" s="12" t="s">
        <v>288</v>
      </c>
      <c r="P178" s="28"/>
      <c r="Q178" s="12" t="s">
        <v>287</v>
      </c>
      <c r="R178" s="28"/>
      <c r="S178" s="12" t="s">
        <v>222</v>
      </c>
      <c r="T178" s="28"/>
      <c r="U178" s="21">
        <v>1.9918847E-2</v>
      </c>
      <c r="V178" s="28"/>
      <c r="W178" s="19">
        <v>623</v>
      </c>
      <c r="X178" s="28"/>
      <c r="Y178" s="28" t="s">
        <v>75</v>
      </c>
    </row>
    <row r="179" spans="1:25" ht="14" customHeight="1" x14ac:dyDescent="0.2">
      <c r="A179" s="17" t="s">
        <v>458</v>
      </c>
      <c r="B179" s="28"/>
      <c r="C179" s="12" t="s">
        <v>459</v>
      </c>
      <c r="D179" s="28"/>
      <c r="E179" s="12" t="s">
        <v>460</v>
      </c>
      <c r="F179" s="28"/>
      <c r="G179" s="9">
        <v>297612.73</v>
      </c>
      <c r="H179" s="28"/>
      <c r="I179" s="9">
        <v>298967.77</v>
      </c>
      <c r="J179" s="28"/>
      <c r="K179" s="9">
        <v>1355.040000000037</v>
      </c>
      <c r="L179" s="28"/>
      <c r="M179" s="9">
        <v>297654.67</v>
      </c>
      <c r="N179" s="28"/>
      <c r="O179" s="12" t="s">
        <v>222</v>
      </c>
      <c r="P179" s="28"/>
      <c r="Q179" s="12" t="s">
        <v>287</v>
      </c>
      <c r="R179" s="28"/>
      <c r="S179" s="12" t="s">
        <v>288</v>
      </c>
      <c r="T179" s="28"/>
      <c r="U179" s="21">
        <v>2.0536993999999999E-2</v>
      </c>
      <c r="V179" s="28"/>
      <c r="W179" s="19">
        <v>509</v>
      </c>
      <c r="X179" s="28"/>
      <c r="Y179" s="28" t="s">
        <v>75</v>
      </c>
    </row>
    <row r="180" spans="1:25" ht="14" customHeight="1" x14ac:dyDescent="0.2">
      <c r="A180" s="17" t="s">
        <v>461</v>
      </c>
      <c r="B180" s="28"/>
      <c r="C180" s="12" t="s">
        <v>453</v>
      </c>
      <c r="D180" s="28"/>
      <c r="E180" s="12" t="s">
        <v>462</v>
      </c>
      <c r="F180" s="28"/>
      <c r="G180" s="9">
        <v>35249.03</v>
      </c>
      <c r="H180" s="28"/>
      <c r="I180" s="9">
        <v>35310.33</v>
      </c>
      <c r="J180" s="28"/>
      <c r="K180" s="9">
        <v>61.30000000000291</v>
      </c>
      <c r="L180" s="28"/>
      <c r="M180" s="9">
        <v>35251.120000000003</v>
      </c>
      <c r="N180" s="28"/>
      <c r="O180" s="12" t="s">
        <v>222</v>
      </c>
      <c r="P180" s="28"/>
      <c r="Q180" s="12" t="s">
        <v>287</v>
      </c>
      <c r="R180" s="28"/>
      <c r="S180" s="12" t="s">
        <v>288</v>
      </c>
      <c r="T180" s="28"/>
      <c r="U180" s="21">
        <v>1.7214364999999999E-2</v>
      </c>
      <c r="V180" s="28"/>
      <c r="W180" s="19">
        <v>386</v>
      </c>
      <c r="X180" s="28"/>
      <c r="Y180" s="28" t="s">
        <v>75</v>
      </c>
    </row>
    <row r="181" spans="1:25" ht="14" customHeight="1" x14ac:dyDescent="0.2">
      <c r="A181" s="17" t="s">
        <v>463</v>
      </c>
      <c r="B181" s="28"/>
      <c r="C181" s="12" t="s">
        <v>464</v>
      </c>
      <c r="D181" s="28"/>
      <c r="E181" s="12" t="s">
        <v>465</v>
      </c>
      <c r="F181" s="28"/>
      <c r="G181" s="9">
        <v>24801.43</v>
      </c>
      <c r="H181" s="28"/>
      <c r="I181" s="9">
        <v>24822.79</v>
      </c>
      <c r="J181" s="28"/>
      <c r="K181" s="9">
        <v>21.360000000000579</v>
      </c>
      <c r="L181" s="28"/>
      <c r="M181" s="9">
        <v>24803.439999999999</v>
      </c>
      <c r="N181" s="28"/>
      <c r="O181" s="12" t="s">
        <v>288</v>
      </c>
      <c r="P181" s="28"/>
      <c r="Q181" s="12" t="s">
        <v>222</v>
      </c>
      <c r="R181" s="28"/>
      <c r="S181" s="12" t="s">
        <v>288</v>
      </c>
      <c r="T181" s="28"/>
      <c r="U181" s="21">
        <v>1.7618933999999999E-2</v>
      </c>
      <c r="V181" s="28"/>
      <c r="W181" s="19">
        <v>412</v>
      </c>
      <c r="X181" s="28"/>
      <c r="Y181" s="28" t="s">
        <v>75</v>
      </c>
    </row>
    <row r="182" spans="1:25" ht="14" customHeight="1" x14ac:dyDescent="0.2">
      <c r="A182" s="17" t="s">
        <v>466</v>
      </c>
      <c r="B182" s="28"/>
      <c r="C182" s="12" t="s">
        <v>467</v>
      </c>
      <c r="D182" s="28"/>
      <c r="E182" s="12" t="s">
        <v>468</v>
      </c>
      <c r="F182" s="28"/>
      <c r="G182" s="9">
        <v>332087.58</v>
      </c>
      <c r="H182" s="28"/>
      <c r="I182" s="9">
        <v>333021.59999999998</v>
      </c>
      <c r="J182" s="28"/>
      <c r="K182" s="9">
        <v>934.01999999996042</v>
      </c>
      <c r="L182" s="28"/>
      <c r="M182" s="9">
        <v>332145.14</v>
      </c>
      <c r="N182" s="28"/>
      <c r="O182" s="12" t="s">
        <v>288</v>
      </c>
      <c r="P182" s="28"/>
      <c r="Q182" s="12" t="s">
        <v>287</v>
      </c>
      <c r="R182" s="28"/>
      <c r="S182" s="12" t="s">
        <v>222</v>
      </c>
      <c r="T182" s="28"/>
      <c r="U182" s="21">
        <v>1.7740129E-2</v>
      </c>
      <c r="V182" s="28"/>
      <c r="W182" s="19">
        <v>567</v>
      </c>
      <c r="X182" s="28"/>
      <c r="Y182" s="28" t="s">
        <v>75</v>
      </c>
    </row>
    <row r="183" spans="1:25" ht="14" customHeight="1" x14ac:dyDescent="0.2">
      <c r="A183" s="17" t="s">
        <v>469</v>
      </c>
      <c r="B183" s="28"/>
      <c r="C183" s="12" t="s">
        <v>470</v>
      </c>
      <c r="D183" s="28"/>
      <c r="E183" s="12" t="s">
        <v>471</v>
      </c>
      <c r="F183" s="28"/>
      <c r="G183" s="9">
        <v>530360.17000000004</v>
      </c>
      <c r="H183" s="28"/>
      <c r="I183" s="9">
        <v>533231.28</v>
      </c>
      <c r="J183" s="28"/>
      <c r="K183" s="9">
        <v>2871.109999999986</v>
      </c>
      <c r="L183" s="28"/>
      <c r="M183" s="9">
        <v>530409.07999999996</v>
      </c>
      <c r="N183" s="28"/>
      <c r="O183" s="12" t="s">
        <v>288</v>
      </c>
      <c r="P183" s="28"/>
      <c r="Q183" s="12" t="s">
        <v>287</v>
      </c>
      <c r="R183" s="28"/>
      <c r="S183" s="12" t="s">
        <v>222</v>
      </c>
      <c r="T183" s="28"/>
      <c r="U183" s="21">
        <v>1.9323048999999998E-2</v>
      </c>
      <c r="V183" s="28"/>
      <c r="W183" s="19">
        <v>564</v>
      </c>
      <c r="X183" s="28"/>
      <c r="Y183" s="28" t="s">
        <v>75</v>
      </c>
    </row>
    <row r="184" spans="1:25" ht="14" customHeight="1" x14ac:dyDescent="0.2">
      <c r="A184" s="17" t="s">
        <v>472</v>
      </c>
      <c r="B184" s="28"/>
      <c r="C184" s="12" t="s">
        <v>473</v>
      </c>
      <c r="D184" s="28"/>
      <c r="E184" s="12" t="s">
        <v>474</v>
      </c>
      <c r="F184" s="28"/>
      <c r="G184" s="9">
        <v>570851.6</v>
      </c>
      <c r="H184" s="28"/>
      <c r="I184" s="9">
        <v>575273.35</v>
      </c>
      <c r="J184" s="28"/>
      <c r="K184" s="9">
        <v>4421.75</v>
      </c>
      <c r="L184" s="28"/>
      <c r="M184" s="9">
        <v>570858.16</v>
      </c>
      <c r="N184" s="28"/>
      <c r="O184" s="12" t="s">
        <v>288</v>
      </c>
      <c r="P184" s="28"/>
      <c r="Q184" s="12" t="s">
        <v>287</v>
      </c>
      <c r="R184" s="28"/>
      <c r="S184" s="12" t="s">
        <v>222</v>
      </c>
      <c r="T184" s="28"/>
      <c r="U184" s="21">
        <v>2.3502423000000001E-2</v>
      </c>
      <c r="V184" s="28"/>
      <c r="W184" s="19">
        <v>685</v>
      </c>
      <c r="X184" s="28"/>
      <c r="Y184" s="28" t="s">
        <v>75</v>
      </c>
    </row>
    <row r="185" spans="1:25" x14ac:dyDescent="0.2">
      <c r="A185" s="17" t="s">
        <v>475</v>
      </c>
      <c r="B185" s="28"/>
      <c r="C185" s="12" t="s">
        <v>476</v>
      </c>
      <c r="D185" s="28"/>
      <c r="E185" s="12" t="s">
        <v>477</v>
      </c>
      <c r="F185" s="28"/>
      <c r="G185" s="9">
        <v>3532265.63</v>
      </c>
      <c r="H185" s="28"/>
      <c r="I185" s="9">
        <v>3570528.5</v>
      </c>
      <c r="J185" s="28"/>
      <c r="K185" s="9">
        <v>38262.870000000112</v>
      </c>
      <c r="L185" s="28"/>
      <c r="M185" s="9">
        <v>3500000</v>
      </c>
      <c r="N185" s="28"/>
      <c r="O185" s="12" t="s">
        <v>288</v>
      </c>
      <c r="P185" s="28"/>
      <c r="Q185" s="12" t="s">
        <v>287</v>
      </c>
      <c r="R185" s="28"/>
      <c r="S185" s="12" t="s">
        <v>305</v>
      </c>
      <c r="T185" s="28"/>
      <c r="U185" s="21">
        <v>1.37E-2</v>
      </c>
      <c r="V185" s="28"/>
      <c r="W185" s="19">
        <v>960</v>
      </c>
      <c r="X185" s="28"/>
      <c r="Y185" s="28" t="s">
        <v>180</v>
      </c>
    </row>
    <row r="186" spans="1:25" x14ac:dyDescent="0.2">
      <c r="A186" s="28"/>
      <c r="B186" s="28"/>
      <c r="C186" s="28"/>
      <c r="D186" s="28"/>
      <c r="E186" s="28"/>
      <c r="F186" s="28"/>
      <c r="G186" s="11"/>
      <c r="H186" s="28"/>
      <c r="I186" s="11"/>
      <c r="J186" s="28"/>
      <c r="K186" s="11"/>
      <c r="L186" s="28"/>
      <c r="M186" s="11"/>
      <c r="N186" s="28"/>
      <c r="O186" s="28"/>
      <c r="P186" s="28"/>
      <c r="Q186" s="28"/>
      <c r="R186" s="28"/>
      <c r="S186" s="28"/>
      <c r="T186" s="28"/>
      <c r="U186" s="11"/>
      <c r="V186" s="28"/>
      <c r="W186" s="11"/>
      <c r="X186" s="28"/>
      <c r="Y186" s="28"/>
    </row>
    <row r="187" spans="1:25" ht="15" customHeight="1" x14ac:dyDescent="0.2">
      <c r="A187" s="8" t="s">
        <v>478</v>
      </c>
      <c r="B187" s="28"/>
      <c r="C187" s="28"/>
      <c r="D187" s="28"/>
      <c r="E187" s="28"/>
      <c r="F187" s="28"/>
      <c r="G187" s="25">
        <v>5737317.5199999996</v>
      </c>
      <c r="H187" s="28"/>
      <c r="I187" s="25">
        <v>5786654.3700000001</v>
      </c>
      <c r="J187" s="28"/>
      <c r="K187" s="25">
        <f>I187-G187</f>
        <v>49336.850000000559</v>
      </c>
      <c r="L187" s="28"/>
      <c r="M187" s="25">
        <v>5705243.5899999999</v>
      </c>
      <c r="N187" s="28"/>
      <c r="O187" s="28"/>
      <c r="P187" s="28"/>
      <c r="Q187" s="28"/>
      <c r="R187" s="28"/>
      <c r="S187" s="28"/>
      <c r="T187" s="28"/>
      <c r="U187" s="22">
        <v>1.6266642630679135E-2</v>
      </c>
      <c r="V187" s="28"/>
      <c r="W187" s="15">
        <v>819.76293647377452</v>
      </c>
      <c r="X187" s="28"/>
      <c r="Y187" s="28"/>
    </row>
    <row r="188" spans="1:25" x14ac:dyDescent="0.2">
      <c r="A188" s="28"/>
      <c r="B188" s="28"/>
      <c r="C188" s="28"/>
      <c r="D188" s="28"/>
      <c r="E188" s="28"/>
      <c r="F188" s="28"/>
      <c r="G188" s="4"/>
      <c r="H188" s="28"/>
      <c r="I188" s="4"/>
      <c r="J188" s="28"/>
      <c r="K188" s="4"/>
      <c r="L188" s="28"/>
      <c r="M188" s="4"/>
      <c r="N188" s="28"/>
      <c r="O188" s="28"/>
      <c r="P188" s="28"/>
      <c r="Q188" s="28"/>
      <c r="R188" s="28"/>
      <c r="S188" s="28"/>
      <c r="T188" s="28"/>
      <c r="U188" s="4"/>
      <c r="V188" s="28"/>
      <c r="W188" s="4"/>
      <c r="X188" s="28"/>
      <c r="Y188" s="28"/>
    </row>
    <row r="189" spans="1:25" x14ac:dyDescent="0.2">
      <c r="A189" s="5" t="s">
        <v>479</v>
      </c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spans="1:25" x14ac:dyDescent="0.2">
      <c r="A190" s="17" t="s">
        <v>480</v>
      </c>
      <c r="B190" s="28"/>
      <c r="C190" s="12" t="s">
        <v>481</v>
      </c>
      <c r="D190" s="28"/>
      <c r="E190" s="12" t="s">
        <v>482</v>
      </c>
      <c r="F190" s="28"/>
      <c r="G190" s="20">
        <v>23050000</v>
      </c>
      <c r="H190" s="28"/>
      <c r="I190" s="20">
        <v>23050000</v>
      </c>
      <c r="J190" s="28"/>
      <c r="K190" s="20">
        <v>0</v>
      </c>
      <c r="L190" s="28"/>
      <c r="M190" s="20">
        <v>23050000</v>
      </c>
      <c r="N190" s="28"/>
      <c r="O190" s="12" t="s">
        <v>222</v>
      </c>
      <c r="P190" s="28"/>
      <c r="Q190" s="12" t="s">
        <v>389</v>
      </c>
      <c r="R190" s="28"/>
      <c r="S190" s="12" t="s">
        <v>222</v>
      </c>
      <c r="T190" s="28"/>
      <c r="U190" s="21">
        <v>1.895E-3</v>
      </c>
      <c r="V190" s="28"/>
      <c r="W190" s="19">
        <v>79</v>
      </c>
      <c r="X190" s="28"/>
      <c r="Y190" s="28" t="s">
        <v>162</v>
      </c>
    </row>
    <row r="191" spans="1:25" x14ac:dyDescent="0.2">
      <c r="A191" s="28"/>
      <c r="B191" s="28"/>
      <c r="C191" s="28"/>
      <c r="D191" s="28"/>
      <c r="E191" s="28"/>
      <c r="F191" s="28"/>
      <c r="G191" s="11"/>
      <c r="H191" s="28"/>
      <c r="I191" s="11"/>
      <c r="J191" s="28"/>
      <c r="K191" s="11"/>
      <c r="L191" s="28"/>
      <c r="M191" s="11"/>
      <c r="N191" s="28"/>
      <c r="O191" s="28"/>
      <c r="P191" s="28"/>
      <c r="Q191" s="28"/>
      <c r="R191" s="28"/>
      <c r="S191" s="28"/>
      <c r="T191" s="28"/>
      <c r="U191" s="11"/>
      <c r="V191" s="28"/>
      <c r="W191" s="11"/>
      <c r="X191" s="28"/>
      <c r="Y191" s="28"/>
    </row>
    <row r="192" spans="1:25" ht="15" customHeight="1" x14ac:dyDescent="0.2">
      <c r="A192" s="8" t="s">
        <v>483</v>
      </c>
      <c r="B192" s="28"/>
      <c r="C192" s="28"/>
      <c r="D192" s="28"/>
      <c r="E192" s="28"/>
      <c r="F192" s="28"/>
      <c r="G192" s="25">
        <v>23050000</v>
      </c>
      <c r="H192" s="28"/>
      <c r="I192" s="25">
        <v>23050000</v>
      </c>
      <c r="J192" s="28"/>
      <c r="K192" s="25">
        <v>0</v>
      </c>
      <c r="L192" s="28"/>
      <c r="M192" s="25">
        <v>23050000</v>
      </c>
      <c r="N192" s="28"/>
      <c r="O192" s="28"/>
      <c r="P192" s="28"/>
      <c r="Q192" s="28"/>
      <c r="R192" s="28"/>
      <c r="S192" s="28"/>
      <c r="T192" s="28"/>
      <c r="U192" s="22">
        <v>1.895E-3</v>
      </c>
      <c r="V192" s="28"/>
      <c r="W192" s="15">
        <f>IFERROR(SUMPRODUCT(I190:I190, W190:W190)/SUMIF(I190:I190,"&gt;0"), 1)</f>
        <v>79</v>
      </c>
      <c r="X192" s="28"/>
      <c r="Y192" s="28"/>
    </row>
    <row r="193" spans="1:23" x14ac:dyDescent="0.2">
      <c r="A193" s="28"/>
      <c r="B193" s="28"/>
      <c r="C193" s="28"/>
      <c r="D193" s="28"/>
      <c r="E193" s="28"/>
      <c r="F193" s="28"/>
      <c r="G193" s="4"/>
      <c r="H193" s="28"/>
      <c r="I193" s="4"/>
      <c r="J193" s="28"/>
      <c r="K193" s="4"/>
      <c r="L193" s="28"/>
      <c r="M193" s="4"/>
      <c r="N193" s="28"/>
      <c r="O193" s="28"/>
      <c r="P193" s="28"/>
      <c r="Q193" s="28"/>
      <c r="R193" s="28"/>
      <c r="S193" s="28"/>
      <c r="T193" s="28"/>
      <c r="U193" s="4"/>
      <c r="V193" s="28"/>
      <c r="W193" s="4"/>
    </row>
    <row r="194" spans="1:23" ht="14" customHeight="1" x14ac:dyDescent="0.2">
      <c r="A194" s="8" t="s">
        <v>484</v>
      </c>
      <c r="B194" s="28"/>
      <c r="C194" s="28"/>
      <c r="D194" s="28"/>
      <c r="E194" s="28"/>
      <c r="F194" s="28"/>
      <c r="G194" s="25">
        <f>G133+G157+G168+G174+G187+G192</f>
        <v>320320494.65999997</v>
      </c>
      <c r="H194" s="28"/>
      <c r="I194" s="25">
        <f>I133+I157+I168+I174+I187+I192</f>
        <v>327157407.61000007</v>
      </c>
      <c r="J194" s="28"/>
      <c r="K194" s="25">
        <f>K133+K157+K168+K174+K187+K192</f>
        <v>6836912.9500000039</v>
      </c>
      <c r="L194" s="28"/>
      <c r="M194" s="25">
        <f>M133+M157+M168+M174+M187+M192</f>
        <v>318666243.58999997</v>
      </c>
      <c r="N194" s="28"/>
      <c r="O194" s="28"/>
      <c r="P194" s="28"/>
      <c r="Q194" s="28"/>
      <c r="R194" s="28"/>
      <c r="S194" s="28"/>
      <c r="T194" s="28"/>
      <c r="U194" s="22">
        <f>IFERROR(G133/(G133*(IF(U133&gt;0,1,0))+G157*(IF(U157&gt;0,1,0))+G168*(IF(U168&gt;0,1,0))+G174*(IF(U174&gt;0,1,0))+G187*(IF(U187&gt;0,1,0))+G192*(IF(U192&gt;0,1,0)))*U133, 0)+IFERROR(G157/(G133*(IF(U133&gt;0,1,0))+G157*(IF(U157&gt;0,1,0))+G168*(IF(U168&gt;0,1,0))+G174*(IF(U174&gt;0,1,0))+G187*(IF(U187&gt;0,1,0))+G192*(IF(U192&gt;0,1,0)))*U157, 0)+IFERROR(G168/(G133*(IF(U133&gt;0,1,0))+G157*(IF(U157&gt;0,1,0))+G168*(IF(U168&gt;0,1,0))+G174*(IF(U174&gt;0,1,0))+G187*(IF(U187&gt;0,1,0))+G192*(IF(U192&gt;0,1,0)))*U168, 0)+IFERROR(G174/(G133*(IF(U133&gt;0,1,0))+G157*(IF(U157&gt;0,1,0))+G168*(IF(U168&gt;0,1,0))+G174*(IF(U174&gt;0,1,0))+G187*(IF(U187&gt;0,1,0))+G192*(IF(U192&gt;0,1,0)))*U174, 0)+IFERROR(G187/(G133*(IF(U133&gt;0,1,0))+G157*(IF(U157&gt;0,1,0))+G168*(IF(U168&gt;0,1,0))+G174*(IF(U174&gt;0,1,0))+G187*(IF(U187&gt;0,1,0))+G192*(IF(U192&gt;0,1,0)))*U187, 0)+IFERROR(G192/(G133*(IF(U133&gt;0,1,0))+G157*(IF(U157&gt;0,1,0))+G168*(IF(U168&gt;0,1,0))+G174*(IF(U174&gt;0,1,0))+G187*(IF(U187&gt;0,1,0))+G192*(IF(U192&gt;0,1,0)))*U192, 0)</f>
        <v>1.8430570964124992E-2</v>
      </c>
      <c r="V194" s="28"/>
      <c r="W194" s="15">
        <f>IFERROR(I133/(I133+I157+I168+I174+I187+I192)*W133,0)+IFERROR(I157/(I133+I157+I168+I174+I187+I192)*W157,0)+IFERROR(I168/(I133+I157+I168+I174+I187+I192)*W168,0)+IFERROR(I174/(I133+I157+I168+I174+I187+I192)*W174,0)+IFERROR(I187/(I133+I157+I168+I174+I187+I192)*W187,0)+IFERROR(I192/(I133+I157+I168+I174+I187+I192)*W192,0)</f>
        <v>574.44948096066128</v>
      </c>
    </row>
    <row r="195" spans="1:23" x14ac:dyDescent="0.2">
      <c r="A195" s="28"/>
      <c r="B195" s="28"/>
      <c r="C195" s="28"/>
      <c r="D195" s="28"/>
      <c r="E195" s="28"/>
      <c r="F195" s="28"/>
      <c r="G195" s="4"/>
      <c r="H195" s="28"/>
      <c r="I195" s="4"/>
      <c r="J195" s="28"/>
      <c r="K195" s="4"/>
      <c r="L195" s="28"/>
      <c r="M195" s="4"/>
      <c r="N195" s="28"/>
      <c r="O195" s="28"/>
      <c r="P195" s="28"/>
      <c r="Q195" s="28"/>
      <c r="R195" s="28"/>
      <c r="S195" s="28"/>
      <c r="T195" s="28"/>
      <c r="U195" s="4"/>
      <c r="V195" s="28"/>
      <c r="W195" s="4"/>
    </row>
    <row r="196" spans="1:23" ht="15" customHeight="1" x14ac:dyDescent="0.2">
      <c r="A196" s="5" t="s">
        <v>485</v>
      </c>
      <c r="B196" s="28"/>
      <c r="C196" s="28"/>
      <c r="D196" s="28"/>
      <c r="E196" s="28"/>
      <c r="F196" s="28"/>
      <c r="G196" s="23">
        <f>G87+G194</f>
        <v>981657708.55999994</v>
      </c>
      <c r="H196" s="28"/>
      <c r="I196" s="23">
        <f>I87+I194</f>
        <v>988861398.85000014</v>
      </c>
      <c r="J196" s="28"/>
      <c r="K196" s="23">
        <f>K87+K194</f>
        <v>7203690.2900000038</v>
      </c>
      <c r="L196" s="28"/>
      <c r="M196" s="26" t="s">
        <v>18</v>
      </c>
      <c r="N196" s="28"/>
      <c r="O196" s="28"/>
      <c r="P196" s="28"/>
      <c r="Q196" s="28"/>
      <c r="R196" s="28"/>
      <c r="S196" s="28"/>
      <c r="T196" s="28"/>
      <c r="U196" s="24">
        <v>1.1619655737795396E-2</v>
      </c>
      <c r="V196" s="28"/>
      <c r="W196" s="16">
        <v>324.21439825345101</v>
      </c>
    </row>
    <row r="197" spans="1:23" ht="15" customHeight="1" x14ac:dyDescent="0.2">
      <c r="A197" s="28"/>
      <c r="B197" s="28"/>
      <c r="C197" s="28"/>
      <c r="D197" s="28"/>
      <c r="E197" s="28"/>
      <c r="F197" s="28"/>
      <c r="G197" s="3"/>
      <c r="H197" s="28"/>
      <c r="I197" s="3"/>
      <c r="J197" s="28"/>
      <c r="K197" s="3"/>
      <c r="L197" s="28"/>
      <c r="M197" s="3"/>
      <c r="N197" s="28"/>
      <c r="O197" s="28"/>
      <c r="P197" s="28"/>
      <c r="Q197" s="28"/>
      <c r="R197" s="28"/>
      <c r="S197" s="28"/>
      <c r="T197" s="28"/>
      <c r="U197" s="3"/>
      <c r="V197" s="28"/>
      <c r="W197" s="3"/>
    </row>
    <row r="199" spans="1:23" x14ac:dyDescent="0.2">
      <c r="A199" s="18" t="s">
        <v>202</v>
      </c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</row>
    <row r="200" spans="1:23" x14ac:dyDescent="0.2">
      <c r="A200" s="28" t="s">
        <v>203</v>
      </c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x14ac:dyDescent="0.2">
      <c r="A201" s="28" t="s">
        <v>204</v>
      </c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</row>
    <row r="202" spans="1:23" x14ac:dyDescent="0.2">
      <c r="A202" s="28" t="s">
        <v>205</v>
      </c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</row>
    <row r="203" spans="1:23" x14ac:dyDescent="0.2">
      <c r="A203" s="28" t="s">
        <v>206</v>
      </c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</row>
    <row r="204" spans="1:23" x14ac:dyDescent="0.2">
      <c r="A204" s="28" t="s">
        <v>207</v>
      </c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</row>
  </sheetData>
  <mergeCells count="3">
    <mergeCell ref="A1:W1"/>
    <mergeCell ref="A2:W2"/>
    <mergeCell ref="A3:W3"/>
  </mergeCells>
  <pageMargins left="0.7" right="0.7" top="0.75" bottom="0.75" header="0.3" footer="0.3"/>
  <pageSetup scale="50" fitToHeight="6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2CCBF8E605B4F9B20A5D6C0680166" ma:contentTypeVersion="11" ma:contentTypeDescription="Create a new document." ma:contentTypeScope="" ma:versionID="dea123721f765583a135d1b45849ce9e">
  <xsd:schema xmlns:xsd="http://www.w3.org/2001/XMLSchema" xmlns:xs="http://www.w3.org/2001/XMLSchema" xmlns:p="http://schemas.microsoft.com/office/2006/metadata/properties" xmlns:ns2="6fdc97c7-af3c-4df0-828a-1016ac49bcf4" xmlns:ns3="97294e28-d13a-4778-b75d-f6a1b0485c00" targetNamespace="http://schemas.microsoft.com/office/2006/metadata/properties" ma:root="true" ma:fieldsID="7977318016efa77b09b3db6363ceb716" ns2:_="" ns3:_="">
    <xsd:import namespace="6fdc97c7-af3c-4df0-828a-1016ac49bcf4"/>
    <xsd:import namespace="97294e28-d13a-4778-b75d-f6a1b0485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c97c7-af3c-4df0-828a-1016ac49b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94e28-d13a-4778-b75d-f6a1b0485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55C36A-305C-4535-BC4F-9366A5D48B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dc97c7-af3c-4df0-828a-1016ac49bcf4"/>
    <ds:schemaRef ds:uri="97294e28-d13a-4778-b75d-f6a1b0485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355AE4-75DC-47F8-A24F-D8A36664B4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986378-03DC-4B4E-83EA-C89E53BD23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Institution</vt:lpstr>
      <vt:lpstr>Account</vt:lpstr>
      <vt:lpstr>Investment Type</vt:lpstr>
      <vt:lpstr>Account!Print_Area</vt:lpstr>
      <vt:lpstr>Institution!Print_Area</vt:lpstr>
      <vt:lpstr>'Investment Type'!Print_Area</vt:lpstr>
      <vt:lpstr>Account!Print_Titles</vt:lpstr>
      <vt:lpstr>Institution!Print_Titles</vt:lpstr>
      <vt:lpstr>'Investment Type'!Print_Titles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Heyner</dc:creator>
  <cp:keywords/>
  <dc:description/>
  <cp:lastModifiedBy>Microsoft Office User</cp:lastModifiedBy>
  <cp:revision/>
  <dcterms:created xsi:type="dcterms:W3CDTF">2020-07-01T19:23:31Z</dcterms:created>
  <dcterms:modified xsi:type="dcterms:W3CDTF">2020-12-18T20:24:40Z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0x0101000612CCBF8E605B4F9B20A5D6C0680166</vt:lpwstr>
  </property>
</Properties>
</file>