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charts/chart7.xml" ContentType="application/vnd.openxmlformats-officedocument.drawingml.chart+xml"/>
  <Override PartName="/xl/theme/themeOverride5.xml" ContentType="application/vnd.openxmlformats-officedocument.themeOverrid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theme/themeOverride8.xml" ContentType="application/vnd.openxmlformats-officedocument.themeOverrid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theme/themeOverride9.xml" ContentType="application/vnd.openxmlformats-officedocument.themeOverride+xml"/>
  <Override PartName="/xl/comments1.xml" ContentType="application/vnd.openxmlformats-officedocument.spreadsheetml.comments+xml"/>
  <Override PartName="/xl/drawings/drawing10.xml" ContentType="application/vnd.openxmlformats-officedocument.drawing+xml"/>
  <Override PartName="/xl/comments2.xml" ContentType="application/vnd.openxmlformats-officedocument.spreadsheetml.comments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0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/>
  <mc:AlternateContent xmlns:mc="http://schemas.openxmlformats.org/markup-compatibility/2006">
    <mc:Choice Requires="x15">
      <x15ac:absPath xmlns:x15ac="http://schemas.microsoft.com/office/spreadsheetml/2010/11/ac" url="/Users/chennuo/Downloads/"/>
    </mc:Choice>
  </mc:AlternateContent>
  <xr:revisionPtr revIDLastSave="0" documentId="13_ncr:1_{AEFE4227-68EF-CD45-93C4-8AF6CEDD8CFE}" xr6:coauthVersionLast="47" xr6:coauthVersionMax="47" xr10:uidLastSave="{00000000-0000-0000-0000-000000000000}"/>
  <bookViews>
    <workbookView xWindow="0" yWindow="740" windowWidth="34560" windowHeight="21600" tabRatio="862" activeTab="4" xr2:uid="{00000000-000D-0000-FFFF-FFFF00000000}"/>
  </bookViews>
  <sheets>
    <sheet name="首页" sheetId="1" r:id="rId1"/>
    <sheet name="全球动力电池行业装机规模" sheetId="4" r:id="rId2"/>
    <sheet name="海外动力电池行业装机规模" sheetId="17" r:id="rId3"/>
    <sheet name="中国动力电池行业装机规模" sheetId="10" r:id="rId4"/>
    <sheet name="中国动力电池装车量-动力电池联盟" sheetId="18" r:id="rId5"/>
    <sheet name="全球动力电池企业装机量排名" sheetId="14" r:id="rId6"/>
    <sheet name="海外动力电池企业装机量排名" sheetId="15" r:id="rId7"/>
    <sheet name="中国动力电池企业装机量排名" sheetId="16" r:id="rId8"/>
    <sheet name="中国动力电池行业产量规模" sheetId="12" r:id="rId9"/>
    <sheet name="中国动力电池产量-动力电池联盟" sheetId="19" r:id="rId10"/>
    <sheet name="中国动力和储能电池销量" sheetId="21" r:id="rId11"/>
    <sheet name="中国动力电池库存量" sheetId="23" r:id="rId12"/>
    <sheet name="中国单车平均装机电量" sheetId="11" r:id="rId13"/>
    <sheet name="储能电池销量及出口情况" sheetId="20" r:id="rId14"/>
  </sheets>
  <definedNames>
    <definedName name="_xlnm._FilterDatabase" localSheetId="6" hidden="1">海外动力电池企业装机量排名!$C$178:$H$186</definedName>
    <definedName name="_xlchart.v1.0" hidden="1">'中国动力电池装车量-动力电池联盟'!$A$57:$A$119</definedName>
    <definedName name="_xlchart.v1.1" hidden="1">'中国动力电池装车量-动力电池联盟'!$B$56</definedName>
    <definedName name="_xlchart.v1.10" hidden="1">'中国动力电池装车量-动力电池联盟'!$C$56</definedName>
    <definedName name="_xlchart.v1.11" hidden="1">'中国动力电池装车量-动力电池联盟'!$C$57:$C$119</definedName>
    <definedName name="_xlchart.v1.12" hidden="1">'中国动力电池装车量-动力电池联盟'!$D$56</definedName>
    <definedName name="_xlchart.v1.13" hidden="1">'中国动力电池装车量-动力电池联盟'!$D$57:$D$117</definedName>
    <definedName name="_xlchart.v1.14" hidden="1">'中国动力电池装车量-动力电池联盟'!$A$57:$A$119</definedName>
    <definedName name="_xlchart.v1.15" hidden="1">'中国动力电池装车量-动力电池联盟'!$B$56</definedName>
    <definedName name="_xlchart.v1.16" hidden="1">'中国动力电池装车量-动力电池联盟'!$B$57:$B$119</definedName>
    <definedName name="_xlchart.v1.17" hidden="1">'中国动力电池装车量-动力电池联盟'!$C$56</definedName>
    <definedName name="_xlchart.v1.18" hidden="1">'中国动力电池装车量-动力电池联盟'!$C$57:$C$119</definedName>
    <definedName name="_xlchart.v1.19" hidden="1">'中国动力电池装车量-动力电池联盟'!$D$56</definedName>
    <definedName name="_xlchart.v1.2" hidden="1">'中国动力电池装车量-动力电池联盟'!$B$57:$B$119</definedName>
    <definedName name="_xlchart.v1.20" hidden="1">'中国动力电池装车量-动力电池联盟'!$D$57:$D$117</definedName>
    <definedName name="_xlchart.v1.21" hidden="1">'中国动力电池装车量-动力电池联盟'!$A$57:$A$119</definedName>
    <definedName name="_xlchart.v1.22" hidden="1">'中国动力电池装车量-动力电池联盟'!$B$56</definedName>
    <definedName name="_xlchart.v1.23" hidden="1">'中国动力电池装车量-动力电池联盟'!$B$57:$B$119</definedName>
    <definedName name="_xlchart.v1.24" hidden="1">'中国动力电池装车量-动力电池联盟'!$C$56</definedName>
    <definedName name="_xlchart.v1.25" hidden="1">'中国动力电池装车量-动力电池联盟'!$C$57:$C$119</definedName>
    <definedName name="_xlchart.v1.26" hidden="1">'中国动力电池装车量-动力电池联盟'!$D$56</definedName>
    <definedName name="_xlchart.v1.27" hidden="1">'中国动力电池装车量-动力电池联盟'!$D$57:$D$117</definedName>
    <definedName name="_xlchart.v1.28" hidden="1">'中国动力电池装车量-动力电池联盟'!$A$57:$A$119</definedName>
    <definedName name="_xlchart.v1.29" hidden="1">'中国动力电池装车量-动力电池联盟'!$B$56</definedName>
    <definedName name="_xlchart.v1.3" hidden="1">'中国动力电池装车量-动力电池联盟'!$C$56</definedName>
    <definedName name="_xlchart.v1.30" hidden="1">'中国动力电池装车量-动力电池联盟'!$B$57:$B$119</definedName>
    <definedName name="_xlchart.v1.31" hidden="1">'中国动力电池装车量-动力电池联盟'!$C$56</definedName>
    <definedName name="_xlchart.v1.32" hidden="1">'中国动力电池装车量-动力电池联盟'!$C$57:$C$119</definedName>
    <definedName name="_xlchart.v1.33" hidden="1">'中国动力电池装车量-动力电池联盟'!$D$56</definedName>
    <definedName name="_xlchart.v1.34" hidden="1">'中国动力电池装车量-动力电池联盟'!$D$57:$D$117</definedName>
    <definedName name="_xlchart.v1.35" hidden="1">'中国动力电池装车量-动力电池联盟'!$A$57:$A$119</definedName>
    <definedName name="_xlchart.v1.36" hidden="1">'中国动力电池装车量-动力电池联盟'!$B$56</definedName>
    <definedName name="_xlchart.v1.37" hidden="1">'中国动力电池装车量-动力电池联盟'!$B$57:$B$119</definedName>
    <definedName name="_xlchart.v1.38" hidden="1">'中国动力电池装车量-动力电池联盟'!$C$56</definedName>
    <definedName name="_xlchart.v1.39" hidden="1">'中国动力电池装车量-动力电池联盟'!$C$57:$C$119</definedName>
    <definedName name="_xlchart.v1.4" hidden="1">'中国动力电池装车量-动力电池联盟'!$C$57:$C$119</definedName>
    <definedName name="_xlchart.v1.40" hidden="1">'中国动力电池装车量-动力电池联盟'!$D$56</definedName>
    <definedName name="_xlchart.v1.41" hidden="1">'中国动力电池装车量-动力电池联盟'!$D$57:$D$117</definedName>
    <definedName name="_xlchart.v1.42" hidden="1">'中国动力电池装车量-动力电池联盟'!$A$3:$A$14</definedName>
    <definedName name="_xlchart.v1.43" hidden="1">'中国动力电池装车量-动力电池联盟'!$D$2</definedName>
    <definedName name="_xlchart.v1.44" hidden="1">'中国动力电池装车量-动力电池联盟'!$D$3:$D$14</definedName>
    <definedName name="_xlchart.v1.45" hidden="1">'中国动力电池装车量-动力电池联盟'!$E$2</definedName>
    <definedName name="_xlchart.v1.46" hidden="1">'中国动力电池装车量-动力电池联盟'!$E$3:$E$14</definedName>
    <definedName name="_xlchart.v1.47" hidden="1">'中国动力电池装车量-动力电池联盟'!$F$2</definedName>
    <definedName name="_xlchart.v1.48" hidden="1">'中国动力电池装车量-动力电池联盟'!$F$3:$F$14</definedName>
    <definedName name="_xlchart.v1.49" hidden="1">'中国动力电池装车量-动力电池联盟'!$G$2</definedName>
    <definedName name="_xlchart.v1.5" hidden="1">'中国动力电池装车量-动力电池联盟'!$D$56</definedName>
    <definedName name="_xlchart.v1.50" hidden="1">'中国动力电池装车量-动力电池联盟'!$G$3:$G$14</definedName>
    <definedName name="_xlchart.v1.51" hidden="1">'中国动力电池装车量-动力电池联盟'!$H$2</definedName>
    <definedName name="_xlchart.v1.52" hidden="1">'中国动力电池装车量-动力电池联盟'!$H$3:$H$14</definedName>
    <definedName name="_xlchart.v1.53" hidden="1">'中国动力电池装车量-动力电池联盟'!$I$2</definedName>
    <definedName name="_xlchart.v1.54" hidden="1">'中国动力电池装车量-动力电池联盟'!$I$3:$I$14</definedName>
    <definedName name="_xlchart.v1.55" hidden="1">'中国动力电池装车量-动力电池联盟'!$A$57:$A$119</definedName>
    <definedName name="_xlchart.v1.56" hidden="1">'中国动力电池装车量-动力电池联盟'!$B$56</definedName>
    <definedName name="_xlchart.v1.57" hidden="1">'中国动力电池装车量-动力电池联盟'!$B$57:$B$119</definedName>
    <definedName name="_xlchart.v1.58" hidden="1">'中国动力电池装车量-动力电池联盟'!$C$56</definedName>
    <definedName name="_xlchart.v1.59" hidden="1">'中国动力电池装车量-动力电池联盟'!$C$57:$C$119</definedName>
    <definedName name="_xlchart.v1.6" hidden="1">'中国动力电池装车量-动力电池联盟'!$D$57:$D$117</definedName>
    <definedName name="_xlchart.v1.60" hidden="1">'中国动力电池装车量-动力电池联盟'!$D$56</definedName>
    <definedName name="_xlchart.v1.61" hidden="1">'中国动力电池装车量-动力电池联盟'!$D$57:$D$117</definedName>
    <definedName name="_xlchart.v1.7" hidden="1">'中国动力电池装车量-动力电池联盟'!$A$57:$A$119</definedName>
    <definedName name="_xlchart.v1.8" hidden="1">'中国动力电池装车量-动力电池联盟'!$B$56</definedName>
    <definedName name="_xlchart.v1.9" hidden="1">'中国动力电池装车量-动力电池联盟'!$B$57:$B$119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8" i="18" l="1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5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97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P4" i="18"/>
  <c r="P8" i="18"/>
  <c r="P7" i="18"/>
  <c r="D60" i="20"/>
  <c r="O59" i="20"/>
  <c r="J59" i="20"/>
  <c r="C59" i="20"/>
  <c r="B59" i="20"/>
  <c r="D59" i="20" s="1"/>
  <c r="M99" i="23"/>
  <c r="L99" i="23"/>
  <c r="G99" i="23"/>
  <c r="M98" i="23"/>
  <c r="M97" i="23"/>
  <c r="M96" i="23"/>
  <c r="G96" i="23"/>
  <c r="M95" i="23"/>
  <c r="M94" i="23"/>
  <c r="M93" i="23"/>
  <c r="S90" i="23"/>
  <c r="R90" i="23"/>
  <c r="S89" i="23"/>
  <c r="R89" i="23"/>
  <c r="S88" i="23"/>
  <c r="R88" i="23"/>
  <c r="AS82" i="23"/>
  <c r="AT82" i="23" s="1"/>
  <c r="AO82" i="23"/>
  <c r="AN82" i="23"/>
  <c r="AC82" i="23"/>
  <c r="AB82" i="23"/>
  <c r="X82" i="23"/>
  <c r="W82" i="23"/>
  <c r="K82" i="23"/>
  <c r="J82" i="23"/>
  <c r="F82" i="23"/>
  <c r="E82" i="23"/>
  <c r="AT81" i="23"/>
  <c r="AS81" i="23"/>
  <c r="AC81" i="23"/>
  <c r="AB81" i="23"/>
  <c r="K81" i="23"/>
  <c r="J81" i="23"/>
  <c r="AT80" i="23"/>
  <c r="AS80" i="23"/>
  <c r="AC80" i="23"/>
  <c r="AB80" i="23"/>
  <c r="K80" i="23"/>
  <c r="J80" i="23"/>
  <c r="AT79" i="23"/>
  <c r="AS79" i="23"/>
  <c r="AO79" i="23"/>
  <c r="AN79" i="23"/>
  <c r="AC79" i="23"/>
  <c r="AB79" i="23"/>
  <c r="X79" i="23"/>
  <c r="W79" i="23"/>
  <c r="K79" i="23"/>
  <c r="J79" i="23"/>
  <c r="F79" i="23"/>
  <c r="E79" i="23"/>
  <c r="AT78" i="23"/>
  <c r="AS78" i="23"/>
  <c r="AC78" i="23"/>
  <c r="AB78" i="23"/>
  <c r="K78" i="23"/>
  <c r="J78" i="23"/>
  <c r="AT77" i="23"/>
  <c r="AS77" i="23"/>
  <c r="AC77" i="23"/>
  <c r="AB77" i="23"/>
  <c r="K77" i="23"/>
  <c r="J77" i="23"/>
  <c r="AT76" i="23"/>
  <c r="AS76" i="23"/>
  <c r="AO76" i="23"/>
  <c r="AN76" i="23"/>
  <c r="AC76" i="23"/>
  <c r="AB76" i="23"/>
  <c r="X76" i="23"/>
  <c r="W76" i="23"/>
  <c r="K76" i="23"/>
  <c r="J76" i="23"/>
  <c r="F76" i="23"/>
  <c r="E76" i="23"/>
  <c r="AY73" i="23"/>
  <c r="AX73" i="23"/>
  <c r="AT73" i="23"/>
  <c r="AS73" i="23"/>
  <c r="AO73" i="23"/>
  <c r="AN73" i="23"/>
  <c r="AH73" i="23"/>
  <c r="AG73" i="23"/>
  <c r="AC73" i="23"/>
  <c r="AB73" i="23"/>
  <c r="X73" i="23"/>
  <c r="W73" i="23"/>
  <c r="P73" i="23"/>
  <c r="O73" i="23"/>
  <c r="K73" i="23"/>
  <c r="J73" i="23"/>
  <c r="F73" i="23"/>
  <c r="E73" i="23"/>
  <c r="AY72" i="23"/>
  <c r="AX72" i="23"/>
  <c r="AH72" i="23"/>
  <c r="AG72" i="23"/>
  <c r="P72" i="23"/>
  <c r="O72" i="23"/>
  <c r="AY71" i="23"/>
  <c r="AX71" i="23"/>
  <c r="AH71" i="23"/>
  <c r="AG71" i="23"/>
  <c r="P71" i="23"/>
  <c r="O71" i="23"/>
  <c r="V41" i="21"/>
  <c r="V40" i="21"/>
  <c r="N15" i="21"/>
  <c r="L15" i="21"/>
  <c r="K15" i="21"/>
  <c r="J15" i="21"/>
  <c r="I15" i="21"/>
  <c r="Q112" i="19"/>
  <c r="E111" i="19"/>
  <c r="C111" i="19"/>
  <c r="B111" i="19"/>
  <c r="E110" i="19"/>
  <c r="D110" i="19"/>
  <c r="C110" i="19"/>
  <c r="B110" i="19"/>
  <c r="P109" i="19"/>
  <c r="O109" i="19"/>
  <c r="D109" i="19"/>
  <c r="Q107" i="19"/>
  <c r="Q106" i="19"/>
  <c r="D106" i="19"/>
  <c r="C106" i="19"/>
  <c r="B106" i="19"/>
  <c r="E106" i="19" s="1"/>
  <c r="Q105" i="19"/>
  <c r="Q104" i="19"/>
  <c r="D104" i="19"/>
  <c r="Q103" i="19"/>
  <c r="D103" i="19"/>
  <c r="Q102" i="19"/>
  <c r="D102" i="19"/>
  <c r="Q101" i="19"/>
  <c r="D101" i="19"/>
  <c r="Q100" i="19"/>
  <c r="D100" i="19"/>
  <c r="Q99" i="19"/>
  <c r="D99" i="19"/>
  <c r="Q98" i="19"/>
  <c r="D98" i="19"/>
  <c r="Q97" i="19"/>
  <c r="D97" i="19"/>
  <c r="Q96" i="19"/>
  <c r="D96" i="19"/>
  <c r="Q95" i="19"/>
  <c r="D95" i="19"/>
  <c r="Q94" i="19"/>
  <c r="D94" i="19"/>
  <c r="Q93" i="19"/>
  <c r="D93" i="19"/>
  <c r="Q92" i="19"/>
  <c r="D92" i="19"/>
  <c r="Q91" i="19"/>
  <c r="D91" i="19"/>
  <c r="Q90" i="19"/>
  <c r="D90" i="19"/>
  <c r="O13" i="19" s="1"/>
  <c r="Q89" i="19"/>
  <c r="D89" i="19"/>
  <c r="Q88" i="19"/>
  <c r="D88" i="19"/>
  <c r="Q87" i="19"/>
  <c r="D87" i="19"/>
  <c r="Q86" i="19"/>
  <c r="D86" i="19"/>
  <c r="Q85" i="19"/>
  <c r="D85" i="19"/>
  <c r="Q84" i="19"/>
  <c r="D84" i="19"/>
  <c r="Q83" i="19"/>
  <c r="D83" i="19"/>
  <c r="Q82" i="19"/>
  <c r="D82" i="19"/>
  <c r="Q81" i="19"/>
  <c r="D81" i="19"/>
  <c r="Q80" i="19"/>
  <c r="D80" i="19"/>
  <c r="Q79" i="19"/>
  <c r="D79" i="19"/>
  <c r="Q78" i="19"/>
  <c r="D78" i="19"/>
  <c r="Q77" i="19"/>
  <c r="D77" i="19"/>
  <c r="Q76" i="19"/>
  <c r="D76" i="19"/>
  <c r="Q75" i="19"/>
  <c r="D75" i="19"/>
  <c r="Q74" i="19"/>
  <c r="D74" i="19"/>
  <c r="Q73" i="19"/>
  <c r="D73" i="19"/>
  <c r="Q72" i="19"/>
  <c r="D72" i="19"/>
  <c r="Q71" i="19"/>
  <c r="D71" i="19"/>
  <c r="Q70" i="19"/>
  <c r="D70" i="19"/>
  <c r="Q69" i="19"/>
  <c r="D69" i="19"/>
  <c r="Q68" i="19"/>
  <c r="D68" i="19"/>
  <c r="Q67" i="19"/>
  <c r="D67" i="19"/>
  <c r="Q66" i="19"/>
  <c r="D66" i="19"/>
  <c r="Q65" i="19"/>
  <c r="D65" i="19"/>
  <c r="Q64" i="19"/>
  <c r="D64" i="19"/>
  <c r="Q63" i="19"/>
  <c r="D63" i="19"/>
  <c r="Q62" i="19"/>
  <c r="D62" i="19"/>
  <c r="Q61" i="19"/>
  <c r="D61" i="19"/>
  <c r="Q60" i="19"/>
  <c r="D60" i="19"/>
  <c r="Q59" i="19"/>
  <c r="D59" i="19"/>
  <c r="Q58" i="19"/>
  <c r="D58" i="19"/>
  <c r="Q57" i="19"/>
  <c r="D57" i="19"/>
  <c r="B52" i="19"/>
  <c r="U51" i="19"/>
  <c r="T51" i="19"/>
  <c r="S51" i="19"/>
  <c r="R51" i="19"/>
  <c r="Q51" i="19"/>
  <c r="M51" i="19"/>
  <c r="L51" i="19"/>
  <c r="J51" i="19"/>
  <c r="I51" i="19"/>
  <c r="G51" i="19"/>
  <c r="C51" i="19"/>
  <c r="U50" i="19"/>
  <c r="T50" i="19"/>
  <c r="S50" i="19"/>
  <c r="R50" i="19"/>
  <c r="J50" i="19"/>
  <c r="H50" i="19"/>
  <c r="U49" i="19"/>
  <c r="O49" i="19"/>
  <c r="N49" i="19"/>
  <c r="M49" i="19"/>
  <c r="L49" i="19"/>
  <c r="P49" i="19" s="1"/>
  <c r="J49" i="19"/>
  <c r="I49" i="19"/>
  <c r="E49" i="19"/>
  <c r="D49" i="19"/>
  <c r="C49" i="19"/>
  <c r="B49" i="19"/>
  <c r="F49" i="19" s="1"/>
  <c r="AB48" i="19"/>
  <c r="AA48" i="19"/>
  <c r="X48" i="19"/>
  <c r="P112" i="19" s="1"/>
  <c r="W48" i="19"/>
  <c r="O112" i="19" s="1"/>
  <c r="Q48" i="19"/>
  <c r="O48" i="19"/>
  <c r="N48" i="19"/>
  <c r="J48" i="19"/>
  <c r="I48" i="19"/>
  <c r="G48" i="19"/>
  <c r="AB47" i="19"/>
  <c r="Z47" i="19"/>
  <c r="Y47" i="19"/>
  <c r="X47" i="19"/>
  <c r="P111" i="19" s="1"/>
  <c r="W47" i="19"/>
  <c r="O111" i="19" s="1"/>
  <c r="U47" i="19"/>
  <c r="G47" i="19"/>
  <c r="E47" i="19"/>
  <c r="D47" i="19"/>
  <c r="C47" i="19"/>
  <c r="B47" i="19"/>
  <c r="F47" i="19" s="1"/>
  <c r="AB46" i="19"/>
  <c r="Z46" i="19"/>
  <c r="Y46" i="19"/>
  <c r="X46" i="19"/>
  <c r="P110" i="19" s="1"/>
  <c r="W46" i="19"/>
  <c r="O110" i="19" s="1"/>
  <c r="U46" i="19"/>
  <c r="T46" i="19"/>
  <c r="S46" i="19"/>
  <c r="R46" i="19"/>
  <c r="N46" i="19"/>
  <c r="K46" i="19"/>
  <c r="J46" i="19"/>
  <c r="I46" i="19"/>
  <c r="H46" i="19"/>
  <c r="AB45" i="19"/>
  <c r="Z45" i="19"/>
  <c r="Y45" i="19"/>
  <c r="X45" i="19"/>
  <c r="W45" i="19"/>
  <c r="R45" i="19"/>
  <c r="Q45" i="19"/>
  <c r="O45" i="19"/>
  <c r="J45" i="19"/>
  <c r="I45" i="19"/>
  <c r="H45" i="19"/>
  <c r="G45" i="19"/>
  <c r="E45" i="19"/>
  <c r="AA44" i="19"/>
  <c r="Z44" i="19"/>
  <c r="Y44" i="19"/>
  <c r="X44" i="19"/>
  <c r="W44" i="19"/>
  <c r="R44" i="19"/>
  <c r="Q44" i="19"/>
  <c r="O44" i="19"/>
  <c r="N44" i="19"/>
  <c r="M44" i="19"/>
  <c r="L44" i="19"/>
  <c r="P44" i="19" s="1"/>
  <c r="H44" i="19"/>
  <c r="E44" i="19"/>
  <c r="D44" i="19"/>
  <c r="C44" i="19"/>
  <c r="B44" i="19"/>
  <c r="AH43" i="19"/>
  <c r="AA43" i="19"/>
  <c r="Z43" i="19"/>
  <c r="Y43" i="19"/>
  <c r="X43" i="19"/>
  <c r="W43" i="19"/>
  <c r="AB43" i="19" s="1"/>
  <c r="T43" i="19"/>
  <c r="J43" i="19"/>
  <c r="AH42" i="19"/>
  <c r="AB42" i="19"/>
  <c r="Z42" i="19"/>
  <c r="Y42" i="19"/>
  <c r="X42" i="19"/>
  <c r="W42" i="19"/>
  <c r="U42" i="19"/>
  <c r="T42" i="19"/>
  <c r="S42" i="19"/>
  <c r="R42" i="19"/>
  <c r="N42" i="19"/>
  <c r="M42" i="19"/>
  <c r="L42" i="19"/>
  <c r="J42" i="19"/>
  <c r="I42" i="19"/>
  <c r="H42" i="19"/>
  <c r="D42" i="19"/>
  <c r="AH41" i="19"/>
  <c r="Z41" i="19"/>
  <c r="S41" i="19"/>
  <c r="R41" i="19"/>
  <c r="I41" i="19"/>
  <c r="D41" i="19"/>
  <c r="B41" i="19"/>
  <c r="AH36" i="19"/>
  <c r="AG36" i="19"/>
  <c r="AF36" i="19"/>
  <c r="AE36" i="19"/>
  <c r="AD36" i="19"/>
  <c r="AC36" i="19"/>
  <c r="Z36" i="19"/>
  <c r="Y36" i="19"/>
  <c r="X36" i="19"/>
  <c r="W36" i="19"/>
  <c r="U36" i="19"/>
  <c r="T36" i="19"/>
  <c r="S36" i="19"/>
  <c r="R36" i="19"/>
  <c r="Q36" i="19"/>
  <c r="O36" i="19"/>
  <c r="N36" i="19"/>
  <c r="M36" i="19"/>
  <c r="L36" i="19"/>
  <c r="J36" i="19"/>
  <c r="I36" i="19"/>
  <c r="H36" i="19"/>
  <c r="G36" i="19"/>
  <c r="E36" i="19"/>
  <c r="D36" i="19"/>
  <c r="C36" i="19"/>
  <c r="B36" i="19"/>
  <c r="V35" i="19"/>
  <c r="P35" i="19"/>
  <c r="O52" i="19" s="1"/>
  <c r="K35" i="19"/>
  <c r="F35" i="19"/>
  <c r="E52" i="19" s="1"/>
  <c r="V34" i="19"/>
  <c r="P34" i="19"/>
  <c r="O51" i="19" s="1"/>
  <c r="K34" i="19"/>
  <c r="H51" i="19" s="1"/>
  <c r="F34" i="19"/>
  <c r="E51" i="19" s="1"/>
  <c r="V33" i="19"/>
  <c r="Q50" i="19" s="1"/>
  <c r="P33" i="19"/>
  <c r="K33" i="19"/>
  <c r="F33" i="19"/>
  <c r="E50" i="19" s="1"/>
  <c r="V32" i="19"/>
  <c r="P32" i="19"/>
  <c r="K32" i="19"/>
  <c r="H49" i="19" s="1"/>
  <c r="F32" i="19"/>
  <c r="V31" i="19"/>
  <c r="U48" i="19" s="1"/>
  <c r="P31" i="19"/>
  <c r="M48" i="19" s="1"/>
  <c r="K31" i="19"/>
  <c r="H48" i="19" s="1"/>
  <c r="F31" i="19"/>
  <c r="AA30" i="19"/>
  <c r="V30" i="19"/>
  <c r="T47" i="19" s="1"/>
  <c r="P30" i="19"/>
  <c r="K30" i="19"/>
  <c r="J47" i="19" s="1"/>
  <c r="F30" i="19"/>
  <c r="AA29" i="19"/>
  <c r="AA46" i="19" s="1"/>
  <c r="Q110" i="19" s="1"/>
  <c r="V29" i="19"/>
  <c r="Q46" i="19" s="1"/>
  <c r="V46" i="19" s="1"/>
  <c r="P29" i="19"/>
  <c r="O46" i="19" s="1"/>
  <c r="K29" i="19"/>
  <c r="G46" i="19" s="1"/>
  <c r="F29" i="19"/>
  <c r="AA28" i="19"/>
  <c r="AA36" i="19" s="1"/>
  <c r="V28" i="19"/>
  <c r="U45" i="19" s="1"/>
  <c r="P28" i="19"/>
  <c r="K28" i="19"/>
  <c r="F28" i="19"/>
  <c r="D45" i="19" s="1"/>
  <c r="V27" i="19"/>
  <c r="U44" i="19" s="1"/>
  <c r="P27" i="19"/>
  <c r="K27" i="19"/>
  <c r="J44" i="19" s="1"/>
  <c r="F27" i="19"/>
  <c r="V26" i="19"/>
  <c r="P26" i="19"/>
  <c r="K26" i="19"/>
  <c r="I43" i="19" s="1"/>
  <c r="F26" i="19"/>
  <c r="AA25" i="19"/>
  <c r="AA42" i="19" s="1"/>
  <c r="V25" i="19"/>
  <c r="Q42" i="19" s="1"/>
  <c r="V42" i="19" s="1"/>
  <c r="P25" i="19"/>
  <c r="O42" i="19" s="1"/>
  <c r="K25" i="19"/>
  <c r="G42" i="19" s="1"/>
  <c r="K42" i="19" s="1"/>
  <c r="F25" i="19"/>
  <c r="E42" i="19" s="1"/>
  <c r="AH24" i="19"/>
  <c r="AB24" i="19"/>
  <c r="V24" i="19"/>
  <c r="P24" i="19"/>
  <c r="O41" i="19" s="1"/>
  <c r="K24" i="19"/>
  <c r="F24" i="19"/>
  <c r="E41" i="19" s="1"/>
  <c r="P20" i="19"/>
  <c r="N20" i="19"/>
  <c r="M20" i="19"/>
  <c r="P19" i="19"/>
  <c r="N19" i="19"/>
  <c r="M19" i="19"/>
  <c r="P17" i="19"/>
  <c r="O17" i="19" s="1"/>
  <c r="N17" i="19"/>
  <c r="M17" i="19"/>
  <c r="P16" i="19"/>
  <c r="N16" i="19"/>
  <c r="M16" i="19"/>
  <c r="P15" i="19"/>
  <c r="N15" i="19"/>
  <c r="M15" i="19"/>
  <c r="F15" i="19"/>
  <c r="E15" i="19"/>
  <c r="D15" i="19"/>
  <c r="C15" i="19"/>
  <c r="B15" i="19"/>
  <c r="P14" i="19"/>
  <c r="O14" i="19"/>
  <c r="N14" i="19"/>
  <c r="M14" i="19"/>
  <c r="P13" i="19"/>
  <c r="N13" i="19"/>
  <c r="M13" i="19"/>
  <c r="P12" i="19"/>
  <c r="N12" i="19"/>
  <c r="M12" i="19"/>
  <c r="P11" i="19"/>
  <c r="O11" i="19"/>
  <c r="N11" i="19"/>
  <c r="M11" i="19"/>
  <c r="P10" i="19"/>
  <c r="O10" i="19"/>
  <c r="N10" i="19"/>
  <c r="M10" i="19"/>
  <c r="P9" i="19"/>
  <c r="N9" i="19"/>
  <c r="M9" i="19"/>
  <c r="O9" i="19" s="1"/>
  <c r="P8" i="19"/>
  <c r="N8" i="19"/>
  <c r="M8" i="19"/>
  <c r="O8" i="19" s="1"/>
  <c r="P7" i="19"/>
  <c r="N7" i="19"/>
  <c r="M7" i="19"/>
  <c r="P6" i="19"/>
  <c r="O6" i="19"/>
  <c r="N6" i="19"/>
  <c r="M6" i="19"/>
  <c r="P5" i="19"/>
  <c r="O5" i="19"/>
  <c r="N5" i="19"/>
  <c r="M5" i="19"/>
  <c r="P4" i="19"/>
  <c r="N4" i="19"/>
  <c r="M4" i="19"/>
  <c r="O4" i="19" s="1"/>
  <c r="P3" i="19"/>
  <c r="N3" i="19"/>
  <c r="M3" i="19"/>
  <c r="O3" i="19" s="1"/>
  <c r="P2" i="19"/>
  <c r="N2" i="19"/>
  <c r="M2" i="19"/>
  <c r="O57" i="12"/>
  <c r="O58" i="12" s="1"/>
  <c r="D56" i="12"/>
  <c r="C56" i="12"/>
  <c r="D55" i="12"/>
  <c r="C55" i="12"/>
  <c r="O54" i="12"/>
  <c r="O55" i="12" s="1"/>
  <c r="N53" i="12"/>
  <c r="M53" i="12"/>
  <c r="L53" i="12"/>
  <c r="K53" i="12"/>
  <c r="J53" i="12"/>
  <c r="I53" i="12"/>
  <c r="H53" i="12"/>
  <c r="G53" i="12"/>
  <c r="F53" i="12"/>
  <c r="E53" i="12"/>
  <c r="D53" i="12"/>
  <c r="C53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O51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O48" i="12"/>
  <c r="O47" i="12"/>
  <c r="O46" i="12"/>
  <c r="O41" i="12"/>
  <c r="D40" i="12"/>
  <c r="C40" i="12"/>
  <c r="D39" i="12"/>
  <c r="C39" i="12"/>
  <c r="O38" i="12"/>
  <c r="O39" i="12" s="1"/>
  <c r="N37" i="12"/>
  <c r="M37" i="12"/>
  <c r="L37" i="12"/>
  <c r="K37" i="12"/>
  <c r="J37" i="12"/>
  <c r="I37" i="12"/>
  <c r="H37" i="12"/>
  <c r="G37" i="12"/>
  <c r="F37" i="12"/>
  <c r="E37" i="12"/>
  <c r="D37" i="12"/>
  <c r="C37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O35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O32" i="12"/>
  <c r="O33" i="12" s="1"/>
  <c r="O31" i="12"/>
  <c r="O30" i="12"/>
  <c r="O24" i="12"/>
  <c r="D23" i="12"/>
  <c r="C23" i="12"/>
  <c r="D22" i="12"/>
  <c r="C22" i="12"/>
  <c r="O21" i="12"/>
  <c r="O22" i="12" s="1"/>
  <c r="N20" i="12"/>
  <c r="M20" i="12"/>
  <c r="L20" i="12"/>
  <c r="K20" i="12"/>
  <c r="J20" i="12"/>
  <c r="I20" i="12"/>
  <c r="H20" i="12"/>
  <c r="G20" i="12"/>
  <c r="F20" i="12"/>
  <c r="E20" i="12"/>
  <c r="D20" i="12"/>
  <c r="C20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O18" i="12"/>
  <c r="O19" i="12" s="1"/>
  <c r="N17" i="12"/>
  <c r="M17" i="12"/>
  <c r="L17" i="12"/>
  <c r="K17" i="12"/>
  <c r="J17" i="12"/>
  <c r="I17" i="12"/>
  <c r="H17" i="12"/>
  <c r="G17" i="12"/>
  <c r="F17" i="12"/>
  <c r="E17" i="12"/>
  <c r="D17" i="12"/>
  <c r="C17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O15" i="12"/>
  <c r="O14" i="12"/>
  <c r="O13" i="12"/>
  <c r="J9" i="12"/>
  <c r="I9" i="12"/>
  <c r="H9" i="12"/>
  <c r="G9" i="12"/>
  <c r="F9" i="12"/>
  <c r="I6" i="12"/>
  <c r="H6" i="12"/>
  <c r="G6" i="12"/>
  <c r="I4" i="12"/>
  <c r="H4" i="12"/>
  <c r="G4" i="12"/>
  <c r="F4" i="12"/>
  <c r="E4" i="12"/>
  <c r="D4" i="12"/>
  <c r="E914" i="16"/>
  <c r="E913" i="16"/>
  <c r="E912" i="16"/>
  <c r="E911" i="16"/>
  <c r="E910" i="16"/>
  <c r="E909" i="16"/>
  <c r="E908" i="16"/>
  <c r="E907" i="16"/>
  <c r="E906" i="16"/>
  <c r="E905" i="16"/>
  <c r="E900" i="16"/>
  <c r="E899" i="16"/>
  <c r="E898" i="16"/>
  <c r="E897" i="16"/>
  <c r="E896" i="16"/>
  <c r="E895" i="16"/>
  <c r="E894" i="16"/>
  <c r="E893" i="16"/>
  <c r="E892" i="16"/>
  <c r="E891" i="16"/>
  <c r="M886" i="16"/>
  <c r="E886" i="16"/>
  <c r="M885" i="16"/>
  <c r="E885" i="16"/>
  <c r="M884" i="16"/>
  <c r="E884" i="16"/>
  <c r="M883" i="16"/>
  <c r="E883" i="16"/>
  <c r="M882" i="16"/>
  <c r="E882" i="16"/>
  <c r="M881" i="16"/>
  <c r="E881" i="16"/>
  <c r="M880" i="16"/>
  <c r="E880" i="16"/>
  <c r="M879" i="16"/>
  <c r="E879" i="16"/>
  <c r="M878" i="16"/>
  <c r="E878" i="16"/>
  <c r="M877" i="16"/>
  <c r="E877" i="16"/>
  <c r="M872" i="16"/>
  <c r="E872" i="16"/>
  <c r="M871" i="16"/>
  <c r="E871" i="16"/>
  <c r="M870" i="16"/>
  <c r="E870" i="16"/>
  <c r="M869" i="16"/>
  <c r="E869" i="16"/>
  <c r="M868" i="16"/>
  <c r="E868" i="16"/>
  <c r="M867" i="16"/>
  <c r="E867" i="16"/>
  <c r="M866" i="16"/>
  <c r="E866" i="16"/>
  <c r="M865" i="16"/>
  <c r="E865" i="16"/>
  <c r="M864" i="16"/>
  <c r="E864" i="16"/>
  <c r="M863" i="16"/>
  <c r="E863" i="16"/>
  <c r="M858" i="16"/>
  <c r="E858" i="16"/>
  <c r="M857" i="16"/>
  <c r="E857" i="16"/>
  <c r="M856" i="16"/>
  <c r="E856" i="16"/>
  <c r="M855" i="16"/>
  <c r="E855" i="16"/>
  <c r="M854" i="16"/>
  <c r="E854" i="16"/>
  <c r="M853" i="16"/>
  <c r="E853" i="16"/>
  <c r="M852" i="16"/>
  <c r="E852" i="16"/>
  <c r="M851" i="16"/>
  <c r="E851" i="16"/>
  <c r="M850" i="16"/>
  <c r="E850" i="16"/>
  <c r="M849" i="16"/>
  <c r="E849" i="16"/>
  <c r="M844" i="16"/>
  <c r="E844" i="16"/>
  <c r="M843" i="16"/>
  <c r="E843" i="16"/>
  <c r="M842" i="16"/>
  <c r="E842" i="16"/>
  <c r="M841" i="16"/>
  <c r="E841" i="16"/>
  <c r="M840" i="16"/>
  <c r="E840" i="16"/>
  <c r="M839" i="16"/>
  <c r="E839" i="16"/>
  <c r="M838" i="16"/>
  <c r="E838" i="16"/>
  <c r="M837" i="16"/>
  <c r="E837" i="16"/>
  <c r="M836" i="16"/>
  <c r="E836" i="16"/>
  <c r="M835" i="16"/>
  <c r="E835" i="16"/>
  <c r="M830" i="16"/>
  <c r="E830" i="16"/>
  <c r="M829" i="16"/>
  <c r="E829" i="16"/>
  <c r="M828" i="16"/>
  <c r="E828" i="16"/>
  <c r="M827" i="16"/>
  <c r="E827" i="16"/>
  <c r="M826" i="16"/>
  <c r="E826" i="16"/>
  <c r="M825" i="16"/>
  <c r="E825" i="16"/>
  <c r="M824" i="16"/>
  <c r="E824" i="16"/>
  <c r="M823" i="16"/>
  <c r="E823" i="16"/>
  <c r="M822" i="16"/>
  <c r="E822" i="16"/>
  <c r="M821" i="16"/>
  <c r="E821" i="16"/>
  <c r="M816" i="16"/>
  <c r="E816" i="16"/>
  <c r="M815" i="16"/>
  <c r="E815" i="16"/>
  <c r="M814" i="16"/>
  <c r="E814" i="16"/>
  <c r="M813" i="16"/>
  <c r="E813" i="16"/>
  <c r="M812" i="16"/>
  <c r="E812" i="16"/>
  <c r="M811" i="16"/>
  <c r="E811" i="16"/>
  <c r="M810" i="16"/>
  <c r="E810" i="16"/>
  <c r="M809" i="16"/>
  <c r="E809" i="16"/>
  <c r="M808" i="16"/>
  <c r="E808" i="16"/>
  <c r="M807" i="16"/>
  <c r="E807" i="16"/>
  <c r="M802" i="16"/>
  <c r="E802" i="16"/>
  <c r="M801" i="16"/>
  <c r="E801" i="16"/>
  <c r="M800" i="16"/>
  <c r="E800" i="16"/>
  <c r="M799" i="16"/>
  <c r="E799" i="16"/>
  <c r="M798" i="16"/>
  <c r="E798" i="16"/>
  <c r="M797" i="16"/>
  <c r="E797" i="16"/>
  <c r="M796" i="16"/>
  <c r="E796" i="16"/>
  <c r="M795" i="16"/>
  <c r="E795" i="16"/>
  <c r="M794" i="16"/>
  <c r="E794" i="16"/>
  <c r="M793" i="16"/>
  <c r="E793" i="16"/>
  <c r="M788" i="16"/>
  <c r="E788" i="16"/>
  <c r="M787" i="16"/>
  <c r="E787" i="16"/>
  <c r="M786" i="16"/>
  <c r="E786" i="16"/>
  <c r="M785" i="16"/>
  <c r="E785" i="16"/>
  <c r="M784" i="16"/>
  <c r="E784" i="16"/>
  <c r="M783" i="16"/>
  <c r="E783" i="16"/>
  <c r="M782" i="16"/>
  <c r="E782" i="16"/>
  <c r="M781" i="16"/>
  <c r="E781" i="16"/>
  <c r="M780" i="16"/>
  <c r="E780" i="16"/>
  <c r="M779" i="16"/>
  <c r="E779" i="16"/>
  <c r="M774" i="16"/>
  <c r="E774" i="16"/>
  <c r="M773" i="16"/>
  <c r="E773" i="16"/>
  <c r="M772" i="16"/>
  <c r="E772" i="16"/>
  <c r="M771" i="16"/>
  <c r="E771" i="16"/>
  <c r="M770" i="16"/>
  <c r="E770" i="16"/>
  <c r="M769" i="16"/>
  <c r="E769" i="16"/>
  <c r="M768" i="16"/>
  <c r="E768" i="16"/>
  <c r="M767" i="16"/>
  <c r="E767" i="16"/>
  <c r="M766" i="16"/>
  <c r="E766" i="16"/>
  <c r="M765" i="16"/>
  <c r="E765" i="16"/>
  <c r="M760" i="16"/>
  <c r="E760" i="16"/>
  <c r="M759" i="16"/>
  <c r="E759" i="16"/>
  <c r="M758" i="16"/>
  <c r="E758" i="16"/>
  <c r="M757" i="16"/>
  <c r="E757" i="16"/>
  <c r="M756" i="16"/>
  <c r="E756" i="16"/>
  <c r="M755" i="16"/>
  <c r="E755" i="16"/>
  <c r="M754" i="16"/>
  <c r="E754" i="16"/>
  <c r="M753" i="16"/>
  <c r="E753" i="16"/>
  <c r="M752" i="16"/>
  <c r="E752" i="16"/>
  <c r="M751" i="16"/>
  <c r="E751" i="16"/>
  <c r="E746" i="16"/>
  <c r="E745" i="16"/>
  <c r="E744" i="16"/>
  <c r="E743" i="16"/>
  <c r="E742" i="16"/>
  <c r="E741" i="16"/>
  <c r="E740" i="16"/>
  <c r="E739" i="16"/>
  <c r="E738" i="16"/>
  <c r="E737" i="16"/>
  <c r="M732" i="16"/>
  <c r="E732" i="16"/>
  <c r="M731" i="16"/>
  <c r="E731" i="16"/>
  <c r="M730" i="16"/>
  <c r="E730" i="16"/>
  <c r="M729" i="16"/>
  <c r="E729" i="16"/>
  <c r="M728" i="16"/>
  <c r="E728" i="16"/>
  <c r="M727" i="16"/>
  <c r="E727" i="16"/>
  <c r="M726" i="16"/>
  <c r="E726" i="16"/>
  <c r="M725" i="16"/>
  <c r="E725" i="16"/>
  <c r="M724" i="16"/>
  <c r="E724" i="16"/>
  <c r="M723" i="16"/>
  <c r="E723" i="16"/>
  <c r="M718" i="16"/>
  <c r="E718" i="16"/>
  <c r="M717" i="16"/>
  <c r="E717" i="16"/>
  <c r="M716" i="16"/>
  <c r="E716" i="16"/>
  <c r="M715" i="16"/>
  <c r="E715" i="16"/>
  <c r="M714" i="16"/>
  <c r="E714" i="16"/>
  <c r="M713" i="16"/>
  <c r="E713" i="16"/>
  <c r="M712" i="16"/>
  <c r="E712" i="16"/>
  <c r="M711" i="16"/>
  <c r="E711" i="16"/>
  <c r="M710" i="16"/>
  <c r="E710" i="16"/>
  <c r="M709" i="16"/>
  <c r="E709" i="16"/>
  <c r="M703" i="16"/>
  <c r="E703" i="16"/>
  <c r="M702" i="16"/>
  <c r="E702" i="16"/>
  <c r="M701" i="16"/>
  <c r="E701" i="16"/>
  <c r="M700" i="16"/>
  <c r="E700" i="16"/>
  <c r="M699" i="16"/>
  <c r="E699" i="16"/>
  <c r="M698" i="16"/>
  <c r="E698" i="16"/>
  <c r="M697" i="16"/>
  <c r="E697" i="16"/>
  <c r="M696" i="16"/>
  <c r="E696" i="16"/>
  <c r="M695" i="16"/>
  <c r="E695" i="16"/>
  <c r="M694" i="16"/>
  <c r="E694" i="16"/>
  <c r="M689" i="16"/>
  <c r="E689" i="16"/>
  <c r="M688" i="16"/>
  <c r="E688" i="16"/>
  <c r="M687" i="16"/>
  <c r="E687" i="16"/>
  <c r="M686" i="16"/>
  <c r="E686" i="16"/>
  <c r="M685" i="16"/>
  <c r="E685" i="16"/>
  <c r="M684" i="16"/>
  <c r="E684" i="16"/>
  <c r="M683" i="16"/>
  <c r="E683" i="16"/>
  <c r="M682" i="16"/>
  <c r="E682" i="16"/>
  <c r="M681" i="16"/>
  <c r="E681" i="16"/>
  <c r="M680" i="16"/>
  <c r="E680" i="16"/>
  <c r="M675" i="16"/>
  <c r="E675" i="16"/>
  <c r="M674" i="16"/>
  <c r="E674" i="16"/>
  <c r="M673" i="16"/>
  <c r="E673" i="16"/>
  <c r="M672" i="16"/>
  <c r="E672" i="16"/>
  <c r="M671" i="16"/>
  <c r="E671" i="16"/>
  <c r="M670" i="16"/>
  <c r="E670" i="16"/>
  <c r="M669" i="16"/>
  <c r="E669" i="16"/>
  <c r="M668" i="16"/>
  <c r="E668" i="16"/>
  <c r="M667" i="16"/>
  <c r="E667" i="16"/>
  <c r="M666" i="16"/>
  <c r="E666" i="16"/>
  <c r="M661" i="16"/>
  <c r="E661" i="16"/>
  <c r="M660" i="16"/>
  <c r="E660" i="16"/>
  <c r="M659" i="16"/>
  <c r="E659" i="16"/>
  <c r="M658" i="16"/>
  <c r="E658" i="16"/>
  <c r="M657" i="16"/>
  <c r="E657" i="16"/>
  <c r="M656" i="16"/>
  <c r="E656" i="16"/>
  <c r="M655" i="16"/>
  <c r="E655" i="16"/>
  <c r="M654" i="16"/>
  <c r="E654" i="16"/>
  <c r="M653" i="16"/>
  <c r="E653" i="16"/>
  <c r="M652" i="16"/>
  <c r="E652" i="16"/>
  <c r="M651" i="16"/>
  <c r="E651" i="16"/>
  <c r="M650" i="16"/>
  <c r="E650" i="16"/>
  <c r="M649" i="16"/>
  <c r="E649" i="16"/>
  <c r="M648" i="16"/>
  <c r="E648" i="16"/>
  <c r="M647" i="16"/>
  <c r="E647" i="16"/>
  <c r="M642" i="16"/>
  <c r="E642" i="16"/>
  <c r="M641" i="16"/>
  <c r="E641" i="16"/>
  <c r="M640" i="16"/>
  <c r="E640" i="16"/>
  <c r="M639" i="16"/>
  <c r="E639" i="16"/>
  <c r="M638" i="16"/>
  <c r="E638" i="16"/>
  <c r="M637" i="16"/>
  <c r="E637" i="16"/>
  <c r="M636" i="16"/>
  <c r="E636" i="16"/>
  <c r="M635" i="16"/>
  <c r="E635" i="16"/>
  <c r="M634" i="16"/>
  <c r="E634" i="16"/>
  <c r="M633" i="16"/>
  <c r="E633" i="16"/>
  <c r="M628" i="16"/>
  <c r="E628" i="16"/>
  <c r="M627" i="16"/>
  <c r="E627" i="16"/>
  <c r="M626" i="16"/>
  <c r="E626" i="16"/>
  <c r="M625" i="16"/>
  <c r="E625" i="16"/>
  <c r="M624" i="16"/>
  <c r="E624" i="16"/>
  <c r="M623" i="16"/>
  <c r="E623" i="16"/>
  <c r="M622" i="16"/>
  <c r="E622" i="16"/>
  <c r="M621" i="16"/>
  <c r="E621" i="16"/>
  <c r="M620" i="16"/>
  <c r="E620" i="16"/>
  <c r="M619" i="16"/>
  <c r="E619" i="16"/>
  <c r="M615" i="16"/>
  <c r="E615" i="16"/>
  <c r="M614" i="16"/>
  <c r="E614" i="16"/>
  <c r="M613" i="16"/>
  <c r="E613" i="16"/>
  <c r="M612" i="16"/>
  <c r="E612" i="16"/>
  <c r="M611" i="16"/>
  <c r="E611" i="16"/>
  <c r="M610" i="16"/>
  <c r="E610" i="16"/>
  <c r="M609" i="16"/>
  <c r="E609" i="16"/>
  <c r="M608" i="16"/>
  <c r="E608" i="16"/>
  <c r="M607" i="16"/>
  <c r="M606" i="16"/>
  <c r="M602" i="16"/>
  <c r="E602" i="16"/>
  <c r="M601" i="16"/>
  <c r="E601" i="16"/>
  <c r="M600" i="16"/>
  <c r="E600" i="16"/>
  <c r="M599" i="16"/>
  <c r="E599" i="16"/>
  <c r="M598" i="16"/>
  <c r="E598" i="16"/>
  <c r="M597" i="16"/>
  <c r="E597" i="16"/>
  <c r="M596" i="16"/>
  <c r="E596" i="16"/>
  <c r="M595" i="16"/>
  <c r="E595" i="16"/>
  <c r="M594" i="16"/>
  <c r="M593" i="16"/>
  <c r="S519" i="16"/>
  <c r="S499" i="16"/>
  <c r="S479" i="16"/>
  <c r="D442" i="16"/>
  <c r="Y298" i="16"/>
  <c r="S298" i="16"/>
  <c r="M298" i="16"/>
  <c r="E298" i="16"/>
  <c r="Y297" i="16"/>
  <c r="X297" i="16"/>
  <c r="S297" i="16"/>
  <c r="R297" i="16"/>
  <c r="M297" i="16"/>
  <c r="L297" i="16"/>
  <c r="E297" i="16"/>
  <c r="D297" i="16"/>
  <c r="N296" i="16"/>
  <c r="F296" i="16"/>
  <c r="N295" i="16"/>
  <c r="G295" i="16"/>
  <c r="N294" i="16"/>
  <c r="N293" i="16"/>
  <c r="N292" i="16"/>
  <c r="G292" i="16"/>
  <c r="F292" i="16"/>
  <c r="G276" i="16"/>
  <c r="E276" i="16"/>
  <c r="X275" i="16"/>
  <c r="Y275" i="16" s="1"/>
  <c r="S275" i="16"/>
  <c r="R275" i="16"/>
  <c r="L275" i="16"/>
  <c r="M275" i="16" s="1"/>
  <c r="G275" i="16"/>
  <c r="D275" i="16"/>
  <c r="N274" i="16"/>
  <c r="F274" i="16"/>
  <c r="N273" i="16"/>
  <c r="G273" i="16"/>
  <c r="F273" i="16"/>
  <c r="N272" i="16"/>
  <c r="N271" i="16"/>
  <c r="G271" i="16"/>
  <c r="F271" i="16"/>
  <c r="N270" i="16"/>
  <c r="N269" i="16"/>
  <c r="G269" i="16"/>
  <c r="F269" i="16"/>
  <c r="N268" i="16"/>
  <c r="G268" i="16"/>
  <c r="F268" i="16"/>
  <c r="N267" i="16"/>
  <c r="G267" i="16"/>
  <c r="F267" i="16"/>
  <c r="N266" i="16"/>
  <c r="G266" i="16"/>
  <c r="F266" i="16"/>
  <c r="N265" i="16"/>
  <c r="G265" i="16"/>
  <c r="F265" i="16"/>
  <c r="N264" i="16"/>
  <c r="G264" i="16"/>
  <c r="F264" i="16"/>
  <c r="N263" i="16"/>
  <c r="G263" i="16"/>
  <c r="F263" i="16"/>
  <c r="N262" i="16"/>
  <c r="G262" i="16"/>
  <c r="F262" i="16"/>
  <c r="N261" i="16"/>
  <c r="G261" i="16"/>
  <c r="F261" i="16"/>
  <c r="N260" i="16"/>
  <c r="G260" i="16"/>
  <c r="F260" i="16"/>
  <c r="G254" i="16"/>
  <c r="E254" i="16"/>
  <c r="Y253" i="16"/>
  <c r="X253" i="16"/>
  <c r="S253" i="16"/>
  <c r="R253" i="16"/>
  <c r="M253" i="16"/>
  <c r="L253" i="16"/>
  <c r="E253" i="16"/>
  <c r="D253" i="16"/>
  <c r="N251" i="16"/>
  <c r="N250" i="16"/>
  <c r="G250" i="16"/>
  <c r="F250" i="16"/>
  <c r="N249" i="16"/>
  <c r="G249" i="16"/>
  <c r="F249" i="16"/>
  <c r="N248" i="16"/>
  <c r="G248" i="16"/>
  <c r="F248" i="16"/>
  <c r="N247" i="16"/>
  <c r="G247" i="16"/>
  <c r="F247" i="16"/>
  <c r="N246" i="16"/>
  <c r="G246" i="16"/>
  <c r="F246" i="16"/>
  <c r="N245" i="16"/>
  <c r="G245" i="16"/>
  <c r="F245" i="16"/>
  <c r="N244" i="16"/>
  <c r="G244" i="16"/>
  <c r="F244" i="16"/>
  <c r="N243" i="16"/>
  <c r="G243" i="16"/>
  <c r="F243" i="16"/>
  <c r="N242" i="16"/>
  <c r="G242" i="16"/>
  <c r="F242" i="16"/>
  <c r="N241" i="16"/>
  <c r="G241" i="16"/>
  <c r="F241" i="16"/>
  <c r="N240" i="16"/>
  <c r="G240" i="16"/>
  <c r="F240" i="16"/>
  <c r="N239" i="16"/>
  <c r="G239" i="16"/>
  <c r="F239" i="16"/>
  <c r="N238" i="16"/>
  <c r="G238" i="16"/>
  <c r="F238" i="16"/>
  <c r="G232" i="16"/>
  <c r="E232" i="16"/>
  <c r="E231" i="16" s="1"/>
  <c r="Y231" i="16"/>
  <c r="X231" i="16"/>
  <c r="S231" i="16"/>
  <c r="R231" i="16"/>
  <c r="M231" i="16"/>
  <c r="L231" i="16"/>
  <c r="G231" i="16"/>
  <c r="D231" i="16"/>
  <c r="G230" i="16"/>
  <c r="N229" i="16"/>
  <c r="G229" i="16"/>
  <c r="N228" i="16"/>
  <c r="G228" i="16"/>
  <c r="F228" i="16"/>
  <c r="N227" i="16"/>
  <c r="G227" i="16"/>
  <c r="F227" i="16"/>
  <c r="N226" i="16"/>
  <c r="G226" i="16"/>
  <c r="F226" i="16"/>
  <c r="E210" i="16"/>
  <c r="Y209" i="16"/>
  <c r="X209" i="16"/>
  <c r="S209" i="16"/>
  <c r="R209" i="16"/>
  <c r="M209" i="16"/>
  <c r="L209" i="16"/>
  <c r="E209" i="16"/>
  <c r="D209" i="16"/>
  <c r="G188" i="16"/>
  <c r="E188" i="16"/>
  <c r="Y187" i="16"/>
  <c r="X187" i="16"/>
  <c r="S187" i="16"/>
  <c r="R187" i="16"/>
  <c r="M187" i="16"/>
  <c r="L187" i="16"/>
  <c r="E187" i="16"/>
  <c r="D187" i="16"/>
  <c r="G165" i="16" s="1"/>
  <c r="G186" i="16"/>
  <c r="N185" i="16"/>
  <c r="G185" i="16"/>
  <c r="N184" i="16"/>
  <c r="G184" i="16"/>
  <c r="F184" i="16"/>
  <c r="N183" i="16"/>
  <c r="G183" i="16"/>
  <c r="F183" i="16"/>
  <c r="N182" i="16"/>
  <c r="G182" i="16"/>
  <c r="F182" i="16"/>
  <c r="N181" i="16"/>
  <c r="G181" i="16"/>
  <c r="F181" i="16"/>
  <c r="N180" i="16"/>
  <c r="G180" i="16"/>
  <c r="F180" i="16"/>
  <c r="N179" i="16"/>
  <c r="G179" i="16"/>
  <c r="F179" i="16"/>
  <c r="N178" i="16"/>
  <c r="G178" i="16"/>
  <c r="F178" i="16"/>
  <c r="N177" i="16"/>
  <c r="G177" i="16"/>
  <c r="F177" i="16"/>
  <c r="N176" i="16"/>
  <c r="G176" i="16"/>
  <c r="F176" i="16"/>
  <c r="N175" i="16"/>
  <c r="G175" i="16"/>
  <c r="F175" i="16"/>
  <c r="N174" i="16"/>
  <c r="G174" i="16"/>
  <c r="F174" i="16"/>
  <c r="N173" i="16"/>
  <c r="G173" i="16"/>
  <c r="F173" i="16"/>
  <c r="N172" i="16"/>
  <c r="G172" i="16"/>
  <c r="F172" i="16"/>
  <c r="G166" i="16"/>
  <c r="E166" i="16"/>
  <c r="Y165" i="16"/>
  <c r="X165" i="16"/>
  <c r="S165" i="16"/>
  <c r="R165" i="16"/>
  <c r="M165" i="16"/>
  <c r="L165" i="16"/>
  <c r="D165" i="16"/>
  <c r="F164" i="16"/>
  <c r="N163" i="16"/>
  <c r="N162" i="16"/>
  <c r="G162" i="16"/>
  <c r="N161" i="16"/>
  <c r="G161" i="16"/>
  <c r="F161" i="16"/>
  <c r="N160" i="16"/>
  <c r="G160" i="16"/>
  <c r="F160" i="16"/>
  <c r="N159" i="16"/>
  <c r="G159" i="16"/>
  <c r="F159" i="16"/>
  <c r="N158" i="16"/>
  <c r="G158" i="16"/>
  <c r="F158" i="16"/>
  <c r="N157" i="16"/>
  <c r="G157" i="16"/>
  <c r="F157" i="16"/>
  <c r="N156" i="16"/>
  <c r="G156" i="16"/>
  <c r="F156" i="16"/>
  <c r="AM155" i="16"/>
  <c r="AH155" i="16"/>
  <c r="AE155" i="16"/>
  <c r="N155" i="16"/>
  <c r="G155" i="16"/>
  <c r="F155" i="16"/>
  <c r="AN154" i="16"/>
  <c r="AH154" i="16"/>
  <c r="AG154" i="16"/>
  <c r="N154" i="16"/>
  <c r="G154" i="16"/>
  <c r="F154" i="16"/>
  <c r="AN153" i="16"/>
  <c r="AH153" i="16"/>
  <c r="AG153" i="16"/>
  <c r="N153" i="16"/>
  <c r="G153" i="16"/>
  <c r="F153" i="16"/>
  <c r="AN152" i="16"/>
  <c r="AH152" i="16"/>
  <c r="AG152" i="16"/>
  <c r="N152" i="16"/>
  <c r="G152" i="16"/>
  <c r="F152" i="16"/>
  <c r="AN151" i="16"/>
  <c r="AH151" i="16"/>
  <c r="AG151" i="16"/>
  <c r="N151" i="16"/>
  <c r="G151" i="16"/>
  <c r="F151" i="16"/>
  <c r="AN150" i="16"/>
  <c r="AH150" i="16"/>
  <c r="AG150" i="16"/>
  <c r="N150" i="16"/>
  <c r="G150" i="16"/>
  <c r="F150" i="16"/>
  <c r="G144" i="16"/>
  <c r="E144" i="16"/>
  <c r="Y143" i="16"/>
  <c r="X143" i="16"/>
  <c r="S143" i="16"/>
  <c r="R143" i="16"/>
  <c r="M143" i="16"/>
  <c r="L143" i="16"/>
  <c r="D143" i="16"/>
  <c r="G121" i="16" s="1"/>
  <c r="N141" i="16"/>
  <c r="G141" i="16"/>
  <c r="F141" i="16"/>
  <c r="N140" i="16"/>
  <c r="N139" i="16"/>
  <c r="G139" i="16"/>
  <c r="F139" i="16"/>
  <c r="N138" i="16"/>
  <c r="G138" i="16"/>
  <c r="F138" i="16"/>
  <c r="N137" i="16"/>
  <c r="G137" i="16"/>
  <c r="F137" i="16"/>
  <c r="N136" i="16"/>
  <c r="G136" i="16"/>
  <c r="N135" i="16"/>
  <c r="G135" i="16"/>
  <c r="F135" i="16"/>
  <c r="AH134" i="16"/>
  <c r="N134" i="16"/>
  <c r="G134" i="16"/>
  <c r="F134" i="16"/>
  <c r="AM133" i="16"/>
  <c r="AE133" i="16"/>
  <c r="AH133" i="16" s="1"/>
  <c r="N133" i="16"/>
  <c r="G133" i="16"/>
  <c r="F133" i="16"/>
  <c r="N132" i="16"/>
  <c r="G132" i="16"/>
  <c r="F132" i="16"/>
  <c r="N131" i="16"/>
  <c r="G131" i="16"/>
  <c r="F131" i="16"/>
  <c r="N130" i="16"/>
  <c r="G130" i="16"/>
  <c r="F130" i="16"/>
  <c r="N129" i="16"/>
  <c r="G129" i="16"/>
  <c r="F129" i="16"/>
  <c r="N128" i="16"/>
  <c r="G128" i="16"/>
  <c r="F128" i="16"/>
  <c r="G122" i="16"/>
  <c r="E122" i="16"/>
  <c r="Y121" i="16"/>
  <c r="X121" i="16"/>
  <c r="R121" i="16"/>
  <c r="M121" i="16"/>
  <c r="L121" i="16"/>
  <c r="D121" i="16"/>
  <c r="F120" i="16"/>
  <c r="G119" i="16"/>
  <c r="N118" i="16"/>
  <c r="G118" i="16"/>
  <c r="N117" i="16"/>
  <c r="G117" i="16"/>
  <c r="N116" i="16"/>
  <c r="G116" i="16"/>
  <c r="F116" i="16"/>
  <c r="N115" i="16"/>
  <c r="G115" i="16"/>
  <c r="F115" i="16"/>
  <c r="N114" i="16"/>
  <c r="G114" i="16"/>
  <c r="F114" i="16"/>
  <c r="N113" i="16"/>
  <c r="G113" i="16"/>
  <c r="F113" i="16"/>
  <c r="AH112" i="16"/>
  <c r="N112" i="16"/>
  <c r="G112" i="16"/>
  <c r="F112" i="16"/>
  <c r="AM111" i="16"/>
  <c r="AH111" i="16"/>
  <c r="AE111" i="16"/>
  <c r="N111" i="16"/>
  <c r="G111" i="16"/>
  <c r="F111" i="16"/>
  <c r="N110" i="16"/>
  <c r="G110" i="16"/>
  <c r="F110" i="16"/>
  <c r="N109" i="16"/>
  <c r="G109" i="16"/>
  <c r="F109" i="16"/>
  <c r="N108" i="16"/>
  <c r="G108" i="16"/>
  <c r="F108" i="16"/>
  <c r="N107" i="16"/>
  <c r="G107" i="16"/>
  <c r="F107" i="16"/>
  <c r="N106" i="16"/>
  <c r="G106" i="16"/>
  <c r="F106" i="16"/>
  <c r="G100" i="16"/>
  <c r="E100" i="16"/>
  <c r="X99" i="16"/>
  <c r="Y99" i="16" s="1"/>
  <c r="S99" i="16"/>
  <c r="R99" i="16"/>
  <c r="M99" i="16"/>
  <c r="L99" i="16"/>
  <c r="D99" i="16"/>
  <c r="G99" i="16" s="1"/>
  <c r="Y98" i="16"/>
  <c r="S98" i="16"/>
  <c r="G98" i="16"/>
  <c r="Y97" i="16"/>
  <c r="S97" i="16"/>
  <c r="Y96" i="16"/>
  <c r="S96" i="16"/>
  <c r="N96" i="16"/>
  <c r="G96" i="16"/>
  <c r="Y95" i="16"/>
  <c r="S95" i="16"/>
  <c r="N95" i="16"/>
  <c r="G95" i="16"/>
  <c r="Y94" i="16"/>
  <c r="S94" i="16"/>
  <c r="N94" i="16"/>
  <c r="G94" i="16"/>
  <c r="Y93" i="16"/>
  <c r="S93" i="16"/>
  <c r="N93" i="16"/>
  <c r="G93" i="16"/>
  <c r="Y92" i="16"/>
  <c r="S92" i="16"/>
  <c r="N92" i="16"/>
  <c r="G92" i="16"/>
  <c r="Y91" i="16"/>
  <c r="S91" i="16"/>
  <c r="N91" i="16"/>
  <c r="G91" i="16"/>
  <c r="F91" i="16"/>
  <c r="AH90" i="16"/>
  <c r="Y90" i="16"/>
  <c r="S90" i="16"/>
  <c r="N90" i="16"/>
  <c r="G90" i="16"/>
  <c r="AM89" i="16"/>
  <c r="AF89" i="16"/>
  <c r="S89" i="16"/>
  <c r="N89" i="16"/>
  <c r="G89" i="16"/>
  <c r="F89" i="16"/>
  <c r="Y88" i="16"/>
  <c r="S88" i="16"/>
  <c r="N88" i="16"/>
  <c r="G88" i="16"/>
  <c r="Y87" i="16"/>
  <c r="S87" i="16"/>
  <c r="N87" i="16"/>
  <c r="G87" i="16"/>
  <c r="Y86" i="16"/>
  <c r="S86" i="16"/>
  <c r="N86" i="16"/>
  <c r="G86" i="16"/>
  <c r="Y85" i="16"/>
  <c r="S85" i="16"/>
  <c r="N85" i="16"/>
  <c r="G85" i="16"/>
  <c r="S84" i="16"/>
  <c r="N84" i="16"/>
  <c r="G84" i="16"/>
  <c r="S78" i="16"/>
  <c r="G78" i="16"/>
  <c r="F78" i="16"/>
  <c r="E78" i="16"/>
  <c r="Y77" i="16"/>
  <c r="R77" i="16"/>
  <c r="S77" i="16" s="1"/>
  <c r="E77" i="16"/>
  <c r="D77" i="16"/>
  <c r="S76" i="16"/>
  <c r="F76" i="16"/>
  <c r="S75" i="16"/>
  <c r="F75" i="16"/>
  <c r="S74" i="16"/>
  <c r="S73" i="16"/>
  <c r="S72" i="16"/>
  <c r="F72" i="16"/>
  <c r="S71" i="16"/>
  <c r="S70" i="16"/>
  <c r="S69" i="16"/>
  <c r="AH68" i="16"/>
  <c r="S68" i="16"/>
  <c r="AE67" i="16"/>
  <c r="S67" i="16"/>
  <c r="S66" i="16"/>
  <c r="S65" i="16"/>
  <c r="S64" i="16"/>
  <c r="S63" i="16"/>
  <c r="S62" i="16"/>
  <c r="S56" i="16"/>
  <c r="G56" i="16"/>
  <c r="F56" i="16"/>
  <c r="E56" i="16"/>
  <c r="Y55" i="16"/>
  <c r="S55" i="16"/>
  <c r="R55" i="16"/>
  <c r="M55" i="16"/>
  <c r="L55" i="16"/>
  <c r="G55" i="16"/>
  <c r="E55" i="16"/>
  <c r="D55" i="16"/>
  <c r="S54" i="16"/>
  <c r="G54" i="16"/>
  <c r="S53" i="16"/>
  <c r="G53" i="16"/>
  <c r="S52" i="16"/>
  <c r="N52" i="16"/>
  <c r="G52" i="16"/>
  <c r="F52" i="16"/>
  <c r="S51" i="16"/>
  <c r="N51" i="16"/>
  <c r="G51" i="16"/>
  <c r="S50" i="16"/>
  <c r="N50" i="16"/>
  <c r="G50" i="16"/>
  <c r="F50" i="16"/>
  <c r="S49" i="16"/>
  <c r="G49" i="16"/>
  <c r="S48" i="16"/>
  <c r="N48" i="16"/>
  <c r="G48" i="16"/>
  <c r="F48" i="16"/>
  <c r="S47" i="16"/>
  <c r="N47" i="16"/>
  <c r="G47" i="16"/>
  <c r="F47" i="16"/>
  <c r="AH46" i="16"/>
  <c r="S46" i="16"/>
  <c r="N46" i="16"/>
  <c r="G46" i="16"/>
  <c r="F46" i="16"/>
  <c r="AE45" i="16"/>
  <c r="AH45" i="16" s="1"/>
  <c r="S45" i="16"/>
  <c r="N45" i="16"/>
  <c r="G45" i="16"/>
  <c r="F45" i="16"/>
  <c r="S44" i="16"/>
  <c r="N44" i="16"/>
  <c r="G44" i="16"/>
  <c r="F44" i="16"/>
  <c r="S43" i="16"/>
  <c r="N43" i="16"/>
  <c r="G43" i="16"/>
  <c r="F43" i="16"/>
  <c r="AH42" i="16"/>
  <c r="S42" i="16"/>
  <c r="N42" i="16"/>
  <c r="G42" i="16"/>
  <c r="F42" i="16"/>
  <c r="AH41" i="16"/>
  <c r="S41" i="16"/>
  <c r="N41" i="16"/>
  <c r="G41" i="16"/>
  <c r="F41" i="16"/>
  <c r="AH40" i="16"/>
  <c r="S40" i="16"/>
  <c r="N40" i="16"/>
  <c r="G40" i="16"/>
  <c r="F40" i="16"/>
  <c r="S34" i="16"/>
  <c r="L34" i="16"/>
  <c r="M32" i="16" s="1"/>
  <c r="G34" i="16"/>
  <c r="F34" i="16"/>
  <c r="E34" i="16"/>
  <c r="Y33" i="16"/>
  <c r="S33" i="16"/>
  <c r="R33" i="16"/>
  <c r="G33" i="16"/>
  <c r="E33" i="16"/>
  <c r="D33" i="16"/>
  <c r="L32" i="16"/>
  <c r="G32" i="16"/>
  <c r="L31" i="16"/>
  <c r="G31" i="16"/>
  <c r="L30" i="16"/>
  <c r="G30" i="16"/>
  <c r="F30" i="16"/>
  <c r="L29" i="16"/>
  <c r="G29" i="16"/>
  <c r="N28" i="16"/>
  <c r="L28" i="16"/>
  <c r="G28" i="16"/>
  <c r="L27" i="16"/>
  <c r="M27" i="16" s="1"/>
  <c r="G27" i="16"/>
  <c r="F27" i="16"/>
  <c r="N26" i="16"/>
  <c r="M26" i="16"/>
  <c r="L26" i="16"/>
  <c r="G26" i="16"/>
  <c r="F26" i="16"/>
  <c r="N25" i="16"/>
  <c r="L25" i="16"/>
  <c r="M25" i="16" s="1"/>
  <c r="G25" i="16"/>
  <c r="F25" i="16"/>
  <c r="AH24" i="16"/>
  <c r="N24" i="16"/>
  <c r="M24" i="16"/>
  <c r="L24" i="16"/>
  <c r="G24" i="16"/>
  <c r="F24" i="16"/>
  <c r="AE23" i="16"/>
  <c r="L23" i="16"/>
  <c r="N23" i="16" s="1"/>
  <c r="G23" i="16"/>
  <c r="F23" i="16"/>
  <c r="AH22" i="16"/>
  <c r="L22" i="16"/>
  <c r="N22" i="16" s="1"/>
  <c r="G22" i="16"/>
  <c r="F22" i="16"/>
  <c r="AH21" i="16"/>
  <c r="L21" i="16"/>
  <c r="N21" i="16" s="1"/>
  <c r="G21" i="16"/>
  <c r="F21" i="16"/>
  <c r="AH20" i="16"/>
  <c r="N20" i="16"/>
  <c r="L20" i="16"/>
  <c r="G20" i="16"/>
  <c r="F20" i="16"/>
  <c r="AH19" i="16"/>
  <c r="N19" i="16"/>
  <c r="L19" i="16"/>
  <c r="G19" i="16"/>
  <c r="F19" i="16"/>
  <c r="AH18" i="16"/>
  <c r="S18" i="16"/>
  <c r="L18" i="16"/>
  <c r="N18" i="16" s="1"/>
  <c r="H18" i="16"/>
  <c r="G18" i="16"/>
  <c r="F18" i="16"/>
  <c r="AH14" i="16"/>
  <c r="AB14" i="16"/>
  <c r="AG13" i="16"/>
  <c r="AF13" i="16"/>
  <c r="AB13" i="16"/>
  <c r="AA13" i="16"/>
  <c r="Z13" i="16"/>
  <c r="AH13" i="16" s="1"/>
  <c r="V13" i="16"/>
  <c r="U13" i="16"/>
  <c r="Q13" i="16"/>
  <c r="P13" i="16"/>
  <c r="L13" i="16"/>
  <c r="K13" i="16"/>
  <c r="E13" i="16"/>
  <c r="D13" i="16"/>
  <c r="AH11" i="16"/>
  <c r="AB11" i="16"/>
  <c r="AH10" i="16"/>
  <c r="AB10" i="16"/>
  <c r="AH9" i="16"/>
  <c r="AB9" i="16"/>
  <c r="AH8" i="16"/>
  <c r="AB8" i="16"/>
  <c r="AH7" i="16"/>
  <c r="AB7" i="16"/>
  <c r="AH6" i="16"/>
  <c r="AB6" i="16"/>
  <c r="AH5" i="16"/>
  <c r="AB5" i="16"/>
  <c r="AH4" i="16"/>
  <c r="AB4" i="16"/>
  <c r="AH3" i="16"/>
  <c r="AB3" i="16"/>
  <c r="H221" i="15"/>
  <c r="G221" i="15"/>
  <c r="F221" i="15"/>
  <c r="H220" i="15"/>
  <c r="G220" i="15"/>
  <c r="F220" i="15"/>
  <c r="H219" i="15"/>
  <c r="G219" i="15"/>
  <c r="F219" i="15"/>
  <c r="H218" i="15"/>
  <c r="G218" i="15"/>
  <c r="F218" i="15"/>
  <c r="H217" i="15"/>
  <c r="G217" i="15"/>
  <c r="F217" i="15"/>
  <c r="H216" i="15"/>
  <c r="G216" i="15"/>
  <c r="F216" i="15"/>
  <c r="H215" i="15"/>
  <c r="G215" i="15"/>
  <c r="F215" i="15"/>
  <c r="H214" i="15"/>
  <c r="G214" i="15"/>
  <c r="F214" i="15"/>
  <c r="H213" i="15"/>
  <c r="G213" i="15"/>
  <c r="F213" i="15"/>
  <c r="H212" i="15"/>
  <c r="G212" i="15"/>
  <c r="F212" i="15"/>
  <c r="H211" i="15"/>
  <c r="G211" i="15"/>
  <c r="F211" i="15"/>
  <c r="H210" i="15"/>
  <c r="G210" i="15"/>
  <c r="F210" i="15"/>
  <c r="H205" i="15"/>
  <c r="G205" i="15"/>
  <c r="F205" i="15"/>
  <c r="G204" i="15"/>
  <c r="E204" i="15"/>
  <c r="H203" i="15"/>
  <c r="G203" i="15"/>
  <c r="F203" i="15"/>
  <c r="H202" i="15"/>
  <c r="G202" i="15"/>
  <c r="F202" i="15"/>
  <c r="H201" i="15"/>
  <c r="G201" i="15"/>
  <c r="H200" i="15"/>
  <c r="G200" i="15"/>
  <c r="F200" i="15"/>
  <c r="H199" i="15"/>
  <c r="G199" i="15"/>
  <c r="H198" i="15"/>
  <c r="G198" i="15"/>
  <c r="F198" i="15"/>
  <c r="H197" i="15"/>
  <c r="G197" i="15"/>
  <c r="F197" i="15"/>
  <c r="H196" i="15"/>
  <c r="G196" i="15"/>
  <c r="F196" i="15"/>
  <c r="H195" i="15"/>
  <c r="G195" i="15"/>
  <c r="F195" i="15"/>
  <c r="H194" i="15"/>
  <c r="G194" i="15"/>
  <c r="F194" i="15"/>
  <c r="H189" i="15"/>
  <c r="G189" i="15"/>
  <c r="F189" i="15"/>
  <c r="H188" i="15"/>
  <c r="G188" i="15"/>
  <c r="F188" i="15"/>
  <c r="H187" i="15"/>
  <c r="G187" i="15"/>
  <c r="F187" i="15"/>
  <c r="H186" i="15"/>
  <c r="G186" i="15"/>
  <c r="F186" i="15"/>
  <c r="H185" i="15"/>
  <c r="G185" i="15"/>
  <c r="F185" i="15"/>
  <c r="H184" i="15"/>
  <c r="G184" i="15"/>
  <c r="H183" i="15"/>
  <c r="F183" i="15"/>
  <c r="E183" i="15"/>
  <c r="D183" i="15"/>
  <c r="G183" i="15" s="1"/>
  <c r="H182" i="15"/>
  <c r="G182" i="15"/>
  <c r="F182" i="15"/>
  <c r="H181" i="15"/>
  <c r="G181" i="15"/>
  <c r="F181" i="15"/>
  <c r="H180" i="15"/>
  <c r="G180" i="15"/>
  <c r="F180" i="15"/>
  <c r="H179" i="15"/>
  <c r="G179" i="15"/>
  <c r="F179" i="15"/>
  <c r="H178" i="15"/>
  <c r="G178" i="15"/>
  <c r="F178" i="15"/>
  <c r="F172" i="15"/>
  <c r="E172" i="15"/>
  <c r="H164" i="15" s="1"/>
  <c r="D172" i="15"/>
  <c r="G168" i="15" s="1"/>
  <c r="E171" i="15"/>
  <c r="H171" i="15" s="1"/>
  <c r="D171" i="15"/>
  <c r="H170" i="15"/>
  <c r="E170" i="15"/>
  <c r="F170" i="15" s="1"/>
  <c r="H169" i="15"/>
  <c r="G169" i="15"/>
  <c r="E169" i="15"/>
  <c r="F169" i="15" s="1"/>
  <c r="H168" i="15"/>
  <c r="F168" i="15"/>
  <c r="G167" i="15"/>
  <c r="F167" i="15"/>
  <c r="E166" i="15"/>
  <c r="H165" i="15"/>
  <c r="G165" i="15"/>
  <c r="F165" i="15"/>
  <c r="E165" i="15"/>
  <c r="D165" i="15"/>
  <c r="E164" i="15"/>
  <c r="D164" i="15"/>
  <c r="H163" i="15"/>
  <c r="G163" i="15"/>
  <c r="F163" i="15"/>
  <c r="E163" i="15"/>
  <c r="D163" i="15"/>
  <c r="H162" i="15"/>
  <c r="F162" i="15"/>
  <c r="F161" i="15"/>
  <c r="G155" i="15"/>
  <c r="E155" i="15"/>
  <c r="H155" i="15" s="1"/>
  <c r="D155" i="15"/>
  <c r="E154" i="15"/>
  <c r="D154" i="15"/>
  <c r="E153" i="15"/>
  <c r="D153" i="15"/>
  <c r="E152" i="15"/>
  <c r="H152" i="15" s="1"/>
  <c r="D152" i="15"/>
  <c r="F152" i="15" s="1"/>
  <c r="E151" i="15"/>
  <c r="D151" i="15"/>
  <c r="G150" i="15"/>
  <c r="E150" i="15"/>
  <c r="D150" i="15"/>
  <c r="E149" i="15"/>
  <c r="H149" i="15" s="1"/>
  <c r="D149" i="15"/>
  <c r="E148" i="15"/>
  <c r="D148" i="15"/>
  <c r="F148" i="15" s="1"/>
  <c r="G147" i="15"/>
  <c r="E147" i="15"/>
  <c r="H147" i="15" s="1"/>
  <c r="D147" i="15"/>
  <c r="E146" i="15"/>
  <c r="D146" i="15"/>
  <c r="E145" i="15"/>
  <c r="D145" i="15"/>
  <c r="G144" i="15"/>
  <c r="E144" i="15"/>
  <c r="H144" i="15" s="1"/>
  <c r="D144" i="15"/>
  <c r="G138" i="15"/>
  <c r="E138" i="15"/>
  <c r="H138" i="15" s="1"/>
  <c r="D138" i="15"/>
  <c r="E137" i="15"/>
  <c r="H137" i="15" s="1"/>
  <c r="D137" i="15"/>
  <c r="H136" i="15"/>
  <c r="E136" i="15"/>
  <c r="D136" i="15"/>
  <c r="E135" i="15"/>
  <c r="H135" i="15" s="1"/>
  <c r="D135" i="15"/>
  <c r="G134" i="15"/>
  <c r="E134" i="15"/>
  <c r="H134" i="15" s="1"/>
  <c r="D134" i="15"/>
  <c r="G133" i="15"/>
  <c r="E133" i="15"/>
  <c r="H133" i="15" s="1"/>
  <c r="D133" i="15"/>
  <c r="H132" i="15"/>
  <c r="G132" i="15"/>
  <c r="E132" i="15"/>
  <c r="D132" i="15"/>
  <c r="F132" i="15" s="1"/>
  <c r="H131" i="15"/>
  <c r="E131" i="15"/>
  <c r="D131" i="15"/>
  <c r="H130" i="15"/>
  <c r="G130" i="15"/>
  <c r="E130" i="15"/>
  <c r="D130" i="15"/>
  <c r="H129" i="15"/>
  <c r="E129" i="15"/>
  <c r="D129" i="15"/>
  <c r="E128" i="15"/>
  <c r="H128" i="15" s="1"/>
  <c r="D128" i="15"/>
  <c r="F128" i="15" s="1"/>
  <c r="H127" i="15"/>
  <c r="G127" i="15"/>
  <c r="E127" i="15"/>
  <c r="D127" i="15"/>
  <c r="F127" i="15" s="1"/>
  <c r="H121" i="15"/>
  <c r="E121" i="15"/>
  <c r="D121" i="15"/>
  <c r="E120" i="15"/>
  <c r="H120" i="15" s="1"/>
  <c r="D120" i="15"/>
  <c r="F120" i="15" s="1"/>
  <c r="H119" i="15"/>
  <c r="E119" i="15"/>
  <c r="D119" i="15"/>
  <c r="E118" i="15"/>
  <c r="H118" i="15" s="1"/>
  <c r="D118" i="15"/>
  <c r="H117" i="15"/>
  <c r="E117" i="15"/>
  <c r="D117" i="15"/>
  <c r="F117" i="15" s="1"/>
  <c r="H116" i="15"/>
  <c r="E116" i="15"/>
  <c r="D116" i="15"/>
  <c r="E115" i="15"/>
  <c r="H115" i="15" s="1"/>
  <c r="D115" i="15"/>
  <c r="F115" i="15" s="1"/>
  <c r="H114" i="15"/>
  <c r="G114" i="15"/>
  <c r="E114" i="15"/>
  <c r="D114" i="15"/>
  <c r="G113" i="15"/>
  <c r="E113" i="15"/>
  <c r="H113" i="15" s="1"/>
  <c r="D113" i="15"/>
  <c r="F113" i="15" s="1"/>
  <c r="G112" i="15"/>
  <c r="E112" i="15"/>
  <c r="H112" i="15" s="1"/>
  <c r="D112" i="15"/>
  <c r="H111" i="15"/>
  <c r="E111" i="15"/>
  <c r="D111" i="15"/>
  <c r="H110" i="15"/>
  <c r="E110" i="15"/>
  <c r="D110" i="15"/>
  <c r="G104" i="15"/>
  <c r="E104" i="15"/>
  <c r="D104" i="15"/>
  <c r="E103" i="15"/>
  <c r="D103" i="15"/>
  <c r="F103" i="15" s="1"/>
  <c r="E102" i="15"/>
  <c r="D102" i="15"/>
  <c r="E101" i="15"/>
  <c r="D101" i="15"/>
  <c r="H100" i="15"/>
  <c r="G100" i="15"/>
  <c r="E100" i="15"/>
  <c r="D100" i="15"/>
  <c r="G99" i="15"/>
  <c r="E99" i="15"/>
  <c r="D99" i="15"/>
  <c r="E98" i="15"/>
  <c r="D98" i="15"/>
  <c r="G98" i="15" s="1"/>
  <c r="G97" i="15"/>
  <c r="E97" i="15"/>
  <c r="D97" i="15"/>
  <c r="F97" i="15" s="1"/>
  <c r="E96" i="15"/>
  <c r="D96" i="15"/>
  <c r="G96" i="15" s="1"/>
  <c r="H95" i="15"/>
  <c r="G95" i="15"/>
  <c r="F95" i="15"/>
  <c r="E95" i="15"/>
  <c r="D95" i="15"/>
  <c r="E94" i="15"/>
  <c r="D94" i="15"/>
  <c r="G93" i="15"/>
  <c r="F93" i="15"/>
  <c r="E93" i="15"/>
  <c r="D93" i="15"/>
  <c r="H87" i="15"/>
  <c r="E87" i="15"/>
  <c r="D87" i="15"/>
  <c r="H86" i="15"/>
  <c r="E86" i="15"/>
  <c r="D86" i="15"/>
  <c r="G86" i="15" s="1"/>
  <c r="H85" i="15"/>
  <c r="F85" i="15"/>
  <c r="E85" i="15"/>
  <c r="D85" i="15"/>
  <c r="H84" i="15"/>
  <c r="F84" i="15"/>
  <c r="E84" i="15"/>
  <c r="D84" i="15"/>
  <c r="G84" i="15" s="1"/>
  <c r="H83" i="15"/>
  <c r="F83" i="15"/>
  <c r="E83" i="15"/>
  <c r="D83" i="15"/>
  <c r="H82" i="15"/>
  <c r="G82" i="15"/>
  <c r="F82" i="15"/>
  <c r="E82" i="15"/>
  <c r="D82" i="15"/>
  <c r="H81" i="15"/>
  <c r="F81" i="15"/>
  <c r="E81" i="15"/>
  <c r="D81" i="15"/>
  <c r="H80" i="15"/>
  <c r="F80" i="15"/>
  <c r="E80" i="15"/>
  <c r="D80" i="15"/>
  <c r="H79" i="15"/>
  <c r="F79" i="15"/>
  <c r="E79" i="15"/>
  <c r="D79" i="15"/>
  <c r="H78" i="15"/>
  <c r="E78" i="15"/>
  <c r="D78" i="15"/>
  <c r="H77" i="15"/>
  <c r="F77" i="15"/>
  <c r="E77" i="15"/>
  <c r="D77" i="15"/>
  <c r="H76" i="15"/>
  <c r="E76" i="15"/>
  <c r="D76" i="15"/>
  <c r="F76" i="15" s="1"/>
  <c r="H70" i="15"/>
  <c r="E70" i="15"/>
  <c r="D70" i="15"/>
  <c r="G70" i="15" s="1"/>
  <c r="O69" i="15"/>
  <c r="H69" i="15"/>
  <c r="E69" i="15"/>
  <c r="D69" i="15"/>
  <c r="F69" i="15" s="1"/>
  <c r="P68" i="15"/>
  <c r="E68" i="15"/>
  <c r="H68" i="15" s="1"/>
  <c r="D68" i="15"/>
  <c r="P67" i="15"/>
  <c r="E67" i="15"/>
  <c r="D67" i="15"/>
  <c r="P66" i="15"/>
  <c r="F66" i="15"/>
  <c r="E66" i="15"/>
  <c r="H66" i="15" s="1"/>
  <c r="D66" i="15"/>
  <c r="H65" i="15"/>
  <c r="G65" i="15"/>
  <c r="E65" i="15"/>
  <c r="F65" i="15" s="1"/>
  <c r="D65" i="15"/>
  <c r="P64" i="15"/>
  <c r="H64" i="15"/>
  <c r="F64" i="15"/>
  <c r="E64" i="15"/>
  <c r="D64" i="15"/>
  <c r="G64" i="15" s="1"/>
  <c r="P63" i="15"/>
  <c r="O63" i="15"/>
  <c r="H63" i="15"/>
  <c r="E63" i="15"/>
  <c r="D63" i="15"/>
  <c r="O62" i="15"/>
  <c r="F62" i="15"/>
  <c r="E62" i="15"/>
  <c r="H62" i="15" s="1"/>
  <c r="D62" i="15"/>
  <c r="G62" i="15" s="1"/>
  <c r="P61" i="15"/>
  <c r="E61" i="15"/>
  <c r="D61" i="15"/>
  <c r="P60" i="15"/>
  <c r="O60" i="15"/>
  <c r="E60" i="15"/>
  <c r="H60" i="15" s="1"/>
  <c r="D60" i="15"/>
  <c r="P59" i="15"/>
  <c r="O59" i="15"/>
  <c r="G59" i="15"/>
  <c r="E59" i="15"/>
  <c r="H59" i="15" s="1"/>
  <c r="D59" i="15"/>
  <c r="F59" i="15" s="1"/>
  <c r="E53" i="15"/>
  <c r="H51" i="15" s="1"/>
  <c r="D53" i="15"/>
  <c r="G42" i="15" s="1"/>
  <c r="Q52" i="15"/>
  <c r="P52" i="15"/>
  <c r="H52" i="15"/>
  <c r="E52" i="15"/>
  <c r="D52" i="15"/>
  <c r="Q51" i="15"/>
  <c r="P51" i="15"/>
  <c r="E51" i="15"/>
  <c r="D51" i="15"/>
  <c r="Q50" i="15"/>
  <c r="P50" i="15"/>
  <c r="F50" i="15"/>
  <c r="E50" i="15"/>
  <c r="D50" i="15"/>
  <c r="Q49" i="15"/>
  <c r="P49" i="15"/>
  <c r="E49" i="15"/>
  <c r="D49" i="15"/>
  <c r="F49" i="15" s="1"/>
  <c r="Q48" i="15"/>
  <c r="P48" i="15"/>
  <c r="F48" i="15"/>
  <c r="E48" i="15"/>
  <c r="D48" i="15"/>
  <c r="Q47" i="15"/>
  <c r="P47" i="15"/>
  <c r="F47" i="15"/>
  <c r="E47" i="15"/>
  <c r="D47" i="15"/>
  <c r="Q46" i="15"/>
  <c r="E46" i="15"/>
  <c r="H46" i="15" s="1"/>
  <c r="D46" i="15"/>
  <c r="Q45" i="15"/>
  <c r="P45" i="15"/>
  <c r="O45" i="15"/>
  <c r="F45" i="15"/>
  <c r="E45" i="15"/>
  <c r="D45" i="15"/>
  <c r="Q44" i="15"/>
  <c r="P44" i="15"/>
  <c r="E44" i="15"/>
  <c r="D44" i="15"/>
  <c r="F44" i="15" s="1"/>
  <c r="Q43" i="15"/>
  <c r="P43" i="15"/>
  <c r="O43" i="15"/>
  <c r="E43" i="15"/>
  <c r="H43" i="15" s="1"/>
  <c r="D43" i="15"/>
  <c r="Q42" i="15"/>
  <c r="F42" i="15"/>
  <c r="E42" i="15"/>
  <c r="D42" i="15"/>
  <c r="Q36" i="15"/>
  <c r="H36" i="15"/>
  <c r="Q19" i="15"/>
  <c r="P19" i="15"/>
  <c r="O19" i="15"/>
  <c r="H19" i="15"/>
  <c r="G19" i="15"/>
  <c r="F19" i="15"/>
  <c r="E19" i="15"/>
  <c r="D19" i="15"/>
  <c r="G16" i="15" s="1"/>
  <c r="Q18" i="15"/>
  <c r="P18" i="15"/>
  <c r="O18" i="15"/>
  <c r="F18" i="15"/>
  <c r="E18" i="15"/>
  <c r="H18" i="15" s="1"/>
  <c r="D18" i="15"/>
  <c r="G18" i="15" s="1"/>
  <c r="Q17" i="15"/>
  <c r="P17" i="15"/>
  <c r="O17" i="15"/>
  <c r="G17" i="15"/>
  <c r="E17" i="15"/>
  <c r="H17" i="15" s="1"/>
  <c r="D17" i="15"/>
  <c r="Q16" i="15"/>
  <c r="P16" i="15"/>
  <c r="O16" i="15"/>
  <c r="E16" i="15"/>
  <c r="F16" i="15" s="1"/>
  <c r="D16" i="15"/>
  <c r="Q15" i="15"/>
  <c r="P15" i="15"/>
  <c r="O15" i="15"/>
  <c r="H15" i="15"/>
  <c r="F15" i="15"/>
  <c r="E15" i="15"/>
  <c r="D15" i="15"/>
  <c r="Q14" i="15"/>
  <c r="P14" i="15"/>
  <c r="O14" i="15"/>
  <c r="H14" i="15"/>
  <c r="F14" i="15"/>
  <c r="E14" i="15"/>
  <c r="D14" i="15"/>
  <c r="G14" i="15" s="1"/>
  <c r="Q13" i="15"/>
  <c r="P13" i="15"/>
  <c r="O13" i="15"/>
  <c r="E13" i="15"/>
  <c r="H13" i="15" s="1"/>
  <c r="D13" i="15"/>
  <c r="G13" i="15" s="1"/>
  <c r="Q12" i="15"/>
  <c r="P12" i="15"/>
  <c r="O12" i="15"/>
  <c r="H12" i="15"/>
  <c r="E12" i="15"/>
  <c r="D12" i="15"/>
  <c r="Q11" i="15"/>
  <c r="P11" i="15"/>
  <c r="O11" i="15"/>
  <c r="H11" i="15"/>
  <c r="G11" i="15"/>
  <c r="E11" i="15"/>
  <c r="F11" i="15" s="1"/>
  <c r="D11" i="15"/>
  <c r="Q10" i="15"/>
  <c r="P10" i="15"/>
  <c r="O10" i="15"/>
  <c r="H10" i="15"/>
  <c r="E10" i="15"/>
  <c r="D10" i="15"/>
  <c r="G10" i="15" s="1"/>
  <c r="Q9" i="15"/>
  <c r="P9" i="15"/>
  <c r="O9" i="15"/>
  <c r="H9" i="15"/>
  <c r="G9" i="15"/>
  <c r="F9" i="15"/>
  <c r="E9" i="15"/>
  <c r="D9" i="15"/>
  <c r="Q8" i="15"/>
  <c r="P8" i="15"/>
  <c r="O8" i="15"/>
  <c r="G8" i="15"/>
  <c r="E8" i="15"/>
  <c r="H8" i="15" s="1"/>
  <c r="D8" i="15"/>
  <c r="F8" i="15" s="1"/>
  <c r="O270" i="14"/>
  <c r="O269" i="14"/>
  <c r="O268" i="14"/>
  <c r="O267" i="14"/>
  <c r="O266" i="14"/>
  <c r="O265" i="14"/>
  <c r="O264" i="14"/>
  <c r="O263" i="14"/>
  <c r="O262" i="14"/>
  <c r="O261" i="14"/>
  <c r="O260" i="14"/>
  <c r="O259" i="14"/>
  <c r="N236" i="14"/>
  <c r="H236" i="14"/>
  <c r="G236" i="14"/>
  <c r="F236" i="14"/>
  <c r="H235" i="14"/>
  <c r="G235" i="14"/>
  <c r="F235" i="14"/>
  <c r="H234" i="14"/>
  <c r="G234" i="14"/>
  <c r="F234" i="14"/>
  <c r="H233" i="14"/>
  <c r="G233" i="14"/>
  <c r="F233" i="14"/>
  <c r="H232" i="14"/>
  <c r="G232" i="14"/>
  <c r="F232" i="14"/>
  <c r="H231" i="14"/>
  <c r="G231" i="14"/>
  <c r="F231" i="14"/>
  <c r="H230" i="14"/>
  <c r="G230" i="14"/>
  <c r="F230" i="14"/>
  <c r="H229" i="14"/>
  <c r="G229" i="14"/>
  <c r="F229" i="14"/>
  <c r="H228" i="14"/>
  <c r="G228" i="14"/>
  <c r="F228" i="14"/>
  <c r="H227" i="14"/>
  <c r="G227" i="14"/>
  <c r="F227" i="14"/>
  <c r="H226" i="14"/>
  <c r="G226" i="14"/>
  <c r="F226" i="14"/>
  <c r="H225" i="14"/>
  <c r="G225" i="14"/>
  <c r="F225" i="14"/>
  <c r="H219" i="14"/>
  <c r="G219" i="14"/>
  <c r="F219" i="14"/>
  <c r="H218" i="14"/>
  <c r="G218" i="14"/>
  <c r="F218" i="14"/>
  <c r="H217" i="14"/>
  <c r="G217" i="14"/>
  <c r="F217" i="14"/>
  <c r="H216" i="14"/>
  <c r="G216" i="14"/>
  <c r="F216" i="14"/>
  <c r="H215" i="14"/>
  <c r="G215" i="14"/>
  <c r="F215" i="14"/>
  <c r="H214" i="14"/>
  <c r="G214" i="14"/>
  <c r="F214" i="14"/>
  <c r="H213" i="14"/>
  <c r="G213" i="14"/>
  <c r="F213" i="14"/>
  <c r="H212" i="14"/>
  <c r="G212" i="14"/>
  <c r="F212" i="14"/>
  <c r="H211" i="14"/>
  <c r="G211" i="14"/>
  <c r="F211" i="14"/>
  <c r="H210" i="14"/>
  <c r="G210" i="14"/>
  <c r="F210" i="14"/>
  <c r="H209" i="14"/>
  <c r="G209" i="14"/>
  <c r="F209" i="14"/>
  <c r="H208" i="14"/>
  <c r="G208" i="14"/>
  <c r="F208" i="14"/>
  <c r="M202" i="14"/>
  <c r="N202" i="14" s="1"/>
  <c r="H202" i="14"/>
  <c r="G202" i="14"/>
  <c r="F202" i="14"/>
  <c r="H201" i="14"/>
  <c r="G201" i="14"/>
  <c r="F201" i="14"/>
  <c r="H200" i="14"/>
  <c r="G200" i="14"/>
  <c r="F200" i="14"/>
  <c r="H199" i="14"/>
  <c r="G199" i="14"/>
  <c r="F199" i="14"/>
  <c r="H198" i="14"/>
  <c r="G198" i="14"/>
  <c r="F198" i="14"/>
  <c r="H197" i="14"/>
  <c r="G197" i="14"/>
  <c r="F197" i="14"/>
  <c r="H196" i="14"/>
  <c r="G196" i="14"/>
  <c r="F196" i="14"/>
  <c r="H195" i="14"/>
  <c r="G195" i="14"/>
  <c r="F195" i="14"/>
  <c r="H194" i="14"/>
  <c r="G194" i="14"/>
  <c r="F194" i="14"/>
  <c r="H193" i="14"/>
  <c r="G193" i="14"/>
  <c r="F193" i="14"/>
  <c r="H192" i="14"/>
  <c r="G192" i="14"/>
  <c r="F192" i="14"/>
  <c r="H191" i="14"/>
  <c r="G191" i="14"/>
  <c r="F191" i="14"/>
  <c r="N185" i="14"/>
  <c r="M185" i="14"/>
  <c r="G185" i="14"/>
  <c r="D185" i="14"/>
  <c r="G179" i="14" s="1"/>
  <c r="E184" i="14"/>
  <c r="D184" i="14"/>
  <c r="G183" i="14"/>
  <c r="F183" i="14"/>
  <c r="E183" i="14"/>
  <c r="D183" i="14"/>
  <c r="G182" i="14"/>
  <c r="F182" i="14"/>
  <c r="G181" i="14"/>
  <c r="F181" i="14"/>
  <c r="G180" i="14"/>
  <c r="F180" i="14"/>
  <c r="F179" i="14"/>
  <c r="E178" i="14"/>
  <c r="D178" i="14"/>
  <c r="E177" i="14"/>
  <c r="D177" i="14"/>
  <c r="E176" i="14"/>
  <c r="D176" i="14"/>
  <c r="F175" i="14"/>
  <c r="E175" i="14"/>
  <c r="D175" i="14"/>
  <c r="G175" i="14" s="1"/>
  <c r="E174" i="14"/>
  <c r="D174" i="14"/>
  <c r="N168" i="14"/>
  <c r="D168" i="14"/>
  <c r="G168" i="14" s="1"/>
  <c r="E167" i="14"/>
  <c r="D167" i="14"/>
  <c r="E166" i="14"/>
  <c r="D166" i="14"/>
  <c r="F166" i="14" s="1"/>
  <c r="E165" i="14"/>
  <c r="D165" i="14"/>
  <c r="E164" i="14"/>
  <c r="D164" i="14"/>
  <c r="E163" i="14"/>
  <c r="D163" i="14"/>
  <c r="F163" i="14" s="1"/>
  <c r="E162" i="14"/>
  <c r="D162" i="14"/>
  <c r="E161" i="14"/>
  <c r="D161" i="14"/>
  <c r="F161" i="14" s="1"/>
  <c r="E160" i="14"/>
  <c r="D160" i="14"/>
  <c r="E157" i="14"/>
  <c r="D157" i="14"/>
  <c r="F157" i="14" s="1"/>
  <c r="G151" i="14"/>
  <c r="E151" i="14"/>
  <c r="D151" i="14"/>
  <c r="G143" i="14" s="1"/>
  <c r="E150" i="14"/>
  <c r="D150" i="14"/>
  <c r="E149" i="14"/>
  <c r="D149" i="14"/>
  <c r="G148" i="14"/>
  <c r="E148" i="14"/>
  <c r="H148" i="14" s="1"/>
  <c r="D148" i="14"/>
  <c r="G147" i="14"/>
  <c r="E147" i="14"/>
  <c r="D147" i="14"/>
  <c r="F147" i="14" s="1"/>
  <c r="E146" i="14"/>
  <c r="D146" i="14"/>
  <c r="E145" i="14"/>
  <c r="D145" i="14"/>
  <c r="H144" i="14"/>
  <c r="E144" i="14"/>
  <c r="D144" i="14"/>
  <c r="E143" i="14"/>
  <c r="D143" i="14"/>
  <c r="G142" i="14"/>
  <c r="E142" i="14"/>
  <c r="D142" i="14"/>
  <c r="G141" i="14"/>
  <c r="E141" i="14"/>
  <c r="D141" i="14"/>
  <c r="O140" i="14"/>
  <c r="E140" i="14"/>
  <c r="D140" i="14"/>
  <c r="G140" i="14" s="1"/>
  <c r="H134" i="14"/>
  <c r="G134" i="14"/>
  <c r="H133" i="14"/>
  <c r="G133" i="14"/>
  <c r="H132" i="14"/>
  <c r="G132" i="14"/>
  <c r="H131" i="14"/>
  <c r="G131" i="14"/>
  <c r="H130" i="14"/>
  <c r="G130" i="14"/>
  <c r="H129" i="14"/>
  <c r="G129" i="14"/>
  <c r="H128" i="14"/>
  <c r="G128" i="14"/>
  <c r="H127" i="14"/>
  <c r="G127" i="14"/>
  <c r="H126" i="14"/>
  <c r="G126" i="14"/>
  <c r="H125" i="14"/>
  <c r="G125" i="14"/>
  <c r="H124" i="14"/>
  <c r="G124" i="14"/>
  <c r="O123" i="14"/>
  <c r="H123" i="14"/>
  <c r="G123" i="14"/>
  <c r="H117" i="14"/>
  <c r="F117" i="14"/>
  <c r="E117" i="14"/>
  <c r="D117" i="14"/>
  <c r="G117" i="14" s="1"/>
  <c r="H116" i="14"/>
  <c r="G116" i="14"/>
  <c r="E116" i="14"/>
  <c r="D116" i="14"/>
  <c r="F116" i="14" s="1"/>
  <c r="H115" i="14"/>
  <c r="E115" i="14"/>
  <c r="D115" i="14"/>
  <c r="H114" i="14"/>
  <c r="G114" i="14"/>
  <c r="F114" i="14"/>
  <c r="E114" i="14"/>
  <c r="D114" i="14"/>
  <c r="H113" i="14"/>
  <c r="E113" i="14"/>
  <c r="D113" i="14"/>
  <c r="H112" i="14"/>
  <c r="E112" i="14"/>
  <c r="D112" i="14"/>
  <c r="G112" i="14" s="1"/>
  <c r="H111" i="14"/>
  <c r="F111" i="14"/>
  <c r="E111" i="14"/>
  <c r="D111" i="14"/>
  <c r="H110" i="14"/>
  <c r="G110" i="14"/>
  <c r="F110" i="14"/>
  <c r="E110" i="14"/>
  <c r="D110" i="14"/>
  <c r="H109" i="14"/>
  <c r="F109" i="14"/>
  <c r="E109" i="14"/>
  <c r="D109" i="14"/>
  <c r="G108" i="14"/>
  <c r="E108" i="14"/>
  <c r="H108" i="14" s="1"/>
  <c r="D108" i="14"/>
  <c r="H107" i="14"/>
  <c r="E107" i="14"/>
  <c r="D107" i="14"/>
  <c r="G107" i="14" s="1"/>
  <c r="F106" i="14"/>
  <c r="E106" i="14"/>
  <c r="H106" i="14" s="1"/>
  <c r="D106" i="14"/>
  <c r="G100" i="14"/>
  <c r="E100" i="14"/>
  <c r="D100" i="14"/>
  <c r="F99" i="14"/>
  <c r="E99" i="14"/>
  <c r="D99" i="14"/>
  <c r="G99" i="14" s="1"/>
  <c r="E98" i="14"/>
  <c r="H98" i="14" s="1"/>
  <c r="D98" i="14"/>
  <c r="E97" i="14"/>
  <c r="D97" i="14"/>
  <c r="H96" i="14"/>
  <c r="G96" i="14"/>
  <c r="E96" i="14"/>
  <c r="F96" i="14" s="1"/>
  <c r="D96" i="14"/>
  <c r="E95" i="14"/>
  <c r="D95" i="14"/>
  <c r="H94" i="14"/>
  <c r="G94" i="14"/>
  <c r="E94" i="14"/>
  <c r="F94" i="14" s="1"/>
  <c r="D94" i="14"/>
  <c r="E93" i="14"/>
  <c r="D93" i="14"/>
  <c r="F92" i="14"/>
  <c r="E92" i="14"/>
  <c r="D92" i="14"/>
  <c r="G92" i="14" s="1"/>
  <c r="G91" i="14"/>
  <c r="E91" i="14"/>
  <c r="D91" i="14"/>
  <c r="F91" i="14" s="1"/>
  <c r="E90" i="14"/>
  <c r="H90" i="14" s="1"/>
  <c r="D90" i="14"/>
  <c r="G90" i="14" s="1"/>
  <c r="G89" i="14"/>
  <c r="E89" i="14"/>
  <c r="D89" i="14"/>
  <c r="F89" i="14" s="1"/>
  <c r="N83" i="14"/>
  <c r="E83" i="14"/>
  <c r="D83" i="14"/>
  <c r="G82" i="14" s="1"/>
  <c r="O82" i="14"/>
  <c r="N82" i="14"/>
  <c r="F82" i="14"/>
  <c r="O81" i="14"/>
  <c r="N81" i="14"/>
  <c r="E81" i="14"/>
  <c r="H81" i="14" s="1"/>
  <c r="D81" i="14"/>
  <c r="O80" i="14"/>
  <c r="N80" i="14"/>
  <c r="F80" i="14"/>
  <c r="E80" i="14"/>
  <c r="D80" i="14"/>
  <c r="O79" i="14"/>
  <c r="N79" i="14"/>
  <c r="F79" i="14"/>
  <c r="E79" i="14"/>
  <c r="D79" i="14"/>
  <c r="O78" i="14"/>
  <c r="N78" i="14"/>
  <c r="H78" i="14"/>
  <c r="F78" i="14"/>
  <c r="E78" i="14"/>
  <c r="D78" i="14"/>
  <c r="O77" i="14"/>
  <c r="N77" i="14"/>
  <c r="E77" i="14"/>
  <c r="H77" i="14" s="1"/>
  <c r="D77" i="14"/>
  <c r="N76" i="14"/>
  <c r="E76" i="14"/>
  <c r="D76" i="14"/>
  <c r="O75" i="14"/>
  <c r="N75" i="14"/>
  <c r="F75" i="14"/>
  <c r="E75" i="14"/>
  <c r="D75" i="14"/>
  <c r="O74" i="14"/>
  <c r="N74" i="14"/>
  <c r="F74" i="14"/>
  <c r="E74" i="14"/>
  <c r="D74" i="14"/>
  <c r="N73" i="14"/>
  <c r="F73" i="14"/>
  <c r="E73" i="14"/>
  <c r="D73" i="14"/>
  <c r="N72" i="14"/>
  <c r="H72" i="14"/>
  <c r="F72" i="14"/>
  <c r="E72" i="14"/>
  <c r="D72" i="14"/>
  <c r="P66" i="14"/>
  <c r="O66" i="14"/>
  <c r="N66" i="14"/>
  <c r="H66" i="14"/>
  <c r="G66" i="14"/>
  <c r="F66" i="14"/>
  <c r="E66" i="14"/>
  <c r="D66" i="14"/>
  <c r="G56" i="14" s="1"/>
  <c r="P65" i="14"/>
  <c r="O65" i="14"/>
  <c r="E65" i="14"/>
  <c r="H65" i="14" s="1"/>
  <c r="D65" i="14"/>
  <c r="P64" i="14"/>
  <c r="O64" i="14"/>
  <c r="H64" i="14"/>
  <c r="G64" i="14"/>
  <c r="E64" i="14"/>
  <c r="D64" i="14"/>
  <c r="F64" i="14" s="1"/>
  <c r="P63" i="14"/>
  <c r="O63" i="14"/>
  <c r="H63" i="14"/>
  <c r="E63" i="14"/>
  <c r="F63" i="14" s="1"/>
  <c r="D63" i="14"/>
  <c r="P62" i="14"/>
  <c r="O62" i="14"/>
  <c r="E62" i="14"/>
  <c r="H62" i="14" s="1"/>
  <c r="D62" i="14"/>
  <c r="G62" i="14" s="1"/>
  <c r="P61" i="14"/>
  <c r="O61" i="14"/>
  <c r="E61" i="14"/>
  <c r="H61" i="14" s="1"/>
  <c r="D61" i="14"/>
  <c r="P60" i="14"/>
  <c r="O60" i="14"/>
  <c r="N60" i="14"/>
  <c r="H60" i="14"/>
  <c r="G60" i="14"/>
  <c r="F60" i="14"/>
  <c r="E60" i="14"/>
  <c r="D60" i="14"/>
  <c r="P59" i="14"/>
  <c r="O59" i="14"/>
  <c r="G59" i="14"/>
  <c r="E59" i="14"/>
  <c r="H59" i="14" s="1"/>
  <c r="D59" i="14"/>
  <c r="P58" i="14"/>
  <c r="O58" i="14"/>
  <c r="F58" i="14"/>
  <c r="E58" i="14"/>
  <c r="D58" i="14"/>
  <c r="G58" i="14" s="1"/>
  <c r="P57" i="14"/>
  <c r="O57" i="14"/>
  <c r="N57" i="14"/>
  <c r="H57" i="14"/>
  <c r="E57" i="14"/>
  <c r="D57" i="14"/>
  <c r="P56" i="14"/>
  <c r="O56" i="14"/>
  <c r="E56" i="14"/>
  <c r="H56" i="14" s="1"/>
  <c r="D56" i="14"/>
  <c r="P55" i="14"/>
  <c r="O55" i="14"/>
  <c r="N55" i="14"/>
  <c r="E55" i="14"/>
  <c r="H55" i="14" s="1"/>
  <c r="D55" i="14"/>
  <c r="F55" i="14" s="1"/>
  <c r="P49" i="14"/>
  <c r="O49" i="14"/>
  <c r="N49" i="14"/>
  <c r="H49" i="14"/>
  <c r="G49" i="14"/>
  <c r="F49" i="14"/>
  <c r="O48" i="14"/>
  <c r="G48" i="14"/>
  <c r="P47" i="14"/>
  <c r="O47" i="14"/>
  <c r="M47" i="14"/>
  <c r="E29" i="14" s="1"/>
  <c r="H47" i="14"/>
  <c r="G47" i="14"/>
  <c r="E47" i="14"/>
  <c r="P46" i="14"/>
  <c r="O46" i="14"/>
  <c r="M46" i="14"/>
  <c r="G46" i="14"/>
  <c r="E46" i="14"/>
  <c r="H46" i="14" s="1"/>
  <c r="P45" i="14"/>
  <c r="O45" i="14"/>
  <c r="M45" i="14"/>
  <c r="H45" i="14"/>
  <c r="G45" i="14"/>
  <c r="E45" i="14"/>
  <c r="O44" i="14"/>
  <c r="M44" i="14"/>
  <c r="H44" i="14"/>
  <c r="G44" i="14"/>
  <c r="E44" i="14"/>
  <c r="P43" i="14"/>
  <c r="O43" i="14"/>
  <c r="M43" i="14"/>
  <c r="E26" i="14" s="1"/>
  <c r="G43" i="14"/>
  <c r="E43" i="14"/>
  <c r="H43" i="14" s="1"/>
  <c r="O42" i="14"/>
  <c r="M42" i="14"/>
  <c r="E25" i="14" s="1"/>
  <c r="H25" i="14" s="1"/>
  <c r="H42" i="14"/>
  <c r="G42" i="14"/>
  <c r="E42" i="14"/>
  <c r="P41" i="14"/>
  <c r="O41" i="14"/>
  <c r="M41" i="14"/>
  <c r="H41" i="14"/>
  <c r="G41" i="14"/>
  <c r="E41" i="14"/>
  <c r="P40" i="14"/>
  <c r="O40" i="14"/>
  <c r="M40" i="14"/>
  <c r="H40" i="14"/>
  <c r="G40" i="14"/>
  <c r="E40" i="14"/>
  <c r="O39" i="14"/>
  <c r="M39" i="14"/>
  <c r="P39" i="14" s="1"/>
  <c r="G39" i="14"/>
  <c r="E39" i="14"/>
  <c r="H39" i="14" s="1"/>
  <c r="P38" i="14"/>
  <c r="O38" i="14"/>
  <c r="M38" i="14"/>
  <c r="E21" i="14" s="1"/>
  <c r="H21" i="14" s="1"/>
  <c r="G38" i="14"/>
  <c r="E38" i="14"/>
  <c r="H38" i="14" s="1"/>
  <c r="P32" i="14"/>
  <c r="O32" i="14"/>
  <c r="N32" i="14"/>
  <c r="H32" i="14"/>
  <c r="G32" i="14"/>
  <c r="F32" i="14"/>
  <c r="E32" i="14"/>
  <c r="D32" i="14"/>
  <c r="P31" i="14"/>
  <c r="O31" i="14"/>
  <c r="N31" i="14"/>
  <c r="G31" i="14"/>
  <c r="P30" i="14"/>
  <c r="O30" i="14"/>
  <c r="N30" i="14"/>
  <c r="E30" i="14"/>
  <c r="H30" i="14" s="1"/>
  <c r="D30" i="14"/>
  <c r="G30" i="14" s="1"/>
  <c r="P29" i="14"/>
  <c r="O29" i="14"/>
  <c r="N29" i="14"/>
  <c r="H29" i="14"/>
  <c r="G29" i="14"/>
  <c r="D29" i="14"/>
  <c r="P28" i="14"/>
  <c r="O28" i="14"/>
  <c r="N28" i="14"/>
  <c r="G28" i="14"/>
  <c r="E28" i="14"/>
  <c r="H28" i="14" s="1"/>
  <c r="D28" i="14"/>
  <c r="P27" i="14"/>
  <c r="O27" i="14"/>
  <c r="N27" i="14"/>
  <c r="D27" i="14"/>
  <c r="G27" i="14" s="1"/>
  <c r="P26" i="14"/>
  <c r="O26" i="14"/>
  <c r="N26" i="14"/>
  <c r="H26" i="14"/>
  <c r="D26" i="14"/>
  <c r="G26" i="14" s="1"/>
  <c r="P25" i="14"/>
  <c r="O25" i="14"/>
  <c r="N25" i="14"/>
  <c r="D25" i="14"/>
  <c r="G25" i="14" s="1"/>
  <c r="P24" i="14"/>
  <c r="O24" i="14"/>
  <c r="N24" i="14"/>
  <c r="H24" i="14"/>
  <c r="G24" i="14"/>
  <c r="E24" i="14"/>
  <c r="D24" i="14"/>
  <c r="P23" i="14"/>
  <c r="O23" i="14"/>
  <c r="N23" i="14"/>
  <c r="D23" i="14"/>
  <c r="G23" i="14" s="1"/>
  <c r="P22" i="14"/>
  <c r="O22" i="14"/>
  <c r="N22" i="14"/>
  <c r="G22" i="14"/>
  <c r="E22" i="14"/>
  <c r="H22" i="14" s="1"/>
  <c r="D22" i="14"/>
  <c r="P21" i="14"/>
  <c r="O21" i="14"/>
  <c r="N21" i="14"/>
  <c r="G21" i="14"/>
  <c r="D21" i="14"/>
  <c r="AP14" i="14"/>
  <c r="AJ14" i="14"/>
  <c r="AP13" i="14"/>
  <c r="AJ13" i="14"/>
  <c r="AP12" i="14"/>
  <c r="AP10" i="14"/>
  <c r="AJ10" i="14"/>
  <c r="AP9" i="14"/>
  <c r="AJ9" i="14"/>
  <c r="AP8" i="14"/>
  <c r="AJ8" i="14"/>
  <c r="AP7" i="14"/>
  <c r="AJ7" i="14"/>
  <c r="AP6" i="14"/>
  <c r="AJ6" i="14"/>
  <c r="AP5" i="14"/>
  <c r="AJ5" i="14"/>
  <c r="AP4" i="14"/>
  <c r="AJ4" i="14"/>
  <c r="AP3" i="14"/>
  <c r="AJ3" i="14"/>
  <c r="E162" i="18"/>
  <c r="E161" i="18"/>
  <c r="E160" i="18"/>
  <c r="E154" i="18"/>
  <c r="E153" i="18"/>
  <c r="E152" i="18"/>
  <c r="E151" i="18"/>
  <c r="E150" i="18"/>
  <c r="E149" i="18"/>
  <c r="E148" i="18"/>
  <c r="E147" i="18"/>
  <c r="E146" i="18"/>
  <c r="E145" i="18"/>
  <c r="E144" i="18"/>
  <c r="E143" i="18"/>
  <c r="E142" i="18"/>
  <c r="E141" i="18"/>
  <c r="E140" i="18"/>
  <c r="E139" i="18"/>
  <c r="E138" i="18"/>
  <c r="E137" i="18"/>
  <c r="E136" i="18"/>
  <c r="F119" i="18"/>
  <c r="F118" i="18"/>
  <c r="F117" i="18"/>
  <c r="F114" i="18"/>
  <c r="F113" i="18"/>
  <c r="F112" i="18"/>
  <c r="P111" i="18"/>
  <c r="F111" i="18"/>
  <c r="F110" i="18"/>
  <c r="F108" i="18"/>
  <c r="Q107" i="18"/>
  <c r="F107" i="18"/>
  <c r="Q106" i="18"/>
  <c r="F106" i="18"/>
  <c r="Q105" i="18"/>
  <c r="F105" i="18"/>
  <c r="Q104" i="18"/>
  <c r="F104" i="18"/>
  <c r="Q103" i="18"/>
  <c r="F103" i="18"/>
  <c r="Q102" i="18"/>
  <c r="F102" i="18"/>
  <c r="Q101" i="18"/>
  <c r="F101" i="18"/>
  <c r="Q100" i="18"/>
  <c r="F100" i="18"/>
  <c r="Q99" i="18"/>
  <c r="F99" i="18"/>
  <c r="Q98" i="18"/>
  <c r="F98" i="18"/>
  <c r="Q97" i="18"/>
  <c r="F97" i="18"/>
  <c r="Q96" i="18"/>
  <c r="F96" i="18"/>
  <c r="Q95" i="18"/>
  <c r="F95" i="18"/>
  <c r="Q94" i="18"/>
  <c r="F94" i="18"/>
  <c r="Q93" i="18"/>
  <c r="F93" i="18"/>
  <c r="Q92" i="18"/>
  <c r="F92" i="18"/>
  <c r="Q91" i="18"/>
  <c r="F91" i="18"/>
  <c r="Q90" i="18"/>
  <c r="F90" i="18"/>
  <c r="Q89" i="18"/>
  <c r="F89" i="18"/>
  <c r="Q88" i="18"/>
  <c r="F88" i="18"/>
  <c r="Q87" i="18"/>
  <c r="F87" i="18"/>
  <c r="Q86" i="18"/>
  <c r="F86" i="18"/>
  <c r="Q85" i="18"/>
  <c r="F85" i="18"/>
  <c r="Q84" i="18"/>
  <c r="F84" i="18"/>
  <c r="Q83" i="18"/>
  <c r="F83" i="18"/>
  <c r="Q82" i="18"/>
  <c r="F82" i="18"/>
  <c r="Q81" i="18"/>
  <c r="F81" i="18"/>
  <c r="Q80" i="18"/>
  <c r="Q79" i="18"/>
  <c r="Q78" i="18"/>
  <c r="Q77" i="18"/>
  <c r="Q76" i="18"/>
  <c r="Q75" i="18"/>
  <c r="Q74" i="18"/>
  <c r="Q73" i="18"/>
  <c r="Q72" i="18"/>
  <c r="Q71" i="18"/>
  <c r="Q70" i="18"/>
  <c r="Q69" i="18"/>
  <c r="Q68" i="18"/>
  <c r="Q67" i="18"/>
  <c r="Q66" i="18"/>
  <c r="Q65" i="18"/>
  <c r="Q64" i="18"/>
  <c r="Q63" i="18"/>
  <c r="Q62" i="18"/>
  <c r="Q61" i="18"/>
  <c r="Q60" i="18"/>
  <c r="Q59" i="18"/>
  <c r="Q58" i="18"/>
  <c r="Q57" i="18"/>
  <c r="X52" i="18"/>
  <c r="Y52" i="18" s="1"/>
  <c r="W52" i="18"/>
  <c r="V52" i="18"/>
  <c r="U52" i="18"/>
  <c r="N52" i="18"/>
  <c r="L52" i="18"/>
  <c r="K52" i="18"/>
  <c r="H52" i="18"/>
  <c r="F52" i="18"/>
  <c r="C52" i="18"/>
  <c r="B52" i="18"/>
  <c r="V51" i="18"/>
  <c r="U51" i="18"/>
  <c r="F51" i="18"/>
  <c r="W50" i="18"/>
  <c r="V50" i="18"/>
  <c r="U50" i="18"/>
  <c r="P50" i="18"/>
  <c r="L50" i="18"/>
  <c r="K50" i="18"/>
  <c r="J50" i="18"/>
  <c r="M50" i="18" s="1"/>
  <c r="I50" i="18"/>
  <c r="X49" i="18"/>
  <c r="W49" i="18"/>
  <c r="T49" i="18"/>
  <c r="R49" i="18"/>
  <c r="P49" i="18"/>
  <c r="I49" i="18"/>
  <c r="H49" i="18"/>
  <c r="AD48" i="18"/>
  <c r="AC48" i="18"/>
  <c r="K48" i="18"/>
  <c r="J48" i="18"/>
  <c r="E48" i="18"/>
  <c r="B48" i="18"/>
  <c r="AE47" i="18"/>
  <c r="AD47" i="18"/>
  <c r="AC47" i="18"/>
  <c r="Q111" i="18" s="1"/>
  <c r="AB47" i="18"/>
  <c r="AA47" i="18"/>
  <c r="Z47" i="18"/>
  <c r="O111" i="18" s="1"/>
  <c r="Y47" i="18"/>
  <c r="X47" i="18"/>
  <c r="W47" i="18"/>
  <c r="V47" i="18"/>
  <c r="U47" i="18"/>
  <c r="T47" i="18"/>
  <c r="L47" i="18"/>
  <c r="K47" i="18"/>
  <c r="J47" i="18"/>
  <c r="I47" i="18"/>
  <c r="F47" i="18"/>
  <c r="E47" i="18"/>
  <c r="C47" i="18"/>
  <c r="AE46" i="18"/>
  <c r="AD46" i="18"/>
  <c r="AC46" i="18"/>
  <c r="Q110" i="18" s="1"/>
  <c r="AB46" i="18"/>
  <c r="AA46" i="18"/>
  <c r="P110" i="18" s="1"/>
  <c r="Z46" i="18"/>
  <c r="O110" i="18" s="1"/>
  <c r="O46" i="18"/>
  <c r="AD45" i="18"/>
  <c r="AC45" i="18"/>
  <c r="Q109" i="18" s="1"/>
  <c r="AB45" i="18"/>
  <c r="AA45" i="18"/>
  <c r="P109" i="18" s="1"/>
  <c r="Z45" i="18"/>
  <c r="O109" i="18" s="1"/>
  <c r="Q45" i="18"/>
  <c r="O45" i="18"/>
  <c r="N45" i="18"/>
  <c r="M45" i="18"/>
  <c r="L45" i="18"/>
  <c r="K45" i="18"/>
  <c r="J45" i="18"/>
  <c r="I45" i="18"/>
  <c r="F45" i="18"/>
  <c r="B45" i="18"/>
  <c r="AD44" i="18"/>
  <c r="AC44" i="18"/>
  <c r="AB44" i="18"/>
  <c r="AA44" i="18"/>
  <c r="Z44" i="18"/>
  <c r="X44" i="18"/>
  <c r="W44" i="18"/>
  <c r="V44" i="18"/>
  <c r="U44" i="18"/>
  <c r="Y44" i="18" s="1"/>
  <c r="T44" i="18"/>
  <c r="R44" i="18"/>
  <c r="O44" i="18"/>
  <c r="L44" i="18"/>
  <c r="I44" i="18"/>
  <c r="F44" i="18"/>
  <c r="AK43" i="18"/>
  <c r="AG43" i="18"/>
  <c r="AJ43" i="18" s="1"/>
  <c r="AF43" i="18"/>
  <c r="AD43" i="18"/>
  <c r="AC43" i="18"/>
  <c r="AB43" i="18"/>
  <c r="AA43" i="18"/>
  <c r="Z43" i="18"/>
  <c r="R43" i="18"/>
  <c r="P43" i="18"/>
  <c r="O43" i="18"/>
  <c r="I43" i="18"/>
  <c r="D43" i="18"/>
  <c r="C43" i="18"/>
  <c r="B43" i="18"/>
  <c r="AK42" i="18"/>
  <c r="AG42" i="18"/>
  <c r="AF42" i="18"/>
  <c r="AD42" i="18"/>
  <c r="AC42" i="18"/>
  <c r="AB42" i="18"/>
  <c r="AA42" i="18"/>
  <c r="Z42" i="18"/>
  <c r="W42" i="18"/>
  <c r="Y42" i="18" s="1"/>
  <c r="V42" i="18"/>
  <c r="U42" i="18"/>
  <c r="T42" i="18"/>
  <c r="P42" i="18"/>
  <c r="L42" i="18"/>
  <c r="K42" i="18"/>
  <c r="M42" i="18" s="1"/>
  <c r="J42" i="18"/>
  <c r="I42" i="18"/>
  <c r="H42" i="18"/>
  <c r="E42" i="18"/>
  <c r="C42" i="18"/>
  <c r="AD41" i="18"/>
  <c r="AC41" i="18"/>
  <c r="T41" i="18"/>
  <c r="H41" i="18"/>
  <c r="B41" i="18"/>
  <c r="AK36" i="18"/>
  <c r="AJ36" i="18"/>
  <c r="AI36" i="18"/>
  <c r="AH36" i="18"/>
  <c r="AG36" i="18"/>
  <c r="AF36" i="18"/>
  <c r="AD36" i="18"/>
  <c r="AC36" i="18"/>
  <c r="AB36" i="18"/>
  <c r="AA36" i="18"/>
  <c r="Z36" i="18"/>
  <c r="X36" i="18"/>
  <c r="W36" i="18"/>
  <c r="V36" i="18"/>
  <c r="U36" i="18"/>
  <c r="T36" i="18"/>
  <c r="R36" i="18"/>
  <c r="Q36" i="18"/>
  <c r="P36" i="18"/>
  <c r="O36" i="18"/>
  <c r="N36" i="18"/>
  <c r="L36" i="18"/>
  <c r="K36" i="18"/>
  <c r="J36" i="18"/>
  <c r="I36" i="18"/>
  <c r="H36" i="18"/>
  <c r="F36" i="18"/>
  <c r="E36" i="18"/>
  <c r="D36" i="18"/>
  <c r="C36" i="18"/>
  <c r="B36" i="18"/>
  <c r="Y35" i="18"/>
  <c r="T52" i="18" s="1"/>
  <c r="S35" i="18"/>
  <c r="M35" i="18"/>
  <c r="G35" i="18"/>
  <c r="Y34" i="18"/>
  <c r="S34" i="18"/>
  <c r="M34" i="18"/>
  <c r="K51" i="18" s="1"/>
  <c r="G34" i="18"/>
  <c r="Y33" i="18"/>
  <c r="T50" i="18" s="1"/>
  <c r="S33" i="18"/>
  <c r="M33" i="18"/>
  <c r="H50" i="18" s="1"/>
  <c r="G33" i="18"/>
  <c r="F50" i="18" s="1"/>
  <c r="Y32" i="18"/>
  <c r="S32" i="18"/>
  <c r="M32" i="18"/>
  <c r="G32" i="18"/>
  <c r="Y31" i="18"/>
  <c r="T48" i="18" s="1"/>
  <c r="S31" i="18"/>
  <c r="N48" i="18" s="1"/>
  <c r="M31" i="18"/>
  <c r="H48" i="18" s="1"/>
  <c r="G31" i="18"/>
  <c r="Y30" i="18"/>
  <c r="S30" i="18"/>
  <c r="M30" i="18"/>
  <c r="H47" i="18" s="1"/>
  <c r="M47" i="18" s="1"/>
  <c r="G30" i="18"/>
  <c r="Y29" i="18"/>
  <c r="S29" i="18"/>
  <c r="R46" i="18" s="1"/>
  <c r="M29" i="18"/>
  <c r="I46" i="18" s="1"/>
  <c r="G29" i="18"/>
  <c r="B46" i="18" s="1"/>
  <c r="Y28" i="18"/>
  <c r="W45" i="18" s="1"/>
  <c r="S28" i="18"/>
  <c r="R45" i="18" s="1"/>
  <c r="M28" i="18"/>
  <c r="H45" i="18" s="1"/>
  <c r="G28" i="18"/>
  <c r="E45" i="18" s="1"/>
  <c r="Y27" i="18"/>
  <c r="S27" i="18"/>
  <c r="M27" i="18"/>
  <c r="H44" i="18" s="1"/>
  <c r="G27" i="18"/>
  <c r="E44" i="18" s="1"/>
  <c r="Y26" i="18"/>
  <c r="T43" i="18" s="1"/>
  <c r="S26" i="18"/>
  <c r="Q43" i="18" s="1"/>
  <c r="M26" i="18"/>
  <c r="L43" i="18" s="1"/>
  <c r="G26" i="18"/>
  <c r="F43" i="18" s="1"/>
  <c r="Y25" i="18"/>
  <c r="X42" i="18" s="1"/>
  <c r="S25" i="18"/>
  <c r="O42" i="18" s="1"/>
  <c r="M25" i="18"/>
  <c r="G25" i="18"/>
  <c r="D42" i="18" s="1"/>
  <c r="AE24" i="18"/>
  <c r="Y24" i="18"/>
  <c r="X41" i="18" s="1"/>
  <c r="S24" i="18"/>
  <c r="P41" i="18" s="1"/>
  <c r="M24" i="18"/>
  <c r="L41" i="18" s="1"/>
  <c r="G24" i="18"/>
  <c r="E41" i="18" s="1"/>
  <c r="S20" i="18"/>
  <c r="R20" i="18"/>
  <c r="Q20" i="18"/>
  <c r="P20" i="18"/>
  <c r="S19" i="18"/>
  <c r="R19" i="18"/>
  <c r="Q19" i="18"/>
  <c r="P19" i="18"/>
  <c r="S17" i="18"/>
  <c r="Q17" i="18"/>
  <c r="P17" i="18"/>
  <c r="S16" i="18"/>
  <c r="Q16" i="18"/>
  <c r="P16" i="18"/>
  <c r="S15" i="18"/>
  <c r="Q15" i="18"/>
  <c r="P15" i="18"/>
  <c r="I15" i="18"/>
  <c r="H15" i="18"/>
  <c r="G15" i="18"/>
  <c r="F15" i="18"/>
  <c r="E15" i="18"/>
  <c r="D15" i="18"/>
  <c r="C15" i="18"/>
  <c r="B15" i="18"/>
  <c r="S14" i="18"/>
  <c r="Q14" i="18"/>
  <c r="P14" i="18"/>
  <c r="S13" i="18"/>
  <c r="Q13" i="18"/>
  <c r="P13" i="18"/>
  <c r="S12" i="18"/>
  <c r="Q12" i="18"/>
  <c r="P12" i="18"/>
  <c r="S11" i="18"/>
  <c r="Q11" i="18"/>
  <c r="S10" i="18"/>
  <c r="Q10" i="18"/>
  <c r="S9" i="18"/>
  <c r="Q9" i="18"/>
  <c r="P9" i="18"/>
  <c r="S8" i="18"/>
  <c r="Q8" i="18"/>
  <c r="S7" i="18"/>
  <c r="Q7" i="18"/>
  <c r="S6" i="18"/>
  <c r="Q6" i="18"/>
  <c r="P6" i="18"/>
  <c r="S5" i="18"/>
  <c r="Q5" i="18"/>
  <c r="P5" i="18"/>
  <c r="S4" i="18"/>
  <c r="Q4" i="18"/>
  <c r="S3" i="18"/>
  <c r="Q3" i="18"/>
  <c r="P3" i="18"/>
  <c r="E57" i="10"/>
  <c r="D57" i="10"/>
  <c r="C57" i="10"/>
  <c r="E56" i="10"/>
  <c r="D56" i="10"/>
  <c r="C56" i="10"/>
  <c r="O55" i="10"/>
  <c r="D54" i="10"/>
  <c r="C54" i="10"/>
  <c r="D53" i="10"/>
  <c r="C53" i="10"/>
  <c r="O52" i="10"/>
  <c r="O53" i="10" s="1"/>
  <c r="N51" i="10"/>
  <c r="M51" i="10"/>
  <c r="L51" i="10"/>
  <c r="K51" i="10"/>
  <c r="J51" i="10"/>
  <c r="I51" i="10"/>
  <c r="H51" i="10"/>
  <c r="G51" i="10"/>
  <c r="F51" i="10"/>
  <c r="E51" i="10"/>
  <c r="D51" i="10"/>
  <c r="C51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O49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O46" i="10"/>
  <c r="O45" i="10"/>
  <c r="O47" i="10" s="1"/>
  <c r="O44" i="10"/>
  <c r="E41" i="10"/>
  <c r="D41" i="10"/>
  <c r="C41" i="10"/>
  <c r="E40" i="10"/>
  <c r="D40" i="10"/>
  <c r="C40" i="10"/>
  <c r="O39" i="10"/>
  <c r="O40" i="10" s="1"/>
  <c r="D38" i="10"/>
  <c r="C38" i="10"/>
  <c r="D37" i="10"/>
  <c r="C37" i="10"/>
  <c r="O36" i="10"/>
  <c r="O37" i="10" s="1"/>
  <c r="N35" i="10"/>
  <c r="M35" i="10"/>
  <c r="L35" i="10"/>
  <c r="K35" i="10"/>
  <c r="J35" i="10"/>
  <c r="I35" i="10"/>
  <c r="H35" i="10"/>
  <c r="G35" i="10"/>
  <c r="F35" i="10"/>
  <c r="E35" i="10"/>
  <c r="D35" i="10"/>
  <c r="C35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O33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O30" i="10"/>
  <c r="O31" i="10" s="1"/>
  <c r="O29" i="10"/>
  <c r="O28" i="10"/>
  <c r="E25" i="10"/>
  <c r="D25" i="10"/>
  <c r="C25" i="10"/>
  <c r="O24" i="10"/>
  <c r="E24" i="10"/>
  <c r="D24" i="10"/>
  <c r="C24" i="10"/>
  <c r="O23" i="10"/>
  <c r="N22" i="10"/>
  <c r="D22" i="10"/>
  <c r="C22" i="10"/>
  <c r="N21" i="10"/>
  <c r="D21" i="10"/>
  <c r="C21" i="10"/>
  <c r="O20" i="10"/>
  <c r="O21" i="10" s="1"/>
  <c r="N19" i="10"/>
  <c r="M19" i="10"/>
  <c r="L19" i="10"/>
  <c r="K19" i="10"/>
  <c r="J19" i="10"/>
  <c r="I19" i="10"/>
  <c r="H19" i="10"/>
  <c r="G19" i="10"/>
  <c r="F19" i="10"/>
  <c r="E19" i="10"/>
  <c r="D19" i="10"/>
  <c r="C19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O17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O14" i="10"/>
  <c r="O15" i="10" s="1"/>
  <c r="O13" i="10"/>
  <c r="O12" i="10"/>
  <c r="J7" i="10"/>
  <c r="I7" i="10"/>
  <c r="H7" i="10"/>
  <c r="G7" i="10"/>
  <c r="F7" i="10"/>
  <c r="K4" i="10"/>
  <c r="I4" i="10"/>
  <c r="H4" i="10"/>
  <c r="G4" i="10"/>
  <c r="F4" i="10"/>
  <c r="E4" i="10"/>
  <c r="D4" i="10"/>
  <c r="G3" i="17"/>
  <c r="G4" i="17" s="1"/>
  <c r="D21" i="4"/>
  <c r="C20" i="4"/>
  <c r="N18" i="4"/>
  <c r="M18" i="4"/>
  <c r="K18" i="4"/>
  <c r="J18" i="4"/>
  <c r="I18" i="4"/>
  <c r="H18" i="4"/>
  <c r="G18" i="4"/>
  <c r="F18" i="4"/>
  <c r="E18" i="4"/>
  <c r="D18" i="4"/>
  <c r="C18" i="4"/>
  <c r="O17" i="4"/>
  <c r="K17" i="4"/>
  <c r="J17" i="4"/>
  <c r="I17" i="4"/>
  <c r="H17" i="4"/>
  <c r="G17" i="4"/>
  <c r="F17" i="4"/>
  <c r="E17" i="4"/>
  <c r="D17" i="4"/>
  <c r="C17" i="4"/>
  <c r="N16" i="4"/>
  <c r="C21" i="4" s="1"/>
  <c r="N15" i="4"/>
  <c r="M15" i="4"/>
  <c r="L15" i="4"/>
  <c r="K15" i="4"/>
  <c r="J15" i="4"/>
  <c r="I15" i="4"/>
  <c r="H15" i="4"/>
  <c r="G15" i="4"/>
  <c r="F15" i="4"/>
  <c r="E15" i="4"/>
  <c r="D15" i="4"/>
  <c r="C15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O13" i="4"/>
  <c r="N12" i="4"/>
  <c r="M12" i="4"/>
  <c r="L12" i="4"/>
  <c r="K12" i="4"/>
  <c r="J12" i="4"/>
  <c r="I12" i="4"/>
  <c r="H12" i="4"/>
  <c r="G12" i="4"/>
  <c r="F12" i="4"/>
  <c r="E12" i="4"/>
  <c r="D12" i="4"/>
  <c r="C12" i="4"/>
  <c r="N11" i="4"/>
  <c r="M11" i="4"/>
  <c r="L11" i="4"/>
  <c r="K11" i="4"/>
  <c r="J11" i="4"/>
  <c r="I11" i="4"/>
  <c r="H11" i="4"/>
  <c r="G11" i="4"/>
  <c r="F11" i="4"/>
  <c r="E11" i="4"/>
  <c r="D11" i="4"/>
  <c r="C11" i="4"/>
  <c r="O10" i="4"/>
  <c r="O9" i="4"/>
  <c r="O11" i="4" s="1"/>
  <c r="I4" i="4"/>
  <c r="H4" i="4"/>
  <c r="G4" i="4"/>
  <c r="F4" i="4"/>
  <c r="E4" i="4"/>
  <c r="D4" i="4"/>
  <c r="R6" i="18" l="1"/>
  <c r="R4" i="18"/>
  <c r="R7" i="18"/>
  <c r="R17" i="18"/>
  <c r="P11" i="18"/>
  <c r="P10" i="18"/>
  <c r="R10" i="18" s="1"/>
  <c r="R12" i="18"/>
  <c r="R9" i="18"/>
  <c r="R5" i="18"/>
  <c r="R8" i="18"/>
  <c r="H100" i="14"/>
  <c r="H91" i="14"/>
  <c r="G48" i="15"/>
  <c r="F61" i="15"/>
  <c r="H61" i="15"/>
  <c r="G61" i="15"/>
  <c r="G87" i="15"/>
  <c r="F87" i="15"/>
  <c r="H96" i="15"/>
  <c r="H94" i="15"/>
  <c r="H98" i="15"/>
  <c r="H97" i="15"/>
  <c r="F118" i="15"/>
  <c r="G118" i="15"/>
  <c r="H150" i="15"/>
  <c r="B49" i="18"/>
  <c r="E49" i="18"/>
  <c r="C49" i="18"/>
  <c r="N51" i="18"/>
  <c r="Q51" i="18"/>
  <c r="P51" i="18"/>
  <c r="C45" i="18"/>
  <c r="G45" i="18" s="1"/>
  <c r="V48" i="18"/>
  <c r="D50" i="18"/>
  <c r="O51" i="18"/>
  <c r="G77" i="14"/>
  <c r="F77" i="14"/>
  <c r="G97" i="14"/>
  <c r="F97" i="14"/>
  <c r="F100" i="14"/>
  <c r="F145" i="14"/>
  <c r="G145" i="14"/>
  <c r="G176" i="14"/>
  <c r="F176" i="14"/>
  <c r="G50" i="15"/>
  <c r="G68" i="15"/>
  <c r="F101" i="15"/>
  <c r="G101" i="15"/>
  <c r="H204" i="15"/>
  <c r="F204" i="15"/>
  <c r="N41" i="18"/>
  <c r="Q41" i="18"/>
  <c r="O41" i="18"/>
  <c r="S36" i="18"/>
  <c r="O37" i="18" s="1"/>
  <c r="H46" i="18"/>
  <c r="K46" i="18"/>
  <c r="J46" i="18"/>
  <c r="U48" i="18"/>
  <c r="Y48" i="18" s="1"/>
  <c r="L51" i="18"/>
  <c r="G113" i="14"/>
  <c r="F113" i="14"/>
  <c r="H140" i="14"/>
  <c r="H142" i="14"/>
  <c r="H141" i="14"/>
  <c r="G165" i="14"/>
  <c r="N17" i="4"/>
  <c r="AE36" i="18"/>
  <c r="AB41" i="18"/>
  <c r="Z41" i="18"/>
  <c r="X46" i="18"/>
  <c r="V46" i="18"/>
  <c r="U46" i="18"/>
  <c r="L49" i="18"/>
  <c r="K49" i="18"/>
  <c r="X51" i="18"/>
  <c r="W51" i="18"/>
  <c r="G36" i="18"/>
  <c r="R41" i="18"/>
  <c r="AE42" i="18"/>
  <c r="J44" i="18"/>
  <c r="M44" i="18" s="1"/>
  <c r="D45" i="18"/>
  <c r="L46" i="18"/>
  <c r="W48" i="18"/>
  <c r="J49" i="18"/>
  <c r="M49" i="18" s="1"/>
  <c r="R51" i="18"/>
  <c r="P44" i="14"/>
  <c r="E27" i="14"/>
  <c r="H27" i="14" s="1"/>
  <c r="E48" i="14"/>
  <c r="F56" i="14"/>
  <c r="G73" i="14"/>
  <c r="H97" i="14"/>
  <c r="H151" i="14"/>
  <c r="G161" i="14"/>
  <c r="G78" i="15"/>
  <c r="F78" i="15"/>
  <c r="H104" i="15"/>
  <c r="G115" i="15"/>
  <c r="F136" i="15"/>
  <c r="G136" i="15"/>
  <c r="H154" i="15"/>
  <c r="G171" i="15"/>
  <c r="F171" i="15"/>
  <c r="N30" i="16"/>
  <c r="M30" i="16"/>
  <c r="G184" i="14"/>
  <c r="F184" i="14"/>
  <c r="F43" i="15"/>
  <c r="G47" i="15"/>
  <c r="F70" i="15"/>
  <c r="F166" i="15"/>
  <c r="H166" i="15"/>
  <c r="O18" i="10"/>
  <c r="O56" i="10"/>
  <c r="Q44" i="18"/>
  <c r="P44" i="18"/>
  <c r="D47" i="18"/>
  <c r="B47" i="18"/>
  <c r="Q49" i="18"/>
  <c r="O49" i="18"/>
  <c r="N49" i="18"/>
  <c r="E52" i="18"/>
  <c r="D52" i="18"/>
  <c r="G52" i="18" s="1"/>
  <c r="B42" i="18"/>
  <c r="E43" i="18"/>
  <c r="G43" i="18" s="1"/>
  <c r="U43" i="18"/>
  <c r="Y43" i="18" s="1"/>
  <c r="K44" i="18"/>
  <c r="P45" i="18"/>
  <c r="S45" i="18" s="1"/>
  <c r="N46" i="18"/>
  <c r="I48" i="18"/>
  <c r="M48" i="18" s="1"/>
  <c r="X48" i="18"/>
  <c r="X50" i="18"/>
  <c r="Y50" i="18" s="1"/>
  <c r="T51" i="18"/>
  <c r="P42" i="14"/>
  <c r="G63" i="14"/>
  <c r="H73" i="14"/>
  <c r="H83" i="14" s="1"/>
  <c r="G79" i="14"/>
  <c r="H89" i="14"/>
  <c r="G98" i="14"/>
  <c r="F98" i="14"/>
  <c r="G106" i="14"/>
  <c r="H145" i="14"/>
  <c r="F149" i="14"/>
  <c r="G149" i="14"/>
  <c r="G43" i="15"/>
  <c r="F60" i="15"/>
  <c r="F68" i="15"/>
  <c r="G81" i="15"/>
  <c r="H101" i="15"/>
  <c r="F110" i="15"/>
  <c r="G110" i="15"/>
  <c r="F133" i="15"/>
  <c r="F155" i="15"/>
  <c r="G154" i="15"/>
  <c r="G148" i="15"/>
  <c r="O49" i="12"/>
  <c r="O52" i="12"/>
  <c r="G72" i="14"/>
  <c r="G75" i="14"/>
  <c r="F146" i="14"/>
  <c r="G146" i="14"/>
  <c r="G174" i="14"/>
  <c r="F174" i="14"/>
  <c r="R47" i="18"/>
  <c r="O47" i="18"/>
  <c r="Q52" i="18"/>
  <c r="P52" i="18"/>
  <c r="V43" i="18"/>
  <c r="N42" i="18"/>
  <c r="R42" i="18"/>
  <c r="E50" i="18"/>
  <c r="C50" i="18"/>
  <c r="B50" i="18"/>
  <c r="U41" i="18"/>
  <c r="Y41" i="18" s="1"/>
  <c r="Q42" i="18"/>
  <c r="W43" i="18"/>
  <c r="AE45" i="18"/>
  <c r="P46" i="18"/>
  <c r="N47" i="18"/>
  <c r="O52" i="18"/>
  <c r="G45" i="15"/>
  <c r="G49" i="15"/>
  <c r="G60" i="15"/>
  <c r="G66" i="15"/>
  <c r="H99" i="15"/>
  <c r="F137" i="15"/>
  <c r="G137" i="15"/>
  <c r="M21" i="16"/>
  <c r="M23" i="16"/>
  <c r="I41" i="18"/>
  <c r="V41" i="18"/>
  <c r="F42" i="18"/>
  <c r="K43" i="18"/>
  <c r="X43" i="18"/>
  <c r="N44" i="18"/>
  <c r="S44" i="18" s="1"/>
  <c r="U45" i="18"/>
  <c r="C46" i="18"/>
  <c r="Q46" i="18"/>
  <c r="P47" i="18"/>
  <c r="L48" i="18"/>
  <c r="H51" i="18"/>
  <c r="R52" i="18"/>
  <c r="S52" i="18" s="1"/>
  <c r="E23" i="14"/>
  <c r="H23" i="14" s="1"/>
  <c r="G55" i="14"/>
  <c r="F62" i="14"/>
  <c r="G65" i="14"/>
  <c r="G74" i="14"/>
  <c r="G81" i="14"/>
  <c r="F83" i="14"/>
  <c r="F90" i="14"/>
  <c r="H92" i="14"/>
  <c r="H143" i="14"/>
  <c r="G166" i="14"/>
  <c r="F53" i="15"/>
  <c r="G76" i="15"/>
  <c r="F131" i="15"/>
  <c r="G131" i="15"/>
  <c r="G152" i="15"/>
  <c r="AH23" i="16"/>
  <c r="AF23" i="16"/>
  <c r="M48" i="14"/>
  <c r="G57" i="14"/>
  <c r="F57" i="14"/>
  <c r="F65" i="14"/>
  <c r="F81" i="14"/>
  <c r="H82" i="14"/>
  <c r="H75" i="14"/>
  <c r="F95" i="14"/>
  <c r="G95" i="14"/>
  <c r="H146" i="14"/>
  <c r="H149" i="14"/>
  <c r="G157" i="14"/>
  <c r="H53" i="15"/>
  <c r="H49" i="15"/>
  <c r="H44" i="15"/>
  <c r="H47" i="15"/>
  <c r="H42" i="15"/>
  <c r="H45" i="15"/>
  <c r="H102" i="15"/>
  <c r="F164" i="15"/>
  <c r="G164" i="15"/>
  <c r="F48" i="18"/>
  <c r="D48" i="18"/>
  <c r="C48" i="18"/>
  <c r="G48" i="18" s="1"/>
  <c r="R50" i="18"/>
  <c r="Q50" i="18"/>
  <c r="O50" i="18"/>
  <c r="N50" i="18"/>
  <c r="S50" i="18" s="1"/>
  <c r="J41" i="18"/>
  <c r="W41" i="18"/>
  <c r="B44" i="18"/>
  <c r="D46" i="18"/>
  <c r="Q47" i="18"/>
  <c r="D49" i="18"/>
  <c r="I51" i="18"/>
  <c r="R13" i="18"/>
  <c r="G76" i="14"/>
  <c r="F93" i="14"/>
  <c r="G93" i="14"/>
  <c r="H99" i="14"/>
  <c r="F112" i="14"/>
  <c r="F140" i="14"/>
  <c r="G163" i="14"/>
  <c r="E185" i="14"/>
  <c r="H183" i="14" s="1"/>
  <c r="E168" i="14"/>
  <c r="H164" i="14" s="1"/>
  <c r="F10" i="15"/>
  <c r="F13" i="15"/>
  <c r="G53" i="15"/>
  <c r="G69" i="15"/>
  <c r="F86" i="15"/>
  <c r="H93" i="15"/>
  <c r="F96" i="15"/>
  <c r="G120" i="15"/>
  <c r="F138" i="15"/>
  <c r="G135" i="15"/>
  <c r="G129" i="15"/>
  <c r="G149" i="15"/>
  <c r="AF111" i="16"/>
  <c r="AH89" i="16"/>
  <c r="AB44" i="19"/>
  <c r="Q111" i="19"/>
  <c r="G177" i="14"/>
  <c r="F177" i="14"/>
  <c r="F102" i="15"/>
  <c r="G102" i="15"/>
  <c r="F145" i="15"/>
  <c r="G145" i="15"/>
  <c r="H151" i="15"/>
  <c r="H145" i="15"/>
  <c r="D41" i="18"/>
  <c r="F41" i="18"/>
  <c r="C41" i="18"/>
  <c r="J43" i="18"/>
  <c r="H43" i="18"/>
  <c r="M43" i="18" s="1"/>
  <c r="V45" i="18"/>
  <c r="T45" i="18"/>
  <c r="M36" i="18"/>
  <c r="K41" i="18"/>
  <c r="C44" i="18"/>
  <c r="X45" i="18"/>
  <c r="E46" i="18"/>
  <c r="T46" i="18"/>
  <c r="Y46" i="18" s="1"/>
  <c r="F49" i="18"/>
  <c r="J51" i="18"/>
  <c r="F59" i="14"/>
  <c r="H76" i="14"/>
  <c r="G80" i="14"/>
  <c r="G115" i="14"/>
  <c r="F115" i="14"/>
  <c r="H150" i="14"/>
  <c r="G160" i="14"/>
  <c r="F167" i="14"/>
  <c r="G167" i="14"/>
  <c r="H67" i="15"/>
  <c r="F67" i="15"/>
  <c r="G77" i="15"/>
  <c r="G94" i="15"/>
  <c r="F94" i="15"/>
  <c r="G103" i="15"/>
  <c r="G117" i="15"/>
  <c r="G128" i="15"/>
  <c r="H146" i="15"/>
  <c r="F153" i="15"/>
  <c r="G153" i="15"/>
  <c r="M28" i="16"/>
  <c r="M20" i="16"/>
  <c r="AH67" i="16"/>
  <c r="AF67" i="16"/>
  <c r="R3" i="18"/>
  <c r="R48" i="18"/>
  <c r="Q48" i="18"/>
  <c r="P48" i="18"/>
  <c r="O48" i="18"/>
  <c r="S48" i="18" s="1"/>
  <c r="D51" i="18"/>
  <c r="C51" i="18"/>
  <c r="E51" i="18"/>
  <c r="B51" i="18"/>
  <c r="G51" i="18" s="1"/>
  <c r="Y36" i="18"/>
  <c r="AA41" i="18"/>
  <c r="AJ42" i="18"/>
  <c r="N43" i="18"/>
  <c r="S43" i="18" s="1"/>
  <c r="D44" i="18"/>
  <c r="F46" i="18"/>
  <c r="W46" i="18"/>
  <c r="R11" i="18"/>
  <c r="H74" i="14"/>
  <c r="F76" i="14"/>
  <c r="G78" i="14"/>
  <c r="H80" i="14"/>
  <c r="H93" i="14"/>
  <c r="F151" i="14"/>
  <c r="G144" i="14"/>
  <c r="F164" i="14"/>
  <c r="G164" i="14"/>
  <c r="F12" i="15"/>
  <c r="G12" i="15"/>
  <c r="H16" i="15"/>
  <c r="G44" i="15"/>
  <c r="F46" i="15"/>
  <c r="G46" i="15"/>
  <c r="H50" i="15"/>
  <c r="G52" i="15"/>
  <c r="F52" i="15"/>
  <c r="G67" i="15"/>
  <c r="G80" i="15"/>
  <c r="F112" i="15"/>
  <c r="F121" i="15"/>
  <c r="G121" i="15"/>
  <c r="G119" i="15"/>
  <c r="F147" i="15"/>
  <c r="F150" i="15"/>
  <c r="H153" i="15"/>
  <c r="M18" i="16"/>
  <c r="M29" i="16"/>
  <c r="M34" i="16"/>
  <c r="AF45" i="16"/>
  <c r="O16" i="19"/>
  <c r="G111" i="14"/>
  <c r="H184" i="14"/>
  <c r="G63" i="15"/>
  <c r="F63" i="15"/>
  <c r="G85" i="15"/>
  <c r="J41" i="19"/>
  <c r="G41" i="19"/>
  <c r="H41" i="19"/>
  <c r="K36" i="19"/>
  <c r="E43" i="19"/>
  <c r="D43" i="19"/>
  <c r="C43" i="19"/>
  <c r="B43" i="19"/>
  <c r="N45" i="19"/>
  <c r="M45" i="19"/>
  <c r="L45" i="19"/>
  <c r="O47" i="19"/>
  <c r="L47" i="19"/>
  <c r="M47" i="19"/>
  <c r="R49" i="19"/>
  <c r="Q49" i="19"/>
  <c r="T49" i="19"/>
  <c r="V36" i="19"/>
  <c r="J52" i="19"/>
  <c r="G52" i="19"/>
  <c r="I52" i="19"/>
  <c r="V49" i="18"/>
  <c r="U49" i="18"/>
  <c r="Y49" i="18" s="1"/>
  <c r="J52" i="18"/>
  <c r="I52" i="18"/>
  <c r="M52" i="18" s="1"/>
  <c r="H58" i="14"/>
  <c r="G61" i="14"/>
  <c r="F61" i="14"/>
  <c r="G109" i="14"/>
  <c r="F144" i="14"/>
  <c r="H157" i="14"/>
  <c r="F162" i="14"/>
  <c r="G162" i="14"/>
  <c r="G83" i="15"/>
  <c r="F100" i="15"/>
  <c r="F116" i="15"/>
  <c r="G116" i="15"/>
  <c r="F135" i="15"/>
  <c r="H148" i="15"/>
  <c r="F151" i="15"/>
  <c r="G151" i="15"/>
  <c r="G162" i="15"/>
  <c r="O12" i="19"/>
  <c r="S49" i="19"/>
  <c r="K51" i="19"/>
  <c r="G172" i="15"/>
  <c r="G170" i="15"/>
  <c r="G166" i="15"/>
  <c r="G161" i="15"/>
  <c r="M31" i="16"/>
  <c r="H79" i="14"/>
  <c r="H147" i="14"/>
  <c r="F150" i="14"/>
  <c r="G150" i="14"/>
  <c r="G178" i="14"/>
  <c r="F178" i="14"/>
  <c r="F17" i="15"/>
  <c r="G51" i="15"/>
  <c r="F51" i="15"/>
  <c r="G79" i="15"/>
  <c r="H103" i="15"/>
  <c r="F111" i="15"/>
  <c r="G111" i="15"/>
  <c r="F130" i="15"/>
  <c r="F146" i="15"/>
  <c r="G146" i="15"/>
  <c r="H167" i="15"/>
  <c r="H161" i="15"/>
  <c r="H172" i="15"/>
  <c r="M22" i="16"/>
  <c r="G143" i="16"/>
  <c r="G187" i="16"/>
  <c r="E275" i="16"/>
  <c r="G253" i="16"/>
  <c r="P42" i="19"/>
  <c r="N47" i="19"/>
  <c r="H52" i="19"/>
  <c r="P51" i="19"/>
  <c r="O7" i="19"/>
  <c r="U41" i="19"/>
  <c r="T41" i="19"/>
  <c r="Q41" i="19"/>
  <c r="V41" i="19" s="1"/>
  <c r="O43" i="19"/>
  <c r="N43" i="19"/>
  <c r="O20" i="19"/>
  <c r="AA47" i="19"/>
  <c r="G50" i="19"/>
  <c r="I50" i="19"/>
  <c r="U52" i="19"/>
  <c r="T52" i="19"/>
  <c r="Q52" i="19"/>
  <c r="V52" i="19" s="1"/>
  <c r="K45" i="19"/>
  <c r="O36" i="12"/>
  <c r="O42" i="12"/>
  <c r="Y41" i="19"/>
  <c r="AB36" i="19"/>
  <c r="X41" i="19"/>
  <c r="W41" i="19"/>
  <c r="AA41" i="19"/>
  <c r="S43" i="19"/>
  <c r="R43" i="19"/>
  <c r="Q43" i="19"/>
  <c r="U43" i="19"/>
  <c r="E46" i="19"/>
  <c r="D46" i="19"/>
  <c r="C46" i="19"/>
  <c r="B46" i="19"/>
  <c r="C48" i="19"/>
  <c r="B48" i="19"/>
  <c r="E48" i="19"/>
  <c r="O50" i="19"/>
  <c r="N50" i="19"/>
  <c r="M50" i="19"/>
  <c r="L50" i="19"/>
  <c r="AA45" i="19"/>
  <c r="Q109" i="19" s="1"/>
  <c r="D48" i="19"/>
  <c r="V51" i="19"/>
  <c r="R52" i="19"/>
  <c r="H95" i="14"/>
  <c r="L33" i="16"/>
  <c r="M33" i="16" s="1"/>
  <c r="O25" i="12"/>
  <c r="O2" i="19"/>
  <c r="O19" i="19"/>
  <c r="V50" i="19"/>
  <c r="L43" i="19"/>
  <c r="P43" i="19" s="1"/>
  <c r="F44" i="19"/>
  <c r="S52" i="19"/>
  <c r="F143" i="14"/>
  <c r="F148" i="14"/>
  <c r="F160" i="14"/>
  <c r="F165" i="14"/>
  <c r="G15" i="15"/>
  <c r="H48" i="15"/>
  <c r="F99" i="15"/>
  <c r="F104" i="15"/>
  <c r="F114" i="15"/>
  <c r="F119" i="15"/>
  <c r="F129" i="15"/>
  <c r="F134" i="15"/>
  <c r="F144" i="15"/>
  <c r="F149" i="15"/>
  <c r="F154" i="15"/>
  <c r="M19" i="16"/>
  <c r="G77" i="16"/>
  <c r="O15" i="19"/>
  <c r="M43" i="19"/>
  <c r="K48" i="19"/>
  <c r="D111" i="19"/>
  <c r="B42" i="19"/>
  <c r="S45" i="19"/>
  <c r="V45" i="19" s="1"/>
  <c r="L46" i="19"/>
  <c r="P46" i="19" s="1"/>
  <c r="R48" i="19"/>
  <c r="V48" i="19" s="1"/>
  <c r="B50" i="19"/>
  <c r="F50" i="19" s="1"/>
  <c r="C42" i="19"/>
  <c r="G44" i="19"/>
  <c r="K44" i="19" s="1"/>
  <c r="T45" i="19"/>
  <c r="M46" i="19"/>
  <c r="S48" i="19"/>
  <c r="C50" i="19"/>
  <c r="B51" i="19"/>
  <c r="F51" i="19" s="1"/>
  <c r="L41" i="19"/>
  <c r="P41" i="19" s="1"/>
  <c r="Q47" i="19"/>
  <c r="T48" i="19"/>
  <c r="D50" i="19"/>
  <c r="L52" i="19"/>
  <c r="P52" i="19" s="1"/>
  <c r="F36" i="19"/>
  <c r="P36" i="19"/>
  <c r="C41" i="19"/>
  <c r="F41" i="19" s="1"/>
  <c r="M41" i="19"/>
  <c r="G43" i="19"/>
  <c r="I44" i="19"/>
  <c r="S44" i="19"/>
  <c r="B45" i="19"/>
  <c r="H47" i="19"/>
  <c r="R47" i="19"/>
  <c r="D51" i="19"/>
  <c r="N51" i="19"/>
  <c r="C52" i="19"/>
  <c r="M52" i="19"/>
  <c r="N41" i="19"/>
  <c r="H43" i="19"/>
  <c r="T44" i="19"/>
  <c r="C45" i="19"/>
  <c r="I47" i="19"/>
  <c r="S47" i="19"/>
  <c r="L48" i="19"/>
  <c r="P48" i="19" s="1"/>
  <c r="G49" i="19"/>
  <c r="K49" i="19" s="1"/>
  <c r="D52" i="19"/>
  <c r="N52" i="19"/>
  <c r="R16" i="18" l="1"/>
  <c r="R15" i="18"/>
  <c r="R14" i="18"/>
  <c r="M41" i="18"/>
  <c r="S49" i="18"/>
  <c r="S41" i="18"/>
  <c r="H165" i="14"/>
  <c r="S47" i="18"/>
  <c r="S42" i="18"/>
  <c r="AE41" i="18"/>
  <c r="S46" i="18"/>
  <c r="F48" i="14"/>
  <c r="H48" i="14"/>
  <c r="K43" i="19"/>
  <c r="K41" i="19"/>
  <c r="Y45" i="18"/>
  <c r="G46" i="18"/>
  <c r="G83" i="14"/>
  <c r="G47" i="18"/>
  <c r="F42" i="19"/>
  <c r="F48" i="19"/>
  <c r="P45" i="19"/>
  <c r="H162" i="14"/>
  <c r="H167" i="14"/>
  <c r="H160" i="14"/>
  <c r="H163" i="14"/>
  <c r="H168" i="14"/>
  <c r="S51" i="18"/>
  <c r="H182" i="14"/>
  <c r="H185" i="14"/>
  <c r="H181" i="14"/>
  <c r="H180" i="14"/>
  <c r="H178" i="14"/>
  <c r="F185" i="14"/>
  <c r="H177" i="14"/>
  <c r="H174" i="14"/>
  <c r="H176" i="14"/>
  <c r="H179" i="14"/>
  <c r="H175" i="14"/>
  <c r="F46" i="19"/>
  <c r="F168" i="14"/>
  <c r="M46" i="18"/>
  <c r="F45" i="19"/>
  <c r="V44" i="19"/>
  <c r="V47" i="19"/>
  <c r="V43" i="19"/>
  <c r="P47" i="19"/>
  <c r="F52" i="19"/>
  <c r="AB41" i="19"/>
  <c r="K52" i="19"/>
  <c r="K50" i="19"/>
  <c r="F43" i="19"/>
  <c r="G41" i="18"/>
  <c r="G50" i="18"/>
  <c r="G42" i="18"/>
  <c r="G49" i="18"/>
  <c r="H166" i="14"/>
  <c r="Y51" i="18"/>
  <c r="K47" i="19"/>
  <c r="P50" i="19"/>
  <c r="V49" i="19"/>
  <c r="G44" i="18"/>
  <c r="N48" i="14"/>
  <c r="P48" i="14"/>
  <c r="E31" i="14"/>
  <c r="M51" i="18"/>
  <c r="H161" i="14"/>
  <c r="H31" i="14" l="1"/>
  <c r="F31" i="14"/>
  <c r="F109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Q14" authorId="0" shapeId="0" xr:uid="{00000000-0006-0000-0C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缺失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JUNYU MOU</author>
  </authors>
  <commentList>
    <comment ref="D54" authorId="0" shapeId="0" xr:uid="{00000000-0006-0000-0D00-000001000000}">
      <text>
        <r>
          <rPr>
            <b/>
            <sz val="9"/>
            <rFont val="宋体"/>
            <family val="3"/>
            <charset val="134"/>
          </rPr>
          <t>JUNYU MOU:</t>
        </r>
        <r>
          <rPr>
            <sz val="9"/>
            <rFont val="宋体"/>
            <family val="3"/>
            <charset val="134"/>
          </rPr>
          <t xml:space="preserve">
应该是数据有误</t>
        </r>
      </text>
    </comment>
  </commentList>
</comments>
</file>

<file path=xl/sharedStrings.xml><?xml version="1.0" encoding="utf-8"?>
<sst xmlns="http://schemas.openxmlformats.org/spreadsheetml/2006/main" count="5951" uniqueCount="569">
  <si>
    <r>
      <rPr>
        <b/>
        <sz val="11"/>
        <color theme="4" tint="-0.249977111117893"/>
        <rFont val="楷体"/>
        <family val="3"/>
        <charset val="134"/>
      </rPr>
      <t>目录</t>
    </r>
  </si>
  <si>
    <r>
      <rPr>
        <b/>
        <sz val="11"/>
        <color theme="4" tint="-0.249977111117893"/>
        <rFont val="楷体"/>
        <family val="3"/>
        <charset val="134"/>
      </rPr>
      <t>数据来源</t>
    </r>
  </si>
  <si>
    <t>全球动力电池行业装机规模</t>
  </si>
  <si>
    <t>SNE</t>
  </si>
  <si>
    <r>
      <rPr>
        <u/>
        <sz val="12"/>
        <color indexed="12"/>
        <rFont val="楷体"/>
        <family val="3"/>
        <charset val="134"/>
      </rPr>
      <t>海外动力电池行业装机规模</t>
    </r>
  </si>
  <si>
    <r>
      <rPr>
        <u/>
        <sz val="12"/>
        <color indexed="12"/>
        <rFont val="楷体"/>
        <family val="3"/>
        <charset val="134"/>
      </rPr>
      <t>中国动力电池行业装机规模</t>
    </r>
  </si>
  <si>
    <t>动力电池联盟</t>
  </si>
  <si>
    <t>中国动力电池装车量</t>
  </si>
  <si>
    <r>
      <rPr>
        <sz val="11"/>
        <color theme="4" tint="-0.249977111117893"/>
        <rFont val="楷体"/>
        <family val="3"/>
        <charset val="134"/>
      </rPr>
      <t>动力电池联盟</t>
    </r>
  </si>
  <si>
    <r>
      <rPr>
        <u/>
        <sz val="12"/>
        <color indexed="12"/>
        <rFont val="楷体"/>
        <family val="3"/>
        <charset val="134"/>
      </rPr>
      <t>全球动力电池企业装机量排名</t>
    </r>
  </si>
  <si>
    <r>
      <rPr>
        <u/>
        <sz val="12"/>
        <color indexed="12"/>
        <rFont val="楷体"/>
        <family val="3"/>
        <charset val="134"/>
      </rPr>
      <t>海外动力电池企业装机量排名</t>
    </r>
  </si>
  <si>
    <r>
      <rPr>
        <u/>
        <sz val="12"/>
        <color indexed="12"/>
        <rFont val="楷体"/>
        <family val="3"/>
        <charset val="134"/>
      </rPr>
      <t>中国动力电池企业装机量排名</t>
    </r>
  </si>
  <si>
    <t>中国动力电池行业产量规模</t>
  </si>
  <si>
    <t>中国动力电池产量</t>
  </si>
  <si>
    <t>中国动力和储能电池销量</t>
  </si>
  <si>
    <r>
      <rPr>
        <u/>
        <sz val="12"/>
        <color indexed="12"/>
        <rFont val="楷体"/>
        <family val="3"/>
        <charset val="134"/>
      </rPr>
      <t>中国单车平均装机电量</t>
    </r>
  </si>
  <si>
    <t>储能电池销量及出口情况</t>
  </si>
  <si>
    <t>Gwh</t>
  </si>
  <si>
    <t>YOY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</si>
  <si>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</si>
  <si>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</si>
  <si>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</si>
  <si>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</si>
  <si>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</si>
  <si>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</si>
  <si>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</si>
  <si>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</si>
  <si>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</si>
  <si>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</si>
  <si>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</si>
  <si>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</si>
  <si>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</si>
  <si>
    <t>同比</t>
  </si>
  <si>
    <t>环比</t>
  </si>
  <si>
    <t xml:space="preserve"> </t>
  </si>
  <si>
    <t>海外动力电池行业装机规模（除中国）</t>
  </si>
  <si>
    <t>中国动力电池行业装机规模</t>
  </si>
  <si>
    <t>三元</t>
  </si>
  <si>
    <t>铁锂</t>
  </si>
  <si>
    <t>其他</t>
  </si>
  <si>
    <t>动力电池装机(MWh)</t>
  </si>
  <si>
    <t>三元动力电池装机(MWh)</t>
  </si>
  <si>
    <t>铁锂动力电池装机(MWh)</t>
  </si>
  <si>
    <t>动力电池装车量</t>
  </si>
  <si>
    <t>GWh</t>
  </si>
  <si>
    <t>中国汽车动力电池产业创新联盟</t>
  </si>
  <si>
    <t>三元材料</t>
  </si>
  <si>
    <t>磷酸铁锂</t>
  </si>
  <si>
    <t>合计</t>
  </si>
  <si>
    <t>2023年</t>
  </si>
  <si>
    <t>2017年</t>
  </si>
  <si>
    <t>2018年</t>
  </si>
  <si>
    <t>2019年</t>
  </si>
  <si>
    <t>2020年</t>
  </si>
  <si>
    <t>2021年</t>
  </si>
  <si>
    <t>2022年</t>
  </si>
  <si>
    <t>2024年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</si>
  <si>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</si>
  <si>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</si>
  <si>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</si>
  <si>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</si>
  <si>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</si>
  <si>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</si>
  <si>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</si>
  <si>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</si>
  <si>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</si>
  <si>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</si>
  <si>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</si>
  <si>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</si>
  <si>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</si>
  <si>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</si>
  <si>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</si>
  <si>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</si>
  <si>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</si>
  <si>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023Q2</t>
    </r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</si>
  <si>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023Q3</t>
    </r>
  </si>
  <si>
    <t>按材料类型划分的动力电池装车量</t>
  </si>
  <si>
    <t>MWh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</si>
  <si>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023年</t>
    </r>
  </si>
  <si>
    <t>锰酸锂</t>
  </si>
  <si>
    <t>钛酸锂</t>
  </si>
  <si>
    <t>三元电池装车量</t>
  </si>
  <si>
    <t>磷酸铁锂电池装车量</t>
  </si>
  <si>
    <t>三元电池装车量占比</t>
  </si>
  <si>
    <t>磷酸铁锂电池装车量占比</t>
  </si>
  <si>
    <t>合计装车量同比增速</t>
  </si>
  <si>
    <t>2016（GWH）</t>
  </si>
  <si>
    <t>份额</t>
  </si>
  <si>
    <t>2017（GWH）</t>
  </si>
  <si>
    <t>2018（GWH）</t>
  </si>
  <si>
    <t>2019（GWH）</t>
  </si>
  <si>
    <t>2020（GWH）</t>
  </si>
  <si>
    <t>排名</t>
  </si>
  <si>
    <t>2021（GWH）</t>
  </si>
  <si>
    <t>2022（GWH）</t>
  </si>
  <si>
    <t>2023（GWH）</t>
  </si>
  <si>
    <t>比亚迪</t>
  </si>
  <si>
    <t>CATL</t>
  </si>
  <si>
    <t>宁德时代</t>
  </si>
  <si>
    <t>松下</t>
  </si>
  <si>
    <t>LG化学</t>
  </si>
  <si>
    <t>LG新能源</t>
  </si>
  <si>
    <t>沃特玛</t>
  </si>
  <si>
    <t>国轩高科</t>
  </si>
  <si>
    <t>AESC</t>
  </si>
  <si>
    <t>三星SDI</t>
  </si>
  <si>
    <t>SKI</t>
  </si>
  <si>
    <t>SK On</t>
  </si>
  <si>
    <t>孚能科技</t>
  </si>
  <si>
    <t>中创新航</t>
  </si>
  <si>
    <t>AESE</t>
  </si>
  <si>
    <t>中航锂电</t>
  </si>
  <si>
    <t>PEVE</t>
  </si>
  <si>
    <t>力神</t>
  </si>
  <si>
    <t>欣旺达</t>
  </si>
  <si>
    <t>-</t>
  </si>
  <si>
    <t>亿纬锂能</t>
  </si>
  <si>
    <t>SVOLT</t>
  </si>
  <si>
    <t>其它</t>
  </si>
  <si>
    <t>数据来源：SNE Research</t>
  </si>
  <si>
    <t>[1]全球79个国家的电动汽车总销量；[2]基于在此期间注册的电动汽车中安装的电池；[3]SNE数据会定期对以往数据进行修正调整</t>
  </si>
  <si>
    <t>全球2024年2月装机量企业排名</t>
  </si>
  <si>
    <t>全球2024年1-2月装机量企业排名</t>
  </si>
  <si>
    <t>企业</t>
  </si>
  <si>
    <t>YoY</t>
  </si>
  <si>
    <t>2024年占比</t>
  </si>
  <si>
    <t>2023年占比</t>
  </si>
  <si>
    <t>2024年1-2月</t>
  </si>
  <si>
    <t>2023年1-2月</t>
  </si>
  <si>
    <t>蜂巢能源</t>
  </si>
  <si>
    <t>全球2024年1月装机量企业排名</t>
  </si>
  <si>
    <t>全球2023年12月装机量企业排名</t>
  </si>
  <si>
    <t>全球2023年1-12月装机量企业排名</t>
  </si>
  <si>
    <t>2022年占比</t>
  </si>
  <si>
    <t>2023年1-12月</t>
  </si>
  <si>
    <t>2022年1-12月</t>
  </si>
  <si>
    <t>全球2023年11月装机量企业排名</t>
  </si>
  <si>
    <t>全球2023年1-11月装机量企业排名</t>
  </si>
  <si>
    <t>2023年1-11月</t>
  </si>
  <si>
    <t>2022年1-11月</t>
  </si>
  <si>
    <t>全球2023年10月装机量企业排名</t>
  </si>
  <si>
    <t>全球2023年1-10月装机量企业排名</t>
  </si>
  <si>
    <t>2023年1-10月</t>
  </si>
  <si>
    <t>2022年1-10月</t>
  </si>
  <si>
    <t>全球2023年9月装机量企业排名</t>
  </si>
  <si>
    <t>全球2023年1-9月装机量企业排名</t>
  </si>
  <si>
    <t>2023年1-9月</t>
  </si>
  <si>
    <t>2022年1-9月</t>
  </si>
  <si>
    <t>全球2023年8月装机量企业排名</t>
  </si>
  <si>
    <t>全球2023年1-8月装机量企业排名</t>
  </si>
  <si>
    <t>2023年1-8月</t>
  </si>
  <si>
    <t>2022年1-8月</t>
  </si>
  <si>
    <t>全球2023年7月装机量企业排名</t>
  </si>
  <si>
    <t>全球2023年1-7月装机量企业排名</t>
  </si>
  <si>
    <t>2023年1-7月</t>
  </si>
  <si>
    <t>2022年1-7月</t>
  </si>
  <si>
    <t>全球2023年6月装机量企业排名</t>
  </si>
  <si>
    <t>全球2023年1-6月装机量企业排名</t>
  </si>
  <si>
    <t>2023年1-6月</t>
  </si>
  <si>
    <t>2022年1-6月</t>
  </si>
  <si>
    <t>全球2023年5月装机量企业排名</t>
  </si>
  <si>
    <t>全球2023年1-5月装机量企业排名</t>
  </si>
  <si>
    <t>2023年1-5月</t>
  </si>
  <si>
    <t>2022年1-5月</t>
  </si>
  <si>
    <t>全球2023年4月装机量企业排名</t>
  </si>
  <si>
    <t>全球2023年1-4月装机量企业排名</t>
  </si>
  <si>
    <t>2023年1-4月</t>
  </si>
  <si>
    <t>2022年1-4月</t>
  </si>
  <si>
    <t>全球2023年3月装机量企业排名</t>
  </si>
  <si>
    <t>全球2023年1-3月装机量企业排名</t>
  </si>
  <si>
    <t>2023年1-3月</t>
  </si>
  <si>
    <t>2022年1-3月</t>
  </si>
  <si>
    <t>全球2023年2月装机量企业排名</t>
  </si>
  <si>
    <t>全球2023年1-2月装机量企业排名</t>
  </si>
  <si>
    <t>2022年1-2月</t>
  </si>
  <si>
    <t>全球2023年1月装机量企业排名</t>
  </si>
  <si>
    <t>4. 5%</t>
  </si>
  <si>
    <t>2. 2%</t>
  </si>
  <si>
    <t>全球2022年12月装机量企业排名</t>
  </si>
  <si>
    <t>全球2022年1-12月装机量企业排名</t>
  </si>
  <si>
    <t>2021年占比</t>
  </si>
  <si>
    <t>2022年1月至12月</t>
  </si>
  <si>
    <t>2021年1月至12月</t>
  </si>
  <si>
    <t>2022年1-12月占比</t>
  </si>
  <si>
    <t>全球2022年11月装机量企业排名</t>
  </si>
  <si>
    <t>全球2022年1-11月装机量企业排名</t>
  </si>
  <si>
    <t>2022年1月至11月</t>
  </si>
  <si>
    <t>2021年1月至11月</t>
  </si>
  <si>
    <t>2022年1-11月占比</t>
  </si>
  <si>
    <t>全球2022年10月装机量企业排名</t>
  </si>
  <si>
    <t>全球2022年1-10月装机量企业排名</t>
  </si>
  <si>
    <t>2022年1月至10月</t>
  </si>
  <si>
    <t>2021年1月至10月</t>
  </si>
  <si>
    <t>2022年1-10月占比</t>
  </si>
  <si>
    <t>全球2022年9月装机量企业排名</t>
  </si>
  <si>
    <t>全球2022年1-9月装机量企业排名</t>
  </si>
  <si>
    <t>2022年1月至9月</t>
  </si>
  <si>
    <t>2021年1月至9月</t>
  </si>
  <si>
    <t>全球2022年8月装机量企业排名</t>
  </si>
  <si>
    <t>全球2022年1-8月装机量企业排名</t>
  </si>
  <si>
    <t>2022年1月至8月</t>
  </si>
  <si>
    <t>全球2022年7月装机量企业排名</t>
  </si>
  <si>
    <t>全球2022年1-7月装机量企业排名</t>
  </si>
  <si>
    <t>2022年1月至7月</t>
  </si>
  <si>
    <t>SDI</t>
  </si>
  <si>
    <t>全球2022年6月装机量企业排名</t>
  </si>
  <si>
    <t>全球2022年1-6月装机量企业排名</t>
  </si>
  <si>
    <t>22H1</t>
  </si>
  <si>
    <t>21H1</t>
  </si>
  <si>
    <t>全球2022年5月装机量企业排名</t>
  </si>
  <si>
    <t>全球2022年1-5月装机量企业排名</t>
  </si>
  <si>
    <t>2022年1月至5月</t>
  </si>
  <si>
    <t>全球2022年4月装机量企业排名</t>
  </si>
  <si>
    <t>全球2022年1-4月装机量企业排名</t>
  </si>
  <si>
    <t>2022年1月至4月</t>
  </si>
  <si>
    <t>2021年1月至4月</t>
  </si>
  <si>
    <t>松下电器</t>
  </si>
  <si>
    <t>全球2022年3月装机量企业排名</t>
  </si>
  <si>
    <t>全球2022年1-3月装机量企业排名</t>
  </si>
  <si>
    <t>2022年1月至3月</t>
  </si>
  <si>
    <t>2021年1月至3月</t>
  </si>
  <si>
    <t>全球2022年2月装机量企业排名</t>
  </si>
  <si>
    <t>全球2022年1-2月装机量企业排名</t>
  </si>
  <si>
    <t>2022年1月至2月</t>
  </si>
  <si>
    <t>2021年1月至2月</t>
  </si>
  <si>
    <t>远景动力</t>
  </si>
  <si>
    <t>全球2022年1月装机量企业排名</t>
  </si>
  <si>
    <t>全球2021年12月装机量企业排名</t>
  </si>
  <si>
    <t>全球2021年1-12月装机量企业排名</t>
  </si>
  <si>
    <t>2020年占比</t>
  </si>
  <si>
    <t>2020年1月至12月</t>
  </si>
  <si>
    <t>全球2021年11月装机量企业排名</t>
  </si>
  <si>
    <t>全球2021年1-11月装机量企业排名</t>
  </si>
  <si>
    <t>2020年1月至11月</t>
  </si>
  <si>
    <t>SVOLT：蜂巢</t>
  </si>
  <si>
    <t>全球2021年10月装机量企业排名</t>
  </si>
  <si>
    <t>全球2021年1-10月装机量企业排名</t>
  </si>
  <si>
    <t>2020年1月至10月</t>
  </si>
  <si>
    <t>EVE</t>
  </si>
  <si>
    <t>备注</t>
  </si>
  <si>
    <t>SK 业务分拆，SK ON 负责电池业务</t>
  </si>
  <si>
    <t>全球2021年9月装机量企业排名</t>
  </si>
  <si>
    <t>全球2021年1-9月装机量企业排名</t>
  </si>
  <si>
    <t>2020年1月至9月</t>
  </si>
  <si>
    <t>天津力神</t>
  </si>
  <si>
    <t>全球2021年8月装机量企业排名</t>
  </si>
  <si>
    <t>全球2021年1-8月装机量企业排名</t>
  </si>
  <si>
    <t>2021年1月至8月</t>
  </si>
  <si>
    <t>2020年1月至8月</t>
  </si>
  <si>
    <t>全球2021年7月装机量企业排名</t>
  </si>
  <si>
    <t>全球2021年1-7月装机量企业排名</t>
  </si>
  <si>
    <t>2021年1月至7月</t>
  </si>
  <si>
    <t>2020年1月至7月</t>
  </si>
  <si>
    <t>全球2021年6月装机量企业排名</t>
  </si>
  <si>
    <t>全球2021年1-6月装机量企业排名</t>
  </si>
  <si>
    <t>2021年1月至6月</t>
  </si>
  <si>
    <t>2020年1月至6月</t>
  </si>
  <si>
    <t>25.4</t>
  </si>
  <si>
    <t>11.3</t>
  </si>
  <si>
    <t>全球2021年5月装机量企业排名</t>
  </si>
  <si>
    <t>全球2021年1-5月装机量企业排名</t>
  </si>
  <si>
    <t>2021年1月至5月</t>
  </si>
  <si>
    <t>2020年1月至5月</t>
  </si>
  <si>
    <t>全球2021年4月装机量企业排名</t>
  </si>
  <si>
    <t>全球2021年1-4月装机量企业排名</t>
  </si>
  <si>
    <t>2020年1月至4月</t>
  </si>
  <si>
    <t>BYD</t>
  </si>
  <si>
    <t>全球2021年3月装机量企业排名</t>
  </si>
  <si>
    <t>全球2021年1-3月装机量企业排名</t>
  </si>
  <si>
    <t>2020年1月至3月</t>
  </si>
  <si>
    <t>全球2021年2月装机量企业排名</t>
  </si>
  <si>
    <t>全球2021年1-2月装机量企业排名</t>
  </si>
  <si>
    <t>2020年1月至2月</t>
  </si>
  <si>
    <t>全球2021年1月装机量企业排名</t>
  </si>
  <si>
    <t>（中国市场除外）</t>
  </si>
  <si>
    <t>海外2024年2月装机量企业排名</t>
  </si>
  <si>
    <t>海外2024年1-2月装机量企业排名</t>
  </si>
  <si>
    <t>PPES</t>
  </si>
  <si>
    <t>海外2024年1月装机量企业排名</t>
  </si>
  <si>
    <t>海外2023年12月装机量企业排名</t>
  </si>
  <si>
    <t>海外2023年1-12月装机量企业排名</t>
  </si>
  <si>
    <t>海外2023年11月装机量企业排名</t>
  </si>
  <si>
    <t>海外2023年1-11月装机量企业排名</t>
  </si>
  <si>
    <t>海外2023年10月装机量企业排名</t>
  </si>
  <si>
    <t>海外2023年1-10月装机量企业排名</t>
  </si>
  <si>
    <t>海外2023年9月装机量企业排名</t>
  </si>
  <si>
    <t>海外2023年1-9月装机量企业排名</t>
  </si>
  <si>
    <t>海外2023年8月装机量企业排名</t>
  </si>
  <si>
    <t>海外2023年1-8月装机量企业排名</t>
  </si>
  <si>
    <t>海外2023年7月装机量企业排名</t>
  </si>
  <si>
    <t>海外2023年1-7月装机量企业排名</t>
  </si>
  <si>
    <t>2023年1月至7月</t>
  </si>
  <si>
    <t>海外2023年6月装机量企业排名</t>
  </si>
  <si>
    <t>海外2023年1-6月装机量企业排名</t>
  </si>
  <si>
    <t>2023年1月至6月</t>
  </si>
  <si>
    <t>2022年1月至6月</t>
  </si>
  <si>
    <t>海外2023年5月装机量企业排名</t>
  </si>
  <si>
    <t>海外2023年1-5月装机量企业排名</t>
  </si>
  <si>
    <t>2023年1月至5月</t>
  </si>
  <si>
    <t>海外2023年4月装机量企业排名</t>
  </si>
  <si>
    <t>海外2023年1-4月装机量企业排名</t>
  </si>
  <si>
    <t>2023年1月至4月</t>
  </si>
  <si>
    <t>海外2023年3月装机量企业排名</t>
  </si>
  <si>
    <t>海外2023年1-3月装机量企业排名</t>
  </si>
  <si>
    <t>2023年1月至3月</t>
  </si>
  <si>
    <r>
      <rPr>
        <sz val="9"/>
        <rFont val="微软雅黑"/>
        <family val="2"/>
        <charset val="134"/>
      </rPr>
      <t>海外2023年</t>
    </r>
    <r>
      <rPr>
        <sz val="9"/>
        <rFont val="微软雅黑"/>
        <family val="2"/>
        <charset val="134"/>
      </rPr>
      <t>2</t>
    </r>
    <r>
      <rPr>
        <sz val="9"/>
        <rFont val="微软雅黑"/>
        <family val="2"/>
        <charset val="134"/>
      </rPr>
      <t>月装机量企业排名</t>
    </r>
  </si>
  <si>
    <t>海外2023年1-2月装机量企业排名</t>
  </si>
  <si>
    <t>2023年1月至2月</t>
  </si>
  <si>
    <t>海外2023年1月装机量企业排名</t>
  </si>
  <si>
    <t>海外2022年12月装机量企业排名</t>
  </si>
  <si>
    <t>海外2022年1-12月装机量企业排名</t>
  </si>
  <si>
    <t>海外2022年9月装机量企业排名</t>
  </si>
  <si>
    <t>海外2022年1-9月装机量企业排名</t>
  </si>
  <si>
    <t>PEVE（丰田子公司）</t>
  </si>
  <si>
    <t>LEJ（三菱子公司）</t>
  </si>
  <si>
    <t>海外2022年7月装机量企业排名</t>
  </si>
  <si>
    <t>海外2022年1-7月装机量企业排名</t>
  </si>
  <si>
    <t>海外2022年3月装机量企业排名</t>
  </si>
  <si>
    <t>海外2022年1-3月装机量企业排名</t>
  </si>
  <si>
    <t>59.9%%</t>
  </si>
  <si>
    <t>海外2021年12月装机量企业排名</t>
  </si>
  <si>
    <t>海外2021年1-12月装机量企业排名</t>
  </si>
  <si>
    <t>海外2020年12月装机量企业排名</t>
  </si>
  <si>
    <t>海外2020年1-12月装机量企业排名</t>
  </si>
  <si>
    <t>2019年占比</t>
  </si>
  <si>
    <t>2019年1月至12月</t>
  </si>
  <si>
    <t>A123</t>
  </si>
  <si>
    <t>合肥国轩</t>
  </si>
  <si>
    <t>力神电池</t>
  </si>
  <si>
    <t>比克</t>
  </si>
  <si>
    <t>时代上汽</t>
  </si>
  <si>
    <t>北京国能</t>
  </si>
  <si>
    <t>瑞浦能源</t>
  </si>
  <si>
    <t>塔菲尔新能源</t>
  </si>
  <si>
    <t>比克电池</t>
  </si>
  <si>
    <t>卡耐新能源</t>
  </si>
  <si>
    <t>瑞浦兰钧</t>
  </si>
  <si>
    <t>正力新能</t>
  </si>
  <si>
    <t>2024年3月数据</t>
  </si>
  <si>
    <t>2024年1-3月数据</t>
  </si>
  <si>
    <t>2024年3月磷酸铁锂装车</t>
  </si>
  <si>
    <t>2024年3月三元装车</t>
  </si>
  <si>
    <t>序号</t>
  </si>
  <si>
    <t>企业名称</t>
  </si>
  <si>
    <t>装车量(GWh)</t>
  </si>
  <si>
    <t>占比</t>
  </si>
  <si>
    <t>剔除比亚迪的份额</t>
  </si>
  <si>
    <t>装车量
(GWh)</t>
  </si>
  <si>
    <r>
      <rPr>
        <sz val="9"/>
        <color rgb="FF000000"/>
        <rFont val="微软雅黑"/>
        <family val="2"/>
        <charset val="134"/>
      </rPr>
      <t>装车量</t>
    </r>
    <r>
      <rPr>
        <sz val="12"/>
        <color rgb="FF000000"/>
        <rFont val="Calibri"/>
        <family val="2"/>
      </rPr>
      <t>(GWh)</t>
    </r>
  </si>
  <si>
    <t>瑞浦兰均</t>
  </si>
  <si>
    <t>极电新能源</t>
  </si>
  <si>
    <t>SK</t>
  </si>
  <si>
    <t>多氟多</t>
  </si>
  <si>
    <t>巨湾技研</t>
  </si>
  <si>
    <t>安驰新能源</t>
  </si>
  <si>
    <t>河南锂动</t>
  </si>
  <si>
    <t>荣威盟固利</t>
  </si>
  <si>
    <t>捷威动力</t>
  </si>
  <si>
    <t>赣锋锂电</t>
  </si>
  <si>
    <t>2024年2月数据</t>
  </si>
  <si>
    <t>2024年1-2月数据</t>
  </si>
  <si>
    <t>2024年2月磷酸铁锂装车</t>
  </si>
  <si>
    <t>2024年2月三元装车</t>
  </si>
  <si>
    <t>鹏辉能源</t>
  </si>
  <si>
    <t>泰星能源</t>
  </si>
  <si>
    <t>中化锂电</t>
  </si>
  <si>
    <t>星恒电源</t>
  </si>
  <si>
    <t>2024年1月数据</t>
  </si>
  <si>
    <t>2024年1月磷酸铁锂装车</t>
  </si>
  <si>
    <t>2024年1月三元装车</t>
  </si>
  <si>
    <t>蜂巣能源</t>
  </si>
  <si>
    <t>卫蓝科技</t>
  </si>
  <si>
    <t>领湃新能源</t>
  </si>
  <si>
    <t>2023年12月数据</t>
  </si>
  <si>
    <t>2023年1-12月数据</t>
  </si>
  <si>
    <t>2023年1-12月磷酸铁锂累计装车</t>
  </si>
  <si>
    <t>2023年1-12月三元累计装车</t>
  </si>
  <si>
    <t>17,26</t>
  </si>
  <si>
    <t>卫蓝新能源</t>
  </si>
  <si>
    <t>荣盛盟固利</t>
  </si>
  <si>
    <t>2023年11月数据</t>
  </si>
  <si>
    <t>2023年1-11月数据</t>
  </si>
  <si>
    <t>2023年1-11月磷酸铁锂累计装车</t>
  </si>
  <si>
    <t>2023年1-11月三元累计装车</t>
  </si>
  <si>
    <t>天劲新能源</t>
  </si>
  <si>
    <t>2023年10月数据</t>
  </si>
  <si>
    <t>2023年1-10月数据</t>
  </si>
  <si>
    <t>2023年1-10月磷酸铁锂累计装车</t>
  </si>
  <si>
    <t>2023年1-10月三元累计装车</t>
  </si>
  <si>
    <t>2023年9月数据</t>
  </si>
  <si>
    <t>2023年1-9月数据</t>
  </si>
  <si>
    <t>2023年1-9月磷酸铁锂累计装车</t>
  </si>
  <si>
    <t>2023年1-9月三元累计装车</t>
  </si>
  <si>
    <t>河南鲤动</t>
  </si>
  <si>
    <t>2023年8月数据</t>
  </si>
  <si>
    <t>2023年1-8月数据</t>
  </si>
  <si>
    <t>2023年1-8月磷酸铁锂累计装车</t>
  </si>
  <si>
    <t>2023年1-8月三元累计装车</t>
  </si>
  <si>
    <t>2023年7月数据</t>
  </si>
  <si>
    <t>2023年1-7月数据</t>
  </si>
  <si>
    <t>2023年1-7月磷酸铁锂累计装车</t>
  </si>
  <si>
    <t>2023年1-7月三元累计装车</t>
  </si>
  <si>
    <t>2023年6月数据</t>
  </si>
  <si>
    <t>2023年1-6月数据</t>
  </si>
  <si>
    <t>2023年1-6月磷酸铁锂累计装车</t>
  </si>
  <si>
    <t>2023年1-6月三元累计装车</t>
  </si>
  <si>
    <t>2023年5月数据</t>
  </si>
  <si>
    <t>2023年1-5月数据</t>
  </si>
  <si>
    <t>2023年1-5月磷酸铁锂累计装车</t>
  </si>
  <si>
    <t>2023年1-5月三元累计装车</t>
  </si>
  <si>
    <t>2023年4月数据</t>
  </si>
  <si>
    <t>2023年1-4月数据</t>
  </si>
  <si>
    <t>2023年1-4月磷酸铁锂累计装车</t>
  </si>
  <si>
    <t>2023年1-4月三元累计装车</t>
  </si>
  <si>
    <t>1. 32%</t>
  </si>
  <si>
    <t>2023年3月数据</t>
  </si>
  <si>
    <t>2023年1-3月数据</t>
  </si>
  <si>
    <t>2023年1-3月磷酸铁锂累计装车</t>
  </si>
  <si>
    <t>2023年1-3月三元累计装车</t>
  </si>
  <si>
    <t>2023年2月数据</t>
  </si>
  <si>
    <t>2023年1-2月数据</t>
  </si>
  <si>
    <t>2023年1月数据</t>
  </si>
  <si>
    <t xml:space="preserve">  </t>
  </si>
  <si>
    <t>2022年12月数据</t>
  </si>
  <si>
    <t>2022年1-12月数据</t>
  </si>
  <si>
    <t>2022年11月数据</t>
  </si>
  <si>
    <t>2022年1-11月数据</t>
  </si>
  <si>
    <t>瑞普兰钧</t>
  </si>
  <si>
    <t>正力新能(塔菲尔)</t>
  </si>
  <si>
    <t>盟固利</t>
  </si>
  <si>
    <t>2022年10月数据</t>
  </si>
  <si>
    <t>2022年1-10月数据</t>
  </si>
  <si>
    <t>华鼎国联</t>
  </si>
  <si>
    <t>塔菲尔</t>
  </si>
  <si>
    <t>2022年9月数据</t>
  </si>
  <si>
    <t>2022年1-9月数据</t>
  </si>
  <si>
    <t>2022年8月数据</t>
  </si>
  <si>
    <t>2022年1-8月数据</t>
  </si>
  <si>
    <t>2022年7月数据</t>
  </si>
  <si>
    <t>2022年1-7月数据</t>
  </si>
  <si>
    <t>装车量
（GWh)</t>
  </si>
  <si>
    <t>2022年6月数据</t>
  </si>
  <si>
    <t>2022年1-6月数据</t>
  </si>
  <si>
    <t>2022年1-5月数据</t>
  </si>
  <si>
    <t>2022年5月数据</t>
  </si>
  <si>
    <t>2022年1-4月数据</t>
  </si>
  <si>
    <t>2022年4月数据</t>
  </si>
  <si>
    <t>2022年1-3月数据</t>
  </si>
  <si>
    <r>
      <rPr>
        <sz val="9"/>
        <color theme="1"/>
        <rFont val="微软雅黑"/>
        <family val="2"/>
        <charset val="134"/>
      </rPr>
      <t>装车量(GWh)</t>
    </r>
  </si>
  <si>
    <t>三星</t>
  </si>
  <si>
    <t>2022年3月数据</t>
  </si>
  <si>
    <t>鹏辉电源</t>
  </si>
  <si>
    <t>2022年2月数据</t>
  </si>
  <si>
    <t>2022年1-2月数据</t>
  </si>
  <si>
    <t>北电爱思特</t>
  </si>
  <si>
    <t>2022年1月数据</t>
  </si>
  <si>
    <t>以中国汽车协会为标准</t>
  </si>
  <si>
    <t>动力电池装机量合计累计值(GWh)</t>
  </si>
  <si>
    <t>装机量(GWh)</t>
  </si>
  <si>
    <t>动力电池装机量合计当月值(GWh)</t>
  </si>
  <si>
    <t>2021年12月数据</t>
  </si>
  <si>
    <t>2021年1-12月数据</t>
  </si>
  <si>
    <t>中创新航(中航锂电)</t>
  </si>
  <si>
    <t>2021年11月数据</t>
  </si>
  <si>
    <t>2021年1-11月数据</t>
  </si>
  <si>
    <t>2021年10月数据</t>
  </si>
  <si>
    <t>2021年1-10月数据</t>
  </si>
  <si>
    <t>2021年9月数据</t>
  </si>
  <si>
    <t>2021年1-9月数据</t>
  </si>
  <si>
    <t>2021年8月数据</t>
  </si>
  <si>
    <t>2021年1-8月数据</t>
  </si>
  <si>
    <t>装机量GWh)</t>
  </si>
  <si>
    <t>2021年7月数据</t>
  </si>
  <si>
    <t>2021年1-7月数据</t>
  </si>
  <si>
    <t>中航僕电</t>
  </si>
  <si>
    <t>国轩髙科</t>
  </si>
  <si>
    <t>鸠輝能源</t>
  </si>
  <si>
    <t>膳辉能源</t>
  </si>
  <si>
    <t>欣叶达</t>
  </si>
  <si>
    <t>多氣多</t>
  </si>
  <si>
    <t xml:space="preserve">	华鼎国联	</t>
  </si>
  <si>
    <t>2021年6月数据</t>
  </si>
  <si>
    <t>2021年1-6月数据</t>
  </si>
  <si>
    <t>2021年5月数据</t>
  </si>
  <si>
    <t>2021年1-5月数据</t>
  </si>
  <si>
    <t>蟬巢能源</t>
  </si>
  <si>
    <t>2021年4月数据</t>
  </si>
  <si>
    <t>2021年1-4月数据</t>
  </si>
  <si>
    <t>2021年3月数据</t>
  </si>
  <si>
    <t>2021年1-3月数据</t>
  </si>
  <si>
    <t>多氟多新能源</t>
  </si>
  <si>
    <t>2021年2月数据</t>
  </si>
  <si>
    <t>2021年1-2月数据</t>
  </si>
  <si>
    <t>2021年1月数据</t>
  </si>
  <si>
    <t>ft</t>
  </si>
  <si>
    <t>2020年12月数据</t>
  </si>
  <si>
    <t>2020年1-12月数据</t>
  </si>
  <si>
    <t>2020年11月数据</t>
  </si>
  <si>
    <t>2020年1-11月数据</t>
  </si>
  <si>
    <t>刀神电池</t>
  </si>
  <si>
    <t>2020年10月数据</t>
  </si>
  <si>
    <t>2020年1-10月数据</t>
  </si>
  <si>
    <t>2020年9月数据</t>
  </si>
  <si>
    <t>2020年1-9月数据</t>
  </si>
  <si>
    <t>2020年8月数据</t>
  </si>
  <si>
    <t>2020年1-8月数据</t>
  </si>
  <si>
    <t>2020年7月数据</t>
  </si>
  <si>
    <t>2020年1-7月数据</t>
  </si>
  <si>
    <t>2020年6月数据</t>
  </si>
  <si>
    <t>2020年1-6月数据</t>
  </si>
  <si>
    <t>2020年5月数据</t>
  </si>
  <si>
    <t>2020年1-5月数据</t>
  </si>
  <si>
    <t>2020年4月数据</t>
  </si>
  <si>
    <t>2020年1-4月数据</t>
  </si>
  <si>
    <t>2020年3月数据</t>
  </si>
  <si>
    <t>2020年1-3月数据</t>
  </si>
  <si>
    <t>2020年2月数据</t>
  </si>
  <si>
    <t>2020年1月数据</t>
  </si>
  <si>
    <t>(整年口径调整）</t>
  </si>
  <si>
    <t>三元产量</t>
  </si>
  <si>
    <t>铁锂产量</t>
  </si>
  <si>
    <t>动力电池产量(MWh)</t>
  </si>
  <si>
    <t>自2023年8月起动力和储能电池产量合并统计</t>
  </si>
  <si>
    <t>三元动力电池产量(MWh)</t>
  </si>
  <si>
    <t>铁锂动力电池产量(MWh)</t>
  </si>
  <si>
    <t>动力电池产量</t>
  </si>
  <si>
    <t>按材料类型划分的动力电池产量</t>
  </si>
  <si>
    <t>三元材料（产量）</t>
  </si>
  <si>
    <t>磷酸铁锂（产量）</t>
  </si>
  <si>
    <t>其他（产量）</t>
  </si>
  <si>
    <t>累计销量</t>
  </si>
  <si>
    <t>动力电池销量(GWh)</t>
  </si>
  <si>
    <t>单月销量</t>
  </si>
  <si>
    <t>此前仅公布季度数据</t>
  </si>
  <si>
    <t>储能电池销量(GWh)</t>
  </si>
  <si>
    <t>按材料类型划分的动力电池销量</t>
  </si>
  <si>
    <t>累计值</t>
  </si>
  <si>
    <t>其他类型0.1</t>
  </si>
  <si>
    <t>其他类型0.2</t>
  </si>
  <si>
    <t>7月统计口径转变为三元、铁锂和其他的月度数据，此前仅公布季度数据</t>
  </si>
  <si>
    <t>累计产量</t>
  </si>
  <si>
    <t>三元电池</t>
  </si>
  <si>
    <t>铁锂电池</t>
  </si>
  <si>
    <t>累计装车量</t>
  </si>
  <si>
    <t>累计出口量</t>
  </si>
  <si>
    <t>产量</t>
  </si>
  <si>
    <t>销量</t>
  </si>
  <si>
    <t>装车量</t>
  </si>
  <si>
    <t>电池企业库存</t>
  </si>
  <si>
    <t>车企库存</t>
  </si>
  <si>
    <t>出口量</t>
  </si>
  <si>
    <t>车企电池库存</t>
  </si>
  <si>
    <t>我国新能源汽车月度单台车平均装车电量（kWh）</t>
  </si>
  <si>
    <t>我国新能源汽车按车型划分单台车平均装车电量（kWh）</t>
  </si>
  <si>
    <t>年月</t>
  </si>
  <si>
    <t>纯电动客车</t>
  </si>
  <si>
    <t>燃料电池客车</t>
  </si>
  <si>
    <t>燃料电池专用车</t>
  </si>
  <si>
    <t>纯电动专用车</t>
  </si>
  <si>
    <t>纯电动乘用车</t>
  </si>
  <si>
    <t>插混客车</t>
  </si>
  <si>
    <t>插混专用车</t>
  </si>
  <si>
    <t>插混乘用车</t>
  </si>
  <si>
    <t>燃料电池乘用车</t>
  </si>
  <si>
    <t>2017-2022年我国配套动力电池企业数量</t>
  </si>
  <si>
    <t>出口情况</t>
  </si>
  <si>
    <t>储能电池销量</t>
  </si>
  <si>
    <t>储能电池出口情况</t>
  </si>
  <si>
    <t>(统计口径总体为6700）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</si>
</sst>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0.00_ "/>
    <numFmt numFmtId="177" formatCode="yyyy&quot;年&quot;m&quot;月&quot;;@"/>
    <numFmt numFmtId="178" formatCode="0.0_);[Red]\(0.0\)"/>
    <numFmt numFmtId="179" formatCode="0.0_ "/>
    <numFmt numFmtId="180" formatCode="###,##0.00_ "/>
    <numFmt numFmtId="181" formatCode="#,##0.0"/>
    <numFmt numFmtId="182" formatCode="0.0%"/>
    <numFmt numFmtId="183" formatCode="0.0"/>
    <numFmt numFmtId="184" formatCode="yyyy/mm;@"/>
    <numFmt numFmtId="185" formatCode="0.0000_);[Red]\(0.0000\)"/>
  </numFmts>
  <fonts count="46">
    <font>
      <sz val="11"/>
      <color theme="1"/>
      <name val="宋体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  <font>
      <sz val="9"/>
      <color theme="1"/>
      <name val="宋体"/>
      <family val="3"/>
      <charset val="134"/>
    </font>
    <font>
      <sz val="9"/>
      <color theme="1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10"/>
      <color theme="1"/>
      <name val="Arial"/>
      <family val="2"/>
    </font>
    <font>
      <sz val="10.5"/>
      <color rgb="FF414141"/>
      <name val="Microsoft YaHei UI"/>
      <family val="2"/>
      <charset val="134"/>
    </font>
    <font>
      <sz val="10"/>
      <color rgb="FF414141"/>
      <name val="Arial"/>
      <family val="2"/>
    </font>
    <font>
      <b/>
      <sz val="1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29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0.5"/>
      <color rgb="FF000000"/>
      <name val="Times New Roman"/>
      <family val="1"/>
    </font>
    <font>
      <sz val="9"/>
      <color rgb="FFFF0000"/>
      <name val="微软雅黑"/>
      <family val="2"/>
      <charset val="134"/>
    </font>
    <font>
      <sz val="1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10"/>
      <name val="宋体"/>
      <family val="3"/>
      <charset val="134"/>
    </font>
    <font>
      <b/>
      <sz val="9"/>
      <color theme="1"/>
      <name val="Times New Roman"/>
      <family val="1"/>
    </font>
    <font>
      <b/>
      <sz val="11"/>
      <color theme="4" tint="-0.249977111117893"/>
      <name val="Times New Roman"/>
      <family val="1"/>
    </font>
    <font>
      <u/>
      <sz val="12"/>
      <color rgb="FF800080"/>
      <name val="楷体"/>
      <family val="3"/>
      <charset val="134"/>
    </font>
    <font>
      <u/>
      <sz val="12"/>
      <color rgb="FF800080"/>
      <name val="Times New Roman"/>
      <family val="1"/>
    </font>
    <font>
      <sz val="11"/>
      <color theme="4" tint="-0.249977111117893"/>
      <name val="Times New Roman"/>
      <family val="1"/>
    </font>
    <font>
      <u/>
      <sz val="12"/>
      <color indexed="12"/>
      <name val="Times New Roman"/>
      <family val="1"/>
    </font>
    <font>
      <sz val="11"/>
      <color theme="4" tint="-0.249977111117893"/>
      <name val="楷体"/>
      <family val="3"/>
      <charset val="134"/>
    </font>
    <font>
      <u/>
      <sz val="12"/>
      <color indexed="12"/>
      <name val="楷体"/>
      <family val="3"/>
      <charset val="134"/>
    </font>
    <font>
      <u/>
      <sz val="12"/>
      <color indexed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4" tint="-0.249977111117893"/>
      <name val="楷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theme="0" tint="-0.14957121494186223"/>
      </left>
      <right style="thin">
        <color theme="0" tint="-0.14957121494186223"/>
      </right>
      <top style="thin">
        <color theme="0" tint="-0.14957121494186223"/>
      </top>
      <bottom style="thin">
        <color theme="0" tint="-0.14957121494186223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theme="0" tint="-0.14969328897976622"/>
      </bottom>
      <diagonal/>
    </border>
    <border>
      <left style="thin">
        <color theme="0" tint="-0.14969328897976622"/>
      </left>
      <right style="thin">
        <color theme="0" tint="-0.14969328897976622"/>
      </right>
      <top style="thin">
        <color theme="0" tint="-0.14969328897976622"/>
      </top>
      <bottom style="thin">
        <color theme="0" tint="-0.14969328897976622"/>
      </bottom>
      <diagonal/>
    </border>
    <border>
      <left style="thin">
        <color theme="0" tint="-0.14969328897976622"/>
      </left>
      <right/>
      <top style="thin">
        <color theme="0" tint="-0.14969328897976622"/>
      </top>
      <bottom style="thin">
        <color theme="0" tint="-0.14969328897976622"/>
      </bottom>
      <diagonal/>
    </border>
    <border>
      <left/>
      <right/>
      <top style="thin">
        <color theme="0" tint="-0.14969328897976622"/>
      </top>
      <bottom style="thin">
        <color theme="0" tint="-0.14969328897976622"/>
      </bottom>
      <diagonal/>
    </border>
    <border>
      <left/>
      <right style="thin">
        <color theme="0" tint="-0.14969328897976622"/>
      </right>
      <top style="thin">
        <color theme="0" tint="-0.14969328897976622"/>
      </top>
      <bottom style="thin">
        <color theme="0" tint="-0.14969328897976622"/>
      </bottom>
      <diagonal/>
    </border>
  </borders>
  <cellStyleXfs count="7">
    <xf numFmtId="0" fontId="0" fillId="0" borderId="0">
      <alignment vertical="center"/>
    </xf>
    <xf numFmtId="9" fontId="43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top"/>
      <protection locked="0"/>
    </xf>
    <xf numFmtId="0" fontId="43" fillId="0" borderId="0"/>
    <xf numFmtId="0" fontId="3" fillId="0" borderId="0">
      <alignment vertical="center"/>
    </xf>
    <xf numFmtId="0" fontId="43" fillId="0" borderId="0"/>
    <xf numFmtId="0" fontId="3" fillId="0" borderId="0">
      <alignment vertical="center"/>
    </xf>
  </cellStyleXfs>
  <cellXfs count="281">
    <xf numFmtId="0" fontId="0" fillId="0" borderId="0" xfId="0">
      <alignment vertical="center"/>
    </xf>
    <xf numFmtId="0" fontId="3" fillId="0" borderId="0" xfId="4">
      <alignment vertical="center"/>
    </xf>
    <xf numFmtId="176" fontId="3" fillId="0" borderId="0" xfId="4" applyNumberFormat="1">
      <alignment vertical="center"/>
    </xf>
    <xf numFmtId="177" fontId="3" fillId="0" borderId="0" xfId="4" applyNumberFormat="1">
      <alignment vertical="center"/>
    </xf>
    <xf numFmtId="178" fontId="3" fillId="0" borderId="0" xfId="4" applyNumberFormat="1">
      <alignment vertical="center"/>
    </xf>
    <xf numFmtId="57" fontId="3" fillId="0" borderId="0" xfId="4" applyNumberFormat="1">
      <alignment vertical="center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5" fillId="0" borderId="0" xfId="3" applyFont="1" applyAlignment="1">
      <alignment horizontal="center" vertical="center"/>
    </xf>
    <xf numFmtId="179" fontId="5" fillId="0" borderId="0" xfId="3" applyNumberFormat="1" applyFont="1" applyAlignment="1">
      <alignment horizontal="center" vertical="center"/>
    </xf>
    <xf numFmtId="176" fontId="5" fillId="0" borderId="0" xfId="3" applyNumberFormat="1" applyFont="1" applyAlignment="1">
      <alignment horizontal="center" vertical="center"/>
    </xf>
    <xf numFmtId="0" fontId="4" fillId="0" borderId="0" xfId="3" applyFont="1" applyAlignment="1">
      <alignment horizontal="center" vertical="center"/>
    </xf>
    <xf numFmtId="0" fontId="5" fillId="0" borderId="0" xfId="3" applyFont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178" fontId="5" fillId="0" borderId="0" xfId="3" applyNumberFormat="1" applyFont="1" applyAlignment="1">
      <alignment horizontal="center" vertical="center"/>
    </xf>
    <xf numFmtId="4" fontId="6" fillId="0" borderId="0" xfId="0" applyNumberFormat="1" applyFont="1" applyAlignment="1"/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78" fontId="5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79" fontId="8" fillId="0" borderId="0" xfId="0" applyNumberFormat="1" applyFont="1">
      <alignment vertical="center"/>
    </xf>
    <xf numFmtId="0" fontId="0" fillId="0" borderId="0" xfId="0" applyAlignment="1">
      <alignment vertical="center" wrapText="1"/>
    </xf>
    <xf numFmtId="178" fontId="0" fillId="0" borderId="0" xfId="0" applyNumberFormat="1" applyAlignment="1">
      <alignment horizontal="center" vertical="center"/>
    </xf>
    <xf numFmtId="180" fontId="0" fillId="0" borderId="0" xfId="0" applyNumberFormat="1">
      <alignment vertical="center"/>
    </xf>
    <xf numFmtId="0" fontId="7" fillId="0" borderId="0" xfId="0" applyFont="1" applyAlignment="1"/>
    <xf numFmtId="9" fontId="7" fillId="0" borderId="0" xfId="1" applyFont="1" applyBorder="1" applyAlignment="1"/>
    <xf numFmtId="9" fontId="7" fillId="0" borderId="0" xfId="1" applyFont="1" applyAlignment="1"/>
    <xf numFmtId="4" fontId="9" fillId="0" borderId="0" xfId="0" applyNumberFormat="1" applyFont="1" applyAlignment="1"/>
    <xf numFmtId="0" fontId="10" fillId="0" borderId="0" xfId="0" applyFont="1">
      <alignment vertical="center"/>
    </xf>
    <xf numFmtId="0" fontId="11" fillId="2" borderId="0" xfId="6" applyFont="1" applyFill="1" applyAlignment="1">
      <alignment horizontal="center" vertical="center"/>
    </xf>
    <xf numFmtId="181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0" fillId="0" borderId="0" xfId="0" applyAlignment="1">
      <alignment horizontal="left" vertical="center"/>
    </xf>
    <xf numFmtId="0" fontId="8" fillId="0" borderId="0" xfId="0" applyFont="1">
      <alignment vertical="center"/>
    </xf>
    <xf numFmtId="10" fontId="12" fillId="0" borderId="0" xfId="0" applyNumberFormat="1" applyFont="1">
      <alignment vertical="center"/>
    </xf>
    <xf numFmtId="176" fontId="0" fillId="0" borderId="0" xfId="0" applyNumberFormat="1">
      <alignment vertical="center"/>
    </xf>
    <xf numFmtId="9" fontId="9" fillId="0" borderId="0" xfId="1" applyFont="1" applyBorder="1" applyAlignment="1"/>
    <xf numFmtId="0" fontId="11" fillId="0" borderId="0" xfId="6" applyFont="1" applyAlignment="1">
      <alignment horizontal="center" vertical="center"/>
    </xf>
    <xf numFmtId="0" fontId="4" fillId="0" borderId="0" xfId="6" applyFont="1" applyAlignment="1">
      <alignment horizontal="center" vertical="center"/>
    </xf>
    <xf numFmtId="4" fontId="4" fillId="0" borderId="0" xfId="6" applyNumberFormat="1" applyFont="1" applyAlignment="1">
      <alignment horizontal="center" vertical="center"/>
    </xf>
    <xf numFmtId="182" fontId="13" fillId="0" borderId="0" xfId="0" applyNumberFormat="1" applyFont="1">
      <alignment vertical="center"/>
    </xf>
    <xf numFmtId="182" fontId="12" fillId="0" borderId="0" xfId="1" applyNumberFormat="1" applyFont="1">
      <alignment vertical="center"/>
    </xf>
    <xf numFmtId="182" fontId="14" fillId="0" borderId="0" xfId="0" applyNumberFormat="1" applyFont="1">
      <alignment vertical="center"/>
    </xf>
    <xf numFmtId="0" fontId="15" fillId="0" borderId="0" xfId="0" applyFont="1">
      <alignment vertical="center"/>
    </xf>
    <xf numFmtId="176" fontId="8" fillId="0" borderId="0" xfId="0" applyNumberFormat="1" applyFont="1">
      <alignment vertical="center"/>
    </xf>
    <xf numFmtId="10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10" fontId="0" fillId="0" borderId="0" xfId="1" applyNumberFormat="1" applyFont="1">
      <alignment vertical="center"/>
    </xf>
    <xf numFmtId="0" fontId="16" fillId="0" borderId="0" xfId="0" applyFont="1">
      <alignment vertical="center"/>
    </xf>
    <xf numFmtId="0" fontId="9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2" fontId="9" fillId="0" borderId="0" xfId="1" applyNumberFormat="1" applyFont="1" applyBorder="1" applyAlignment="1"/>
    <xf numFmtId="0" fontId="4" fillId="0" borderId="0" xfId="0" applyFont="1" applyAlignment="1">
      <alignment horizontal="center" vertical="center"/>
    </xf>
    <xf numFmtId="183" fontId="9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4" fontId="7" fillId="0" borderId="0" xfId="0" applyNumberFormat="1" applyFont="1" applyAlignment="1"/>
    <xf numFmtId="182" fontId="9" fillId="0" borderId="0" xfId="0" applyNumberFormat="1" applyFont="1">
      <alignment vertical="center"/>
    </xf>
    <xf numFmtId="183" fontId="4" fillId="0" borderId="0" xfId="6" applyNumberFormat="1" applyFont="1" applyAlignment="1">
      <alignment horizontal="center" vertical="center"/>
    </xf>
    <xf numFmtId="4" fontId="18" fillId="0" borderId="0" xfId="0" applyNumberFormat="1" applyFont="1" applyAlignment="1"/>
    <xf numFmtId="0" fontId="19" fillId="0" borderId="0" xfId="0" applyFont="1">
      <alignment vertical="center"/>
    </xf>
    <xf numFmtId="0" fontId="7" fillId="0" borderId="0" xfId="0" applyFont="1">
      <alignment vertical="center"/>
    </xf>
    <xf numFmtId="178" fontId="7" fillId="0" borderId="0" xfId="0" applyNumberFormat="1" applyFont="1">
      <alignment vertical="center"/>
    </xf>
    <xf numFmtId="182" fontId="7" fillId="0" borderId="0" xfId="0" applyNumberFormat="1" applyFont="1">
      <alignment vertical="center"/>
    </xf>
    <xf numFmtId="0" fontId="7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2" fontId="20" fillId="0" borderId="0" xfId="0" applyNumberFormat="1" applyFont="1" applyAlignment="1">
      <alignment horizontal="center" vertical="center" wrapText="1"/>
    </xf>
    <xf numFmtId="10" fontId="7" fillId="0" borderId="0" xfId="0" applyNumberFormat="1" applyFont="1" applyAlignment="1">
      <alignment horizontal="center" vertical="center"/>
    </xf>
    <xf numFmtId="10" fontId="7" fillId="0" borderId="0" xfId="1" applyNumberFormat="1" applyFont="1" applyAlignment="1">
      <alignment horizontal="center" vertical="center"/>
    </xf>
    <xf numFmtId="182" fontId="7" fillId="0" borderId="0" xfId="1" applyNumberFormat="1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10" fontId="7" fillId="0" borderId="0" xfId="0" applyNumberFormat="1" applyFont="1">
      <alignment vertical="center"/>
    </xf>
    <xf numFmtId="49" fontId="7" fillId="0" borderId="0" xfId="0" applyNumberFormat="1" applyFont="1">
      <alignment vertical="center"/>
    </xf>
    <xf numFmtId="2" fontId="20" fillId="0" borderId="0" xfId="0" applyNumberFormat="1" applyFont="1" applyAlignment="1">
      <alignment horizontal="center" vertical="center"/>
    </xf>
    <xf numFmtId="10" fontId="7" fillId="0" borderId="0" xfId="0" applyNumberFormat="1" applyFont="1" applyAlignment="1">
      <alignment horizontal="center" vertical="center" wrapText="1"/>
    </xf>
    <xf numFmtId="10" fontId="20" fillId="0" borderId="0" xfId="1" applyNumberFormat="1" applyFont="1" applyBorder="1" applyAlignment="1">
      <alignment horizontal="center" vertical="center"/>
    </xf>
    <xf numFmtId="9" fontId="7" fillId="0" borderId="0" xfId="0" applyNumberFormat="1" applyFont="1">
      <alignment vertical="center"/>
    </xf>
    <xf numFmtId="0" fontId="7" fillId="0" borderId="0" xfId="0" applyFont="1" applyAlignment="1">
      <alignment horizontal="center" vertical="center" wrapText="1"/>
    </xf>
    <xf numFmtId="10" fontId="20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 wrapText="1"/>
    </xf>
    <xf numFmtId="176" fontId="20" fillId="0" borderId="0" xfId="0" applyNumberFormat="1" applyFont="1" applyAlignment="1">
      <alignment horizontal="center" vertical="center"/>
    </xf>
    <xf numFmtId="178" fontId="20" fillId="0" borderId="0" xfId="0" applyNumberFormat="1" applyFont="1" applyAlignment="1">
      <alignment horizontal="right" vertical="center"/>
    </xf>
    <xf numFmtId="9" fontId="7" fillId="0" borderId="0" xfId="0" applyNumberFormat="1" applyFont="1" applyAlignment="1">
      <alignment horizontal="center" vertical="center" wrapText="1"/>
    </xf>
    <xf numFmtId="9" fontId="7" fillId="0" borderId="0" xfId="0" applyNumberFormat="1" applyFont="1" applyAlignment="1">
      <alignment horizontal="right" vertical="center"/>
    </xf>
    <xf numFmtId="178" fontId="7" fillId="0" borderId="0" xfId="0" applyNumberFormat="1" applyFont="1" applyAlignment="1">
      <alignment horizontal="right" vertical="center"/>
    </xf>
    <xf numFmtId="10" fontId="20" fillId="0" borderId="0" xfId="1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0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10" fontId="7" fillId="0" borderId="2" xfId="0" applyNumberFormat="1" applyFont="1" applyBorder="1" applyAlignment="1">
      <alignment horizontal="center" vertical="center" wrapText="1"/>
    </xf>
    <xf numFmtId="0" fontId="20" fillId="0" borderId="0" xfId="0" applyFont="1">
      <alignment vertical="center"/>
    </xf>
    <xf numFmtId="9" fontId="7" fillId="0" borderId="0" xfId="0" applyNumberFormat="1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0" fontId="7" fillId="0" borderId="3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10" fontId="20" fillId="0" borderId="8" xfId="0" applyNumberFormat="1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10" fontId="20" fillId="0" borderId="10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176" fontId="20" fillId="0" borderId="2" xfId="0" applyNumberFormat="1" applyFont="1" applyBorder="1" applyAlignment="1">
      <alignment horizontal="center" vertical="center"/>
    </xf>
    <xf numFmtId="10" fontId="20" fillId="0" borderId="1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10" fontId="7" fillId="0" borderId="3" xfId="0" applyNumberFormat="1" applyFont="1" applyBorder="1" applyAlignment="1">
      <alignment horizontal="center" vertical="center" wrapText="1"/>
    </xf>
    <xf numFmtId="10" fontId="20" fillId="0" borderId="0" xfId="0" applyNumberFormat="1" applyFont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182" fontId="7" fillId="0" borderId="0" xfId="0" applyNumberFormat="1" applyFont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10" fontId="20" fillId="0" borderId="6" xfId="0" applyNumberFormat="1" applyFont="1" applyBorder="1" applyAlignment="1">
      <alignment horizontal="center" vertical="center" wrapText="1"/>
    </xf>
    <xf numFmtId="182" fontId="7" fillId="0" borderId="12" xfId="0" applyNumberFormat="1" applyFont="1" applyBorder="1" applyAlignment="1">
      <alignment horizontal="center" vertical="center"/>
    </xf>
    <xf numFmtId="182" fontId="7" fillId="0" borderId="8" xfId="0" applyNumberFormat="1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182" fontId="7" fillId="0" borderId="10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 wrapText="1"/>
    </xf>
    <xf numFmtId="0" fontId="7" fillId="0" borderId="11" xfId="0" applyFont="1" applyBorder="1" applyAlignment="1"/>
    <xf numFmtId="0" fontId="7" fillId="0" borderId="2" xfId="0" applyFont="1" applyBorder="1" applyAlignment="1"/>
    <xf numFmtId="176" fontId="7" fillId="0" borderId="2" xfId="0" applyNumberFormat="1" applyFont="1" applyBorder="1" applyAlignment="1"/>
    <xf numFmtId="10" fontId="20" fillId="0" borderId="2" xfId="0" applyNumberFormat="1" applyFont="1" applyBorder="1" applyAlignment="1">
      <alignment horizontal="center" vertical="center"/>
    </xf>
    <xf numFmtId="0" fontId="7" fillId="0" borderId="12" xfId="0" applyFont="1" applyBorder="1" applyAlignment="1"/>
    <xf numFmtId="176" fontId="20" fillId="0" borderId="8" xfId="0" applyNumberFormat="1" applyFont="1" applyBorder="1" applyAlignment="1">
      <alignment horizontal="center" vertical="center"/>
    </xf>
    <xf numFmtId="4" fontId="7" fillId="0" borderId="8" xfId="0" applyNumberFormat="1" applyFont="1" applyBorder="1">
      <alignment vertical="center"/>
    </xf>
    <xf numFmtId="4" fontId="7" fillId="0" borderId="10" xfId="0" applyNumberFormat="1" applyFont="1" applyBorder="1">
      <alignment vertical="center"/>
    </xf>
    <xf numFmtId="4" fontId="7" fillId="0" borderId="0" xfId="0" applyNumberFormat="1" applyFont="1">
      <alignment vertical="center"/>
    </xf>
    <xf numFmtId="0" fontId="7" fillId="0" borderId="9" xfId="0" applyFont="1" applyBorder="1" applyAlignment="1">
      <alignment horizontal="center" vertical="center"/>
    </xf>
    <xf numFmtId="176" fontId="20" fillId="0" borderId="3" xfId="0" applyNumberFormat="1" applyFont="1" applyBorder="1" applyAlignment="1">
      <alignment horizontal="center" vertical="center"/>
    </xf>
    <xf numFmtId="10" fontId="20" fillId="0" borderId="12" xfId="0" applyNumberFormat="1" applyFont="1" applyBorder="1" applyAlignment="1">
      <alignment horizontal="center" vertical="center" wrapText="1"/>
    </xf>
    <xf numFmtId="10" fontId="7" fillId="0" borderId="0" xfId="0" applyNumberFormat="1" applyFont="1" applyAlignment="1"/>
    <xf numFmtId="10" fontId="7" fillId="0" borderId="8" xfId="0" applyNumberFormat="1" applyFont="1" applyBorder="1" applyAlignment="1">
      <alignment horizontal="center" vertical="center"/>
    </xf>
    <xf numFmtId="176" fontId="7" fillId="0" borderId="0" xfId="0" applyNumberFormat="1" applyFont="1" applyAlignment="1"/>
    <xf numFmtId="176" fontId="20" fillId="0" borderId="12" xfId="0" applyNumberFormat="1" applyFont="1" applyBorder="1" applyAlignment="1">
      <alignment horizontal="center" vertical="center"/>
    </xf>
    <xf numFmtId="0" fontId="7" fillId="0" borderId="0" xfId="0" applyFont="1" applyAlignment="1">
      <alignment wrapText="1"/>
    </xf>
    <xf numFmtId="0" fontId="20" fillId="0" borderId="8" xfId="0" applyFont="1" applyBorder="1">
      <alignment vertical="center"/>
    </xf>
    <xf numFmtId="0" fontId="20" fillId="0" borderId="10" xfId="0" applyFont="1" applyBorder="1">
      <alignment vertical="center"/>
    </xf>
    <xf numFmtId="10" fontId="20" fillId="0" borderId="2" xfId="0" applyNumberFormat="1" applyFont="1" applyBorder="1" applyAlignment="1">
      <alignment horizontal="center" vertical="center" wrapText="1"/>
    </xf>
    <xf numFmtId="176" fontId="20" fillId="0" borderId="0" xfId="0" applyNumberFormat="1" applyFont="1" applyAlignment="1">
      <alignment horizontal="center" vertical="center" wrapText="1"/>
    </xf>
    <xf numFmtId="182" fontId="20" fillId="0" borderId="0" xfId="0" applyNumberFormat="1" applyFont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176" fontId="20" fillId="0" borderId="3" xfId="0" applyNumberFormat="1" applyFont="1" applyBorder="1" applyAlignment="1">
      <alignment horizontal="center" vertical="center" wrapText="1"/>
    </xf>
    <xf numFmtId="182" fontId="20" fillId="0" borderId="3" xfId="0" applyNumberFormat="1" applyFont="1" applyBorder="1" applyAlignment="1">
      <alignment horizontal="center" vertical="center" wrapText="1"/>
    </xf>
    <xf numFmtId="10" fontId="20" fillId="0" borderId="3" xfId="0" applyNumberFormat="1" applyFont="1" applyBorder="1" applyAlignment="1">
      <alignment horizontal="center" vertical="center" wrapText="1"/>
    </xf>
    <xf numFmtId="176" fontId="7" fillId="0" borderId="0" xfId="0" applyNumberFormat="1" applyFont="1" applyAlignment="1">
      <alignment wrapText="1"/>
    </xf>
    <xf numFmtId="10" fontId="7" fillId="0" borderId="0" xfId="0" applyNumberFormat="1" applyFont="1" applyAlignment="1">
      <alignment wrapText="1"/>
    </xf>
    <xf numFmtId="0" fontId="5" fillId="0" borderId="0" xfId="0" applyFont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57" fontId="7" fillId="0" borderId="13" xfId="0" applyNumberFormat="1" applyFont="1" applyBorder="1" applyAlignment="1">
      <alignment horizontal="center" vertical="center"/>
    </xf>
    <xf numFmtId="0" fontId="20" fillId="0" borderId="13" xfId="0" applyFont="1" applyBorder="1" applyAlignment="1">
      <alignment horizontal="center"/>
    </xf>
    <xf numFmtId="179" fontId="20" fillId="0" borderId="13" xfId="0" applyNumberFormat="1" applyFont="1" applyBorder="1" applyAlignment="1">
      <alignment horizontal="center" vertical="center"/>
    </xf>
    <xf numFmtId="182" fontId="20" fillId="0" borderId="13" xfId="0" applyNumberFormat="1" applyFont="1" applyBorder="1" applyAlignment="1">
      <alignment horizontal="center" vertical="center"/>
    </xf>
    <xf numFmtId="182" fontId="20" fillId="0" borderId="13" xfId="0" applyNumberFormat="1" applyFont="1" applyBorder="1" applyAlignment="1">
      <alignment horizontal="center"/>
    </xf>
    <xf numFmtId="182" fontId="0" fillId="0" borderId="0" xfId="0" applyNumberFormat="1">
      <alignment vertical="center"/>
    </xf>
    <xf numFmtId="0" fontId="20" fillId="0" borderId="0" xfId="0" applyFont="1" applyAlignment="1">
      <alignment horizontal="center"/>
    </xf>
    <xf numFmtId="179" fontId="20" fillId="0" borderId="0" xfId="0" applyNumberFormat="1" applyFont="1" applyAlignment="1">
      <alignment horizontal="center" vertical="center"/>
    </xf>
    <xf numFmtId="182" fontId="20" fillId="0" borderId="0" xfId="0" applyNumberFormat="1" applyFont="1" applyAlignment="1">
      <alignment horizontal="center" vertical="center"/>
    </xf>
    <xf numFmtId="179" fontId="20" fillId="0" borderId="0" xfId="0" applyNumberFormat="1" applyFont="1" applyAlignment="1">
      <alignment horizontal="right" vertical="center"/>
    </xf>
    <xf numFmtId="182" fontId="20" fillId="0" borderId="0" xfId="0" applyNumberFormat="1" applyFont="1" applyAlignment="1">
      <alignment horizontal="right" vertical="center"/>
    </xf>
    <xf numFmtId="179" fontId="20" fillId="0" borderId="13" xfId="0" applyNumberFormat="1" applyFont="1" applyBorder="1" applyAlignment="1">
      <alignment horizontal="right" vertical="center"/>
    </xf>
    <xf numFmtId="182" fontId="20" fillId="0" borderId="13" xfId="0" applyNumberFormat="1" applyFont="1" applyBorder="1" applyAlignment="1">
      <alignment horizontal="right" vertical="center"/>
    </xf>
    <xf numFmtId="182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right"/>
    </xf>
    <xf numFmtId="183" fontId="20" fillId="0" borderId="0" xfId="0" applyNumberFormat="1" applyFont="1" applyAlignment="1">
      <alignment horizontal="right"/>
    </xf>
    <xf numFmtId="182" fontId="20" fillId="0" borderId="0" xfId="0" applyNumberFormat="1" applyFont="1" applyAlignment="1">
      <alignment horizontal="right"/>
    </xf>
    <xf numFmtId="0" fontId="20" fillId="0" borderId="0" xfId="0" applyFont="1" applyAlignment="1">
      <alignment horizontal="right" vertical="center"/>
    </xf>
    <xf numFmtId="183" fontId="20" fillId="0" borderId="13" xfId="0" applyNumberFormat="1" applyFont="1" applyBorder="1" applyAlignment="1">
      <alignment horizontal="center"/>
    </xf>
    <xf numFmtId="0" fontId="20" fillId="0" borderId="13" xfId="0" applyFont="1" applyBorder="1" applyAlignment="1">
      <alignment horizontal="right"/>
    </xf>
    <xf numFmtId="183" fontId="20" fillId="0" borderId="13" xfId="0" applyNumberFormat="1" applyFont="1" applyBorder="1" applyAlignment="1">
      <alignment horizontal="right"/>
    </xf>
    <xf numFmtId="182" fontId="20" fillId="0" borderId="13" xfId="0" applyNumberFormat="1" applyFont="1" applyBorder="1" applyAlignment="1">
      <alignment horizontal="right"/>
    </xf>
    <xf numFmtId="0" fontId="7" fillId="0" borderId="16" xfId="0" applyFont="1" applyBorder="1" applyAlignment="1">
      <alignment horizontal="center" vertical="center"/>
    </xf>
    <xf numFmtId="0" fontId="20" fillId="0" borderId="13" xfId="0" applyFont="1" applyBorder="1" applyAlignment="1">
      <alignment horizontal="right" vertical="center"/>
    </xf>
    <xf numFmtId="0" fontId="20" fillId="0" borderId="13" xfId="0" applyFont="1" applyBorder="1" applyAlignment="1">
      <alignment horizontal="center" vertical="center"/>
    </xf>
    <xf numFmtId="0" fontId="21" fillId="0" borderId="0" xfId="0" applyFont="1" applyAlignment="1"/>
    <xf numFmtId="0" fontId="22" fillId="0" borderId="0" xfId="0" applyFont="1" applyAlignment="1"/>
    <xf numFmtId="0" fontId="23" fillId="0" borderId="0" xfId="0" applyFont="1" applyAlignment="1">
      <alignment horizontal="left" vertical="center"/>
    </xf>
    <xf numFmtId="0" fontId="24" fillId="0" borderId="0" xfId="0" applyFont="1">
      <alignment vertical="center"/>
    </xf>
    <xf numFmtId="0" fontId="25" fillId="0" borderId="17" xfId="0" applyFont="1" applyBorder="1" applyAlignment="1">
      <alignment horizontal="center" vertical="center"/>
    </xf>
    <xf numFmtId="183" fontId="7" fillId="0" borderId="13" xfId="0" applyNumberFormat="1" applyFont="1" applyBorder="1" applyAlignment="1">
      <alignment horizontal="center" vertical="center"/>
    </xf>
    <xf numFmtId="182" fontId="7" fillId="0" borderId="13" xfId="0" applyNumberFormat="1" applyFont="1" applyBorder="1" applyAlignment="1">
      <alignment horizontal="center" vertical="center"/>
    </xf>
    <xf numFmtId="182" fontId="20" fillId="0" borderId="18" xfId="0" applyNumberFormat="1" applyFont="1" applyBorder="1" applyAlignment="1">
      <alignment horizontal="center"/>
    </xf>
    <xf numFmtId="0" fontId="5" fillId="0" borderId="13" xfId="0" applyFont="1" applyBorder="1" applyAlignment="1">
      <alignment horizontal="left" vertical="center"/>
    </xf>
    <xf numFmtId="183" fontId="5" fillId="0" borderId="13" xfId="0" applyNumberFormat="1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183" fontId="7" fillId="0" borderId="0" xfId="0" applyNumberFormat="1" applyFont="1">
      <alignment vertical="center"/>
    </xf>
    <xf numFmtId="179" fontId="20" fillId="0" borderId="13" xfId="0" applyNumberFormat="1" applyFont="1" applyBorder="1" applyAlignment="1">
      <alignment horizontal="center"/>
    </xf>
    <xf numFmtId="179" fontId="24" fillId="0" borderId="0" xfId="0" applyNumberFormat="1" applyFont="1">
      <alignment vertical="center"/>
    </xf>
    <xf numFmtId="176" fontId="24" fillId="0" borderId="0" xfId="0" applyNumberFormat="1" applyFont="1">
      <alignment vertical="center"/>
    </xf>
    <xf numFmtId="183" fontId="7" fillId="0" borderId="0" xfId="0" applyNumberFormat="1" applyFont="1" applyAlignment="1">
      <alignment horizontal="center" vertical="center"/>
    </xf>
    <xf numFmtId="179" fontId="20" fillId="0" borderId="0" xfId="0" applyNumberFormat="1" applyFont="1" applyAlignment="1">
      <alignment horizontal="center"/>
    </xf>
    <xf numFmtId="179" fontId="7" fillId="0" borderId="13" xfId="0" applyNumberFormat="1" applyFont="1" applyBorder="1" applyAlignment="1">
      <alignment horizontal="center" vertical="center"/>
    </xf>
    <xf numFmtId="182" fontId="24" fillId="0" borderId="0" xfId="0" applyNumberFormat="1" applyFont="1">
      <alignment vertical="center"/>
    </xf>
    <xf numFmtId="179" fontId="7" fillId="0" borderId="0" xfId="0" applyNumberFormat="1" applyFont="1" applyAlignment="1">
      <alignment horizontal="center" vertical="center"/>
    </xf>
    <xf numFmtId="0" fontId="7" fillId="0" borderId="14" xfId="0" applyFont="1" applyBorder="1">
      <alignment vertical="center"/>
    </xf>
    <xf numFmtId="0" fontId="7" fillId="0" borderId="15" xfId="0" applyFont="1" applyBorder="1" applyAlignment="1">
      <alignment horizontal="center" vertical="center"/>
    </xf>
    <xf numFmtId="10" fontId="7" fillId="0" borderId="13" xfId="0" applyNumberFormat="1" applyFont="1" applyBorder="1" applyAlignment="1">
      <alignment horizontal="center" vertical="center"/>
    </xf>
    <xf numFmtId="57" fontId="20" fillId="0" borderId="13" xfId="0" applyNumberFormat="1" applyFont="1" applyBorder="1" applyAlignment="1">
      <alignment horizontal="center"/>
    </xf>
    <xf numFmtId="57" fontId="20" fillId="0" borderId="18" xfId="0" applyNumberFormat="1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7" fillId="0" borderId="13" xfId="0" applyFont="1" applyBorder="1">
      <alignment vertical="center"/>
    </xf>
    <xf numFmtId="49" fontId="20" fillId="0" borderId="18" xfId="0" applyNumberFormat="1" applyFont="1" applyBorder="1" applyAlignment="1">
      <alignment horizontal="center"/>
    </xf>
    <xf numFmtId="0" fontId="7" fillId="0" borderId="13" xfId="1" applyNumberFormat="1" applyFont="1" applyFill="1" applyBorder="1" applyAlignment="1">
      <alignment horizontal="center" vertical="center"/>
    </xf>
    <xf numFmtId="182" fontId="7" fillId="0" borderId="13" xfId="1" applyNumberFormat="1" applyFont="1" applyFill="1" applyBorder="1" applyAlignment="1">
      <alignment horizontal="center" vertical="center"/>
    </xf>
    <xf numFmtId="0" fontId="20" fillId="0" borderId="19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182" fontId="20" fillId="0" borderId="20" xfId="0" applyNumberFormat="1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182" fontId="20" fillId="0" borderId="21" xfId="0" applyNumberFormat="1" applyFont="1" applyBorder="1" applyAlignment="1">
      <alignment horizontal="center"/>
    </xf>
    <xf numFmtId="57" fontId="7" fillId="0" borderId="0" xfId="0" applyNumberFormat="1" applyFont="1" applyAlignment="1">
      <alignment horizontal="center" vertical="center"/>
    </xf>
    <xf numFmtId="0" fontId="7" fillId="0" borderId="0" xfId="1" applyNumberFormat="1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182" fontId="20" fillId="0" borderId="22" xfId="0" applyNumberFormat="1" applyFont="1" applyBorder="1" applyAlignment="1">
      <alignment horizontal="center"/>
    </xf>
    <xf numFmtId="183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57" fontId="5" fillId="0" borderId="0" xfId="0" applyNumberFormat="1" applyFont="1" applyAlignment="1">
      <alignment horizontal="center" vertical="center"/>
    </xf>
    <xf numFmtId="0" fontId="5" fillId="0" borderId="0" xfId="1" applyNumberFormat="1" applyFont="1" applyAlignment="1">
      <alignment horizontal="center" vertical="center"/>
    </xf>
    <xf numFmtId="183" fontId="7" fillId="0" borderId="0" xfId="1" applyNumberFormat="1" applyFont="1" applyAlignment="1">
      <alignment horizontal="center" vertical="center"/>
    </xf>
    <xf numFmtId="9" fontId="7" fillId="0" borderId="0" xfId="1" applyFont="1" applyAlignment="1">
      <alignment horizontal="center" vertical="center"/>
    </xf>
    <xf numFmtId="182" fontId="5" fillId="0" borderId="0" xfId="1" applyNumberFormat="1" applyFont="1" applyAlignment="1">
      <alignment horizontal="center" vertical="center"/>
    </xf>
    <xf numFmtId="182" fontId="5" fillId="0" borderId="0" xfId="0" applyNumberFormat="1" applyFont="1" applyAlignment="1">
      <alignment horizontal="center" vertical="center"/>
    </xf>
    <xf numFmtId="0" fontId="7" fillId="0" borderId="0" xfId="1" applyNumberFormat="1" applyFont="1" applyFill="1" applyAlignment="1">
      <alignment horizontal="center" vertical="center"/>
    </xf>
    <xf numFmtId="182" fontId="7" fillId="0" borderId="0" xfId="1" applyNumberFormat="1" applyFont="1" applyFill="1" applyAlignment="1">
      <alignment horizontal="center" vertical="center"/>
    </xf>
    <xf numFmtId="178" fontId="8" fillId="0" borderId="0" xfId="0" applyNumberFormat="1" applyFont="1">
      <alignment vertical="center"/>
    </xf>
    <xf numFmtId="10" fontId="27" fillId="0" borderId="0" xfId="0" applyNumberFormat="1" applyFont="1">
      <alignment vertical="center"/>
    </xf>
    <xf numFmtId="184" fontId="28" fillId="0" borderId="0" xfId="0" applyNumberFormat="1" applyFont="1">
      <alignment vertical="center"/>
    </xf>
    <xf numFmtId="185" fontId="0" fillId="0" borderId="0" xfId="0" applyNumberFormat="1">
      <alignment vertical="center"/>
    </xf>
    <xf numFmtId="10" fontId="0" fillId="0" borderId="0" xfId="0" applyNumberFormat="1" applyAlignment="1">
      <alignment horizontal="right" vertical="center"/>
    </xf>
    <xf numFmtId="9" fontId="0" fillId="0" borderId="0" xfId="0" applyNumberFormat="1">
      <alignment vertical="center"/>
    </xf>
    <xf numFmtId="177" fontId="28" fillId="0" borderId="0" xfId="0" applyNumberFormat="1" applyFont="1">
      <alignment vertical="center"/>
    </xf>
    <xf numFmtId="57" fontId="0" fillId="0" borderId="0" xfId="0" applyNumberFormat="1">
      <alignment vertical="center"/>
    </xf>
    <xf numFmtId="177" fontId="0" fillId="0" borderId="0" xfId="0" applyNumberFormat="1">
      <alignment vertical="center"/>
    </xf>
    <xf numFmtId="182" fontId="0" fillId="0" borderId="0" xfId="1" applyNumberFormat="1" applyFont="1">
      <alignment vertical="center"/>
    </xf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183" fontId="17" fillId="0" borderId="0" xfId="0" applyNumberFormat="1" applyFont="1" applyAlignment="1">
      <alignment horizontal="center" vertical="center"/>
    </xf>
    <xf numFmtId="4" fontId="31" fillId="0" borderId="0" xfId="0" applyNumberFormat="1" applyFont="1" applyAlignment="1"/>
    <xf numFmtId="4" fontId="32" fillId="0" borderId="0" xfId="0" applyNumberFormat="1" applyFont="1" applyAlignment="1"/>
    <xf numFmtId="4" fontId="33" fillId="0" borderId="0" xfId="0" applyNumberFormat="1" applyFont="1" applyAlignment="1"/>
    <xf numFmtId="183" fontId="30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183" fontId="34" fillId="0" borderId="0" xfId="0" applyNumberFormat="1" applyFont="1" applyAlignment="1">
      <alignment horizontal="center" vertical="center"/>
    </xf>
    <xf numFmtId="183" fontId="9" fillId="0" borderId="0" xfId="0" applyNumberFormat="1" applyFont="1" applyAlignment="1">
      <alignment horizontal="center"/>
    </xf>
    <xf numFmtId="0" fontId="9" fillId="0" borderId="0" xfId="0" applyFont="1">
      <alignment vertical="center"/>
    </xf>
    <xf numFmtId="183" fontId="4" fillId="0" borderId="0" xfId="0" applyNumberFormat="1" applyFont="1" applyAlignment="1">
      <alignment horizontal="center" vertical="center"/>
    </xf>
    <xf numFmtId="183" fontId="9" fillId="0" borderId="0" xfId="0" applyNumberFormat="1" applyFont="1" applyAlignment="1">
      <alignment horizontal="right"/>
    </xf>
    <xf numFmtId="182" fontId="7" fillId="0" borderId="0" xfId="1" applyNumberFormat="1" applyFont="1" applyBorder="1" applyAlignment="1"/>
    <xf numFmtId="0" fontId="35" fillId="0" borderId="0" xfId="0" applyFont="1" applyAlignment="1" applyProtection="1">
      <alignment horizontal="center" vertical="center"/>
      <protection locked="0"/>
    </xf>
    <xf numFmtId="0" fontId="0" fillId="0" borderId="24" xfId="0" applyBorder="1">
      <alignment vertical="center"/>
    </xf>
    <xf numFmtId="0" fontId="38" fillId="0" borderId="0" xfId="0" applyFont="1" applyAlignment="1" applyProtection="1">
      <alignment horizontal="center" vertical="center"/>
      <protection locked="0"/>
    </xf>
    <xf numFmtId="0" fontId="40" fillId="0" borderId="0" xfId="0" applyFont="1" applyAlignment="1" applyProtection="1">
      <alignment horizontal="center" vertical="center"/>
      <protection locked="0"/>
    </xf>
    <xf numFmtId="0" fontId="41" fillId="3" borderId="25" xfId="2" applyFont="1" applyFill="1" applyBorder="1" applyAlignment="1" applyProtection="1">
      <alignment horizontal="center" vertical="center" wrapText="1"/>
    </xf>
    <xf numFmtId="0" fontId="41" fillId="3" borderId="26" xfId="2" applyFont="1" applyFill="1" applyBorder="1" applyAlignment="1" applyProtection="1">
      <alignment horizontal="center" vertical="center" wrapText="1"/>
    </xf>
    <xf numFmtId="0" fontId="41" fillId="3" borderId="27" xfId="2" applyFont="1" applyFill="1" applyBorder="1" applyAlignment="1" applyProtection="1">
      <alignment horizontal="center" vertical="center" wrapText="1"/>
    </xf>
    <xf numFmtId="0" fontId="39" fillId="3" borderId="25" xfId="2" applyFont="1" applyFill="1" applyBorder="1" applyAlignment="1" applyProtection="1">
      <alignment horizontal="center" vertical="center" wrapText="1"/>
    </xf>
    <xf numFmtId="0" fontId="39" fillId="3" borderId="26" xfId="2" applyFont="1" applyFill="1" applyBorder="1" applyAlignment="1" applyProtection="1">
      <alignment horizontal="center" vertical="center" wrapText="1"/>
    </xf>
    <xf numFmtId="0" fontId="39" fillId="3" borderId="27" xfId="2" applyFont="1" applyFill="1" applyBorder="1" applyAlignment="1" applyProtection="1">
      <alignment horizontal="center" vertical="center" wrapText="1"/>
    </xf>
    <xf numFmtId="0" fontId="35" fillId="0" borderId="23" xfId="0" applyFont="1" applyBorder="1" applyAlignment="1" applyProtection="1">
      <alignment horizontal="center" vertical="center"/>
      <protection locked="0"/>
    </xf>
    <xf numFmtId="0" fontId="36" fillId="3" borderId="25" xfId="2" applyFont="1" applyFill="1" applyBorder="1" applyAlignment="1" applyProtection="1">
      <alignment horizontal="center" vertical="center" wrapText="1"/>
    </xf>
    <xf numFmtId="0" fontId="37" fillId="3" borderId="26" xfId="2" applyFont="1" applyFill="1" applyBorder="1" applyAlignment="1" applyProtection="1">
      <alignment horizontal="center" vertical="center" wrapText="1"/>
    </xf>
    <xf numFmtId="0" fontId="37" fillId="3" borderId="27" xfId="2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0" fillId="0" borderId="14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13" xfId="0" applyFont="1" applyBorder="1" applyAlignment="1">
      <alignment horizontal="center" vertical="center"/>
    </xf>
  </cellXfs>
  <cellStyles count="7">
    <cellStyle name="百分比" xfId="1" builtinId="5"/>
    <cellStyle name="常规" xfId="0" builtinId="0"/>
    <cellStyle name="常规 2" xfId="3" xr:uid="{00000000-0005-0000-0000-000031000000}"/>
    <cellStyle name="常规 3" xfId="4" xr:uid="{00000000-0005-0000-0000-000032000000}"/>
    <cellStyle name="常规 4" xfId="5" xr:uid="{00000000-0005-0000-0000-000033000000}"/>
    <cellStyle name="常规 6 2" xfId="6" xr:uid="{00000000-0005-0000-0000-000034000000}"/>
    <cellStyle name="超链接" xfId="2" builtinId="8"/>
  </cellStyles>
  <dxfs count="0"/>
  <tableStyles count="0" defaultTableStyle="TableStyleMedium2" defaultPivotStyle="PivotStyleLight16"/>
  <colors>
    <mruColors>
      <color rgb="FF4472C4"/>
      <color rgb="FF004E97"/>
      <color rgb="FFFFFFFF"/>
      <color rgb="FF59C3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356164383561605E-2"/>
          <c:y val="0.148344370860927"/>
          <c:w val="0.88945205479452005"/>
          <c:h val="0.735982339955850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全球动力电池行业装机规模!$B$9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全球动力电池行业装机规模!$C$8:$N$8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全球动力电池行业装机规模!$C$9:$N$9</c:f>
              <c:numCache>
                <c:formatCode>General</c:formatCode>
                <c:ptCount val="12"/>
                <c:pt idx="0" formatCode="0.0">
                  <c:v>7</c:v>
                </c:pt>
                <c:pt idx="1">
                  <c:v>5.4</c:v>
                </c:pt>
                <c:pt idx="2">
                  <c:v>8.6</c:v>
                </c:pt>
                <c:pt idx="3">
                  <c:v>5.7</c:v>
                </c:pt>
                <c:pt idx="4" formatCode="0.0">
                  <c:v>6.7</c:v>
                </c:pt>
                <c:pt idx="5">
                  <c:v>11.3</c:v>
                </c:pt>
                <c:pt idx="6">
                  <c:v>11.2</c:v>
                </c:pt>
                <c:pt idx="7">
                  <c:v>11.4</c:v>
                </c:pt>
                <c:pt idx="8">
                  <c:v>16.899999999999999</c:v>
                </c:pt>
                <c:pt idx="9">
                  <c:v>15.4</c:v>
                </c:pt>
                <c:pt idx="10">
                  <c:v>16.100000000000001</c:v>
                </c:pt>
                <c:pt idx="11">
                  <c:v>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E-467C-8122-28E90E76C17E}"/>
            </c:ext>
          </c:extLst>
        </c:ser>
        <c:ser>
          <c:idx val="1"/>
          <c:order val="1"/>
          <c:tx>
            <c:strRef>
              <c:f>全球动力电池行业装机规模!$B$10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全球动力电池行业装机规模!$C$8:$N$8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全球动力电池行业装机规模!$C$10:$N$10</c:f>
              <c:numCache>
                <c:formatCode>General</c:formatCode>
                <c:ptCount val="12"/>
                <c:pt idx="0">
                  <c:v>13.7</c:v>
                </c:pt>
                <c:pt idx="1">
                  <c:v>11.2</c:v>
                </c:pt>
                <c:pt idx="2">
                  <c:v>23.4</c:v>
                </c:pt>
                <c:pt idx="3">
                  <c:v>17.8</c:v>
                </c:pt>
                <c:pt idx="4" formatCode="0.0">
                  <c:v>21.2</c:v>
                </c:pt>
                <c:pt idx="5">
                  <c:v>26.3</c:v>
                </c:pt>
                <c:pt idx="6">
                  <c:v>22.6</c:v>
                </c:pt>
                <c:pt idx="7">
                  <c:v>25.2</c:v>
                </c:pt>
                <c:pt idx="8">
                  <c:v>32.9</c:v>
                </c:pt>
                <c:pt idx="9">
                  <c:v>26.2</c:v>
                </c:pt>
                <c:pt idx="10">
                  <c:v>30.8</c:v>
                </c:pt>
                <c:pt idx="11">
                  <c:v>43.7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E-467C-8122-28E90E76C17E}"/>
            </c:ext>
          </c:extLst>
        </c:ser>
        <c:ser>
          <c:idx val="2"/>
          <c:order val="2"/>
          <c:tx>
            <c:strRef>
              <c:f>全球动力电池行业装机规模!$B$13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全球动力电池行业装机规模!$C$8:$N$8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全球动力电池行业装机规模!$C$13:$N$13</c:f>
              <c:numCache>
                <c:formatCode>General</c:formatCode>
                <c:ptCount val="12"/>
                <c:pt idx="0">
                  <c:v>27.6</c:v>
                </c:pt>
                <c:pt idx="1">
                  <c:v>25.9</c:v>
                </c:pt>
                <c:pt idx="2">
                  <c:v>41.4</c:v>
                </c:pt>
                <c:pt idx="3">
                  <c:v>27.1</c:v>
                </c:pt>
                <c:pt idx="4" formatCode="0.0">
                  <c:v>33.700000000000003</c:v>
                </c:pt>
                <c:pt idx="5">
                  <c:v>45.2</c:v>
                </c:pt>
                <c:pt idx="6">
                  <c:v>39.700000000000003</c:v>
                </c:pt>
                <c:pt idx="7">
                  <c:v>45.7</c:v>
                </c:pt>
                <c:pt idx="8">
                  <c:v>54.7</c:v>
                </c:pt>
                <c:pt idx="9" formatCode="0.0">
                  <c:v>48</c:v>
                </c:pt>
                <c:pt idx="10">
                  <c:v>57.2</c:v>
                </c:pt>
                <c:pt idx="11">
                  <c:v>71.7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6E-467C-8122-28E90E76C17E}"/>
            </c:ext>
          </c:extLst>
        </c:ser>
        <c:ser>
          <c:idx val="3"/>
          <c:order val="3"/>
          <c:tx>
            <c:strRef>
              <c:f>全球动力电池行业装机规模!$B$16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全球动力电池行业装机规模!$C$8:$N$8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全球动力电池行业装机规模!$C$16:$N$16</c:f>
              <c:numCache>
                <c:formatCode>General</c:formatCode>
                <c:ptCount val="12"/>
                <c:pt idx="0">
                  <c:v>33</c:v>
                </c:pt>
                <c:pt idx="1">
                  <c:v>42.2</c:v>
                </c:pt>
                <c:pt idx="2">
                  <c:v>57.8</c:v>
                </c:pt>
                <c:pt idx="3">
                  <c:v>49.5</c:v>
                </c:pt>
                <c:pt idx="4" formatCode="0.0">
                  <c:v>55.1</c:v>
                </c:pt>
                <c:pt idx="5">
                  <c:v>66.7</c:v>
                </c:pt>
                <c:pt idx="6">
                  <c:v>58.6</c:v>
                </c:pt>
                <c:pt idx="7">
                  <c:v>66.099999999999994</c:v>
                </c:pt>
                <c:pt idx="8">
                  <c:v>56.9</c:v>
                </c:pt>
                <c:pt idx="9" formatCode="0.0">
                  <c:v>66.3</c:v>
                </c:pt>
                <c:pt idx="10">
                  <c:v>62.4</c:v>
                </c:pt>
                <c:pt idx="11">
                  <c:v>90.900000000000091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6E-467C-8122-28E90E76C17E}"/>
            </c:ext>
          </c:extLst>
        </c:ser>
        <c:ser>
          <c:idx val="4"/>
          <c:order val="4"/>
          <c:tx>
            <c:strRef>
              <c:f>全球动力电池行业装机规模!$B$19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全球动力电池行业装机规模!$C$8:$N$8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全球动力电池行业装机规模!$C$19:$N$19</c:f>
              <c:numCache>
                <c:formatCode>General</c:formatCode>
                <c:ptCount val="12"/>
                <c:pt idx="0">
                  <c:v>51.5</c:v>
                </c:pt>
                <c:pt idx="1">
                  <c:v>92.4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6E-467C-8122-28E90E76C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3131135"/>
        <c:axId val="2043137855"/>
      </c:barChart>
      <c:catAx>
        <c:axId val="204313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楷体" panose="02010609060101010101" pitchFamily="49" charset="-122"/>
                <a:ea typeface="楷体" panose="02010609060101010101" pitchFamily="49" charset="-122"/>
                <a:cs typeface="+mn-cs"/>
              </a:defRPr>
            </a:pPr>
            <a:endParaRPr lang="zh-CN"/>
          </a:p>
        </c:txPr>
        <c:crossAx val="2043137855"/>
        <c:crosses val="autoZero"/>
        <c:auto val="1"/>
        <c:lblAlgn val="ctr"/>
        <c:lblOffset val="100"/>
        <c:noMultiLvlLbl val="0"/>
      </c:catAx>
      <c:valAx>
        <c:axId val="2043137855"/>
        <c:scaling>
          <c:orientation val="minMax"/>
        </c:scaling>
        <c:delete val="0"/>
        <c:axPos val="l"/>
        <c:numFmt formatCode="0_ 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313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671232876712297"/>
          <c:y val="2.6490066225165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楷体" panose="02010609060101010101" pitchFamily="49" charset="-122"/>
              <a:ea typeface="楷体" panose="0201060906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5848643919510104E-2"/>
          <c:y val="0.101454505686789"/>
          <c:w val="0.90295713035870495"/>
          <c:h val="0.7027992855059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'中国动力电池产量-动力电池联盟'!$B$56</c:f>
              <c:strCache>
                <c:ptCount val="1"/>
                <c:pt idx="0">
                  <c:v>三元材料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'中国动力电池产量-动力电池联盟'!$A$69:$A$119</c15:sqref>
                  </c15:fullRef>
                </c:ext>
              </c:extLst>
              <c:f>'中国动力电池产量-动力电池联盟'!$A$81:$A$119</c:f>
              <c:numCache>
                <c:formatCode>0.00_ </c:formatCode>
                <c:ptCount val="39"/>
                <c:pt idx="0">
                  <c:v>2021.01</c:v>
                </c:pt>
                <c:pt idx="1">
                  <c:v>2021.02</c:v>
                </c:pt>
                <c:pt idx="2">
                  <c:v>2021.03</c:v>
                </c:pt>
                <c:pt idx="3">
                  <c:v>2021.04</c:v>
                </c:pt>
                <c:pt idx="4">
                  <c:v>2021.05</c:v>
                </c:pt>
                <c:pt idx="5">
                  <c:v>2021.06</c:v>
                </c:pt>
                <c:pt idx="6">
                  <c:v>2021.07</c:v>
                </c:pt>
                <c:pt idx="7">
                  <c:v>2021.08</c:v>
                </c:pt>
                <c:pt idx="8">
                  <c:v>2021.09</c:v>
                </c:pt>
                <c:pt idx="9">
                  <c:v>2021.1</c:v>
                </c:pt>
                <c:pt idx="10">
                  <c:v>2021.11</c:v>
                </c:pt>
                <c:pt idx="11">
                  <c:v>2021.12</c:v>
                </c:pt>
                <c:pt idx="12">
                  <c:v>2022.01</c:v>
                </c:pt>
                <c:pt idx="13">
                  <c:v>2022.02</c:v>
                </c:pt>
                <c:pt idx="14">
                  <c:v>2022.03</c:v>
                </c:pt>
                <c:pt idx="15">
                  <c:v>2022.04</c:v>
                </c:pt>
                <c:pt idx="16">
                  <c:v>2022.05</c:v>
                </c:pt>
                <c:pt idx="17">
                  <c:v>2022.06</c:v>
                </c:pt>
                <c:pt idx="18">
                  <c:v>2022.07</c:v>
                </c:pt>
                <c:pt idx="19">
                  <c:v>2022.08</c:v>
                </c:pt>
                <c:pt idx="20">
                  <c:v>2022.09</c:v>
                </c:pt>
                <c:pt idx="21">
                  <c:v>2022.1</c:v>
                </c:pt>
                <c:pt idx="22">
                  <c:v>2022.11</c:v>
                </c:pt>
                <c:pt idx="23">
                  <c:v>2022.12</c:v>
                </c:pt>
                <c:pt idx="24">
                  <c:v>2023.01</c:v>
                </c:pt>
                <c:pt idx="25">
                  <c:v>2023.02</c:v>
                </c:pt>
                <c:pt idx="26">
                  <c:v>2023.03</c:v>
                </c:pt>
                <c:pt idx="27">
                  <c:v>2023.04</c:v>
                </c:pt>
                <c:pt idx="28">
                  <c:v>2023.05</c:v>
                </c:pt>
                <c:pt idx="29">
                  <c:v>2023.06</c:v>
                </c:pt>
                <c:pt idx="30">
                  <c:v>2023.07</c:v>
                </c:pt>
                <c:pt idx="31">
                  <c:v>2023.08</c:v>
                </c:pt>
                <c:pt idx="32">
                  <c:v>2023.09</c:v>
                </c:pt>
                <c:pt idx="33">
                  <c:v>2023.1</c:v>
                </c:pt>
                <c:pt idx="34">
                  <c:v>2023.11</c:v>
                </c:pt>
                <c:pt idx="35">
                  <c:v>2023.12</c:v>
                </c:pt>
                <c:pt idx="36">
                  <c:v>2024.01</c:v>
                </c:pt>
                <c:pt idx="37">
                  <c:v>2024.02</c:v>
                </c:pt>
                <c:pt idx="38">
                  <c:v>2024.03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'中国动力电池产量-动力电池联盟'!$B$69:$B$119</c15:sqref>
                  </c15:fullRef>
                </c:ext>
              </c:extLst>
              <c:f>'中国动力电池产量-动力电池联盟'!$B$81:$B$119</c:f>
              <c:numCache>
                <c:formatCode>0.0_);[Red]\(0.0\)</c:formatCode>
                <c:ptCount val="39"/>
                <c:pt idx="0">
                  <c:v>6847.5</c:v>
                </c:pt>
                <c:pt idx="1">
                  <c:v>5122.1000000000004</c:v>
                </c:pt>
                <c:pt idx="2">
                  <c:v>5824.8</c:v>
                </c:pt>
                <c:pt idx="3">
                  <c:v>6705.1</c:v>
                </c:pt>
                <c:pt idx="4">
                  <c:v>4999.5</c:v>
                </c:pt>
                <c:pt idx="5">
                  <c:v>7356.2</c:v>
                </c:pt>
                <c:pt idx="6">
                  <c:v>7986.2</c:v>
                </c:pt>
                <c:pt idx="7">
                  <c:v>8366.7000000000007</c:v>
                </c:pt>
                <c:pt idx="8">
                  <c:v>9630.2000000000007</c:v>
                </c:pt>
                <c:pt idx="9">
                  <c:v>9200.2000000000007</c:v>
                </c:pt>
                <c:pt idx="10">
                  <c:v>10388.700000000001</c:v>
                </c:pt>
                <c:pt idx="11">
                  <c:v>11435.2</c:v>
                </c:pt>
                <c:pt idx="12">
                  <c:v>10815.3</c:v>
                </c:pt>
                <c:pt idx="13">
                  <c:v>11639.1</c:v>
                </c:pt>
                <c:pt idx="14">
                  <c:v>15568.2</c:v>
                </c:pt>
                <c:pt idx="15">
                  <c:v>10295.4</c:v>
                </c:pt>
                <c:pt idx="16">
                  <c:v>16282.4</c:v>
                </c:pt>
                <c:pt idx="17">
                  <c:v>18312.3</c:v>
                </c:pt>
                <c:pt idx="18">
                  <c:v>16583.8</c:v>
                </c:pt>
                <c:pt idx="19">
                  <c:v>19250.599999999999</c:v>
                </c:pt>
                <c:pt idx="20">
                  <c:v>24278.3</c:v>
                </c:pt>
                <c:pt idx="21">
                  <c:v>24240</c:v>
                </c:pt>
                <c:pt idx="22">
                  <c:v>24201.8</c:v>
                </c:pt>
                <c:pt idx="23">
                  <c:v>18464.8</c:v>
                </c:pt>
                <c:pt idx="24">
                  <c:v>9812.9</c:v>
                </c:pt>
                <c:pt idx="25">
                  <c:v>14553.4</c:v>
                </c:pt>
                <c:pt idx="26">
                  <c:v>18226.8</c:v>
                </c:pt>
                <c:pt idx="27">
                  <c:v>17597.2</c:v>
                </c:pt>
                <c:pt idx="28">
                  <c:v>18611</c:v>
                </c:pt>
                <c:pt idx="29">
                  <c:v>17696.599999999999</c:v>
                </c:pt>
                <c:pt idx="30">
                  <c:v>20394.3</c:v>
                </c:pt>
                <c:pt idx="31">
                  <c:v>23132.799999999999</c:v>
                </c:pt>
                <c:pt idx="32">
                  <c:v>25300</c:v>
                </c:pt>
                <c:pt idx="33">
                  <c:v>23600</c:v>
                </c:pt>
                <c:pt idx="34">
                  <c:v>27800</c:v>
                </c:pt>
                <c:pt idx="35">
                  <c:v>25000</c:v>
                </c:pt>
                <c:pt idx="36">
                  <c:v>22700</c:v>
                </c:pt>
                <c:pt idx="37">
                  <c:v>14800</c:v>
                </c:pt>
                <c:pt idx="38">
                  <c:v>24200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9-4611-8E27-29C5675FB0DD}"/>
            </c:ext>
          </c:extLst>
        </c:ser>
        <c:ser>
          <c:idx val="0"/>
          <c:order val="1"/>
          <c:tx>
            <c:strRef>
              <c:f>'中国动力电池产量-动力电池联盟'!$C$56</c:f>
              <c:strCache>
                <c:ptCount val="1"/>
                <c:pt idx="0">
                  <c:v>磷酸铁锂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'中国动力电池产量-动力电池联盟'!$A$69:$A$119</c15:sqref>
                  </c15:fullRef>
                </c:ext>
              </c:extLst>
              <c:f>'中国动力电池产量-动力电池联盟'!$A$81:$A$119</c:f>
              <c:numCache>
                <c:formatCode>0.00_ </c:formatCode>
                <c:ptCount val="39"/>
                <c:pt idx="0">
                  <c:v>2021.01</c:v>
                </c:pt>
                <c:pt idx="1">
                  <c:v>2021.02</c:v>
                </c:pt>
                <c:pt idx="2">
                  <c:v>2021.03</c:v>
                </c:pt>
                <c:pt idx="3">
                  <c:v>2021.04</c:v>
                </c:pt>
                <c:pt idx="4">
                  <c:v>2021.05</c:v>
                </c:pt>
                <c:pt idx="5">
                  <c:v>2021.06</c:v>
                </c:pt>
                <c:pt idx="6">
                  <c:v>2021.07</c:v>
                </c:pt>
                <c:pt idx="7">
                  <c:v>2021.08</c:v>
                </c:pt>
                <c:pt idx="8">
                  <c:v>2021.09</c:v>
                </c:pt>
                <c:pt idx="9">
                  <c:v>2021.1</c:v>
                </c:pt>
                <c:pt idx="10">
                  <c:v>2021.11</c:v>
                </c:pt>
                <c:pt idx="11">
                  <c:v>2021.12</c:v>
                </c:pt>
                <c:pt idx="12">
                  <c:v>2022.01</c:v>
                </c:pt>
                <c:pt idx="13">
                  <c:v>2022.02</c:v>
                </c:pt>
                <c:pt idx="14">
                  <c:v>2022.03</c:v>
                </c:pt>
                <c:pt idx="15">
                  <c:v>2022.04</c:v>
                </c:pt>
                <c:pt idx="16">
                  <c:v>2022.05</c:v>
                </c:pt>
                <c:pt idx="17">
                  <c:v>2022.06</c:v>
                </c:pt>
                <c:pt idx="18">
                  <c:v>2022.07</c:v>
                </c:pt>
                <c:pt idx="19">
                  <c:v>2022.08</c:v>
                </c:pt>
                <c:pt idx="20">
                  <c:v>2022.09</c:v>
                </c:pt>
                <c:pt idx="21">
                  <c:v>2022.1</c:v>
                </c:pt>
                <c:pt idx="22">
                  <c:v>2022.11</c:v>
                </c:pt>
                <c:pt idx="23">
                  <c:v>2022.12</c:v>
                </c:pt>
                <c:pt idx="24">
                  <c:v>2023.01</c:v>
                </c:pt>
                <c:pt idx="25">
                  <c:v>2023.02</c:v>
                </c:pt>
                <c:pt idx="26">
                  <c:v>2023.03</c:v>
                </c:pt>
                <c:pt idx="27">
                  <c:v>2023.04</c:v>
                </c:pt>
                <c:pt idx="28">
                  <c:v>2023.05</c:v>
                </c:pt>
                <c:pt idx="29">
                  <c:v>2023.06</c:v>
                </c:pt>
                <c:pt idx="30">
                  <c:v>2023.07</c:v>
                </c:pt>
                <c:pt idx="31">
                  <c:v>2023.08</c:v>
                </c:pt>
                <c:pt idx="32">
                  <c:v>2023.09</c:v>
                </c:pt>
                <c:pt idx="33">
                  <c:v>2023.1</c:v>
                </c:pt>
                <c:pt idx="34">
                  <c:v>2023.11</c:v>
                </c:pt>
                <c:pt idx="35">
                  <c:v>2023.12</c:v>
                </c:pt>
                <c:pt idx="36">
                  <c:v>2024.01</c:v>
                </c:pt>
                <c:pt idx="37">
                  <c:v>2024.02</c:v>
                </c:pt>
                <c:pt idx="38">
                  <c:v>2024.03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'中国动力电池产量-动力电池联盟'!$C$69:$C$119</c15:sqref>
                  </c15:fullRef>
                </c:ext>
              </c:extLst>
              <c:f>'中国动力电池产量-动力电池联盟'!$C$81:$C$119</c:f>
              <c:numCache>
                <c:formatCode>0.0_);[Red]\(0.0\)</c:formatCode>
                <c:ptCount val="39"/>
                <c:pt idx="0">
                  <c:v>5193.7</c:v>
                </c:pt>
                <c:pt idx="1">
                  <c:v>4320.7</c:v>
                </c:pt>
                <c:pt idx="2">
                  <c:v>5447.6</c:v>
                </c:pt>
                <c:pt idx="3">
                  <c:v>6192.6</c:v>
                </c:pt>
                <c:pt idx="4">
                  <c:v>8765.9</c:v>
                </c:pt>
                <c:pt idx="5">
                  <c:v>7777.4</c:v>
                </c:pt>
                <c:pt idx="6">
                  <c:v>9330.2999999999993</c:v>
                </c:pt>
                <c:pt idx="7">
                  <c:v>11085.8</c:v>
                </c:pt>
                <c:pt idx="8">
                  <c:v>13514.1</c:v>
                </c:pt>
                <c:pt idx="9">
                  <c:v>15892.1</c:v>
                </c:pt>
                <c:pt idx="10">
                  <c:v>17798.2</c:v>
                </c:pt>
                <c:pt idx="11">
                  <c:v>20059.8</c:v>
                </c:pt>
                <c:pt idx="12">
                  <c:v>18790.099999999999</c:v>
                </c:pt>
                <c:pt idx="13">
                  <c:v>20052.2</c:v>
                </c:pt>
                <c:pt idx="14">
                  <c:v>23581.7</c:v>
                </c:pt>
                <c:pt idx="15">
                  <c:v>18623.400000000001</c:v>
                </c:pt>
                <c:pt idx="16">
                  <c:v>19233.900000000001</c:v>
                </c:pt>
                <c:pt idx="17">
                  <c:v>22929.9</c:v>
                </c:pt>
                <c:pt idx="18">
                  <c:v>30603.3</c:v>
                </c:pt>
                <c:pt idx="19">
                  <c:v>30768.1</c:v>
                </c:pt>
                <c:pt idx="20">
                  <c:v>34779.800000000003</c:v>
                </c:pt>
                <c:pt idx="21">
                  <c:v>38551</c:v>
                </c:pt>
                <c:pt idx="22">
                  <c:v>39109.300000000003</c:v>
                </c:pt>
                <c:pt idx="23">
                  <c:v>33895.4</c:v>
                </c:pt>
                <c:pt idx="24">
                  <c:v>18320</c:v>
                </c:pt>
                <c:pt idx="25">
                  <c:v>26811.1</c:v>
                </c:pt>
                <c:pt idx="26">
                  <c:v>32892</c:v>
                </c:pt>
                <c:pt idx="27">
                  <c:v>29319.3</c:v>
                </c:pt>
                <c:pt idx="28">
                  <c:v>37817.699999999997</c:v>
                </c:pt>
                <c:pt idx="29">
                  <c:v>42242.9</c:v>
                </c:pt>
                <c:pt idx="30">
                  <c:v>40499.300000000003</c:v>
                </c:pt>
                <c:pt idx="31">
                  <c:v>50032.9</c:v>
                </c:pt>
                <c:pt idx="32">
                  <c:v>51900</c:v>
                </c:pt>
                <c:pt idx="33">
                  <c:v>53600</c:v>
                </c:pt>
                <c:pt idx="34">
                  <c:v>59800</c:v>
                </c:pt>
                <c:pt idx="35">
                  <c:v>52500</c:v>
                </c:pt>
                <c:pt idx="36">
                  <c:v>42400</c:v>
                </c:pt>
                <c:pt idx="37">
                  <c:v>28600</c:v>
                </c:pt>
                <c:pt idx="38">
                  <c:v>51400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B9-4611-8E27-29C5675FB0DD}"/>
            </c:ext>
          </c:extLst>
        </c:ser>
        <c:ser>
          <c:idx val="1"/>
          <c:order val="2"/>
          <c:tx>
            <c:strRef>
              <c:f>'中国动力电池产量-动力电池联盟'!$D$56</c:f>
              <c:strCache>
                <c:ptCount val="1"/>
                <c:pt idx="0">
                  <c:v>其他</c:v>
                </c:pt>
              </c:strCache>
            </c:strRef>
          </c:tx>
          <c:spPr>
            <a:solidFill>
              <a:sysClr val="windowText" lastClr="000000"/>
            </a:solidFill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'中国动力电池产量-动力电池联盟'!$A$69:$A$119</c15:sqref>
                  </c15:fullRef>
                </c:ext>
              </c:extLst>
              <c:f>'中国动力电池产量-动力电池联盟'!$A$81:$A$119</c:f>
              <c:numCache>
                <c:formatCode>0.00_ </c:formatCode>
                <c:ptCount val="39"/>
                <c:pt idx="0">
                  <c:v>2021.01</c:v>
                </c:pt>
                <c:pt idx="1">
                  <c:v>2021.02</c:v>
                </c:pt>
                <c:pt idx="2">
                  <c:v>2021.03</c:v>
                </c:pt>
                <c:pt idx="3">
                  <c:v>2021.04</c:v>
                </c:pt>
                <c:pt idx="4">
                  <c:v>2021.05</c:v>
                </c:pt>
                <c:pt idx="5">
                  <c:v>2021.06</c:v>
                </c:pt>
                <c:pt idx="6">
                  <c:v>2021.07</c:v>
                </c:pt>
                <c:pt idx="7">
                  <c:v>2021.08</c:v>
                </c:pt>
                <c:pt idx="8">
                  <c:v>2021.09</c:v>
                </c:pt>
                <c:pt idx="9">
                  <c:v>2021.1</c:v>
                </c:pt>
                <c:pt idx="10">
                  <c:v>2021.11</c:v>
                </c:pt>
                <c:pt idx="11">
                  <c:v>2021.12</c:v>
                </c:pt>
                <c:pt idx="12">
                  <c:v>2022.01</c:v>
                </c:pt>
                <c:pt idx="13">
                  <c:v>2022.02</c:v>
                </c:pt>
                <c:pt idx="14">
                  <c:v>2022.03</c:v>
                </c:pt>
                <c:pt idx="15">
                  <c:v>2022.04</c:v>
                </c:pt>
                <c:pt idx="16">
                  <c:v>2022.05</c:v>
                </c:pt>
                <c:pt idx="17">
                  <c:v>2022.06</c:v>
                </c:pt>
                <c:pt idx="18">
                  <c:v>2022.07</c:v>
                </c:pt>
                <c:pt idx="19">
                  <c:v>2022.08</c:v>
                </c:pt>
                <c:pt idx="20">
                  <c:v>2022.09</c:v>
                </c:pt>
                <c:pt idx="21">
                  <c:v>2022.1</c:v>
                </c:pt>
                <c:pt idx="22">
                  <c:v>2022.11</c:v>
                </c:pt>
                <c:pt idx="23">
                  <c:v>2022.12</c:v>
                </c:pt>
                <c:pt idx="24">
                  <c:v>2023.01</c:v>
                </c:pt>
                <c:pt idx="25">
                  <c:v>2023.02</c:v>
                </c:pt>
                <c:pt idx="26">
                  <c:v>2023.03</c:v>
                </c:pt>
                <c:pt idx="27">
                  <c:v>2023.04</c:v>
                </c:pt>
                <c:pt idx="28">
                  <c:v>2023.05</c:v>
                </c:pt>
                <c:pt idx="29">
                  <c:v>2023.06</c:v>
                </c:pt>
                <c:pt idx="30">
                  <c:v>2023.07</c:v>
                </c:pt>
                <c:pt idx="31">
                  <c:v>2023.08</c:v>
                </c:pt>
                <c:pt idx="32">
                  <c:v>2023.09</c:v>
                </c:pt>
                <c:pt idx="33">
                  <c:v>2023.1</c:v>
                </c:pt>
                <c:pt idx="34">
                  <c:v>2023.11</c:v>
                </c:pt>
                <c:pt idx="35">
                  <c:v>2023.12</c:v>
                </c:pt>
                <c:pt idx="36">
                  <c:v>2024.01</c:v>
                </c:pt>
                <c:pt idx="37">
                  <c:v>2024.02</c:v>
                </c:pt>
                <c:pt idx="38">
                  <c:v>2024.03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'中国动力电池产量-动力电池联盟'!$D$69:$D$119</c15:sqref>
                  </c15:fullRef>
                </c:ext>
              </c:extLst>
              <c:f>'中国动力电池产量-动力电池联盟'!$D$81:$D$119</c:f>
              <c:numCache>
                <c:formatCode>0.0_);[Red]\(0.0\)</c:formatCode>
                <c:ptCount val="39"/>
                <c:pt idx="0">
                  <c:v>7.9000000000005457</c:v>
                </c:pt>
                <c:pt idx="1">
                  <c:v>8.5999999999994543</c:v>
                </c:pt>
                <c:pt idx="2">
                  <c:v>9.1999999999998181</c:v>
                </c:pt>
                <c:pt idx="3">
                  <c:v>28.699999999998909</c:v>
                </c:pt>
                <c:pt idx="4">
                  <c:v>28</c:v>
                </c:pt>
                <c:pt idx="5">
                  <c:v>63.500000000000909</c:v>
                </c:pt>
                <c:pt idx="6">
                  <c:v>35.400000000001455</c:v>
                </c:pt>
                <c:pt idx="7">
                  <c:v>29.200000000000728</c:v>
                </c:pt>
                <c:pt idx="8">
                  <c:v>24.999999999998181</c:v>
                </c:pt>
                <c:pt idx="9">
                  <c:v>30.199999999998909</c:v>
                </c:pt>
                <c:pt idx="10">
                  <c:v>43.599999999998545</c:v>
                </c:pt>
                <c:pt idx="11">
                  <c:v>136.5</c:v>
                </c:pt>
                <c:pt idx="12">
                  <c:v>58.30000000000291</c:v>
                </c:pt>
                <c:pt idx="13">
                  <c:v>81.100000000002183</c:v>
                </c:pt>
                <c:pt idx="14">
                  <c:v>29.299999999995634</c:v>
                </c:pt>
                <c:pt idx="15">
                  <c:v>45.299999999995634</c:v>
                </c:pt>
                <c:pt idx="16">
                  <c:v>62.099999999998545</c:v>
                </c:pt>
                <c:pt idx="17">
                  <c:v>51.700000000000728</c:v>
                </c:pt>
                <c:pt idx="18">
                  <c:v>46.30000000000291</c:v>
                </c:pt>
                <c:pt idx="19">
                  <c:v>42.900000000001455</c:v>
                </c:pt>
                <c:pt idx="20">
                  <c:v>66.099999999991269</c:v>
                </c:pt>
                <c:pt idx="21">
                  <c:v>28.5</c:v>
                </c:pt>
                <c:pt idx="22">
                  <c:v>95.19999999999709</c:v>
                </c:pt>
                <c:pt idx="23">
                  <c:v>108.40000000000146</c:v>
                </c:pt>
                <c:pt idx="24">
                  <c:v>36.4</c:v>
                </c:pt>
                <c:pt idx="25">
                  <c:v>86</c:v>
                </c:pt>
                <c:pt idx="26">
                  <c:v>67.2</c:v>
                </c:pt>
                <c:pt idx="27">
                  <c:v>41.8</c:v>
                </c:pt>
                <c:pt idx="28">
                  <c:v>127.40000000000146</c:v>
                </c:pt>
                <c:pt idx="29">
                  <c:v>176.59999999999854</c:v>
                </c:pt>
                <c:pt idx="30">
                  <c:v>102.19999999999709</c:v>
                </c:pt>
                <c:pt idx="31">
                  <c:v>179.3</c:v>
                </c:pt>
                <c:pt idx="32">
                  <c:v>200</c:v>
                </c:pt>
                <c:pt idx="33">
                  <c:v>100</c:v>
                </c:pt>
                <c:pt idx="34">
                  <c:v>200</c:v>
                </c:pt>
                <c:pt idx="35">
                  <c:v>200</c:v>
                </c:pt>
                <c:pt idx="36">
                  <c:v>100</c:v>
                </c:pt>
                <c:pt idx="37">
                  <c:v>100</c:v>
                </c:pt>
                <c:pt idx="38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B9-4611-8E27-29C5675FB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006900040"/>
        <c:axId val="1"/>
      </c:barChart>
      <c:catAx>
        <c:axId val="100690004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000000"/>
                    </a:solidFill>
                    <a:latin typeface="Arial" panose="020B0604020202020204" pitchFamily="7" charset="0"/>
                    <a:ea typeface="楷体" panose="02010609060101010101" pitchFamily="49" charset="-122"/>
                    <a:cs typeface="Arial" panose="020B0604020202020204" pitchFamily="7" charset="0"/>
                  </a:defRPr>
                </a:pPr>
                <a:r>
                  <a:rPr lang="en-US" altLang="zh-CN"/>
                  <a:t>MWh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4.2784339457567801E-3"/>
              <c:y val="3.0322251385243499E-3"/>
            </c:manualLayout>
          </c:layout>
          <c:overlay val="0"/>
        </c:title>
        <c:numFmt formatCode="0.00_ " sourceLinked="1"/>
        <c:majorTickMark val="out"/>
        <c:minorTickMark val="none"/>
        <c:tickLblPos val="nextTo"/>
        <c:spPr>
          <a:ln w="9525" cap="flat" cmpd="sng" algn="ctr">
            <a:solidFill>
              <a:srgbClr val="D7D7D7"/>
            </a:solidFill>
            <a:prstDash val="solid"/>
            <a:round/>
          </a:ln>
        </c:spPr>
        <c:txPr>
          <a:bodyPr rot="-54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Arial" panose="020B0604020202020204" pitchFamily="7" charset="0"/>
                <a:ea typeface="楷体" panose="02010609060101010101" pitchFamily="49" charset="-122"/>
                <a:cs typeface="Arial" panose="020B0604020202020204" pitchFamily="7" charset="0"/>
              </a:defRPr>
            </a:pPr>
            <a:endParaRPr lang="zh-CN"/>
          </a:p>
        </c:txPr>
        <c:crossAx val="1"/>
        <c:crosses val="autoZero"/>
        <c:auto val="0"/>
        <c:lblAlgn val="ctr"/>
        <c:lblOffset val="100"/>
        <c:tickLbl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525" cap="flat" cmpd="sng" algn="ctr">
            <a:solidFill>
              <a:srgbClr val="D7D7D7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Arial" panose="020B0604020202020204" pitchFamily="7" charset="0"/>
                <a:ea typeface="楷体" panose="02010609060101010101" pitchFamily="49" charset="-122"/>
                <a:cs typeface="Arial" panose="020B0604020202020204" pitchFamily="7" charset="0"/>
              </a:defRPr>
            </a:pPr>
            <a:endParaRPr lang="zh-CN"/>
          </a:p>
        </c:txPr>
        <c:crossAx val="10069000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Arial" panose="020B0604020202020204" pitchFamily="7" charset="0"/>
              <a:ea typeface="楷体" panose="02010609060101010101" pitchFamily="49" charset="-122"/>
              <a:cs typeface="Arial" panose="020B0604020202020204" pitchFamily="7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</c:spPr>
  <c:txPr>
    <a:bodyPr/>
    <a:lstStyle/>
    <a:p>
      <a:pPr>
        <a:defRPr lang="zh-CN" sz="900" b="0" i="0" u="none" strike="noStrike" baseline="0">
          <a:solidFill>
            <a:srgbClr val="000000"/>
          </a:solidFill>
          <a:latin typeface="Arial" panose="020B0604020202020204" pitchFamily="7" charset="0"/>
          <a:ea typeface="楷体" panose="02010609060101010101" pitchFamily="49" charset="-122"/>
          <a:cs typeface="Arial" panose="020B0604020202020204" pitchFamily="7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2916885389326294E-2"/>
          <c:y val="0.14775070392029499"/>
          <c:w val="0.89305489938757698"/>
          <c:h val="0.744605934674832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5E76AA"/>
            </a:solidFill>
          </c:spPr>
          <c:invertIfNegative val="0"/>
          <c:cat>
            <c:strRef>
              <c:f>中国动力和储能电池销量!$H$20:$N$20</c:f>
              <c:strCache>
                <c:ptCount val="7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  <c:pt idx="3">
                  <c:v>9月</c:v>
                </c:pt>
                <c:pt idx="4">
                  <c:v>10月</c:v>
                </c:pt>
                <c:pt idx="5">
                  <c:v>11月</c:v>
                </c:pt>
                <c:pt idx="6">
                  <c:v>12月</c:v>
                </c:pt>
              </c:strCache>
            </c:strRef>
          </c:cat>
          <c:val>
            <c:numRef>
              <c:f>中国动力和储能电池销量!$H$21:$N$21</c:f>
              <c:numCache>
                <c:formatCode>#,##0.0</c:formatCode>
                <c:ptCount val="7"/>
                <c:pt idx="0">
                  <c:v>8.6999999999999993</c:v>
                </c:pt>
                <c:pt idx="1">
                  <c:v>4.3</c:v>
                </c:pt>
                <c:pt idx="2">
                  <c:v>9.9</c:v>
                </c:pt>
                <c:pt idx="3">
                  <c:v>11.5</c:v>
                </c:pt>
                <c:pt idx="4">
                  <c:v>13.9</c:v>
                </c:pt>
                <c:pt idx="5">
                  <c:v>16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32-4C85-A05A-C540410C2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006900040"/>
        <c:axId val="1"/>
      </c:barChart>
      <c:catAx>
        <c:axId val="100690004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000000"/>
                    </a:solidFill>
                    <a:latin typeface="Arial" panose="020B0604020202020204" pitchFamily="7" charset="0"/>
                    <a:ea typeface="楷体" panose="02010609060101010101" pitchFamily="49" charset="-122"/>
                    <a:cs typeface="Arial" panose="020B0604020202020204" pitchFamily="7" charset="0"/>
                  </a:defRPr>
                </a:pPr>
                <a:r>
                  <a:rPr lang="en-US" altLang="zh-CN"/>
                  <a:t>GWh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6.94422572178479E-3"/>
              <c:y val="5.231481481481489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9525" cap="flat" cmpd="sng" algn="ctr">
            <a:solidFill>
              <a:srgbClr val="D7D7D7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Arial" panose="020B0604020202020204" pitchFamily="7" charset="0"/>
                <a:ea typeface="楷体" panose="02010609060101010101" pitchFamily="49" charset="-122"/>
                <a:cs typeface="Arial" panose="020B0604020202020204" pitchFamily="7" charset="0"/>
              </a:defRPr>
            </a:pPr>
            <a:endParaRPr lang="zh-CN"/>
          </a:p>
        </c:txPr>
        <c:crossAx val="1"/>
        <c:crosses val="autoZero"/>
        <c:auto val="0"/>
        <c:lblAlgn val="ctr"/>
        <c:lblOffset val="100"/>
        <c:tickLbl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525" cap="flat" cmpd="sng" algn="ctr">
            <a:solidFill>
              <a:srgbClr val="D7D7D7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Arial" panose="020B0604020202020204" pitchFamily="7" charset="0"/>
                <a:ea typeface="楷体" panose="02010609060101010101" pitchFamily="49" charset="-122"/>
                <a:cs typeface="Arial" panose="020B0604020202020204" pitchFamily="7" charset="0"/>
              </a:defRPr>
            </a:pPr>
            <a:endParaRPr lang="zh-CN"/>
          </a:p>
        </c:txPr>
        <c:crossAx val="10069000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6.8506780402449702E-2"/>
          <c:y val="3.5265865280485302E-2"/>
          <c:w val="0.83427099737532795"/>
          <c:h val="0.101988845570717"/>
        </c:manualLayout>
      </c:layout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rgbClr val="000000"/>
              </a:solidFill>
              <a:latin typeface="Arial" panose="020B0604020202020204" pitchFamily="7" charset="0"/>
              <a:ea typeface="楷体" panose="02010609060101010101" pitchFamily="49" charset="-122"/>
              <a:cs typeface="Arial" panose="020B0604020202020204" pitchFamily="7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</c:spPr>
  <c:txPr>
    <a:bodyPr/>
    <a:lstStyle/>
    <a:p>
      <a:pPr>
        <a:defRPr lang="zh-CN" sz="900" b="0" i="0" u="none" strike="noStrike" baseline="0">
          <a:solidFill>
            <a:srgbClr val="000000"/>
          </a:solidFill>
          <a:latin typeface="Arial" panose="020B0604020202020204" pitchFamily="7" charset="0"/>
          <a:ea typeface="楷体" panose="02010609060101010101" pitchFamily="49" charset="-122"/>
          <a:cs typeface="Arial" panose="020B0604020202020204" pitchFamily="7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4900481189851301E-2"/>
          <c:y val="0.12638888888888899"/>
          <c:w val="0.83186570428696405"/>
          <c:h val="0.7688292850319510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储能电池销量及出口情况!$H$1</c:f>
              <c:strCache>
                <c:ptCount val="1"/>
                <c:pt idx="0">
                  <c:v>储能电池销量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储能电池销量及出口情况!$L$57:$L$66</c:f>
              <c:numCache>
                <c:formatCode>yyyy"年"m"月";@</c:formatCode>
                <c:ptCount val="10"/>
                <c:pt idx="0" formatCode="yy&quot;年&quot;m&quot;月&quot;">
                  <c:v>45078</c:v>
                </c:pt>
                <c:pt idx="1">
                  <c:v>45108</c:v>
                </c:pt>
                <c:pt idx="2" formatCode="yy&quot;年&quot;m&quot;月&quot;">
                  <c:v>45139</c:v>
                </c:pt>
                <c:pt idx="3">
                  <c:v>45170</c:v>
                </c:pt>
                <c:pt idx="4" formatCode="yy&quot;年&quot;m&quot;月&quot;">
                  <c:v>45200</c:v>
                </c:pt>
                <c:pt idx="5">
                  <c:v>45231</c:v>
                </c:pt>
                <c:pt idx="6" formatCode="yy&quot;年&quot;m&quot;月&quot;">
                  <c:v>45261</c:v>
                </c:pt>
                <c:pt idx="7" formatCode="yy&quot;年&quot;m&quot;月&quot;">
                  <c:v>45292</c:v>
                </c:pt>
                <c:pt idx="8" formatCode="yy&quot;年&quot;m&quot;月&quot;">
                  <c:v>45323</c:v>
                </c:pt>
                <c:pt idx="9" formatCode="yy&quot;年&quot;m&quot;月&quot;">
                  <c:v>45352</c:v>
                </c:pt>
              </c:numCache>
            </c:numRef>
          </c:cat>
          <c:val>
            <c:numRef>
              <c:f>储能电池销量及出口情况!$J$57:$J$66</c:f>
              <c:numCache>
                <c:formatCode>0.0_);[Red]\(0.0\)</c:formatCode>
                <c:ptCount val="10"/>
                <c:pt idx="0">
                  <c:v>8713.6</c:v>
                </c:pt>
                <c:pt idx="1">
                  <c:v>4289.97</c:v>
                </c:pt>
                <c:pt idx="2">
                  <c:v>9939.5</c:v>
                </c:pt>
                <c:pt idx="3">
                  <c:v>11500</c:v>
                </c:pt>
                <c:pt idx="4">
                  <c:v>13900</c:v>
                </c:pt>
                <c:pt idx="5">
                  <c:v>16000</c:v>
                </c:pt>
                <c:pt idx="6">
                  <c:v>18100</c:v>
                </c:pt>
                <c:pt idx="7">
                  <c:v>6700</c:v>
                </c:pt>
                <c:pt idx="8" formatCode="0.00_ ">
                  <c:v>3800</c:v>
                </c:pt>
                <c:pt idx="9" formatCode="0.00_ ">
                  <c:v>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B-4EC6-B102-6F7F722F33FB}"/>
            </c:ext>
          </c:extLst>
        </c:ser>
        <c:ser>
          <c:idx val="2"/>
          <c:order val="1"/>
          <c:tx>
            <c:strRef>
              <c:f>储能电池销量及出口情况!$M$1</c:f>
              <c:strCache>
                <c:ptCount val="1"/>
                <c:pt idx="0">
                  <c:v>储能电池出口情况</c:v>
                </c:pt>
              </c:strCache>
            </c:strRef>
          </c:tx>
          <c:spPr>
            <a:solidFill>
              <a:srgbClr val="5B9BD5"/>
            </a:solidFill>
            <a:ln w="28575" cap="rnd">
              <a:noFill/>
              <a:round/>
            </a:ln>
            <a:effectLst/>
          </c:spPr>
          <c:invertIfNegative val="0"/>
          <c:cat>
            <c:numRef>
              <c:f>储能电池销量及出口情况!$L$57:$L$66</c:f>
              <c:numCache>
                <c:formatCode>yyyy"年"m"月";@</c:formatCode>
                <c:ptCount val="10"/>
                <c:pt idx="0" formatCode="yy&quot;年&quot;m&quot;月&quot;">
                  <c:v>45078</c:v>
                </c:pt>
                <c:pt idx="1">
                  <c:v>45108</c:v>
                </c:pt>
                <c:pt idx="2" formatCode="yy&quot;年&quot;m&quot;月&quot;">
                  <c:v>45139</c:v>
                </c:pt>
                <c:pt idx="3">
                  <c:v>45170</c:v>
                </c:pt>
                <c:pt idx="4" formatCode="yy&quot;年&quot;m&quot;月&quot;">
                  <c:v>45200</c:v>
                </c:pt>
                <c:pt idx="5">
                  <c:v>45231</c:v>
                </c:pt>
                <c:pt idx="6" formatCode="yy&quot;年&quot;m&quot;月&quot;">
                  <c:v>45261</c:v>
                </c:pt>
                <c:pt idx="7" formatCode="yy&quot;年&quot;m&quot;月&quot;">
                  <c:v>45292</c:v>
                </c:pt>
                <c:pt idx="8" formatCode="yy&quot;年&quot;m&quot;月&quot;">
                  <c:v>45323</c:v>
                </c:pt>
                <c:pt idx="9" formatCode="yy&quot;年&quot;m&quot;月&quot;">
                  <c:v>45352</c:v>
                </c:pt>
              </c:numCache>
            </c:numRef>
          </c:cat>
          <c:val>
            <c:numRef>
              <c:f>储能电池销量及出口情况!$O$57:$O$66</c:f>
              <c:numCache>
                <c:formatCode>0.0_);[Red]\(0.0\)</c:formatCode>
                <c:ptCount val="10"/>
                <c:pt idx="0">
                  <c:v>1012.6</c:v>
                </c:pt>
                <c:pt idx="1">
                  <c:v>1047.08</c:v>
                </c:pt>
                <c:pt idx="2">
                  <c:v>1843.1999999999998</c:v>
                </c:pt>
                <c:pt idx="3">
                  <c:v>2300</c:v>
                </c:pt>
                <c:pt idx="4">
                  <c:v>3100</c:v>
                </c:pt>
                <c:pt idx="5">
                  <c:v>4900</c:v>
                </c:pt>
                <c:pt idx="6">
                  <c:v>5500</c:v>
                </c:pt>
                <c:pt idx="7">
                  <c:v>200</c:v>
                </c:pt>
                <c:pt idx="8" formatCode="0.00_ ">
                  <c:v>100</c:v>
                </c:pt>
                <c:pt idx="9" formatCode="0.00_ 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4B-4EC6-B102-6F7F722F3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0776895"/>
        <c:axId val="1970926063"/>
      </c:barChart>
      <c:dateAx>
        <c:axId val="197077689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楷体" panose="02010609060101010101" pitchFamily="49" charset="-122"/>
                    <a:ea typeface="楷体" panose="02010609060101010101" pitchFamily="49" charset="-122"/>
                    <a:cs typeface="+mn-cs"/>
                  </a:defRPr>
                </a:pPr>
                <a:r>
                  <a:rPr lang="en-US" altLang="zh-CN"/>
                  <a:t>GWh</a:t>
                </a:r>
              </a:p>
            </c:rich>
          </c:tx>
          <c:layout>
            <c:manualLayout>
              <c:xMode val="edge"/>
              <c:yMode val="edge"/>
              <c:x val="3.6111111111111101E-3"/>
              <c:y val="1.3888888888888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 forceAA="0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楷体" panose="02010609060101010101" pitchFamily="49" charset="-122"/>
                  <a:ea typeface="楷体" panose="02010609060101010101" pitchFamily="49" charset="-122"/>
                  <a:cs typeface="+mn-cs"/>
                </a:defRPr>
              </a:pPr>
              <a:endParaRPr lang="zh-CN"/>
            </a:p>
          </c:txPr>
        </c:title>
        <c:numFmt formatCode="yy&quot;年&quot;m&quot;月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75000"/>
              </a:sys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0926063"/>
        <c:crosses val="autoZero"/>
        <c:auto val="1"/>
        <c:lblOffset val="100"/>
        <c:baseTimeUnit val="months"/>
      </c:dateAx>
      <c:valAx>
        <c:axId val="1970926063"/>
        <c:scaling>
          <c:orientation val="minMax"/>
        </c:scaling>
        <c:delete val="0"/>
        <c:axPos val="l"/>
        <c:numFmt formatCode="0_ " sourceLinked="0"/>
        <c:majorTickMark val="out"/>
        <c:minorTickMark val="none"/>
        <c:tickLblPos val="nextTo"/>
        <c:spPr>
          <a:solidFill>
            <a:schemeClr val="bg1"/>
          </a:solidFill>
          <a:ln>
            <a:solidFill>
              <a:sysClr val="window" lastClr="FFFFFF">
                <a:lumMod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077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楷体" panose="02010609060101010101" pitchFamily="49" charset="-122"/>
              <a:ea typeface="楷体" panose="0201060906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4900481189851301E-2"/>
          <c:y val="0.12638888888888899"/>
          <c:w val="0.83186570428696405"/>
          <c:h val="0.7688292850319510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海外动力电池行业装机规模!$B$3</c:f>
              <c:strCache>
                <c:ptCount val="1"/>
                <c:pt idx="0">
                  <c:v>海外动力电池行业装机规模（除中国）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海外动力电池行业装机规模!$D$2:$G$2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海外动力电池行业装机规模!$D$3:$G$3</c:f>
              <c:numCache>
                <c:formatCode>0.0</c:formatCode>
                <c:ptCount val="4"/>
                <c:pt idx="0">
                  <c:v>81.2</c:v>
                </c:pt>
                <c:pt idx="1">
                  <c:v>147.80000000000001</c:v>
                </c:pt>
                <c:pt idx="2">
                  <c:v>219.3</c:v>
                </c:pt>
                <c:pt idx="3" formatCode="General">
                  <c:v>317.89999999999998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45-42D3-A1C3-C59A51498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0776895"/>
        <c:axId val="1970926063"/>
      </c:barChart>
      <c:lineChart>
        <c:grouping val="standard"/>
        <c:varyColors val="0"/>
        <c:ser>
          <c:idx val="2"/>
          <c:order val="1"/>
          <c:tx>
            <c:strRef>
              <c:f>海外动力电池行业装机规模!$B$4</c:f>
              <c:strCache>
                <c:ptCount val="1"/>
                <c:pt idx="0">
                  <c:v>YOY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海外动力电池行业装机规模!$D$2:$G$2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海外动力电池行业装机规模!$D$4:$G$4</c:f>
              <c:numCache>
                <c:formatCode>0.0%</c:formatCode>
                <c:ptCount val="4"/>
                <c:pt idx="0">
                  <c:v>0.56200000000000006</c:v>
                </c:pt>
                <c:pt idx="1">
                  <c:v>0.79</c:v>
                </c:pt>
                <c:pt idx="2">
                  <c:v>0.45200000000000001</c:v>
                </c:pt>
                <c:pt idx="3">
                  <c:v>0.4496124031007751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45-42D3-A1C3-C59A51498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741584"/>
        <c:axId val="266337775"/>
      </c:lineChart>
      <c:catAx>
        <c:axId val="1970776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楷体" panose="02010609060101010101" pitchFamily="49" charset="-122"/>
                    <a:ea typeface="楷体" panose="02010609060101010101" pitchFamily="49" charset="-122"/>
                    <a:cs typeface="+mn-cs"/>
                  </a:defRPr>
                </a:pPr>
                <a:r>
                  <a:rPr lang="en-US" altLang="zh-CN"/>
                  <a:t>GWh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3.6111111111111101E-3"/>
              <c:y val="1.3888888888888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楷体" panose="02010609060101010101" pitchFamily="49" charset="-122"/>
                  <a:ea typeface="楷体" panose="02010609060101010101" pitchFamily="49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7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0926063"/>
        <c:crosses val="autoZero"/>
        <c:auto val="1"/>
        <c:lblAlgn val="ctr"/>
        <c:lblOffset val="100"/>
        <c:noMultiLvlLbl val="0"/>
      </c:catAx>
      <c:valAx>
        <c:axId val="1970926063"/>
        <c:scaling>
          <c:orientation val="minMax"/>
        </c:scaling>
        <c:delete val="0"/>
        <c:axPos val="l"/>
        <c:numFmt formatCode="0_ " sourceLinked="0"/>
        <c:majorTickMark val="out"/>
        <c:minorTickMark val="none"/>
        <c:tickLblPos val="nextTo"/>
        <c:spPr>
          <a:solidFill>
            <a:schemeClr val="bg1"/>
          </a:solidFill>
          <a:ln>
            <a:solidFill>
              <a:sysClr val="window" lastClr="FFFFFF">
                <a:lumMod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0776895"/>
        <c:crosses val="autoZero"/>
        <c:crossBetween val="between"/>
      </c:valAx>
      <c:catAx>
        <c:axId val="88174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6337775"/>
        <c:crosses val="autoZero"/>
        <c:auto val="1"/>
        <c:lblAlgn val="ctr"/>
        <c:lblOffset val="100"/>
        <c:noMultiLvlLbl val="0"/>
      </c:catAx>
      <c:valAx>
        <c:axId val="266337775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solidFill>
              <a:sysClr val="window" lastClr="FFFFFF">
                <a:lumMod val="8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1741584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楷体" panose="02010609060101010101" pitchFamily="49" charset="-122"/>
              <a:ea typeface="楷体" panose="0201060906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4900481189851301E-2"/>
          <c:y val="0.12638888888888899"/>
          <c:w val="0.83186570428696405"/>
          <c:h val="0.7688292850319510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中国动力电池行业装机规模!$B$3</c:f>
              <c:strCache>
                <c:ptCount val="1"/>
                <c:pt idx="0">
                  <c:v>中国动力电池行业装机规模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中国动力电池行业装机规模!$C$2:$K$2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中国动力电池行业装机规模!$C$3:$K$3</c:f>
              <c:numCache>
                <c:formatCode>General</c:formatCode>
                <c:ptCount val="9"/>
                <c:pt idx="0">
                  <c:v>16.5</c:v>
                </c:pt>
                <c:pt idx="1">
                  <c:v>28.3</c:v>
                </c:pt>
                <c:pt idx="2">
                  <c:v>36.299999999999997</c:v>
                </c:pt>
                <c:pt idx="3">
                  <c:v>56.9</c:v>
                </c:pt>
                <c:pt idx="4">
                  <c:v>62.2</c:v>
                </c:pt>
                <c:pt idx="5">
                  <c:v>63.3</c:v>
                </c:pt>
                <c:pt idx="6">
                  <c:v>154.5</c:v>
                </c:pt>
                <c:pt idx="7" formatCode="0.0">
                  <c:v>294.60000000000002</c:v>
                </c:pt>
                <c:pt idx="8">
                  <c:v>387.6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C-4DFE-B9D3-A04A95188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0776895"/>
        <c:axId val="1970926063"/>
      </c:barChart>
      <c:lineChart>
        <c:grouping val="standard"/>
        <c:varyColors val="0"/>
        <c:ser>
          <c:idx val="2"/>
          <c:order val="1"/>
          <c:tx>
            <c:strRef>
              <c:f>中国动力电池行业装机规模!$B$4</c:f>
              <c:strCache>
                <c:ptCount val="1"/>
                <c:pt idx="0">
                  <c:v>YOY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中国动力电池行业装机规模!$C$2:$K$2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中国动力电池行业装机规模!$C$4:$K$4</c:f>
              <c:numCache>
                <c:formatCode>0.0%</c:formatCode>
                <c:ptCount val="9"/>
                <c:pt idx="1">
                  <c:v>0.71515151515151509</c:v>
                </c:pt>
                <c:pt idx="2">
                  <c:v>0.28268551236749095</c:v>
                </c:pt>
                <c:pt idx="3">
                  <c:v>0.56749311294765858</c:v>
                </c:pt>
                <c:pt idx="4">
                  <c:v>9.3145869947276028E-2</c:v>
                </c:pt>
                <c:pt idx="5">
                  <c:v>1.7684887459807008E-2</c:v>
                </c:pt>
                <c:pt idx="6">
                  <c:v>1.4407582938388628</c:v>
                </c:pt>
                <c:pt idx="7">
                  <c:v>0.90700000000000003</c:v>
                </c:pt>
                <c:pt idx="8">
                  <c:v>0.3156822810590631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FC-4DFE-B9D3-A04A95188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741584"/>
        <c:axId val="266337775"/>
      </c:lineChart>
      <c:catAx>
        <c:axId val="1970776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楷体" panose="02010609060101010101" pitchFamily="49" charset="-122"/>
                    <a:ea typeface="楷体" panose="02010609060101010101" pitchFamily="49" charset="-122"/>
                    <a:cs typeface="+mn-cs"/>
                  </a:defRPr>
                </a:pPr>
                <a:r>
                  <a:rPr lang="en-US" altLang="zh-CN"/>
                  <a:t>GWh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3.6111111111111101E-3"/>
              <c:y val="1.3888888888888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楷体" panose="02010609060101010101" pitchFamily="49" charset="-122"/>
                  <a:ea typeface="楷体" panose="02010609060101010101" pitchFamily="49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7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0926063"/>
        <c:crosses val="autoZero"/>
        <c:auto val="1"/>
        <c:lblAlgn val="ctr"/>
        <c:lblOffset val="100"/>
        <c:noMultiLvlLbl val="0"/>
      </c:catAx>
      <c:valAx>
        <c:axId val="1970926063"/>
        <c:scaling>
          <c:orientation val="minMax"/>
        </c:scaling>
        <c:delete val="0"/>
        <c:axPos val="l"/>
        <c:numFmt formatCode="0_ " sourceLinked="0"/>
        <c:majorTickMark val="out"/>
        <c:minorTickMark val="none"/>
        <c:tickLblPos val="nextTo"/>
        <c:spPr>
          <a:solidFill>
            <a:schemeClr val="bg1"/>
          </a:solidFill>
          <a:ln>
            <a:solidFill>
              <a:sysClr val="window" lastClr="FFFFFF">
                <a:lumMod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0776895"/>
        <c:crosses val="autoZero"/>
        <c:crossBetween val="between"/>
      </c:valAx>
      <c:catAx>
        <c:axId val="88174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6337775"/>
        <c:crosses val="autoZero"/>
        <c:auto val="1"/>
        <c:lblAlgn val="ctr"/>
        <c:lblOffset val="100"/>
        <c:noMultiLvlLbl val="0"/>
      </c:catAx>
      <c:valAx>
        <c:axId val="266337775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solidFill>
              <a:sysClr val="window" lastClr="FFFFFF">
                <a:lumMod val="8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1741584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楷体" panose="02010609060101010101" pitchFamily="49" charset="-122"/>
              <a:ea typeface="楷体" panose="0201060906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7122703412073505E-2"/>
          <c:y val="0.14773148148148099"/>
          <c:w val="0.87232174103237103"/>
          <c:h val="0.61813315836356797"/>
        </c:manualLayout>
      </c:layout>
      <c:lineChart>
        <c:grouping val="standard"/>
        <c:varyColors val="0"/>
        <c:ser>
          <c:idx val="0"/>
          <c:order val="0"/>
          <c:tx>
            <c:strRef>
              <c:f>'中国动力电池装车量-动力电池联盟'!$O$56</c:f>
              <c:strCache>
                <c:ptCount val="1"/>
                <c:pt idx="0">
                  <c:v>三元电池装车量占比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'中国动力电池装车量-动力电池联盟'!$N$57:$N$119</c15:sqref>
                  </c15:fullRef>
                </c:ext>
              </c:extLst>
              <c:f>'中国动力电池装车量-动力电池联盟'!$N$69:$N$119</c:f>
              <c:numCache>
                <c:formatCode>yyyy/mm;@</c:formatCode>
                <c:ptCount val="51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44255</c:v>
                </c:pt>
                <c:pt idx="14">
                  <c:v>44286</c:v>
                </c:pt>
                <c:pt idx="15">
                  <c:v>44316</c:v>
                </c:pt>
                <c:pt idx="16">
                  <c:v>44347</c:v>
                </c:pt>
                <c:pt idx="17">
                  <c:v>44377</c:v>
                </c:pt>
                <c:pt idx="18">
                  <c:v>44408</c:v>
                </c:pt>
                <c:pt idx="19">
                  <c:v>44439</c:v>
                </c:pt>
                <c:pt idx="20">
                  <c:v>44469</c:v>
                </c:pt>
                <c:pt idx="21">
                  <c:v>44500</c:v>
                </c:pt>
                <c:pt idx="22">
                  <c:v>44530</c:v>
                </c:pt>
                <c:pt idx="23">
                  <c:v>44561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'中国动力电池装车量-动力电池联盟'!$O$57:$O$119</c15:sqref>
                  </c15:fullRef>
                </c:ext>
              </c:extLst>
              <c:f>'中国动力电池装车量-动力电池联盟'!$O$69:$O$119</c:f>
              <c:numCache>
                <c:formatCode>0.00%</c:formatCode>
                <c:ptCount val="51"/>
                <c:pt idx="0">
                  <c:v>0.68162983425414403</c:v>
                </c:pt>
                <c:pt idx="1">
                  <c:v>0.87142618291255602</c:v>
                </c:pt>
                <c:pt idx="2">
                  <c:v>0.80303960145843101</c:v>
                </c:pt>
                <c:pt idx="3">
                  <c:v>0.73041757261526497</c:v>
                </c:pt>
                <c:pt idx="4">
                  <c:v>0.76249964347850896</c:v>
                </c:pt>
                <c:pt idx="5">
                  <c:v>0.63765587096225096</c:v>
                </c:pt>
                <c:pt idx="6">
                  <c:v>0.64890819254064402</c:v>
                </c:pt>
                <c:pt idx="7">
                  <c:v>0.68539785910659601</c:v>
                </c:pt>
                <c:pt idx="8">
                  <c:v>0.64098861511802896</c:v>
                </c:pt>
                <c:pt idx="9">
                  <c:v>0.58145004601697503</c:v>
                </c:pt>
                <c:pt idx="10">
                  <c:v>0.55168125418075997</c:v>
                </c:pt>
                <c:pt idx="11">
                  <c:v>0.46221134470325698</c:v>
                </c:pt>
                <c:pt idx="12">
                  <c:v>0.62331574511320698</c:v>
                </c:pt>
                <c:pt idx="13">
                  <c:v>0.59654059867359699</c:v>
                </c:pt>
                <c:pt idx="14">
                  <c:v>0.56627095282557505</c:v>
                </c:pt>
                <c:pt idx="15">
                  <c:v>0.61572182448449597</c:v>
                </c:pt>
                <c:pt idx="16">
                  <c:v>0.535248229131429</c:v>
                </c:pt>
                <c:pt idx="17">
                  <c:v>0.53535198832411401</c:v>
                </c:pt>
                <c:pt idx="18">
                  <c:v>0.48305024707320099</c:v>
                </c:pt>
                <c:pt idx="19">
                  <c:v>0.42500457798902902</c:v>
                </c:pt>
                <c:pt idx="20">
                  <c:v>0.39112566662631298</c:v>
                </c:pt>
                <c:pt idx="21">
                  <c:v>0.45199073863894301</c:v>
                </c:pt>
                <c:pt idx="22">
                  <c:v>0.44347391824210403</c:v>
                </c:pt>
                <c:pt idx="23">
                  <c:v>0.421761053306075</c:v>
                </c:pt>
                <c:pt idx="24">
                  <c:v>0.45105659911023199</c:v>
                </c:pt>
                <c:pt idx="25">
                  <c:v>0.42741298625328999</c:v>
                </c:pt>
                <c:pt idx="26">
                  <c:v>0.38336897746481502</c:v>
                </c:pt>
                <c:pt idx="27">
                  <c:v>0.32879396492603102</c:v>
                </c:pt>
                <c:pt idx="28">
                  <c:v>0.44728265846445597</c:v>
                </c:pt>
                <c:pt idx="29">
                  <c:v>0.42868831519827599</c:v>
                </c:pt>
                <c:pt idx="30">
                  <c:v>0.40676473506648098</c:v>
                </c:pt>
                <c:pt idx="31">
                  <c:v>0.379159129726652</c:v>
                </c:pt>
                <c:pt idx="32">
                  <c:v>0.35434434883764998</c:v>
                </c:pt>
                <c:pt idx="33">
                  <c:v>0.35414797692403399</c:v>
                </c:pt>
                <c:pt idx="34">
                  <c:v>0.32207505647623302</c:v>
                </c:pt>
                <c:pt idx="35">
                  <c:v>0.31596928303097699</c:v>
                </c:pt>
                <c:pt idx="36">
                  <c:v>0.336756894125814</c:v>
                </c:pt>
                <c:pt idx="37">
                  <c:v>0.306384259090412</c:v>
                </c:pt>
                <c:pt idx="38">
                  <c:v>0.31405874878971402</c:v>
                </c:pt>
                <c:pt idx="39">
                  <c:v>0.31840386344288801</c:v>
                </c:pt>
                <c:pt idx="40">
                  <c:v>0.31966589123407091</c:v>
                </c:pt>
                <c:pt idx="41">
                  <c:v>0.30636296760151505</c:v>
                </c:pt>
                <c:pt idx="42">
                  <c:v>0.32763198709597374</c:v>
                </c:pt>
                <c:pt idx="43">
                  <c:v>0.30980000000000002</c:v>
                </c:pt>
                <c:pt idx="44">
                  <c:v>0.33600000000000002</c:v>
                </c:pt>
                <c:pt idx="45">
                  <c:v>0.314</c:v>
                </c:pt>
                <c:pt idx="46">
                  <c:v>0.35</c:v>
                </c:pt>
                <c:pt idx="47">
                  <c:v>0.34499999999999997</c:v>
                </c:pt>
                <c:pt idx="48">
                  <c:v>0.39</c:v>
                </c:pt>
                <c:pt idx="49">
                  <c:v>0.38329999999999997</c:v>
                </c:pt>
                <c:pt idx="50">
                  <c:v>0.32285714285714301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2-4767-8B8D-F2755F3BDF1F}"/>
            </c:ext>
          </c:extLst>
        </c:ser>
        <c:ser>
          <c:idx val="1"/>
          <c:order val="1"/>
          <c:tx>
            <c:strRef>
              <c:f>'中国动力电池装车量-动力电池联盟'!$P$56</c:f>
              <c:strCache>
                <c:ptCount val="1"/>
                <c:pt idx="0">
                  <c:v>磷酸铁锂电池装车量占比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'中国动力电池装车量-动力电池联盟'!$N$57:$N$119</c15:sqref>
                  </c15:fullRef>
                </c:ext>
              </c:extLst>
              <c:f>'中国动力电池装车量-动力电池联盟'!$N$69:$N$119</c:f>
              <c:numCache>
                <c:formatCode>yyyy/mm;@</c:formatCode>
                <c:ptCount val="51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44255</c:v>
                </c:pt>
                <c:pt idx="14">
                  <c:v>44286</c:v>
                </c:pt>
                <c:pt idx="15">
                  <c:v>44316</c:v>
                </c:pt>
                <c:pt idx="16">
                  <c:v>44347</c:v>
                </c:pt>
                <c:pt idx="17">
                  <c:v>44377</c:v>
                </c:pt>
                <c:pt idx="18">
                  <c:v>44408</c:v>
                </c:pt>
                <c:pt idx="19">
                  <c:v>44439</c:v>
                </c:pt>
                <c:pt idx="20">
                  <c:v>44469</c:v>
                </c:pt>
                <c:pt idx="21">
                  <c:v>44500</c:v>
                </c:pt>
                <c:pt idx="22">
                  <c:v>44530</c:v>
                </c:pt>
                <c:pt idx="23">
                  <c:v>44561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'中国动力电池装车量-动力电池联盟'!$P$57:$P$119</c15:sqref>
                  </c15:fullRef>
                </c:ext>
              </c:extLst>
              <c:f>'中国动力电池装车量-动力电池联盟'!$P$69:$P$119</c:f>
              <c:numCache>
                <c:formatCode>0.00%</c:formatCode>
                <c:ptCount val="51"/>
                <c:pt idx="0">
                  <c:v>0.31224102209944699</c:v>
                </c:pt>
                <c:pt idx="1">
                  <c:v>0.128072228724294</c:v>
                </c:pt>
                <c:pt idx="2">
                  <c:v>0.19295332298473</c:v>
                </c:pt>
                <c:pt idx="3">
                  <c:v>0.25946367843006102</c:v>
                </c:pt>
                <c:pt idx="4">
                  <c:v>0.23062662217278501</c:v>
                </c:pt>
                <c:pt idx="5">
                  <c:v>0.355215559433119</c:v>
                </c:pt>
                <c:pt idx="6">
                  <c:v>0.344357666560408</c:v>
                </c:pt>
                <c:pt idx="7">
                  <c:v>0.30458010801957602</c:v>
                </c:pt>
                <c:pt idx="8">
                  <c:v>0.35436015139309002</c:v>
                </c:pt>
                <c:pt idx="9">
                  <c:v>0.41123836793128099</c:v>
                </c:pt>
                <c:pt idx="10">
                  <c:v>0.44447480238550602</c:v>
                </c:pt>
                <c:pt idx="11">
                  <c:v>0.53174339692564299</c:v>
                </c:pt>
                <c:pt idx="12">
                  <c:v>0.37569130941797202</c:v>
                </c:pt>
                <c:pt idx="13">
                  <c:v>0.401559419250762</c:v>
                </c:pt>
                <c:pt idx="14">
                  <c:v>0.432472989195678</c:v>
                </c:pt>
                <c:pt idx="15">
                  <c:v>0.38197910586441403</c:v>
                </c:pt>
                <c:pt idx="16">
                  <c:v>0.463050096872405</c:v>
                </c:pt>
                <c:pt idx="17">
                  <c:v>0.46072001297320703</c:v>
                </c:pt>
                <c:pt idx="18">
                  <c:v>0.51350489718566805</c:v>
                </c:pt>
                <c:pt idx="19">
                  <c:v>0.57439829300722101</c:v>
                </c:pt>
                <c:pt idx="20">
                  <c:v>0.60797594092273199</c:v>
                </c:pt>
                <c:pt idx="21">
                  <c:v>0.54699103048855602</c:v>
                </c:pt>
                <c:pt idx="22">
                  <c:v>0.55575777074559796</c:v>
                </c:pt>
                <c:pt idx="23">
                  <c:v>0.57408918927165697</c:v>
                </c:pt>
                <c:pt idx="24">
                  <c:v>0.54831314878892701</c:v>
                </c:pt>
                <c:pt idx="25">
                  <c:v>0.56888710149166399</c:v>
                </c:pt>
                <c:pt idx="26">
                  <c:v>0.61550566414823005</c:v>
                </c:pt>
                <c:pt idx="27">
                  <c:v>0.66982689104762205</c:v>
                </c:pt>
                <c:pt idx="28">
                  <c:v>0.551187507070098</c:v>
                </c:pt>
                <c:pt idx="29">
                  <c:v>0.57075634109950601</c:v>
                </c:pt>
                <c:pt idx="30">
                  <c:v>0.59274740358536704</c:v>
                </c:pt>
                <c:pt idx="31">
                  <c:v>0.62014903322979797</c:v>
                </c:pt>
                <c:pt idx="32">
                  <c:v>0.644881172907802</c:v>
                </c:pt>
                <c:pt idx="33">
                  <c:v>0.64386463496886304</c:v>
                </c:pt>
                <c:pt idx="34">
                  <c:v>0.67394387984425996</c:v>
                </c:pt>
                <c:pt idx="35">
                  <c:v>0.68265033444538503</c:v>
                </c:pt>
                <c:pt idx="36">
                  <c:v>0.66218318632889706</c:v>
                </c:pt>
                <c:pt idx="37">
                  <c:v>0.69263558116634405</c:v>
                </c:pt>
                <c:pt idx="38">
                  <c:v>0.68530056473992795</c:v>
                </c:pt>
                <c:pt idx="39">
                  <c:v>0.68129778583987699</c:v>
                </c:pt>
                <c:pt idx="40">
                  <c:v>0.67817776880778124</c:v>
                </c:pt>
                <c:pt idx="41">
                  <c:v>0.69120820996698751</c:v>
                </c:pt>
                <c:pt idx="42">
                  <c:v>0.67188411191761277</c:v>
                </c:pt>
                <c:pt idx="43">
                  <c:v>0.6895</c:v>
                </c:pt>
                <c:pt idx="44">
                  <c:v>0.66400000000000003</c:v>
                </c:pt>
                <c:pt idx="45">
                  <c:v>0.68500000000000005</c:v>
                </c:pt>
                <c:pt idx="46">
                  <c:v>0.64900000000000002</c:v>
                </c:pt>
                <c:pt idx="47">
                  <c:v>0.65300000000000002</c:v>
                </c:pt>
                <c:pt idx="48">
                  <c:v>0.60899999999999999</c:v>
                </c:pt>
                <c:pt idx="49">
                  <c:v>0.61109999999999998</c:v>
                </c:pt>
                <c:pt idx="50">
                  <c:v>0.67428571428571404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A2-4767-8B8D-F2755F3BDF1F}"/>
            </c:ext>
          </c:extLst>
        </c:ser>
        <c:ser>
          <c:idx val="2"/>
          <c:order val="2"/>
          <c:tx>
            <c:strRef>
              <c:f>'中国动力电池装车量-动力电池联盟'!$Q$56</c:f>
              <c:strCache>
                <c:ptCount val="1"/>
                <c:pt idx="0">
                  <c:v>其他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'中国动力电池装车量-动力电池联盟'!$N$57:$N$119</c15:sqref>
                  </c15:fullRef>
                </c:ext>
              </c:extLst>
              <c:f>'中国动力电池装车量-动力电池联盟'!$N$69:$N$119</c:f>
              <c:numCache>
                <c:formatCode>yyyy/mm;@</c:formatCode>
                <c:ptCount val="51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44255</c:v>
                </c:pt>
                <c:pt idx="14">
                  <c:v>44286</c:v>
                </c:pt>
                <c:pt idx="15">
                  <c:v>44316</c:v>
                </c:pt>
                <c:pt idx="16">
                  <c:v>44347</c:v>
                </c:pt>
                <c:pt idx="17">
                  <c:v>44377</c:v>
                </c:pt>
                <c:pt idx="18">
                  <c:v>44408</c:v>
                </c:pt>
                <c:pt idx="19">
                  <c:v>44439</c:v>
                </c:pt>
                <c:pt idx="20">
                  <c:v>44469</c:v>
                </c:pt>
                <c:pt idx="21">
                  <c:v>44500</c:v>
                </c:pt>
                <c:pt idx="22">
                  <c:v>44530</c:v>
                </c:pt>
                <c:pt idx="23">
                  <c:v>44561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'中国动力电池装车量-动力电池联盟'!$Q$57:$Q$119</c15:sqref>
                  </c15:fullRef>
                </c:ext>
              </c:extLst>
              <c:f>'中国动力电池装车量-动力电池联盟'!$Q$69:$Q$119</c:f>
              <c:numCache>
                <c:formatCode>0.00%</c:formatCode>
                <c:ptCount val="51"/>
                <c:pt idx="0">
                  <c:v>6.1291436464089855E-3</c:v>
                </c:pt>
                <c:pt idx="1">
                  <c:v>5.0158836314997957E-4</c:v>
                </c:pt>
                <c:pt idx="2">
                  <c:v>4.0070755568389904E-3</c:v>
                </c:pt>
                <c:pt idx="3">
                  <c:v>1.0118748954674017E-2</c:v>
                </c:pt>
                <c:pt idx="4">
                  <c:v>6.8737343487060287E-3</c:v>
                </c:pt>
                <c:pt idx="5">
                  <c:v>7.1285696046300417E-3</c:v>
                </c:pt>
                <c:pt idx="6">
                  <c:v>6.7341408989479712E-3</c:v>
                </c:pt>
                <c:pt idx="7">
                  <c:v>1.0022032873827968E-2</c:v>
                </c:pt>
                <c:pt idx="8">
                  <c:v>4.6512334888810236E-3</c:v>
                </c:pt>
                <c:pt idx="9">
                  <c:v>7.311586051743979E-3</c:v>
                </c:pt>
                <c:pt idx="10">
                  <c:v>3.8439434337340095E-3</c:v>
                </c:pt>
                <c:pt idx="11">
                  <c:v>6.0452583711000374E-3</c:v>
                </c:pt>
                <c:pt idx="12">
                  <c:v>9.9294546882100487E-4</c:v>
                </c:pt>
                <c:pt idx="13">
                  <c:v>1.8999820756410157E-3</c:v>
                </c:pt>
                <c:pt idx="14">
                  <c:v>1.2560579787469495E-3</c:v>
                </c:pt>
                <c:pt idx="15">
                  <c:v>2.2990696510900022E-3</c:v>
                </c:pt>
                <c:pt idx="16">
                  <c:v>1.7016739961659977E-3</c:v>
                </c:pt>
                <c:pt idx="17">
                  <c:v>3.9279987026789587E-3</c:v>
                </c:pt>
                <c:pt idx="18">
                  <c:v>3.4448557411309588E-3</c:v>
                </c:pt>
                <c:pt idx="19">
                  <c:v>5.9712900374997435E-4</c:v>
                </c:pt>
                <c:pt idx="20">
                  <c:v>8.9839245095502118E-4</c:v>
                </c:pt>
                <c:pt idx="21">
                  <c:v>1.0182308725009692E-3</c:v>
                </c:pt>
                <c:pt idx="22">
                  <c:v>7.6831101229801746E-4</c:v>
                </c:pt>
                <c:pt idx="23">
                  <c:v>4.1497574222680855E-3</c:v>
                </c:pt>
                <c:pt idx="24">
                  <c:v>6.3025210084100003E-4</c:v>
                </c:pt>
                <c:pt idx="25">
                  <c:v>3.6999122550459562E-3</c:v>
                </c:pt>
                <c:pt idx="26">
                  <c:v>1.1253583869549333E-3</c:v>
                </c:pt>
                <c:pt idx="27">
                  <c:v>1.379144026346979E-3</c:v>
                </c:pt>
                <c:pt idx="28">
                  <c:v>1.5298344654459672E-3</c:v>
                </c:pt>
                <c:pt idx="29">
                  <c:v>5.553437022179919E-4</c:v>
                </c:pt>
                <c:pt idx="30">
                  <c:v>4.8786134815204107E-4</c:v>
                </c:pt>
                <c:pt idx="31">
                  <c:v>6.918370435500254E-4</c:v>
                </c:pt>
                <c:pt idx="32">
                  <c:v>7.7447825454801666E-4</c:v>
                </c:pt>
                <c:pt idx="33">
                  <c:v>1.987388107102972E-3</c:v>
                </c:pt>
                <c:pt idx="34">
                  <c:v>3.9810636795070131E-3</c:v>
                </c:pt>
                <c:pt idx="35">
                  <c:v>1.3803825236379241E-3</c:v>
                </c:pt>
                <c:pt idx="36">
                  <c:v>1.0599195452889454E-3</c:v>
                </c:pt>
                <c:pt idx="37">
                  <c:v>9.8015974324394683E-4</c:v>
                </c:pt>
                <c:pt idx="38">
                  <c:v>6.4068647035808723E-4</c:v>
                </c:pt>
                <c:pt idx="39">
                  <c:v>2.9999999999999997E-4</c:v>
                </c:pt>
                <c:pt idx="40">
                  <c:v>2.1563399581478846E-3</c:v>
                </c:pt>
                <c:pt idx="41">
                  <c:v>2.4257826036733284E-3</c:v>
                </c:pt>
                <c:pt idx="42">
                  <c:v>4.839009864135492E-4</c:v>
                </c:pt>
                <c:pt idx="43">
                  <c:v>5.9999999999999995E-4</c:v>
                </c:pt>
                <c:pt idx="44">
                  <c:v>2.0000000000000001E-4</c:v>
                </c:pt>
                <c:pt idx="45">
                  <c:v>1E-3</c:v>
                </c:pt>
                <c:pt idx="46">
                  <c:v>1E-3</c:v>
                </c:pt>
                <c:pt idx="47">
                  <c:v>2E-3</c:v>
                </c:pt>
                <c:pt idx="48">
                  <c:v>0</c:v>
                </c:pt>
                <c:pt idx="49">
                  <c:v>5.5999999999999999E-3</c:v>
                </c:pt>
                <c:pt idx="50">
                  <c:v>2.8571428571428901E-3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A2-4767-8B8D-F2755F3BD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321695"/>
        <c:axId val="640525215"/>
      </c:lineChart>
      <c:dateAx>
        <c:axId val="2078321695"/>
        <c:scaling>
          <c:orientation val="minMax"/>
        </c:scaling>
        <c:delete val="0"/>
        <c:axPos val="b"/>
        <c:numFmt formatCode="yyyy/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525215"/>
        <c:crosses val="autoZero"/>
        <c:auto val="1"/>
        <c:lblOffset val="100"/>
        <c:baseTimeUnit val="months"/>
        <c:majorUnit val="3"/>
        <c:majorTimeUnit val="months"/>
      </c:dateAx>
      <c:valAx>
        <c:axId val="640525215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832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楷体" panose="02010609060101010101" pitchFamily="49" charset="-122"/>
              <a:ea typeface="楷体" panose="0201060906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862384077398728E-2"/>
          <c:y val="9.4351415578093803E-2"/>
          <c:w val="0.89773917879829779"/>
          <c:h val="0.713732120148339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'中国动力电池装车量-动力电池联盟'!$D$2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'中国动力电池装车量-动力电池联盟'!$D$3:$D$14</c:f>
              <c:numCache>
                <c:formatCode>0.00_ </c:formatCode>
                <c:ptCount val="12"/>
                <c:pt idx="0">
                  <c:v>4.97</c:v>
                </c:pt>
                <c:pt idx="1">
                  <c:v>2.2400000000000002</c:v>
                </c:pt>
                <c:pt idx="2">
                  <c:v>5.09</c:v>
                </c:pt>
                <c:pt idx="3">
                  <c:v>5.41</c:v>
                </c:pt>
                <c:pt idx="4">
                  <c:v>5.68</c:v>
                </c:pt>
                <c:pt idx="5">
                  <c:v>6.62</c:v>
                </c:pt>
                <c:pt idx="6">
                  <c:v>4.7</c:v>
                </c:pt>
                <c:pt idx="7">
                  <c:v>3.46</c:v>
                </c:pt>
                <c:pt idx="8">
                  <c:v>3.95</c:v>
                </c:pt>
                <c:pt idx="9">
                  <c:v>4.07</c:v>
                </c:pt>
                <c:pt idx="10">
                  <c:v>6.29</c:v>
                </c:pt>
                <c:pt idx="11">
                  <c:v>9.7100000000000009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'中国动力电池装车量-动力电池联盟'!$A$3:$A$14</c15:sqref>
                        </c15:formulaRef>
                      </c:ext>
                    </c:extLst>
                    <c:strCache>
                      <c:ptCount val="12"/>
                      <c:pt idx="0">
                        <c:v>1月</c:v>
                      </c:pt>
                      <c:pt idx="1">
                        <c:v>2月</c:v>
                      </c:pt>
                      <c:pt idx="2">
                        <c:v>3月</c:v>
                      </c:pt>
                      <c:pt idx="3">
                        <c:v>4月</c:v>
                      </c:pt>
                      <c:pt idx="4">
                        <c:v>5月</c:v>
                      </c:pt>
                      <c:pt idx="5">
                        <c:v>6月</c:v>
                      </c:pt>
                      <c:pt idx="6">
                        <c:v>7月</c:v>
                      </c:pt>
                      <c:pt idx="7">
                        <c:v>8月</c:v>
                      </c:pt>
                      <c:pt idx="8">
                        <c:v>9月</c:v>
                      </c:pt>
                      <c:pt idx="9">
                        <c:v>10月</c:v>
                      </c:pt>
                      <c:pt idx="10">
                        <c:v>11月</c:v>
                      </c:pt>
                      <c:pt idx="11">
                        <c:v>12月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1C6F-4D45-9778-7879C1702833}"/>
            </c:ext>
          </c:extLst>
        </c:ser>
        <c:ser>
          <c:idx val="1"/>
          <c:order val="1"/>
          <c:tx>
            <c:strRef>
              <c:f>'中国动力电池装车量-动力电池联盟'!$E$2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'中国动力电池装车量-动力电池联盟'!$E$3:$E$14</c:f>
              <c:numCache>
                <c:formatCode>0.00_ </c:formatCode>
                <c:ptCount val="12"/>
                <c:pt idx="0">
                  <c:v>2.3199999999999998</c:v>
                </c:pt>
                <c:pt idx="1">
                  <c:v>0.6</c:v>
                </c:pt>
                <c:pt idx="2">
                  <c:v>2.77</c:v>
                </c:pt>
                <c:pt idx="3">
                  <c:v>3.59</c:v>
                </c:pt>
                <c:pt idx="4">
                  <c:v>3.51</c:v>
                </c:pt>
                <c:pt idx="5">
                  <c:v>4.7</c:v>
                </c:pt>
                <c:pt idx="6">
                  <c:v>5.0199999999999996</c:v>
                </c:pt>
                <c:pt idx="7">
                  <c:v>5.13</c:v>
                </c:pt>
                <c:pt idx="8">
                  <c:v>6.58</c:v>
                </c:pt>
                <c:pt idx="9">
                  <c:v>5.87</c:v>
                </c:pt>
                <c:pt idx="10">
                  <c:v>10.61</c:v>
                </c:pt>
                <c:pt idx="11">
                  <c:v>12.95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'中国动力电池装车量-动力电池联盟'!$A$3:$A$14</c15:sqref>
                        </c15:formulaRef>
                      </c:ext>
                    </c:extLst>
                    <c:strCache>
                      <c:ptCount val="12"/>
                      <c:pt idx="0">
                        <c:v>1月</c:v>
                      </c:pt>
                      <c:pt idx="1">
                        <c:v>2月</c:v>
                      </c:pt>
                      <c:pt idx="2">
                        <c:v>3月</c:v>
                      </c:pt>
                      <c:pt idx="3">
                        <c:v>4月</c:v>
                      </c:pt>
                      <c:pt idx="4">
                        <c:v>5月</c:v>
                      </c:pt>
                      <c:pt idx="5">
                        <c:v>6月</c:v>
                      </c:pt>
                      <c:pt idx="6">
                        <c:v>7月</c:v>
                      </c:pt>
                      <c:pt idx="7">
                        <c:v>8月</c:v>
                      </c:pt>
                      <c:pt idx="8">
                        <c:v>9月</c:v>
                      </c:pt>
                      <c:pt idx="9">
                        <c:v>10月</c:v>
                      </c:pt>
                      <c:pt idx="10">
                        <c:v>11月</c:v>
                      </c:pt>
                      <c:pt idx="11">
                        <c:v>12月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1C6F-4D45-9778-7879C1702833}"/>
            </c:ext>
          </c:extLst>
        </c:ser>
        <c:ser>
          <c:idx val="2"/>
          <c:order val="2"/>
          <c:tx>
            <c:strRef>
              <c:f>'中国动力电池装车量-动力电池联盟'!$F$2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'中国动力电池装车量-动力电池联盟'!$F$3:$F$14</c:f>
              <c:numCache>
                <c:formatCode>0.00_ </c:formatCode>
                <c:ptCount val="12"/>
                <c:pt idx="0">
                  <c:v>8.66</c:v>
                </c:pt>
                <c:pt idx="1">
                  <c:v>5.58</c:v>
                </c:pt>
                <c:pt idx="2">
                  <c:v>9</c:v>
                </c:pt>
                <c:pt idx="3">
                  <c:v>8.39</c:v>
                </c:pt>
                <c:pt idx="4">
                  <c:v>9.76</c:v>
                </c:pt>
                <c:pt idx="5">
                  <c:v>11.1</c:v>
                </c:pt>
                <c:pt idx="6">
                  <c:v>11.29</c:v>
                </c:pt>
                <c:pt idx="7">
                  <c:v>12.56</c:v>
                </c:pt>
                <c:pt idx="8">
                  <c:v>15.69</c:v>
                </c:pt>
                <c:pt idx="9">
                  <c:v>15.42</c:v>
                </c:pt>
                <c:pt idx="10">
                  <c:v>20.82</c:v>
                </c:pt>
                <c:pt idx="11">
                  <c:v>26.22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'中国动力电池装车量-动力电池联盟'!$A$3:$A$14</c15:sqref>
                        </c15:formulaRef>
                      </c:ext>
                    </c:extLst>
                    <c:strCache>
                      <c:ptCount val="12"/>
                      <c:pt idx="0">
                        <c:v>1月</c:v>
                      </c:pt>
                      <c:pt idx="1">
                        <c:v>2月</c:v>
                      </c:pt>
                      <c:pt idx="2">
                        <c:v>3月</c:v>
                      </c:pt>
                      <c:pt idx="3">
                        <c:v>4月</c:v>
                      </c:pt>
                      <c:pt idx="4">
                        <c:v>5月</c:v>
                      </c:pt>
                      <c:pt idx="5">
                        <c:v>6月</c:v>
                      </c:pt>
                      <c:pt idx="6">
                        <c:v>7月</c:v>
                      </c:pt>
                      <c:pt idx="7">
                        <c:v>8月</c:v>
                      </c:pt>
                      <c:pt idx="8">
                        <c:v>9月</c:v>
                      </c:pt>
                      <c:pt idx="9">
                        <c:v>10月</c:v>
                      </c:pt>
                      <c:pt idx="10">
                        <c:v>11月</c:v>
                      </c:pt>
                      <c:pt idx="11">
                        <c:v>12月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1C6F-4D45-9778-7879C1702833}"/>
            </c:ext>
          </c:extLst>
        </c:ser>
        <c:ser>
          <c:idx val="3"/>
          <c:order val="3"/>
          <c:tx>
            <c:strRef>
              <c:f>'中国动力电池装车量-动力电池联盟'!$G$2</c:f>
              <c:strCache>
                <c:ptCount val="1"/>
                <c:pt idx="0">
                  <c:v>2022年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'中国动力电池装车量-动力电池联盟'!$G$3:$G$14</c:f>
              <c:numCache>
                <c:formatCode>0.00_ </c:formatCode>
                <c:ptCount val="12"/>
                <c:pt idx="0">
                  <c:v>16.18</c:v>
                </c:pt>
                <c:pt idx="1">
                  <c:v>13.68</c:v>
                </c:pt>
                <c:pt idx="2">
                  <c:v>21.42</c:v>
                </c:pt>
                <c:pt idx="3">
                  <c:v>13.27</c:v>
                </c:pt>
                <c:pt idx="4">
                  <c:v>18.559999999999999</c:v>
                </c:pt>
                <c:pt idx="5">
                  <c:v>27.01</c:v>
                </c:pt>
                <c:pt idx="6">
                  <c:v>24.19</c:v>
                </c:pt>
                <c:pt idx="7">
                  <c:v>27.75</c:v>
                </c:pt>
                <c:pt idx="8">
                  <c:v>31.63</c:v>
                </c:pt>
                <c:pt idx="9">
                  <c:v>30.54</c:v>
                </c:pt>
                <c:pt idx="10">
                  <c:v>34.26</c:v>
                </c:pt>
                <c:pt idx="11">
                  <c:v>36.15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'中国动力电池装车量-动力电池联盟'!$A$3:$A$14</c15:sqref>
                        </c15:formulaRef>
                      </c:ext>
                    </c:extLst>
                    <c:strCache>
                      <c:ptCount val="12"/>
                      <c:pt idx="0">
                        <c:v>1月</c:v>
                      </c:pt>
                      <c:pt idx="1">
                        <c:v>2月</c:v>
                      </c:pt>
                      <c:pt idx="2">
                        <c:v>3月</c:v>
                      </c:pt>
                      <c:pt idx="3">
                        <c:v>4月</c:v>
                      </c:pt>
                      <c:pt idx="4">
                        <c:v>5月</c:v>
                      </c:pt>
                      <c:pt idx="5">
                        <c:v>6月</c:v>
                      </c:pt>
                      <c:pt idx="6">
                        <c:v>7月</c:v>
                      </c:pt>
                      <c:pt idx="7">
                        <c:v>8月</c:v>
                      </c:pt>
                      <c:pt idx="8">
                        <c:v>9月</c:v>
                      </c:pt>
                      <c:pt idx="9">
                        <c:v>10月</c:v>
                      </c:pt>
                      <c:pt idx="10">
                        <c:v>11月</c:v>
                      </c:pt>
                      <c:pt idx="11">
                        <c:v>12月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1C6F-4D45-9778-7879C1702833}"/>
            </c:ext>
          </c:extLst>
        </c:ser>
        <c:ser>
          <c:idx val="4"/>
          <c:order val="4"/>
          <c:tx>
            <c:strRef>
              <c:f>'中国动力电池装车量-动力电池联盟'!$H$2</c:f>
              <c:strCache>
                <c:ptCount val="1"/>
                <c:pt idx="0">
                  <c:v>2023年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'中国动力电池装车量-动力电池联盟'!$H$3:$H$14</c:f>
              <c:numCache>
                <c:formatCode>0.00_ </c:formatCode>
                <c:ptCount val="12"/>
                <c:pt idx="0">
                  <c:v>16.100000000000001</c:v>
                </c:pt>
                <c:pt idx="1">
                  <c:v>21.9</c:v>
                </c:pt>
                <c:pt idx="2">
                  <c:v>27.8</c:v>
                </c:pt>
                <c:pt idx="3">
                  <c:v>25.1</c:v>
                </c:pt>
                <c:pt idx="4">
                  <c:v>28.2</c:v>
                </c:pt>
                <c:pt idx="5">
                  <c:v>32.9</c:v>
                </c:pt>
                <c:pt idx="6">
                  <c:v>32.200000000000003</c:v>
                </c:pt>
                <c:pt idx="7">
                  <c:v>34.9</c:v>
                </c:pt>
                <c:pt idx="8">
                  <c:v>36.4</c:v>
                </c:pt>
                <c:pt idx="9">
                  <c:v>39.200000000000003</c:v>
                </c:pt>
                <c:pt idx="10">
                  <c:v>44.9</c:v>
                </c:pt>
                <c:pt idx="11">
                  <c:v>47.9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'中国动力电池装车量-动力电池联盟'!$A$3:$A$14</c15:sqref>
                        </c15:formulaRef>
                      </c:ext>
                    </c:extLst>
                    <c:strCache>
                      <c:ptCount val="12"/>
                      <c:pt idx="0">
                        <c:v>1月</c:v>
                      </c:pt>
                      <c:pt idx="1">
                        <c:v>2月</c:v>
                      </c:pt>
                      <c:pt idx="2">
                        <c:v>3月</c:v>
                      </c:pt>
                      <c:pt idx="3">
                        <c:v>4月</c:v>
                      </c:pt>
                      <c:pt idx="4">
                        <c:v>5月</c:v>
                      </c:pt>
                      <c:pt idx="5">
                        <c:v>6月</c:v>
                      </c:pt>
                      <c:pt idx="6">
                        <c:v>7月</c:v>
                      </c:pt>
                      <c:pt idx="7">
                        <c:v>8月</c:v>
                      </c:pt>
                      <c:pt idx="8">
                        <c:v>9月</c:v>
                      </c:pt>
                      <c:pt idx="9">
                        <c:v>10月</c:v>
                      </c:pt>
                      <c:pt idx="10">
                        <c:v>11月</c:v>
                      </c:pt>
                      <c:pt idx="11">
                        <c:v>12月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1C6F-4D45-9778-7879C1702833}"/>
            </c:ext>
          </c:extLst>
        </c:ser>
        <c:ser>
          <c:idx val="5"/>
          <c:order val="5"/>
          <c:tx>
            <c:strRef>
              <c:f>'中国动力电池装车量-动力电池联盟'!$I$2</c:f>
              <c:strCache>
                <c:ptCount val="1"/>
                <c:pt idx="0">
                  <c:v>2024年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'中国动力电池装车量-动力电池联盟'!$I$3:$I$14</c:f>
              <c:numCache>
                <c:formatCode>0.00_ </c:formatCode>
                <c:ptCount val="12"/>
                <c:pt idx="0">
                  <c:v>32.299999999999997</c:v>
                </c:pt>
                <c:pt idx="1">
                  <c:v>18</c:v>
                </c:pt>
                <c:pt idx="2">
                  <c:v>35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'中国动力电池装车量-动力电池联盟'!$A$3:$A$14</c15:sqref>
                        </c15:formulaRef>
                      </c:ext>
                    </c:extLst>
                    <c:strCache>
                      <c:ptCount val="12"/>
                      <c:pt idx="0">
                        <c:v>1月</c:v>
                      </c:pt>
                      <c:pt idx="1">
                        <c:v>2月</c:v>
                      </c:pt>
                      <c:pt idx="2">
                        <c:v>3月</c:v>
                      </c:pt>
                      <c:pt idx="3">
                        <c:v>4月</c:v>
                      </c:pt>
                      <c:pt idx="4">
                        <c:v>5月</c:v>
                      </c:pt>
                      <c:pt idx="5">
                        <c:v>6月</c:v>
                      </c:pt>
                      <c:pt idx="6">
                        <c:v>7月</c:v>
                      </c:pt>
                      <c:pt idx="7">
                        <c:v>8月</c:v>
                      </c:pt>
                      <c:pt idx="8">
                        <c:v>9月</c:v>
                      </c:pt>
                      <c:pt idx="9">
                        <c:v>10月</c:v>
                      </c:pt>
                      <c:pt idx="10">
                        <c:v>11月</c:v>
                      </c:pt>
                      <c:pt idx="11">
                        <c:v>12月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5-1C6F-4D45-9778-7879C1702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axId val="2043131135"/>
        <c:axId val="2043137855"/>
      </c:barChart>
      <c:catAx>
        <c:axId val="20431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3137855"/>
        <c:crosses val="autoZero"/>
        <c:auto val="1"/>
        <c:lblAlgn val="ctr"/>
        <c:lblOffset val="100"/>
        <c:noMultiLvlLbl val="0"/>
      </c:catAx>
      <c:valAx>
        <c:axId val="20431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313113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976625E-2"/>
          <c:y val="0.12638888888888899"/>
          <c:w val="0.87551847222222201"/>
          <c:h val="0.6897430555555560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'中国动力电池装车量-动力电池联盟'!$A$136:$A$162</c:f>
              <c:numCache>
                <c:formatCode>yyyy/mm;@</c:formatCode>
                <c:ptCount val="27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45171</c:v>
                </c:pt>
                <c:pt idx="21">
                  <c:v>45203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</c:numCache>
            </c:numRef>
          </c:cat>
          <c:val>
            <c:numRef>
              <c:f>'中国动力电池装车量-动力电池联盟'!$B$136:$B$162</c:f>
              <c:numCache>
                <c:formatCode>0.0_);[Red]\(0.0\)</c:formatCode>
                <c:ptCount val="27"/>
                <c:pt idx="0">
                  <c:v>7.2999000000000001</c:v>
                </c:pt>
                <c:pt idx="1">
                  <c:v>5.8452999999999999</c:v>
                </c:pt>
                <c:pt idx="2">
                  <c:v>8.2100000000000009</c:v>
                </c:pt>
                <c:pt idx="3">
                  <c:v>4.3628</c:v>
                </c:pt>
                <c:pt idx="4">
                  <c:v>8.3033999999999999</c:v>
                </c:pt>
                <c:pt idx="5">
                  <c:v>11.579000000000001</c:v>
                </c:pt>
                <c:pt idx="6">
                  <c:v>9.8384999999999998</c:v>
                </c:pt>
                <c:pt idx="7">
                  <c:v>10.522500000000001</c:v>
                </c:pt>
                <c:pt idx="8">
                  <c:v>11.2094</c:v>
                </c:pt>
                <c:pt idx="9">
                  <c:v>10.816599999999999</c:v>
                </c:pt>
                <c:pt idx="10">
                  <c:v>11.035</c:v>
                </c:pt>
                <c:pt idx="11">
                  <c:v>11.4221</c:v>
                </c:pt>
                <c:pt idx="12">
                  <c:v>5.4329999999999998</c:v>
                </c:pt>
                <c:pt idx="13">
                  <c:v>6.7206000000000001</c:v>
                </c:pt>
                <c:pt idx="14">
                  <c:v>8.7254000000000005</c:v>
                </c:pt>
                <c:pt idx="15">
                  <c:v>8.0040999999999993</c:v>
                </c:pt>
                <c:pt idx="16">
                  <c:v>9.0281000000000002</c:v>
                </c:pt>
                <c:pt idx="17">
                  <c:v>10.0783</c:v>
                </c:pt>
                <c:pt idx="18">
                  <c:v>10.562200000000001</c:v>
                </c:pt>
                <c:pt idx="19" formatCode="General">
                  <c:v>10.8</c:v>
                </c:pt>
                <c:pt idx="20" formatCode="General">
                  <c:v>12.2</c:v>
                </c:pt>
                <c:pt idx="21" formatCode="General">
                  <c:v>12.3</c:v>
                </c:pt>
                <c:pt idx="22" formatCode="General">
                  <c:v>15.7</c:v>
                </c:pt>
                <c:pt idx="23" formatCode="General">
                  <c:v>16.600000000000001</c:v>
                </c:pt>
                <c:pt idx="24" formatCode="General">
                  <c:v>12.6</c:v>
                </c:pt>
                <c:pt idx="25" formatCode="General">
                  <c:v>6.9</c:v>
                </c:pt>
                <c:pt idx="26" formatCode="General">
                  <c:v>11.3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8-4D0F-A0FC-064A630D68EB}"/>
            </c:ext>
          </c:extLst>
        </c:ser>
        <c:ser>
          <c:idx val="1"/>
          <c:order val="1"/>
          <c:spPr>
            <a:solidFill>
              <a:sysClr val="window" lastClr="FFFFFF">
                <a:lumMod val="75000"/>
              </a:sysClr>
            </a:solidFill>
            <a:ln>
              <a:noFill/>
            </a:ln>
            <a:effectLst/>
          </c:spPr>
          <c:invertIfNegative val="0"/>
          <c:cat>
            <c:numRef>
              <c:f>'中国动力电池装车量-动力电池联盟'!$A$136:$A$162</c:f>
              <c:numCache>
                <c:formatCode>yyyy/mm;@</c:formatCode>
                <c:ptCount val="27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45171</c:v>
                </c:pt>
                <c:pt idx="21">
                  <c:v>45203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</c:numCache>
            </c:numRef>
          </c:cat>
          <c:val>
            <c:numRef>
              <c:f>'中国动力电池装车量-动力电池联盟'!$C$136:$C$162</c:f>
              <c:numCache>
                <c:formatCode>0.0_);[Red]\(0.0\)</c:formatCode>
                <c:ptCount val="27"/>
                <c:pt idx="0">
                  <c:v>8.8739000000000008</c:v>
                </c:pt>
                <c:pt idx="1">
                  <c:v>7.7801</c:v>
                </c:pt>
                <c:pt idx="2">
                  <c:v>13.1813</c:v>
                </c:pt>
                <c:pt idx="3">
                  <c:v>8.8879999999999999</c:v>
                </c:pt>
                <c:pt idx="4">
                  <c:v>10.2323</c:v>
                </c:pt>
                <c:pt idx="5">
                  <c:v>15.4163</c:v>
                </c:pt>
                <c:pt idx="6">
                  <c:v>14.3369</c:v>
                </c:pt>
                <c:pt idx="7">
                  <c:v>17.2105</c:v>
                </c:pt>
                <c:pt idx="8">
                  <c:v>20.400300000000001</c:v>
                </c:pt>
                <c:pt idx="9">
                  <c:v>19.665299999999998</c:v>
                </c:pt>
                <c:pt idx="10">
                  <c:v>23.090800000000002</c:v>
                </c:pt>
                <c:pt idx="11">
                  <c:v>24.677399999999999</c:v>
                </c:pt>
                <c:pt idx="12">
                  <c:v>10.683199999999999</c:v>
                </c:pt>
                <c:pt idx="13">
                  <c:v>15.193099999999999</c:v>
                </c:pt>
                <c:pt idx="14">
                  <c:v>19.0395</c:v>
                </c:pt>
                <c:pt idx="15">
                  <c:v>17.1266</c:v>
                </c:pt>
                <c:pt idx="16">
                  <c:v>19.153300000000002</c:v>
                </c:pt>
                <c:pt idx="17">
                  <c:v>22.738399999999999</c:v>
                </c:pt>
                <c:pt idx="18">
                  <c:v>21.6602</c:v>
                </c:pt>
                <c:pt idx="19" formatCode="General">
                  <c:v>24.1</c:v>
                </c:pt>
                <c:pt idx="20" formatCode="General">
                  <c:v>24.2</c:v>
                </c:pt>
                <c:pt idx="21" formatCode="General">
                  <c:v>26.8</c:v>
                </c:pt>
                <c:pt idx="22" formatCode="General">
                  <c:v>29.1</c:v>
                </c:pt>
                <c:pt idx="23" formatCode="General">
                  <c:v>31.3</c:v>
                </c:pt>
                <c:pt idx="24" formatCode="General">
                  <c:v>19.7</c:v>
                </c:pt>
                <c:pt idx="25" formatCode="0.0_ ">
                  <c:v>11</c:v>
                </c:pt>
                <c:pt idx="26" formatCode="0.0_ ">
                  <c:v>23.6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E8-4D0F-A0FC-064A630D6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0776895"/>
        <c:axId val="1970926063"/>
      </c:barChart>
      <c:lineChart>
        <c:grouping val="standard"/>
        <c:varyColors val="0"/>
        <c:ser>
          <c:idx val="2"/>
          <c:order val="2"/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cat>
            <c:numRef>
              <c:f>'中国动力电池装车量-动力电池联盟'!$A$136:$A$162</c:f>
              <c:numCache>
                <c:formatCode>yyyy/mm;@</c:formatCode>
                <c:ptCount val="27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45171</c:v>
                </c:pt>
                <c:pt idx="21">
                  <c:v>45203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</c:numCache>
            </c:numRef>
          </c:cat>
          <c:val>
            <c:numRef>
              <c:f>'中国动力电池装车量-动力电池联盟'!$D$136:$D$162</c:f>
              <c:numCache>
                <c:formatCode>0.0_);[Red]\(0.0\)</c:formatCode>
                <c:ptCount val="27"/>
                <c:pt idx="0">
                  <c:v>16.184000000000001</c:v>
                </c:pt>
                <c:pt idx="1">
                  <c:v>13.676</c:v>
                </c:pt>
                <c:pt idx="2">
                  <c:v>21.415400000000002</c:v>
                </c:pt>
                <c:pt idx="3">
                  <c:v>13.2691</c:v>
                </c:pt>
                <c:pt idx="4">
                  <c:v>18.5641</c:v>
                </c:pt>
                <c:pt idx="5">
                  <c:v>27.010300000000001</c:v>
                </c:pt>
                <c:pt idx="6">
                  <c:v>24.187200000000001</c:v>
                </c:pt>
                <c:pt idx="7">
                  <c:v>27.752199999999998</c:v>
                </c:pt>
                <c:pt idx="8">
                  <c:v>31.6342</c:v>
                </c:pt>
                <c:pt idx="9">
                  <c:v>30.5426</c:v>
                </c:pt>
                <c:pt idx="10">
                  <c:v>34.2622</c:v>
                </c:pt>
                <c:pt idx="11">
                  <c:v>36.1494</c:v>
                </c:pt>
                <c:pt idx="12">
                  <c:v>16.133299999999998</c:v>
                </c:pt>
                <c:pt idx="13">
                  <c:v>21.935199999999998</c:v>
                </c:pt>
                <c:pt idx="14">
                  <c:v>27.782699999999998</c:v>
                </c:pt>
                <c:pt idx="15">
                  <c:v>25.138200000000001</c:v>
                </c:pt>
                <c:pt idx="16">
                  <c:v>28.2423</c:v>
                </c:pt>
                <c:pt idx="17">
                  <c:v>32.896599999999999</c:v>
                </c:pt>
                <c:pt idx="18">
                  <c:v>32.238</c:v>
                </c:pt>
                <c:pt idx="19" formatCode="General">
                  <c:v>22.4</c:v>
                </c:pt>
                <c:pt idx="20" formatCode="General">
                  <c:v>36.4</c:v>
                </c:pt>
                <c:pt idx="21" formatCode="General">
                  <c:v>39.200000000000003</c:v>
                </c:pt>
                <c:pt idx="22" formatCode="General">
                  <c:v>44.9</c:v>
                </c:pt>
                <c:pt idx="23" formatCode="General">
                  <c:v>47.9</c:v>
                </c:pt>
                <c:pt idx="24" formatCode="General">
                  <c:v>32.299999999999997</c:v>
                </c:pt>
                <c:pt idx="25" formatCode="0.0_ ">
                  <c:v>18</c:v>
                </c:pt>
                <c:pt idx="26" formatCode="0.0_ 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E8-4D0F-A0FC-064A630D68E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'中国动力电池装车量-动力电池联盟'!$A$136:$A$162</c:f>
              <c:numCache>
                <c:formatCode>yyyy/mm;@</c:formatCode>
                <c:ptCount val="27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45171</c:v>
                </c:pt>
                <c:pt idx="21">
                  <c:v>45203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</c:numCache>
            </c:numRef>
          </c:cat>
          <c:val>
            <c:numRef>
              <c:f>'中国动力电池装车量-动力电池联盟'!$E$136:$E$162</c:f>
              <c:numCache>
                <c:formatCode>0.0%</c:formatCode>
                <c:ptCount val="27"/>
                <c:pt idx="0">
                  <c:v>0.86858482178938035</c:v>
                </c:pt>
                <c:pt idx="1">
                  <c:v>1.4513353647607099</c:v>
                </c:pt>
                <c:pt idx="2">
                  <c:v>1.3804410653150154</c:v>
                </c:pt>
                <c:pt idx="3">
                  <c:v>0.58065207809689445</c:v>
                </c:pt>
                <c:pt idx="4">
                  <c:v>0.9030148332667014</c:v>
                </c:pt>
                <c:pt idx="5">
                  <c:v>1.43340420548118</c:v>
                </c:pt>
                <c:pt idx="6">
                  <c:v>1.141938683338942</c:v>
                </c:pt>
                <c:pt idx="7">
                  <c:v>1.2095524717159893</c:v>
                </c:pt>
                <c:pt idx="8">
                  <c:v>1.0155976221272152</c:v>
                </c:pt>
                <c:pt idx="9">
                  <c:v>0.98085466537820465</c:v>
                </c:pt>
                <c:pt idx="10">
                  <c:v>0.64525159784680852</c:v>
                </c:pt>
                <c:pt idx="11">
                  <c:v>0.37877978824031988</c:v>
                </c:pt>
                <c:pt idx="12">
                  <c:v>-3.1327236777065615E-3</c:v>
                </c:pt>
                <c:pt idx="13">
                  <c:v>0.60391927464170791</c:v>
                </c:pt>
                <c:pt idx="14">
                  <c:v>0.29732342146305912</c:v>
                </c:pt>
                <c:pt idx="15">
                  <c:v>0.89449171383138282</c:v>
                </c:pt>
                <c:pt idx="16">
                  <c:v>0.52133957477065951</c:v>
                </c:pt>
                <c:pt idx="17">
                  <c:v>0.2179279756241137</c:v>
                </c:pt>
                <c:pt idx="18">
                  <c:v>0.33285374082159147</c:v>
                </c:pt>
                <c:pt idx="19">
                  <c:v>0.35299999999999998</c:v>
                </c:pt>
                <c:pt idx="20">
                  <c:v>0.151</c:v>
                </c:pt>
                <c:pt idx="21">
                  <c:v>0.28349999999999997</c:v>
                </c:pt>
                <c:pt idx="22">
                  <c:v>0.31</c:v>
                </c:pt>
                <c:pt idx="23" formatCode="0.00%">
                  <c:v>0.32600000000000001</c:v>
                </c:pt>
                <c:pt idx="24" formatCode="0.00%">
                  <c:v>1.002070252211265</c:v>
                </c:pt>
                <c:pt idx="25" formatCode="0.00%">
                  <c:v>-0.17940114519129069</c:v>
                </c:pt>
                <c:pt idx="26" formatCode="0.00%">
                  <c:v>0.25977676755678902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E8-4D0F-A0FC-064A630D6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371791"/>
        <c:axId val="1166387599"/>
      </c:lineChart>
      <c:dateAx>
        <c:axId val="197077689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7" charset="0"/>
                    <a:ea typeface="楷体" panose="02010609060101010101" pitchFamily="49" charset="-122"/>
                    <a:cs typeface="Arial" panose="020B0604020202020204" pitchFamily="7" charset="0"/>
                  </a:defRPr>
                </a:pPr>
                <a:r>
                  <a:rPr lang="en-US" altLang="zh-CN"/>
                  <a:t>GWh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56944444444444E-2"/>
              <c:y val="1.7415277777777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7" charset="0"/>
                  <a:ea typeface="楷体" panose="02010609060101010101" pitchFamily="49" charset="-122"/>
                  <a:cs typeface="Arial" panose="020B0604020202020204" pitchFamily="7" charset="0"/>
                </a:defRPr>
              </a:pPr>
              <a:endParaRPr lang="zh-CN"/>
            </a:p>
          </c:txPr>
        </c:title>
        <c:numFmt formatCode="yyyy/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75000"/>
              </a:sysClr>
            </a:solidFill>
            <a:round/>
          </a:ln>
          <a:effectLst/>
        </c:spPr>
        <c:txPr>
          <a:bodyPr rot="-5400000" spcFirstLastPara="0" vertOverflow="ellipsis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0926063"/>
        <c:crosses val="autoZero"/>
        <c:auto val="1"/>
        <c:lblOffset val="100"/>
        <c:baseTimeUnit val="months"/>
      </c:dateAx>
      <c:valAx>
        <c:axId val="1970926063"/>
        <c:scaling>
          <c:orientation val="minMax"/>
        </c:scaling>
        <c:delete val="0"/>
        <c:axPos val="l"/>
        <c:numFmt formatCode="0_ " sourceLinked="0"/>
        <c:majorTickMark val="out"/>
        <c:minorTickMark val="none"/>
        <c:tickLblPos val="nextTo"/>
        <c:spPr>
          <a:solidFill>
            <a:schemeClr val="bg1"/>
          </a:solidFill>
          <a:ln>
            <a:solidFill>
              <a:sysClr val="window" lastClr="FFFFFF">
                <a:lumMod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0776895"/>
        <c:crosses val="autoZero"/>
        <c:crossBetween val="between"/>
      </c:valAx>
      <c:dateAx>
        <c:axId val="1166371791"/>
        <c:scaling>
          <c:orientation val="minMax"/>
        </c:scaling>
        <c:delete val="1"/>
        <c:axPos val="b"/>
        <c:numFmt formatCode="yyyy/mm;@" sourceLinked="1"/>
        <c:majorTickMark val="out"/>
        <c:minorTickMark val="none"/>
        <c:tickLblPos val="nextTo"/>
        <c:crossAx val="1166387599"/>
        <c:crosses val="autoZero"/>
        <c:auto val="1"/>
        <c:lblOffset val="100"/>
        <c:baseTimeUnit val="months"/>
      </c:dateAx>
      <c:valAx>
        <c:axId val="1166387599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solidFill>
              <a:sysClr val="window" lastClr="FFFFFF">
                <a:lumMod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6371791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5848643919510104E-2"/>
          <c:y val="0.101454505686789"/>
          <c:w val="0.90295713035870495"/>
          <c:h val="0.702799285505978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'中国动力电池装车量-动力电池联盟'!$B$56</c:f>
              <c:strCache>
                <c:ptCount val="1"/>
                <c:pt idx="0">
                  <c:v>三元电池装车量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'中国动力电池装车量-动力电池联盟'!$A$57:$A$119</c15:sqref>
                  </c15:fullRef>
                </c:ext>
              </c:extLst>
              <c:f>'中国动力电池装车量-动力电池联盟'!$A$69:$A$119</c:f>
              <c:numCache>
                <c:formatCode>yyyy/mm;@</c:formatCode>
                <c:ptCount val="5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'中国动力电池装车量-动力电池联盟'!$B$57:$B$119</c15:sqref>
                  </c15:fullRef>
                </c:ext>
              </c:extLst>
              <c:f>'中国动力电池装车量-动力电池联盟'!$B$69:$B$119</c:f>
              <c:numCache>
                <c:formatCode>General</c:formatCode>
                <c:ptCount val="51"/>
                <c:pt idx="0">
                  <c:v>1.5791999999999999</c:v>
                </c:pt>
                <c:pt idx="1">
                  <c:v>0.5212</c:v>
                </c:pt>
                <c:pt idx="2">
                  <c:v>2.2244999999999999</c:v>
                </c:pt>
                <c:pt idx="3">
                  <c:v>2.6203000000000003</c:v>
                </c:pt>
                <c:pt idx="4">
                  <c:v>2.6734</c:v>
                </c:pt>
                <c:pt idx="5">
                  <c:v>2.9965999999999999</c:v>
                </c:pt>
                <c:pt idx="6">
                  <c:v>3.2570000000000001</c:v>
                </c:pt>
                <c:pt idx="7">
                  <c:v>3.5151999999999997</c:v>
                </c:pt>
                <c:pt idx="8">
                  <c:v>4.2169999999999996</c:v>
                </c:pt>
                <c:pt idx="9">
                  <c:v>3.4116</c:v>
                </c:pt>
                <c:pt idx="10">
                  <c:v>5.8556000000000008</c:v>
                </c:pt>
                <c:pt idx="11">
                  <c:v>5.9866999999999999</c:v>
                </c:pt>
                <c:pt idx="12">
                  <c:v>5.3986000000000001</c:v>
                </c:pt>
                <c:pt idx="13">
                  <c:v>3.3281000000000001</c:v>
                </c:pt>
                <c:pt idx="14">
                  <c:v>5.0943999999999994</c:v>
                </c:pt>
                <c:pt idx="15">
                  <c:v>5.1688000000000001</c:v>
                </c:pt>
                <c:pt idx="16">
                  <c:v>5.2214</c:v>
                </c:pt>
                <c:pt idx="17">
                  <c:v>5.9423000000000004</c:v>
                </c:pt>
                <c:pt idx="18">
                  <c:v>5.4546999999999999</c:v>
                </c:pt>
                <c:pt idx="19">
                  <c:v>5.3381000000000007</c:v>
                </c:pt>
                <c:pt idx="20">
                  <c:v>6.1386000000000003</c:v>
                </c:pt>
                <c:pt idx="21">
                  <c:v>6.9691999999999998</c:v>
                </c:pt>
                <c:pt idx="22">
                  <c:v>9.2352999999999987</c:v>
                </c:pt>
                <c:pt idx="23">
                  <c:v>11.0579</c:v>
                </c:pt>
                <c:pt idx="24">
                  <c:v>7.2999000000000001</c:v>
                </c:pt>
                <c:pt idx="25">
                  <c:v>5.8452999999999999</c:v>
                </c:pt>
                <c:pt idx="26">
                  <c:v>8.2100000000000009</c:v>
                </c:pt>
                <c:pt idx="27">
                  <c:v>4.3628</c:v>
                </c:pt>
                <c:pt idx="28">
                  <c:v>8.3033999999999999</c:v>
                </c:pt>
                <c:pt idx="29">
                  <c:v>11.579000000000001</c:v>
                </c:pt>
                <c:pt idx="30">
                  <c:v>9.8384999999999998</c:v>
                </c:pt>
                <c:pt idx="31">
                  <c:v>10.522500000000001</c:v>
                </c:pt>
                <c:pt idx="32">
                  <c:v>11.2094</c:v>
                </c:pt>
                <c:pt idx="33">
                  <c:v>10.816600000000001</c:v>
                </c:pt>
                <c:pt idx="34">
                  <c:v>11.035</c:v>
                </c:pt>
                <c:pt idx="35">
                  <c:v>11.4221</c:v>
                </c:pt>
                <c:pt idx="36">
                  <c:v>5.4329999999999998</c:v>
                </c:pt>
                <c:pt idx="37">
                  <c:v>6.7206000000000001</c:v>
                </c:pt>
                <c:pt idx="38">
                  <c:v>8.7254000000000005</c:v>
                </c:pt>
                <c:pt idx="39">
                  <c:v>8.0041000000000011</c:v>
                </c:pt>
                <c:pt idx="40">
                  <c:v>9.0281000000000002</c:v>
                </c:pt>
                <c:pt idx="41">
                  <c:v>10.078299999999999</c:v>
                </c:pt>
                <c:pt idx="42">
                  <c:v>10.562200000000001</c:v>
                </c:pt>
                <c:pt idx="43">
                  <c:v>10.807</c:v>
                </c:pt>
                <c:pt idx="44">
                  <c:v>12.2</c:v>
                </c:pt>
                <c:pt idx="45">
                  <c:v>12.3</c:v>
                </c:pt>
                <c:pt idx="46">
                  <c:v>15.7</c:v>
                </c:pt>
                <c:pt idx="47">
                  <c:v>16.600000000000001</c:v>
                </c:pt>
                <c:pt idx="48">
                  <c:v>12.6</c:v>
                </c:pt>
                <c:pt idx="49">
                  <c:v>6.9</c:v>
                </c:pt>
                <c:pt idx="50">
                  <c:v>11.3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F-43B8-BD3D-57F9B743D190}"/>
            </c:ext>
          </c:extLst>
        </c:ser>
        <c:ser>
          <c:idx val="0"/>
          <c:order val="1"/>
          <c:tx>
            <c:strRef>
              <c:f>'中国动力电池装车量-动力电池联盟'!$C$56</c:f>
              <c:strCache>
                <c:ptCount val="1"/>
                <c:pt idx="0">
                  <c:v>磷酸铁锂电池装车量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'中国动力电池装车量-动力电池联盟'!$A$57:$A$119</c15:sqref>
                  </c15:fullRef>
                </c:ext>
              </c:extLst>
              <c:f>'中国动力电池装车量-动力电池联盟'!$A$69:$A$119</c:f>
              <c:numCache>
                <c:formatCode>yyyy/mm;@</c:formatCode>
                <c:ptCount val="5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'中国动力电池装车量-动力电池联盟'!$C$57:$C$119</c15:sqref>
                  </c15:fullRef>
                </c:ext>
              </c:extLst>
              <c:f>'中国动力电池装车量-动力电池联盟'!$C$69:$C$119</c:f>
              <c:numCache>
                <c:formatCode>General</c:formatCode>
                <c:ptCount val="51"/>
                <c:pt idx="0">
                  <c:v>0.72339999999999993</c:v>
                </c:pt>
                <c:pt idx="1">
                  <c:v>7.6599999999999988E-2</c:v>
                </c:pt>
                <c:pt idx="2">
                  <c:v>0.53449999999999998</c:v>
                </c:pt>
                <c:pt idx="3">
                  <c:v>0.93079999999999996</c:v>
                </c:pt>
                <c:pt idx="4">
                  <c:v>0.80859999999999999</c:v>
                </c:pt>
                <c:pt idx="5">
                  <c:v>1.6693</c:v>
                </c:pt>
                <c:pt idx="6">
                  <c:v>1.7284000000000002</c:v>
                </c:pt>
                <c:pt idx="7">
                  <c:v>1.5620999999999998</c:v>
                </c:pt>
                <c:pt idx="8">
                  <c:v>2.3313000000000001</c:v>
                </c:pt>
                <c:pt idx="9">
                  <c:v>2.4129</c:v>
                </c:pt>
                <c:pt idx="10">
                  <c:v>4.7176999999999998</c:v>
                </c:pt>
                <c:pt idx="11">
                  <c:v>6.8872999999999998</c:v>
                </c:pt>
                <c:pt idx="12">
                  <c:v>3.2539000000000002</c:v>
                </c:pt>
                <c:pt idx="13">
                  <c:v>2.2403000000000004</c:v>
                </c:pt>
                <c:pt idx="14">
                  <c:v>3.8906999999999998</c:v>
                </c:pt>
                <c:pt idx="15">
                  <c:v>3.2065999999999999</c:v>
                </c:pt>
                <c:pt idx="16">
                  <c:v>4.5171000000000001</c:v>
                </c:pt>
                <c:pt idx="17">
                  <c:v>5.1138999999999992</c:v>
                </c:pt>
                <c:pt idx="18">
                  <c:v>5.7986000000000004</c:v>
                </c:pt>
                <c:pt idx="19">
                  <c:v>7.2145000000000001</c:v>
                </c:pt>
                <c:pt idx="20">
                  <c:v>9.5419999999999998</c:v>
                </c:pt>
                <c:pt idx="21">
                  <c:v>8.4339999999999993</c:v>
                </c:pt>
                <c:pt idx="22">
                  <c:v>11.573600000000001</c:v>
                </c:pt>
                <c:pt idx="23">
                  <c:v>15.0517</c:v>
                </c:pt>
                <c:pt idx="24">
                  <c:v>8.873899999999999</c:v>
                </c:pt>
                <c:pt idx="25">
                  <c:v>7.7801</c:v>
                </c:pt>
                <c:pt idx="26">
                  <c:v>13.181299999999998</c:v>
                </c:pt>
                <c:pt idx="27">
                  <c:v>8.8879999999999999</c:v>
                </c:pt>
                <c:pt idx="28">
                  <c:v>10.232299999999999</c:v>
                </c:pt>
                <c:pt idx="29">
                  <c:v>15.4163</c:v>
                </c:pt>
                <c:pt idx="30">
                  <c:v>14.3369</c:v>
                </c:pt>
                <c:pt idx="31">
                  <c:v>17.2105</c:v>
                </c:pt>
                <c:pt idx="32">
                  <c:v>20.400299999999998</c:v>
                </c:pt>
                <c:pt idx="33">
                  <c:v>19.665299999999998</c:v>
                </c:pt>
                <c:pt idx="34">
                  <c:v>23.090799999999998</c:v>
                </c:pt>
                <c:pt idx="35">
                  <c:v>24.677400000000002</c:v>
                </c:pt>
                <c:pt idx="36">
                  <c:v>10.683200000000001</c:v>
                </c:pt>
                <c:pt idx="37">
                  <c:v>15.193100000000001</c:v>
                </c:pt>
                <c:pt idx="38">
                  <c:v>19.0395</c:v>
                </c:pt>
                <c:pt idx="39">
                  <c:v>17.1266</c:v>
                </c:pt>
                <c:pt idx="40">
                  <c:v>19.153299999999998</c:v>
                </c:pt>
                <c:pt idx="41">
                  <c:v>22.738400000000002</c:v>
                </c:pt>
                <c:pt idx="42">
                  <c:v>21.6602</c:v>
                </c:pt>
                <c:pt idx="43">
                  <c:v>24.051099999999998</c:v>
                </c:pt>
                <c:pt idx="44">
                  <c:v>24.2</c:v>
                </c:pt>
                <c:pt idx="45">
                  <c:v>26.8</c:v>
                </c:pt>
                <c:pt idx="46">
                  <c:v>29.1</c:v>
                </c:pt>
                <c:pt idx="47">
                  <c:v>31.3</c:v>
                </c:pt>
                <c:pt idx="48">
                  <c:v>19.7</c:v>
                </c:pt>
                <c:pt idx="49">
                  <c:v>11</c:v>
                </c:pt>
                <c:pt idx="50">
                  <c:v>23.6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8F-43B8-BD3D-57F9B743D190}"/>
            </c:ext>
          </c:extLst>
        </c:ser>
        <c:ser>
          <c:idx val="1"/>
          <c:order val="2"/>
          <c:tx>
            <c:strRef>
              <c:f>'中国动力电池装车量-动力电池联盟'!$D$56</c:f>
              <c:strCache>
                <c:ptCount val="1"/>
                <c:pt idx="0">
                  <c:v>其他</c:v>
                </c:pt>
              </c:strCache>
            </c:strRef>
          </c:tx>
          <c:spPr>
            <a:solidFill>
              <a:sysClr val="windowText" lastClr="000000"/>
            </a:solidFill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'中国动力电池装车量-动力电池联盟'!$A$57:$A$119</c15:sqref>
                  </c15:fullRef>
                </c:ext>
              </c:extLst>
              <c:f>'中国动力电池装车量-动力电池联盟'!$A$69:$A$119</c:f>
              <c:numCache>
                <c:formatCode>yyyy/mm;@</c:formatCode>
                <c:ptCount val="5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'中国动力电池装车量-动力电池联盟'!$D$57:$D$117</c15:sqref>
                  </c15:fullRef>
                </c:ext>
              </c:extLst>
              <c:f>'中国动力电池装车量-动力电池联盟'!$D$69:$D$117</c:f>
              <c:numCache>
                <c:formatCode>0.0_);[Red]\(0.0\)</c:formatCode>
                <c:ptCount val="49"/>
                <c:pt idx="0">
                  <c:v>1.4200000000000323E-2</c:v>
                </c:pt>
                <c:pt idx="1">
                  <c:v>3.0000000000009186E-4</c:v>
                </c:pt>
                <c:pt idx="2">
                  <c:v>1.1099999999999888E-2</c:v>
                </c:pt>
                <c:pt idx="3">
                  <c:v>3.6299999999999888E-2</c:v>
                </c:pt>
                <c:pt idx="4">
                  <c:v>2.410000000000001E-2</c:v>
                </c:pt>
                <c:pt idx="5">
                  <c:v>3.3499999999999863E-2</c:v>
                </c:pt>
                <c:pt idx="6">
                  <c:v>3.3799999999999386E-2</c:v>
                </c:pt>
                <c:pt idx="7">
                  <c:v>5.1400000000000778E-2</c:v>
                </c:pt>
                <c:pt idx="8">
                  <c:v>3.0600000000000183E-2</c:v>
                </c:pt>
                <c:pt idx="9">
                  <c:v>4.2899999999999938E-2</c:v>
                </c:pt>
                <c:pt idx="10">
                  <c:v>4.0799999999999947E-2</c:v>
                </c:pt>
                <c:pt idx="11">
                  <c:v>7.8299999999999592E-2</c:v>
                </c:pt>
                <c:pt idx="12">
                  <c:v>8.6000000000008292E-3</c:v>
                </c:pt>
                <c:pt idx="13">
                  <c:v>1.0599999999999277E-2</c:v>
                </c:pt>
                <c:pt idx="14">
                  <c:v>1.130000000000031E-2</c:v>
                </c:pt>
                <c:pt idx="15">
                  <c:v>1.9300000000000317E-2</c:v>
                </c:pt>
                <c:pt idx="16">
                  <c:v>1.6600000000000392E-2</c:v>
                </c:pt>
                <c:pt idx="17">
                  <c:v>4.3600000000000527E-2</c:v>
                </c:pt>
                <c:pt idx="18">
                  <c:v>3.8900000000000823E-2</c:v>
                </c:pt>
                <c:pt idx="19">
                  <c:v>7.499999999999396E-3</c:v>
                </c:pt>
                <c:pt idx="20">
                  <c:v>1.410000000000089E-2</c:v>
                </c:pt>
                <c:pt idx="21">
                  <c:v>1.5700000000000713E-2</c:v>
                </c:pt>
                <c:pt idx="22">
                  <c:v>1.6000000000003567E-2</c:v>
                </c:pt>
                <c:pt idx="23">
                  <c:v>0.10880000000000223</c:v>
                </c:pt>
                <c:pt idx="24">
                  <c:v>1.0200000000001097E-2</c:v>
                </c:pt>
                <c:pt idx="25">
                  <c:v>5.06000000000002E-2</c:v>
                </c:pt>
                <c:pt idx="26">
                  <c:v>2.4100000000002453E-2</c:v>
                </c:pt>
                <c:pt idx="27">
                  <c:v>1.8299999999999983E-2</c:v>
                </c:pt>
                <c:pt idx="28">
                  <c:v>2.8400000000001313E-2</c:v>
                </c:pt>
                <c:pt idx="29">
                  <c:v>1.5000000000000568E-2</c:v>
                </c:pt>
                <c:pt idx="30">
                  <c:v>1.1800000000000921E-2</c:v>
                </c:pt>
                <c:pt idx="31">
                  <c:v>1.9200000000001438E-2</c:v>
                </c:pt>
                <c:pt idx="32">
                  <c:v>2.4499999999999744E-2</c:v>
                </c:pt>
                <c:pt idx="33">
                  <c:v>6.0700000000000642E-2</c:v>
                </c:pt>
                <c:pt idx="34">
                  <c:v>0.13640000000000185</c:v>
                </c:pt>
                <c:pt idx="35">
                  <c:v>4.9899999999997391E-2</c:v>
                </c:pt>
                <c:pt idx="36">
                  <c:v>1.7099999999997451E-2</c:v>
                </c:pt>
                <c:pt idx="37">
                  <c:v>2.1499999999999631E-2</c:v>
                </c:pt>
                <c:pt idx="38">
                  <c:v>1.7800000000001148E-2</c:v>
                </c:pt>
                <c:pt idx="39">
                  <c:v>7.5000000000002842E-3</c:v>
                </c:pt>
                <c:pt idx="40">
                  <c:v>6.0900000000007282E-2</c:v>
                </c:pt>
                <c:pt idx="41">
                  <c:v>7.9899999999998528E-2</c:v>
                </c:pt>
                <c:pt idx="42">
                  <c:v>1.559999999999917E-2</c:v>
                </c:pt>
                <c:pt idx="43">
                  <c:v>2.2300000000001319E-2</c:v>
                </c:pt>
                <c:pt idx="44">
                  <c:v>0</c:v>
                </c:pt>
                <c:pt idx="45">
                  <c:v>0.10000000000000142</c:v>
                </c:pt>
                <c:pt idx="46">
                  <c:v>9.9999999999997868E-2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8F-43B8-BD3D-57F9B743D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006900040"/>
        <c:axId val="1"/>
      </c:barChart>
      <c:catAx>
        <c:axId val="100690004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000000"/>
                    </a:solidFill>
                    <a:latin typeface="Arial" panose="020B0604020202020204" pitchFamily="7" charset="0"/>
                    <a:ea typeface="楷体" panose="02010609060101010101" pitchFamily="49" charset="-122"/>
                    <a:cs typeface="Arial" panose="020B0604020202020204" pitchFamily="7" charset="0"/>
                  </a:defRPr>
                </a:pPr>
                <a:r>
                  <a:rPr lang="en-US" altLang="zh-CN"/>
                  <a:t>GWh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4.2784339457567801E-3"/>
              <c:y val="3.0322251385243499E-3"/>
            </c:manualLayout>
          </c:layout>
          <c:overlay val="0"/>
        </c:title>
        <c:numFmt formatCode="yyyy/mm;@" sourceLinked="1"/>
        <c:majorTickMark val="out"/>
        <c:minorTickMark val="none"/>
        <c:tickLblPos val="nextTo"/>
        <c:spPr>
          <a:ln w="9525" cap="flat" cmpd="sng" algn="ctr">
            <a:solidFill>
              <a:srgbClr val="D7D7D7"/>
            </a:solidFill>
            <a:prstDash val="solid"/>
            <a:round/>
          </a:ln>
        </c:spPr>
        <c:txPr>
          <a:bodyPr rot="-54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Arial" panose="020B0604020202020204" pitchFamily="7" charset="0"/>
                <a:ea typeface="楷体" panose="02010609060101010101" pitchFamily="49" charset="-122"/>
                <a:cs typeface="Arial" panose="020B0604020202020204" pitchFamily="7" charset="0"/>
              </a:defRPr>
            </a:pPr>
            <a:endParaRPr lang="zh-CN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525" cap="flat" cmpd="sng" algn="ctr">
            <a:solidFill>
              <a:srgbClr val="D7D7D7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Arial" panose="020B0604020202020204" pitchFamily="7" charset="0"/>
                <a:ea typeface="楷体" panose="02010609060101010101" pitchFamily="49" charset="-122"/>
                <a:cs typeface="Arial" panose="020B0604020202020204" pitchFamily="7" charset="0"/>
              </a:defRPr>
            </a:pPr>
            <a:endParaRPr lang="zh-CN"/>
          </a:p>
        </c:txPr>
        <c:crossAx val="10069000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Arial" panose="020B0604020202020204" pitchFamily="7" charset="0"/>
              <a:ea typeface="楷体" panose="02010609060101010101" pitchFamily="49" charset="-122"/>
              <a:cs typeface="Arial" panose="020B0604020202020204" pitchFamily="7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</c:spPr>
  <c:txPr>
    <a:bodyPr/>
    <a:lstStyle/>
    <a:p>
      <a:pPr>
        <a:defRPr lang="zh-CN" sz="900" b="0" i="0" u="none" strike="noStrike" baseline="0">
          <a:solidFill>
            <a:srgbClr val="000000"/>
          </a:solidFill>
          <a:latin typeface="Arial" panose="020B0604020202020204" pitchFamily="7" charset="0"/>
          <a:ea typeface="楷体" panose="02010609060101010101" pitchFamily="49" charset="-122"/>
          <a:cs typeface="Arial" panose="020B0604020202020204" pitchFamily="7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4900481189851301E-2"/>
          <c:y val="0.12638888888888899"/>
          <c:w val="0.83186570428696405"/>
          <c:h val="0.7688292850319510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中国动力电池行业产量规模!$C$12:$N$12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中国动力电池行业产量规模!$C$21:$N$21</c:f>
              <c:numCache>
                <c:formatCode>#,##0.00</c:formatCode>
                <c:ptCount val="12"/>
                <c:pt idx="0">
                  <c:v>28169.3</c:v>
                </c:pt>
                <c:pt idx="1">
                  <c:v>41450.5</c:v>
                </c:pt>
                <c:pt idx="2">
                  <c:v>51186</c:v>
                </c:pt>
                <c:pt idx="3">
                  <c:v>46958.3</c:v>
                </c:pt>
                <c:pt idx="4">
                  <c:v>56556.1</c:v>
                </c:pt>
                <c:pt idx="5">
                  <c:v>60116.1</c:v>
                </c:pt>
                <c:pt idx="6">
                  <c:v>60995.8</c:v>
                </c:pt>
                <c:pt idx="7">
                  <c:v>73345</c:v>
                </c:pt>
                <c:pt idx="8">
                  <c:v>77400</c:v>
                </c:pt>
                <c:pt idx="9">
                  <c:v>77300</c:v>
                </c:pt>
                <c:pt idx="10">
                  <c:v>87700</c:v>
                </c:pt>
                <c:pt idx="11">
                  <c:v>77700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5-4EFD-8669-DE6F44728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0776895"/>
        <c:axId val="1970926063"/>
      </c:barChart>
      <c:lineChart>
        <c:grouping val="standard"/>
        <c:varyColors val="0"/>
        <c:ser>
          <c:idx val="2"/>
          <c:order val="1"/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中国动力电池行业产量规模!$C$12:$N$12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中国动力电池行业产量规模!$C$22:$N$22</c:f>
              <c:numCache>
                <c:formatCode>0%</c:formatCode>
                <c:ptCount val="12"/>
                <c:pt idx="0">
                  <c:v>-5.0374870211302714E-2</c:v>
                </c:pt>
                <c:pt idx="1">
                  <c:v>0.30460714330676941</c:v>
                </c:pt>
                <c:pt idx="2">
                  <c:v>0.26700000000000002</c:v>
                </c:pt>
                <c:pt idx="3">
                  <c:v>0.38700000000000001</c:v>
                </c:pt>
                <c:pt idx="4">
                  <c:v>0.57399999999999995</c:v>
                </c:pt>
                <c:pt idx="5">
                  <c:v>0.45700000000000002</c:v>
                </c:pt>
                <c:pt idx="6">
                  <c:v>0.28899999999999998</c:v>
                </c:pt>
                <c:pt idx="7">
                  <c:v>0.46800000000000003</c:v>
                </c:pt>
                <c:pt idx="8">
                  <c:v>0.374</c:v>
                </c:pt>
                <c:pt idx="9">
                  <c:v>0.23200000000000001</c:v>
                </c:pt>
                <c:pt idx="10">
                  <c:v>0.40699999999999997</c:v>
                </c:pt>
                <c:pt idx="11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65-4EFD-8669-DE6F44728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741584"/>
        <c:axId val="266337775"/>
      </c:lineChart>
      <c:catAx>
        <c:axId val="1970776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楷体" panose="02010609060101010101" pitchFamily="49" charset="-122"/>
                    <a:ea typeface="楷体" panose="02010609060101010101" pitchFamily="49" charset="-122"/>
                    <a:cs typeface="+mn-cs"/>
                  </a:defRPr>
                </a:pPr>
                <a:r>
                  <a:rPr lang="en-US" altLang="zh-CN"/>
                  <a:t>MWh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3.6111111111111101E-3"/>
              <c:y val="1.3888888888888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楷体" panose="02010609060101010101" pitchFamily="49" charset="-122"/>
                  <a:ea typeface="楷体" panose="02010609060101010101" pitchFamily="49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7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0926063"/>
        <c:crosses val="autoZero"/>
        <c:auto val="1"/>
        <c:lblAlgn val="ctr"/>
        <c:lblOffset val="100"/>
        <c:noMultiLvlLbl val="0"/>
      </c:catAx>
      <c:valAx>
        <c:axId val="1970926063"/>
        <c:scaling>
          <c:orientation val="minMax"/>
        </c:scaling>
        <c:delete val="0"/>
        <c:axPos val="l"/>
        <c:numFmt formatCode="0_ " sourceLinked="0"/>
        <c:majorTickMark val="out"/>
        <c:minorTickMark val="none"/>
        <c:tickLblPos val="nextTo"/>
        <c:spPr>
          <a:solidFill>
            <a:schemeClr val="bg1"/>
          </a:solidFill>
          <a:ln>
            <a:solidFill>
              <a:sysClr val="window" lastClr="FFFFFF">
                <a:lumMod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0776895"/>
        <c:crosses val="autoZero"/>
        <c:crossBetween val="between"/>
      </c:valAx>
      <c:catAx>
        <c:axId val="88174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6337775"/>
        <c:crosses val="autoZero"/>
        <c:auto val="1"/>
        <c:lblAlgn val="ctr"/>
        <c:lblOffset val="100"/>
        <c:noMultiLvlLbl val="0"/>
      </c:catAx>
      <c:valAx>
        <c:axId val="266337775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solidFill>
              <a:sysClr val="window" lastClr="FFFFFF">
                <a:lumMod val="8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1741584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楷体" panose="02010609060101010101" pitchFamily="49" charset="-122"/>
              <a:ea typeface="楷体" panose="0201060906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1320428696412895E-2"/>
          <c:y val="0.113366904916613"/>
          <c:w val="0.89201946631671003"/>
          <c:h val="0.68639690871974302"/>
        </c:manualLayout>
      </c:layout>
      <c:lineChart>
        <c:grouping val="standard"/>
        <c:varyColors val="0"/>
        <c:ser>
          <c:idx val="1"/>
          <c:order val="0"/>
          <c:tx>
            <c:strRef>
              <c:f>'中国动力电池产量-动力电池联盟'!$O$56</c:f>
              <c:strCache>
                <c:ptCount val="1"/>
                <c:pt idx="0">
                  <c:v>三元材料（产量）</c:v>
                </c:pt>
              </c:strCache>
            </c:strRef>
          </c:tx>
          <c:spPr>
            <a:ln w="19050" cap="rnd" cmpd="sng" algn="ctr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cat>
            <c:numRef>
              <c:f>'中国动力电池产量-动力电池联盟'!$N$69:$N$119</c:f>
              <c:numCache>
                <c:formatCode>0.00_ </c:formatCode>
                <c:ptCount val="51"/>
                <c:pt idx="0">
                  <c:v>2020.01</c:v>
                </c:pt>
                <c:pt idx="1">
                  <c:v>2020.02</c:v>
                </c:pt>
                <c:pt idx="2">
                  <c:v>2020.03</c:v>
                </c:pt>
                <c:pt idx="3">
                  <c:v>2020.04</c:v>
                </c:pt>
                <c:pt idx="4">
                  <c:v>2020.05</c:v>
                </c:pt>
                <c:pt idx="5">
                  <c:v>2020.06</c:v>
                </c:pt>
                <c:pt idx="6">
                  <c:v>2020.07</c:v>
                </c:pt>
                <c:pt idx="7">
                  <c:v>2020.08</c:v>
                </c:pt>
                <c:pt idx="8">
                  <c:v>2020.09</c:v>
                </c:pt>
                <c:pt idx="9">
                  <c:v>2020.1</c:v>
                </c:pt>
                <c:pt idx="10">
                  <c:v>2020.11</c:v>
                </c:pt>
                <c:pt idx="11">
                  <c:v>2020.12</c:v>
                </c:pt>
                <c:pt idx="12">
                  <c:v>2021.01</c:v>
                </c:pt>
                <c:pt idx="13">
                  <c:v>2021.02</c:v>
                </c:pt>
                <c:pt idx="14">
                  <c:v>2021.03</c:v>
                </c:pt>
                <c:pt idx="15">
                  <c:v>2021.04</c:v>
                </c:pt>
                <c:pt idx="16">
                  <c:v>2021.05</c:v>
                </c:pt>
                <c:pt idx="17">
                  <c:v>2021.06</c:v>
                </c:pt>
                <c:pt idx="18">
                  <c:v>2021.07</c:v>
                </c:pt>
                <c:pt idx="19">
                  <c:v>2021.08</c:v>
                </c:pt>
                <c:pt idx="20">
                  <c:v>2021.09</c:v>
                </c:pt>
                <c:pt idx="21">
                  <c:v>2021.1</c:v>
                </c:pt>
                <c:pt idx="22">
                  <c:v>2021.11</c:v>
                </c:pt>
                <c:pt idx="23">
                  <c:v>2021.12</c:v>
                </c:pt>
                <c:pt idx="24">
                  <c:v>2022.01</c:v>
                </c:pt>
                <c:pt idx="25">
                  <c:v>2022.02</c:v>
                </c:pt>
                <c:pt idx="26">
                  <c:v>2022.03</c:v>
                </c:pt>
                <c:pt idx="27">
                  <c:v>2022.04</c:v>
                </c:pt>
                <c:pt idx="28">
                  <c:v>2022.05</c:v>
                </c:pt>
                <c:pt idx="29">
                  <c:v>2022.06</c:v>
                </c:pt>
                <c:pt idx="30">
                  <c:v>2022.07</c:v>
                </c:pt>
                <c:pt idx="31">
                  <c:v>2022.08</c:v>
                </c:pt>
                <c:pt idx="32">
                  <c:v>2022.09</c:v>
                </c:pt>
                <c:pt idx="33">
                  <c:v>2022.1</c:v>
                </c:pt>
                <c:pt idx="34">
                  <c:v>2022.11</c:v>
                </c:pt>
                <c:pt idx="35">
                  <c:v>2022.12</c:v>
                </c:pt>
                <c:pt idx="36">
                  <c:v>2023.01</c:v>
                </c:pt>
                <c:pt idx="37" formatCode="General">
                  <c:v>2023.02</c:v>
                </c:pt>
                <c:pt idx="38">
                  <c:v>2023.03</c:v>
                </c:pt>
                <c:pt idx="39">
                  <c:v>2023.04</c:v>
                </c:pt>
                <c:pt idx="40">
                  <c:v>2023.05</c:v>
                </c:pt>
                <c:pt idx="41" formatCode="General">
                  <c:v>2023.06</c:v>
                </c:pt>
                <c:pt idx="42">
                  <c:v>2023.07</c:v>
                </c:pt>
                <c:pt idx="43">
                  <c:v>2023.08</c:v>
                </c:pt>
                <c:pt idx="44">
                  <c:v>2023.09</c:v>
                </c:pt>
                <c:pt idx="45">
                  <c:v>2023.1</c:v>
                </c:pt>
                <c:pt idx="46">
                  <c:v>2023.11</c:v>
                </c:pt>
                <c:pt idx="47">
                  <c:v>2023.12</c:v>
                </c:pt>
                <c:pt idx="48">
                  <c:v>2024.01</c:v>
                </c:pt>
                <c:pt idx="49">
                  <c:v>2024.02</c:v>
                </c:pt>
                <c:pt idx="50">
                  <c:v>2024.03</c:v>
                </c:pt>
              </c:numCache>
            </c:numRef>
          </c:cat>
          <c:val>
            <c:numRef>
              <c:f>'中国动力电池产量-动力电池联盟'!$O$69:$O$119</c:f>
              <c:numCache>
                <c:formatCode>0.00%</c:formatCode>
                <c:ptCount val="51"/>
                <c:pt idx="0">
                  <c:v>0.440857624668755</c:v>
                </c:pt>
                <c:pt idx="1">
                  <c:v>0.51330671989354604</c:v>
                </c:pt>
                <c:pt idx="2">
                  <c:v>0.72408557009512797</c:v>
                </c:pt>
                <c:pt idx="3">
                  <c:v>0.60604713205869298</c:v>
                </c:pt>
                <c:pt idx="4">
                  <c:v>0.59140220051255399</c:v>
                </c:pt>
                <c:pt idx="5">
                  <c:v>0.58901214014478398</c:v>
                </c:pt>
                <c:pt idx="6">
                  <c:v>0.538348955763855</c:v>
                </c:pt>
                <c:pt idx="7">
                  <c:v>0.586738120181589</c:v>
                </c:pt>
                <c:pt idx="8">
                  <c:v>0.55177416921058997</c:v>
                </c:pt>
                <c:pt idx="9">
                  <c:v>0.55954686977069701</c:v>
                </c:pt>
                <c:pt idx="10">
                  <c:v>0.57256683063286795</c:v>
                </c:pt>
                <c:pt idx="11">
                  <c:v>0.56130417547568701</c:v>
                </c:pt>
                <c:pt idx="12">
                  <c:v>0.56829970703206001</c:v>
                </c:pt>
                <c:pt idx="13">
                  <c:v>0.54194087648390699</c:v>
                </c:pt>
                <c:pt idx="14">
                  <c:v>0.51630974329882295</c:v>
                </c:pt>
                <c:pt idx="15">
                  <c:v>0.51871364030201705</c:v>
                </c:pt>
                <c:pt idx="16">
                  <c:v>0.36245595719691998</c:v>
                </c:pt>
                <c:pt idx="17">
                  <c:v>0.48405287850971601</c:v>
                </c:pt>
                <c:pt idx="18">
                  <c:v>0.46024930987384699</c:v>
                </c:pt>
                <c:pt idx="19">
                  <c:v>0.42946457444678898</c:v>
                </c:pt>
                <c:pt idx="20">
                  <c:v>0.41564484037066302</c:v>
                </c:pt>
                <c:pt idx="21">
                  <c:v>0.36621355358742202</c:v>
                </c:pt>
                <c:pt idx="22">
                  <c:v>0.36799560758753802</c:v>
                </c:pt>
                <c:pt idx="23">
                  <c:v>0.36151304870145301</c:v>
                </c:pt>
                <c:pt idx="24">
                  <c:v>0.36459713387068998</c:v>
                </c:pt>
                <c:pt idx="25">
                  <c:v>0.36632737847943497</c:v>
                </c:pt>
                <c:pt idx="26">
                  <c:v>0.39735880262996698</c:v>
                </c:pt>
                <c:pt idx="27">
                  <c:v>0.35545382041906998</c:v>
                </c:pt>
                <c:pt idx="28">
                  <c:v>0.45764846086389499</c:v>
                </c:pt>
                <c:pt idx="29">
                  <c:v>0.443462593748714</c:v>
                </c:pt>
                <c:pt idx="30">
                  <c:v>0.351103244737834</c:v>
                </c:pt>
                <c:pt idx="31">
                  <c:v>0.38453824887738303</c:v>
                </c:pt>
                <c:pt idx="32">
                  <c:v>0.41063219460051897</c:v>
                </c:pt>
                <c:pt idx="33">
                  <c:v>0.38586744561800101</c:v>
                </c:pt>
                <c:pt idx="34">
                  <c:v>0.38169393262183698</c:v>
                </c:pt>
                <c:pt idx="35">
                  <c:v>0.35192095843990501</c:v>
                </c:pt>
                <c:pt idx="36">
                  <c:v>0.34835441420269603</c:v>
                </c:pt>
                <c:pt idx="37">
                  <c:v>0.35110312300213498</c:v>
                </c:pt>
                <c:pt idx="38">
                  <c:v>0.35608955573789702</c:v>
                </c:pt>
                <c:pt idx="39">
                  <c:v>0.37474099360496399</c:v>
                </c:pt>
                <c:pt idx="40">
                  <c:v>0.32907148830983751</c:v>
                </c:pt>
                <c:pt idx="41">
                  <c:v>0.29437372018477576</c:v>
                </c:pt>
                <c:pt idx="42">
                  <c:v>0.3343558081048203</c:v>
                </c:pt>
                <c:pt idx="43">
                  <c:v>0.31539709591655873</c:v>
                </c:pt>
                <c:pt idx="44">
                  <c:v>0.32600000000000001</c:v>
                </c:pt>
                <c:pt idx="45">
                  <c:v>0.30499999999999999</c:v>
                </c:pt>
                <c:pt idx="46">
                  <c:v>0.317</c:v>
                </c:pt>
                <c:pt idx="47">
                  <c:v>0.32100000000000001</c:v>
                </c:pt>
                <c:pt idx="48">
                  <c:v>0.34799999999999998</c:v>
                </c:pt>
                <c:pt idx="49">
                  <c:v>0.34</c:v>
                </c:pt>
                <c:pt idx="50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4-4623-85D9-EEF5D8B0B02B}"/>
            </c:ext>
          </c:extLst>
        </c:ser>
        <c:ser>
          <c:idx val="0"/>
          <c:order val="1"/>
          <c:tx>
            <c:strRef>
              <c:f>'中国动力电池产量-动力电池联盟'!$P$56</c:f>
              <c:strCache>
                <c:ptCount val="1"/>
                <c:pt idx="0">
                  <c:v>磷酸铁锂（产量）</c:v>
                </c:pt>
              </c:strCache>
            </c:strRef>
          </c:tx>
          <c:spPr>
            <a:ln w="19050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cat>
            <c:numRef>
              <c:f>'中国动力电池产量-动力电池联盟'!$N$69:$N$119</c:f>
              <c:numCache>
                <c:formatCode>0.00_ </c:formatCode>
                <c:ptCount val="51"/>
                <c:pt idx="0">
                  <c:v>2020.01</c:v>
                </c:pt>
                <c:pt idx="1">
                  <c:v>2020.02</c:v>
                </c:pt>
                <c:pt idx="2">
                  <c:v>2020.03</c:v>
                </c:pt>
                <c:pt idx="3">
                  <c:v>2020.04</c:v>
                </c:pt>
                <c:pt idx="4">
                  <c:v>2020.05</c:v>
                </c:pt>
                <c:pt idx="5">
                  <c:v>2020.06</c:v>
                </c:pt>
                <c:pt idx="6">
                  <c:v>2020.07</c:v>
                </c:pt>
                <c:pt idx="7">
                  <c:v>2020.08</c:v>
                </c:pt>
                <c:pt idx="8">
                  <c:v>2020.09</c:v>
                </c:pt>
                <c:pt idx="9">
                  <c:v>2020.1</c:v>
                </c:pt>
                <c:pt idx="10">
                  <c:v>2020.11</c:v>
                </c:pt>
                <c:pt idx="11">
                  <c:v>2020.12</c:v>
                </c:pt>
                <c:pt idx="12">
                  <c:v>2021.01</c:v>
                </c:pt>
                <c:pt idx="13">
                  <c:v>2021.02</c:v>
                </c:pt>
                <c:pt idx="14">
                  <c:v>2021.03</c:v>
                </c:pt>
                <c:pt idx="15">
                  <c:v>2021.04</c:v>
                </c:pt>
                <c:pt idx="16">
                  <c:v>2021.05</c:v>
                </c:pt>
                <c:pt idx="17">
                  <c:v>2021.06</c:v>
                </c:pt>
                <c:pt idx="18">
                  <c:v>2021.07</c:v>
                </c:pt>
                <c:pt idx="19">
                  <c:v>2021.08</c:v>
                </c:pt>
                <c:pt idx="20">
                  <c:v>2021.09</c:v>
                </c:pt>
                <c:pt idx="21">
                  <c:v>2021.1</c:v>
                </c:pt>
                <c:pt idx="22">
                  <c:v>2021.11</c:v>
                </c:pt>
                <c:pt idx="23">
                  <c:v>2021.12</c:v>
                </c:pt>
                <c:pt idx="24">
                  <c:v>2022.01</c:v>
                </c:pt>
                <c:pt idx="25">
                  <c:v>2022.02</c:v>
                </c:pt>
                <c:pt idx="26">
                  <c:v>2022.03</c:v>
                </c:pt>
                <c:pt idx="27">
                  <c:v>2022.04</c:v>
                </c:pt>
                <c:pt idx="28">
                  <c:v>2022.05</c:v>
                </c:pt>
                <c:pt idx="29">
                  <c:v>2022.06</c:v>
                </c:pt>
                <c:pt idx="30">
                  <c:v>2022.07</c:v>
                </c:pt>
                <c:pt idx="31">
                  <c:v>2022.08</c:v>
                </c:pt>
                <c:pt idx="32">
                  <c:v>2022.09</c:v>
                </c:pt>
                <c:pt idx="33">
                  <c:v>2022.1</c:v>
                </c:pt>
                <c:pt idx="34">
                  <c:v>2022.11</c:v>
                </c:pt>
                <c:pt idx="35">
                  <c:v>2022.12</c:v>
                </c:pt>
                <c:pt idx="36">
                  <c:v>2023.01</c:v>
                </c:pt>
                <c:pt idx="37" formatCode="General">
                  <c:v>2023.02</c:v>
                </c:pt>
                <c:pt idx="38">
                  <c:v>2023.03</c:v>
                </c:pt>
                <c:pt idx="39">
                  <c:v>2023.04</c:v>
                </c:pt>
                <c:pt idx="40">
                  <c:v>2023.05</c:v>
                </c:pt>
                <c:pt idx="41" formatCode="General">
                  <c:v>2023.06</c:v>
                </c:pt>
                <c:pt idx="42">
                  <c:v>2023.07</c:v>
                </c:pt>
                <c:pt idx="43">
                  <c:v>2023.08</c:v>
                </c:pt>
                <c:pt idx="44">
                  <c:v>2023.09</c:v>
                </c:pt>
                <c:pt idx="45">
                  <c:v>2023.1</c:v>
                </c:pt>
                <c:pt idx="46">
                  <c:v>2023.11</c:v>
                </c:pt>
                <c:pt idx="47">
                  <c:v>2023.12</c:v>
                </c:pt>
                <c:pt idx="48">
                  <c:v>2024.01</c:v>
                </c:pt>
                <c:pt idx="49">
                  <c:v>2024.02</c:v>
                </c:pt>
                <c:pt idx="50">
                  <c:v>2024.03</c:v>
                </c:pt>
              </c:numCache>
            </c:numRef>
          </c:cat>
          <c:val>
            <c:numRef>
              <c:f>'中国动力电池产量-动力电池联盟'!$P$69:$P$119</c:f>
              <c:numCache>
                <c:formatCode>0.00%</c:formatCode>
                <c:ptCount val="51"/>
                <c:pt idx="0">
                  <c:v>0.54854251987472902</c:v>
                </c:pt>
                <c:pt idx="1">
                  <c:v>0.48669328010645402</c:v>
                </c:pt>
                <c:pt idx="2">
                  <c:v>0.27566879549819101</c:v>
                </c:pt>
                <c:pt idx="3">
                  <c:v>0.39090389379406698</c:v>
                </c:pt>
                <c:pt idx="4">
                  <c:v>0.40474401217796802</c:v>
                </c:pt>
                <c:pt idx="5">
                  <c:v>0.40821938307862099</c:v>
                </c:pt>
                <c:pt idx="6">
                  <c:v>0.45633941785890503</c:v>
                </c:pt>
                <c:pt idx="7">
                  <c:v>0.40438391490047498</c:v>
                </c:pt>
                <c:pt idx="8">
                  <c:v>0.44560259073973002</c:v>
                </c:pt>
                <c:pt idx="9">
                  <c:v>0.43838422766041601</c:v>
                </c:pt>
                <c:pt idx="10">
                  <c:v>0.424840093665037</c:v>
                </c:pt>
                <c:pt idx="11">
                  <c:v>0.430741279069768</c:v>
                </c:pt>
                <c:pt idx="12">
                  <c:v>0.43104464233843198</c:v>
                </c:pt>
                <c:pt idx="13">
                  <c:v>0.457149205408723</c:v>
                </c:pt>
                <c:pt idx="14">
                  <c:v>0.48287476953623598</c:v>
                </c:pt>
                <c:pt idx="15">
                  <c:v>0.47906609728926802</c:v>
                </c:pt>
                <c:pt idx="16">
                  <c:v>0.63551408644714102</c:v>
                </c:pt>
                <c:pt idx="17">
                  <c:v>0.51176869271110903</c:v>
                </c:pt>
                <c:pt idx="18">
                  <c:v>0.53771056771880898</c:v>
                </c:pt>
                <c:pt idx="19">
                  <c:v>0.56903658304973403</c:v>
                </c:pt>
                <c:pt idx="20">
                  <c:v>0.58327614558920604</c:v>
                </c:pt>
                <c:pt idx="21">
                  <c:v>0.63258433674992498</c:v>
                </c:pt>
                <c:pt idx="22">
                  <c:v>0.63045996351463796</c:v>
                </c:pt>
                <c:pt idx="23">
                  <c:v>0.634171632707902</c:v>
                </c:pt>
                <c:pt idx="24">
                  <c:v>0.63343750105347596</c:v>
                </c:pt>
                <c:pt idx="25">
                  <c:v>0.63112009165187399</c:v>
                </c:pt>
                <c:pt idx="26">
                  <c:v>0.60189335157430501</c:v>
                </c:pt>
                <c:pt idx="27">
                  <c:v>0.64298217448496597</c:v>
                </c:pt>
                <c:pt idx="28">
                  <c:v>0.54060609808198201</c:v>
                </c:pt>
                <c:pt idx="29">
                  <c:v>0.55528540535042703</c:v>
                </c:pt>
                <c:pt idx="30">
                  <c:v>0.64791651670216399</c:v>
                </c:pt>
                <c:pt idx="31">
                  <c:v>0.61460480687792596</c:v>
                </c:pt>
                <c:pt idx="32">
                  <c:v>0.58824981987071301</c:v>
                </c:pt>
                <c:pt idx="33">
                  <c:v>0.61367887359816597</c:v>
                </c:pt>
                <c:pt idx="34">
                  <c:v>0.61680463928663198</c:v>
                </c:pt>
                <c:pt idx="35">
                  <c:v>0.64601304399202597</c:v>
                </c:pt>
                <c:pt idx="36">
                  <c:v>0.65035339891300104</c:v>
                </c:pt>
                <c:pt idx="37">
                  <c:v>0.64682211312288196</c:v>
                </c:pt>
                <c:pt idx="38">
                  <c:v>0.64259758527722399</c:v>
                </c:pt>
                <c:pt idx="39">
                  <c:v>0.62436885492021599</c:v>
                </c:pt>
                <c:pt idx="40">
                  <c:v>0.66867588111627208</c:v>
                </c:pt>
                <c:pt idx="41">
                  <c:v>0.70268863083267219</c:v>
                </c:pt>
                <c:pt idx="42">
                  <c:v>0.66396866669508392</c:v>
                </c:pt>
                <c:pt idx="43">
                  <c:v>0.68215829299884112</c:v>
                </c:pt>
                <c:pt idx="44">
                  <c:v>0.67100000000000004</c:v>
                </c:pt>
                <c:pt idx="45">
                  <c:v>0.69299999999999995</c:v>
                </c:pt>
                <c:pt idx="46">
                  <c:v>0.68100000000000005</c:v>
                </c:pt>
                <c:pt idx="47">
                  <c:v>0.67500000000000004</c:v>
                </c:pt>
                <c:pt idx="48">
                  <c:v>0.65</c:v>
                </c:pt>
                <c:pt idx="49">
                  <c:v>0.65700000000000003</c:v>
                </c:pt>
                <c:pt idx="50">
                  <c:v>0.67800000000000005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4-4623-85D9-EEF5D8B0B02B}"/>
            </c:ext>
          </c:extLst>
        </c:ser>
        <c:ser>
          <c:idx val="2"/>
          <c:order val="2"/>
          <c:tx>
            <c:strRef>
              <c:f>'中国动力电池产量-动力电池联盟'!$Q$56</c:f>
              <c:strCache>
                <c:ptCount val="1"/>
                <c:pt idx="0">
                  <c:v>其他（产量）</c:v>
                </c:pt>
              </c:strCache>
            </c:strRef>
          </c:tx>
          <c:marker>
            <c:symbol val="none"/>
          </c:marker>
          <c:cat>
            <c:numRef>
              <c:f>'中国动力电池产量-动力电池联盟'!$N$69:$N$119</c:f>
              <c:numCache>
                <c:formatCode>0.00_ </c:formatCode>
                <c:ptCount val="51"/>
                <c:pt idx="0">
                  <c:v>2020.01</c:v>
                </c:pt>
                <c:pt idx="1">
                  <c:v>2020.02</c:v>
                </c:pt>
                <c:pt idx="2">
                  <c:v>2020.03</c:v>
                </c:pt>
                <c:pt idx="3">
                  <c:v>2020.04</c:v>
                </c:pt>
                <c:pt idx="4">
                  <c:v>2020.05</c:v>
                </c:pt>
                <c:pt idx="5">
                  <c:v>2020.06</c:v>
                </c:pt>
                <c:pt idx="6">
                  <c:v>2020.07</c:v>
                </c:pt>
                <c:pt idx="7">
                  <c:v>2020.08</c:v>
                </c:pt>
                <c:pt idx="8">
                  <c:v>2020.09</c:v>
                </c:pt>
                <c:pt idx="9">
                  <c:v>2020.1</c:v>
                </c:pt>
                <c:pt idx="10">
                  <c:v>2020.11</c:v>
                </c:pt>
                <c:pt idx="11">
                  <c:v>2020.12</c:v>
                </c:pt>
                <c:pt idx="12">
                  <c:v>2021.01</c:v>
                </c:pt>
                <c:pt idx="13">
                  <c:v>2021.02</c:v>
                </c:pt>
                <c:pt idx="14">
                  <c:v>2021.03</c:v>
                </c:pt>
                <c:pt idx="15">
                  <c:v>2021.04</c:v>
                </c:pt>
                <c:pt idx="16">
                  <c:v>2021.05</c:v>
                </c:pt>
                <c:pt idx="17">
                  <c:v>2021.06</c:v>
                </c:pt>
                <c:pt idx="18">
                  <c:v>2021.07</c:v>
                </c:pt>
                <c:pt idx="19">
                  <c:v>2021.08</c:v>
                </c:pt>
                <c:pt idx="20">
                  <c:v>2021.09</c:v>
                </c:pt>
                <c:pt idx="21">
                  <c:v>2021.1</c:v>
                </c:pt>
                <c:pt idx="22">
                  <c:v>2021.11</c:v>
                </c:pt>
                <c:pt idx="23">
                  <c:v>2021.12</c:v>
                </c:pt>
                <c:pt idx="24">
                  <c:v>2022.01</c:v>
                </c:pt>
                <c:pt idx="25">
                  <c:v>2022.02</c:v>
                </c:pt>
                <c:pt idx="26">
                  <c:v>2022.03</c:v>
                </c:pt>
                <c:pt idx="27">
                  <c:v>2022.04</c:v>
                </c:pt>
                <c:pt idx="28">
                  <c:v>2022.05</c:v>
                </c:pt>
                <c:pt idx="29">
                  <c:v>2022.06</c:v>
                </c:pt>
                <c:pt idx="30">
                  <c:v>2022.07</c:v>
                </c:pt>
                <c:pt idx="31">
                  <c:v>2022.08</c:v>
                </c:pt>
                <c:pt idx="32">
                  <c:v>2022.09</c:v>
                </c:pt>
                <c:pt idx="33">
                  <c:v>2022.1</c:v>
                </c:pt>
                <c:pt idx="34">
                  <c:v>2022.11</c:v>
                </c:pt>
                <c:pt idx="35">
                  <c:v>2022.12</c:v>
                </c:pt>
                <c:pt idx="36">
                  <c:v>2023.01</c:v>
                </c:pt>
                <c:pt idx="37" formatCode="General">
                  <c:v>2023.02</c:v>
                </c:pt>
                <c:pt idx="38">
                  <c:v>2023.03</c:v>
                </c:pt>
                <c:pt idx="39">
                  <c:v>2023.04</c:v>
                </c:pt>
                <c:pt idx="40">
                  <c:v>2023.05</c:v>
                </c:pt>
                <c:pt idx="41" formatCode="General">
                  <c:v>2023.06</c:v>
                </c:pt>
                <c:pt idx="42">
                  <c:v>2023.07</c:v>
                </c:pt>
                <c:pt idx="43">
                  <c:v>2023.08</c:v>
                </c:pt>
                <c:pt idx="44">
                  <c:v>2023.09</c:v>
                </c:pt>
                <c:pt idx="45">
                  <c:v>2023.1</c:v>
                </c:pt>
                <c:pt idx="46">
                  <c:v>2023.11</c:v>
                </c:pt>
                <c:pt idx="47">
                  <c:v>2023.12</c:v>
                </c:pt>
                <c:pt idx="48">
                  <c:v>2024.01</c:v>
                </c:pt>
                <c:pt idx="49">
                  <c:v>2024.02</c:v>
                </c:pt>
                <c:pt idx="50">
                  <c:v>2024.03</c:v>
                </c:pt>
              </c:numCache>
            </c:numRef>
          </c:cat>
          <c:val>
            <c:numRef>
              <c:f>'中国动力电池产量-动力电池联盟'!$Q$69:$Q$119</c:f>
              <c:numCache>
                <c:formatCode>0.00%</c:formatCode>
                <c:ptCount val="51"/>
                <c:pt idx="0">
                  <c:v>1.0599855456515983E-2</c:v>
                </c:pt>
                <c:pt idx="1">
                  <c:v>0</c:v>
                </c:pt>
                <c:pt idx="2">
                  <c:v>2.4563440668101677E-4</c:v>
                </c:pt>
                <c:pt idx="3">
                  <c:v>3.0489741472400356E-3</c:v>
                </c:pt>
                <c:pt idx="4">
                  <c:v>3.8537873094779962E-3</c:v>
                </c:pt>
                <c:pt idx="5">
                  <c:v>2.7684767765950302E-3</c:v>
                </c:pt>
                <c:pt idx="6">
                  <c:v>5.3116263772399752E-3</c:v>
                </c:pt>
                <c:pt idx="7">
                  <c:v>8.8779649179360209E-3</c:v>
                </c:pt>
                <c:pt idx="8">
                  <c:v>2.623240049680009E-3</c:v>
                </c:pt>
                <c:pt idx="9">
                  <c:v>2.0689025688869767E-3</c:v>
                </c:pt>
                <c:pt idx="10">
                  <c:v>2.593075702095049E-3</c:v>
                </c:pt>
                <c:pt idx="11">
                  <c:v>7.9545454545449923E-3</c:v>
                </c:pt>
                <c:pt idx="12">
                  <c:v>6.556506295080089E-4</c:v>
                </c:pt>
                <c:pt idx="13">
                  <c:v>9.0991810737001133E-4</c:v>
                </c:pt>
                <c:pt idx="14">
                  <c:v>8.1548716494106444E-4</c:v>
                </c:pt>
                <c:pt idx="15">
                  <c:v>2.2202624087149236E-3</c:v>
                </c:pt>
                <c:pt idx="16">
                  <c:v>2.0299563559390554E-3</c:v>
                </c:pt>
                <c:pt idx="17">
                  <c:v>4.1784287791749586E-3</c:v>
                </c:pt>
                <c:pt idx="18">
                  <c:v>2.0401224073440805E-3</c:v>
                </c:pt>
                <c:pt idx="19">
                  <c:v>1.4988425034769826E-3</c:v>
                </c:pt>
                <c:pt idx="20">
                  <c:v>1.0790140401309989E-3</c:v>
                </c:pt>
                <c:pt idx="21">
                  <c:v>1.2021096626529948E-3</c:v>
                </c:pt>
                <c:pt idx="22">
                  <c:v>1.5444288978240239E-3</c:v>
                </c:pt>
                <c:pt idx="23">
                  <c:v>4.3153185906449343E-3</c:v>
                </c:pt>
                <c:pt idx="24">
                  <c:v>1.9653650758341135E-3</c:v>
                </c:pt>
                <c:pt idx="25">
                  <c:v>2.5525298686910336E-3</c:v>
                </c:pt>
                <c:pt idx="26">
                  <c:v>7.4784579572795273E-4</c:v>
                </c:pt>
                <c:pt idx="27">
                  <c:v>1.564005095963994E-3</c:v>
                </c:pt>
                <c:pt idx="28">
                  <c:v>1.7454410541229981E-3</c:v>
                </c:pt>
                <c:pt idx="29">
                  <c:v>1.2520009008589739E-3</c:v>
                </c:pt>
                <c:pt idx="30">
                  <c:v>9.8023856000206688E-4</c:v>
                </c:pt>
                <c:pt idx="31">
                  <c:v>8.5694424469107133E-4</c:v>
                </c:pt>
                <c:pt idx="32">
                  <c:v>1.1179855287680729E-3</c:v>
                </c:pt>
                <c:pt idx="33">
                  <c:v>4.5368078383301036E-4</c:v>
                </c:pt>
                <c:pt idx="34">
                  <c:v>1.5014280915310874E-3</c:v>
                </c:pt>
                <c:pt idx="35">
                  <c:v>2.0659975680690223E-3</c:v>
                </c:pt>
                <c:pt idx="36">
                  <c:v>1.2921868843029927E-3</c:v>
                </c:pt>
                <c:pt idx="37">
                  <c:v>2.0747638749830655E-3</c:v>
                </c:pt>
                <c:pt idx="38">
                  <c:v>1.312858984878984E-3</c:v>
                </c:pt>
                <c:pt idx="39">
                  <c:v>8.9999999999999998E-4</c:v>
                </c:pt>
                <c:pt idx="40">
                  <c:v>2.2526305738903496E-3</c:v>
                </c:pt>
                <c:pt idx="41">
                  <c:v>2.937648982551974E-3</c:v>
                </c:pt>
                <c:pt idx="42">
                  <c:v>1.6755252000956252E-3</c:v>
                </c:pt>
                <c:pt idx="43">
                  <c:v>2.4446110846001773E-3</c:v>
                </c:pt>
                <c:pt idx="44">
                  <c:v>3.0000000000000001E-3</c:v>
                </c:pt>
                <c:pt idx="45">
                  <c:v>2E-3</c:v>
                </c:pt>
                <c:pt idx="46">
                  <c:v>2E-3</c:v>
                </c:pt>
                <c:pt idx="47">
                  <c:v>4.0000000000000001E-3</c:v>
                </c:pt>
                <c:pt idx="48">
                  <c:v>2E-3</c:v>
                </c:pt>
                <c:pt idx="49">
                  <c:v>3.0000000000000001E-3</c:v>
                </c:pt>
                <c:pt idx="50">
                  <c:v>2E-3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924-4623-85D9-EEF5D8B0B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900040"/>
        <c:axId val="1"/>
      </c:lineChart>
      <c:catAx>
        <c:axId val="1006900040"/>
        <c:scaling>
          <c:orientation val="minMax"/>
        </c:scaling>
        <c:delete val="0"/>
        <c:axPos val="b"/>
        <c:numFmt formatCode="0.00_ " sourceLinked="1"/>
        <c:majorTickMark val="out"/>
        <c:minorTickMark val="none"/>
        <c:tickLblPos val="nextTo"/>
        <c:spPr>
          <a:ln w="9525" cap="flat" cmpd="sng" algn="ctr">
            <a:solidFill>
              <a:srgbClr val="D7D7D7"/>
            </a:solidFill>
            <a:prstDash val="solid"/>
            <a:round/>
          </a:ln>
        </c:spPr>
        <c:txPr>
          <a:bodyPr rot="-54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Arial" panose="020B0604020202020204" pitchFamily="7" charset="0"/>
                <a:ea typeface="楷体" panose="02010609060101010101" pitchFamily="49" charset="-122"/>
                <a:cs typeface="Arial" panose="020B0604020202020204" pitchFamily="7" charset="0"/>
              </a:defRPr>
            </a:pPr>
            <a:endParaRPr lang="zh-CN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  <c:max val="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9525" cap="flat" cmpd="sng" algn="ctr">
            <a:solidFill>
              <a:srgbClr val="D7D7D7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Arial" panose="020B0604020202020204" pitchFamily="7" charset="0"/>
                <a:ea typeface="楷体" panose="02010609060101010101" pitchFamily="49" charset="-122"/>
                <a:cs typeface="Arial" panose="020B0604020202020204" pitchFamily="7" charset="0"/>
              </a:defRPr>
            </a:pPr>
            <a:endParaRPr lang="zh-CN"/>
          </a:p>
        </c:txPr>
        <c:crossAx val="10069000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Arial" panose="020B0604020202020204" pitchFamily="7" charset="0"/>
              <a:ea typeface="楷体" panose="02010609060101010101" pitchFamily="49" charset="-122"/>
              <a:cs typeface="Arial" panose="020B0604020202020204" pitchFamily="7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</c:spPr>
  <c:txPr>
    <a:bodyPr/>
    <a:lstStyle/>
    <a:p>
      <a:pPr>
        <a:defRPr lang="zh-CN" sz="900" b="0" i="0" u="none" strike="noStrike" baseline="0">
          <a:solidFill>
            <a:srgbClr val="000000"/>
          </a:solidFill>
          <a:latin typeface="Arial" panose="020B0604020202020204" pitchFamily="7" charset="0"/>
          <a:ea typeface="楷体" panose="02010609060101010101" pitchFamily="49" charset="-122"/>
          <a:cs typeface="Arial" panose="020B0604020202020204" pitchFamily="7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615950</xdr:colOff>
      <xdr:row>7</xdr:row>
      <xdr:rowOff>73025</xdr:rowOff>
    </xdr:from>
    <xdr:to>
      <xdr:col>25</xdr:col>
      <xdr:colOff>450850</xdr:colOff>
      <xdr:row>23</xdr:row>
      <xdr:rowOff>73025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851535</xdr:colOff>
      <xdr:row>71</xdr:row>
      <xdr:rowOff>105410</xdr:rowOff>
    </xdr:from>
    <xdr:to>
      <xdr:col>15</xdr:col>
      <xdr:colOff>349885</xdr:colOff>
      <xdr:row>87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0.02662</cdr:y>
    </cdr:from>
    <cdr:to>
      <cdr:x>0.12083</cdr:x>
      <cdr:y>0.10301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0" y="73025"/>
          <a:ext cx="55245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GWh</a:t>
          </a:r>
        </a:p>
        <a:p xmlns:a="http://schemas.openxmlformats.org/drawingml/2006/main">
          <a:endParaRPr lang="zh-CN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637540</xdr:colOff>
      <xdr:row>3</xdr:row>
      <xdr:rowOff>22225</xdr:rowOff>
    </xdr:from>
    <xdr:to>
      <xdr:col>16</xdr:col>
      <xdr:colOff>151857</xdr:colOff>
      <xdr:row>18</xdr:row>
      <xdr:rowOff>117475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6985</xdr:colOff>
      <xdr:row>60</xdr:row>
      <xdr:rowOff>129540</xdr:rowOff>
    </xdr:from>
    <xdr:to>
      <xdr:col>9</xdr:col>
      <xdr:colOff>82550</xdr:colOff>
      <xdr:row>76</xdr:row>
      <xdr:rowOff>34290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442912</xdr:colOff>
      <xdr:row>64</xdr:row>
      <xdr:rowOff>23812</xdr:rowOff>
    </xdr:from>
    <xdr:to>
      <xdr:col>23</xdr:col>
      <xdr:colOff>157162</xdr:colOff>
      <xdr:row>80</xdr:row>
      <xdr:rowOff>23812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111386</xdr:colOff>
      <xdr:row>1</xdr:row>
      <xdr:rowOff>43626</xdr:rowOff>
    </xdr:from>
    <xdr:to>
      <xdr:col>14</xdr:col>
      <xdr:colOff>635261</xdr:colOff>
      <xdr:row>18</xdr:row>
      <xdr:rowOff>90529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787912</xdr:colOff>
      <xdr:row>135</xdr:row>
      <xdr:rowOff>87732</xdr:rowOff>
    </xdr:from>
    <xdr:to>
      <xdr:col>16</xdr:col>
      <xdr:colOff>387071</xdr:colOff>
      <xdr:row>151</xdr:row>
      <xdr:rowOff>36931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188595</xdr:colOff>
      <xdr:row>68</xdr:row>
      <xdr:rowOff>143510</xdr:rowOff>
    </xdr:from>
    <xdr:to>
      <xdr:col>11</xdr:col>
      <xdr:colOff>702117</xdr:colOff>
      <xdr:row>84</xdr:row>
      <xdr:rowOff>103753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0.12083</cdr:x>
      <cdr:y>0.07639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0" y="0"/>
          <a:ext cx="555290" cy="236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GWh</a:t>
          </a:r>
        </a:p>
        <a:p xmlns:a="http://schemas.openxmlformats.org/drawingml/2006/main">
          <a:endParaRPr lang="zh-CN" alt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182094</xdr:colOff>
      <xdr:row>15</xdr:row>
      <xdr:rowOff>3921</xdr:rowOff>
    </xdr:from>
    <xdr:to>
      <xdr:col>22</xdr:col>
      <xdr:colOff>400609</xdr:colOff>
      <xdr:row>33</xdr:row>
      <xdr:rowOff>80121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681037</xdr:colOff>
      <xdr:row>59</xdr:row>
      <xdr:rowOff>38100</xdr:rowOff>
    </xdr:from>
    <xdr:to>
      <xdr:col>24</xdr:col>
      <xdr:colOff>452437</xdr:colOff>
      <xdr:row>74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476250</xdr:colOff>
      <xdr:row>60</xdr:row>
      <xdr:rowOff>104775</xdr:rowOff>
    </xdr:from>
    <xdr:to>
      <xdr:col>11</xdr:col>
      <xdr:colOff>575641</xdr:colOff>
      <xdr:row>76</xdr:row>
      <xdr:rowOff>20844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795337</xdr:colOff>
      <xdr:row>13</xdr:row>
      <xdr:rowOff>0</xdr:rowOff>
    </xdr:from>
    <xdr:to>
      <xdr:col>21</xdr:col>
      <xdr:colOff>509587</xdr:colOff>
      <xdr:row>27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zoomScale="144" workbookViewId="0">
      <pane ySplit="1" topLeftCell="A2" activePane="bottomLeft" state="frozen"/>
      <selection pane="bottomLeft" activeCell="A9" sqref="A9:C9"/>
    </sheetView>
  </sheetViews>
  <sheetFormatPr baseColWidth="10" defaultColWidth="9" defaultRowHeight="14"/>
  <cols>
    <col min="3" max="3" width="15.1640625" customWidth="1"/>
    <col min="4" max="4" width="22.1640625" customWidth="1"/>
    <col min="5" max="5" width="5.1640625" customWidth="1"/>
    <col min="6" max="6" width="15.1640625" customWidth="1"/>
    <col min="7" max="7" width="5.6640625" customWidth="1"/>
    <col min="8" max="8" width="23.83203125" customWidth="1"/>
    <col min="10" max="10" width="9" customWidth="1"/>
  </cols>
  <sheetData>
    <row r="1" spans="1:5">
      <c r="A1" s="272" t="s">
        <v>0</v>
      </c>
      <c r="B1" s="272"/>
      <c r="C1" s="272"/>
      <c r="D1" s="262" t="s">
        <v>1</v>
      </c>
      <c r="E1" s="263"/>
    </row>
    <row r="2" spans="1:5" ht="15.5" customHeight="1">
      <c r="A2" s="273" t="s">
        <v>2</v>
      </c>
      <c r="B2" s="274"/>
      <c r="C2" s="275"/>
      <c r="D2" s="264" t="s">
        <v>3</v>
      </c>
      <c r="E2" s="263"/>
    </row>
    <row r="3" spans="1:5" ht="15" customHeight="1">
      <c r="A3" s="269" t="s">
        <v>4</v>
      </c>
      <c r="B3" s="270"/>
      <c r="C3" s="271"/>
      <c r="D3" s="264" t="s">
        <v>3</v>
      </c>
      <c r="E3" s="263"/>
    </row>
    <row r="4" spans="1:5" ht="15" customHeight="1">
      <c r="A4" s="269" t="s">
        <v>5</v>
      </c>
      <c r="B4" s="270"/>
      <c r="C4" s="271"/>
      <c r="D4" s="265" t="s">
        <v>6</v>
      </c>
      <c r="E4" s="263"/>
    </row>
    <row r="5" spans="1:5" ht="15" customHeight="1">
      <c r="A5" s="266" t="s">
        <v>7</v>
      </c>
      <c r="B5" s="267"/>
      <c r="C5" s="268"/>
      <c r="D5" s="264" t="s">
        <v>8</v>
      </c>
      <c r="E5" s="263"/>
    </row>
    <row r="6" spans="1:5" ht="15.5" customHeight="1">
      <c r="A6" s="269" t="s">
        <v>9</v>
      </c>
      <c r="B6" s="270"/>
      <c r="C6" s="271"/>
      <c r="D6" s="264" t="s">
        <v>3</v>
      </c>
      <c r="E6" s="263"/>
    </row>
    <row r="7" spans="1:5" ht="15.5" customHeight="1">
      <c r="A7" s="269" t="s">
        <v>10</v>
      </c>
      <c r="B7" s="270"/>
      <c r="C7" s="271"/>
      <c r="D7" s="264" t="s">
        <v>3</v>
      </c>
      <c r="E7" s="263"/>
    </row>
    <row r="8" spans="1:5" ht="15.5" customHeight="1">
      <c r="A8" s="269" t="s">
        <v>11</v>
      </c>
      <c r="B8" s="270"/>
      <c r="C8" s="271"/>
      <c r="D8" s="264" t="s">
        <v>8</v>
      </c>
      <c r="E8" s="263"/>
    </row>
    <row r="9" spans="1:5" ht="15.5" customHeight="1">
      <c r="A9" s="266" t="s">
        <v>12</v>
      </c>
      <c r="B9" s="267"/>
      <c r="C9" s="268"/>
      <c r="D9" s="264" t="s">
        <v>8</v>
      </c>
      <c r="E9" s="263"/>
    </row>
    <row r="10" spans="1:5" ht="15" customHeight="1">
      <c r="A10" s="266" t="s">
        <v>13</v>
      </c>
      <c r="B10" s="267"/>
      <c r="C10" s="268"/>
      <c r="D10" s="264" t="s">
        <v>8</v>
      </c>
      <c r="E10" s="263"/>
    </row>
    <row r="11" spans="1:5" ht="15" customHeight="1">
      <c r="A11" s="266" t="s">
        <v>14</v>
      </c>
      <c r="B11" s="267"/>
      <c r="C11" s="268"/>
      <c r="D11" s="264" t="s">
        <v>8</v>
      </c>
      <c r="E11" s="263"/>
    </row>
    <row r="12" spans="1:5" ht="15.5" customHeight="1">
      <c r="A12" s="269" t="s">
        <v>15</v>
      </c>
      <c r="B12" s="270"/>
      <c r="C12" s="271"/>
      <c r="D12" s="264" t="s">
        <v>8</v>
      </c>
      <c r="E12" s="263"/>
    </row>
    <row r="13" spans="1:5" ht="15" customHeight="1">
      <c r="A13" s="266" t="s">
        <v>16</v>
      </c>
      <c r="B13" s="267"/>
      <c r="C13" s="268"/>
      <c r="D13" s="264" t="s">
        <v>8</v>
      </c>
      <c r="E13" s="263"/>
    </row>
  </sheetData>
  <sheetProtection selectLockedCells="1"/>
  <mergeCells count="13">
    <mergeCell ref="A1:C1"/>
    <mergeCell ref="A2:C2"/>
    <mergeCell ref="A3:C3"/>
    <mergeCell ref="A4:C4"/>
    <mergeCell ref="A5:C5"/>
    <mergeCell ref="A11:C11"/>
    <mergeCell ref="A12:C12"/>
    <mergeCell ref="A13:C13"/>
    <mergeCell ref="A6:C6"/>
    <mergeCell ref="A7:C7"/>
    <mergeCell ref="A8:C8"/>
    <mergeCell ref="A9:C9"/>
    <mergeCell ref="A10:C10"/>
  </mergeCells>
  <phoneticPr fontId="45" type="noConversion"/>
  <hyperlinks>
    <hyperlink ref="A6" location="全球新能源乘用车销量!A1" display="全球动力电池企业装机量排名" xr:uid="{00000000-0004-0000-0000-000001000000}"/>
    <hyperlink ref="A7" location="美国新能源乘用车销量!A1" display="海外动力电池企业装机量排名" xr:uid="{00000000-0004-0000-0000-000002000000}"/>
    <hyperlink ref="A12" location="欧洲新能源汽车销量!A1" display="中国单车平均装机电量" xr:uid="{00000000-0004-0000-0000-000003000000}"/>
    <hyperlink ref="A3" location="中国新能源汽车销量!A1" display="海外动力电池行业装机规模" xr:uid="{00000000-0004-0000-0000-000005000000}"/>
    <hyperlink ref="A3:C3" location="海外动力电池行业装机规模!A1" display="海外动力电池行业装机规模" xr:uid="{00000000-0004-0000-0000-000006000000}"/>
    <hyperlink ref="A2" location="全球新能源乘用车销量!A1" display="全球动力电池行业装机规模" xr:uid="{00000000-0004-0000-0000-000007000000}"/>
    <hyperlink ref="A4" location="中国新能源汽车销量!A1" display="中国动力电池行业装机规模" xr:uid="{00000000-0004-0000-0000-000008000000}"/>
    <hyperlink ref="A4:C4" location="中国动力电池行业装机规模!A1" display="中国动力电池行业装机规模" xr:uid="{00000000-0004-0000-0000-000009000000}"/>
    <hyperlink ref="A2:C2" location="全球动力电池行业装机规模!A1" display="全球动力电池行业装机规模" xr:uid="{00000000-0004-0000-0000-00000A000000}"/>
    <hyperlink ref="A6:C6" location="全球动力电池企业装机量排名!A1" display="全球动力电池企业装机量排名" xr:uid="{00000000-0004-0000-0000-00000B000000}"/>
    <hyperlink ref="A7:C7" location="海外动力电池企业装机量排名!A1" display="海外动力电池企业装机量排名" xr:uid="{00000000-0004-0000-0000-00000C000000}"/>
    <hyperlink ref="A12:C12" location="中国动力电池企业装机量排名!A1" display="中国单车平均装机电量" xr:uid="{00000000-0004-0000-0000-00000D000000}"/>
    <hyperlink ref="A8" location="欧洲新能源汽车销量!A1" display="中国动力电池企业装机量排名" xr:uid="{00000000-0004-0000-0000-00000E000000}"/>
    <hyperlink ref="A8:C8" location="中国动力电池企业装机量排名!A1" display="中国动力电池企业装机量排名" xr:uid="{00000000-0004-0000-0000-00000F000000}"/>
    <hyperlink ref="A9" location="中国动力电池行业产量规模!A1" display="中国动力电池行业产量规模" xr:uid="{00000000-0004-0000-0000-000010000000}"/>
    <hyperlink ref="A9:C9" location="中国动力电池行业产量规模!A1" display="中国动力电池行业产量规模" xr:uid="{00000000-0004-0000-0000-000011000000}"/>
    <hyperlink ref="A5:C5" location="'中国动力电池装车量-动力电池联盟'!A1" display="中国动力电池装车量" xr:uid="{00000000-0004-0000-0000-000013000000}"/>
    <hyperlink ref="A11:C11" location="中国动力和储能电池销量!A1" display="中国动力和储能电池销量" xr:uid="{00000000-0004-0000-0000-000014000000}"/>
    <hyperlink ref="A13:C13" location="储能电池销量及出口情况!A1" display="储能电池销量及出口情况" xr:uid="{00000000-0004-0000-0000-000015000000}"/>
    <hyperlink ref="A10" location="中国动力电池行业产量规模!A1" display="中国动力电池产量" xr:uid="{00000000-0004-0000-0000-000016000000}"/>
    <hyperlink ref="B9" location="中国动力电池行业产量规模!A1" display="中国动力电池行业产量规模!A1" xr:uid="{00000000-0004-0000-0000-000017000000}"/>
    <hyperlink ref="B10" location="中国动力电池行业产量规模!A1" display="中国动力电池行业产量规模!A1" xr:uid="{00000000-0004-0000-0000-000018000000}"/>
    <hyperlink ref="C9" location="中国动力电池行业产量规模!A1" display="中国动力电池行业产量规模!A1" xr:uid="{00000000-0004-0000-0000-000019000000}"/>
    <hyperlink ref="C10" location="中国动力电池行业产量规模!A1" display="中国动力电池行业产量规模!A1" xr:uid="{00000000-0004-0000-0000-00001A000000}"/>
    <hyperlink ref="A10:C10" location="'中国动力电池产量-动力电池联盟'!A1" display="中国动力电池产量" xr:uid="{00000000-0004-0000-0000-00001B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119"/>
  <sheetViews>
    <sheetView topLeftCell="A75" zoomScale="85" zoomScaleNormal="85" workbookViewId="0">
      <selection activeCell="U118" sqref="U118"/>
    </sheetView>
  </sheetViews>
  <sheetFormatPr baseColWidth="10" defaultColWidth="9" defaultRowHeight="14"/>
  <cols>
    <col min="1" max="28" width="10.6640625" customWidth="1"/>
    <col min="29" max="30" width="9.33203125"/>
    <col min="34" max="34" width="9.33203125"/>
  </cols>
  <sheetData>
    <row r="1" spans="1:16">
      <c r="A1" t="s">
        <v>525</v>
      </c>
      <c r="C1" t="s">
        <v>44</v>
      </c>
      <c r="D1" t="s">
        <v>45</v>
      </c>
      <c r="M1" s="41" t="s">
        <v>46</v>
      </c>
      <c r="N1" s="41" t="s">
        <v>47</v>
      </c>
      <c r="O1" s="41" t="s">
        <v>39</v>
      </c>
      <c r="P1" s="41" t="s">
        <v>48</v>
      </c>
    </row>
    <row r="2" spans="1:16">
      <c r="B2" t="s">
        <v>52</v>
      </c>
      <c r="C2" t="s">
        <v>53</v>
      </c>
      <c r="D2" t="s">
        <v>54</v>
      </c>
      <c r="E2" t="s">
        <v>55</v>
      </c>
      <c r="F2" t="s">
        <v>49</v>
      </c>
      <c r="G2" t="s">
        <v>56</v>
      </c>
      <c r="L2" t="s">
        <v>57</v>
      </c>
      <c r="M2" s="23">
        <f>SUM(B57:B59)</f>
        <v>12120.400000000001</v>
      </c>
      <c r="N2" s="23">
        <f>SUM(C57:C59)</f>
        <v>7095.1</v>
      </c>
      <c r="O2" s="23">
        <f>P2-M2-N2</f>
        <v>595.69999999999527</v>
      </c>
      <c r="P2" s="23">
        <f>SUM(E57:E59)</f>
        <v>19811.199999999997</v>
      </c>
    </row>
    <row r="3" spans="1:16">
      <c r="A3" t="s">
        <v>19</v>
      </c>
      <c r="B3" s="41">
        <v>6.77</v>
      </c>
      <c r="C3" s="41">
        <v>2.89</v>
      </c>
      <c r="D3" s="41">
        <v>12.05</v>
      </c>
      <c r="E3" s="41">
        <v>29.66</v>
      </c>
      <c r="F3" s="41">
        <v>28.2</v>
      </c>
      <c r="G3" s="41">
        <v>65.2</v>
      </c>
      <c r="L3" t="s">
        <v>58</v>
      </c>
      <c r="M3" s="23">
        <f>SUM(B60:B62)</f>
        <v>15314.1</v>
      </c>
      <c r="N3" s="23">
        <f>SUM(C60:C62)</f>
        <v>6811.0999999999995</v>
      </c>
      <c r="O3" s="23">
        <f t="shared" ref="O3:O12" si="0">P3-M3-N3</f>
        <v>1497.4000000000024</v>
      </c>
      <c r="P3" s="23">
        <f>SUM(E60:E62)</f>
        <v>23622.600000000002</v>
      </c>
    </row>
    <row r="4" spans="1:16">
      <c r="A4" t="s">
        <v>20</v>
      </c>
      <c r="B4" s="41">
        <v>4.83</v>
      </c>
      <c r="C4" s="41">
        <v>0.9</v>
      </c>
      <c r="D4" s="41">
        <v>9.4499999999999993</v>
      </c>
      <c r="E4" s="41">
        <v>31.77</v>
      </c>
      <c r="F4" s="41">
        <v>41.45</v>
      </c>
      <c r="G4" s="41">
        <v>43.6</v>
      </c>
      <c r="L4" t="s">
        <v>59</v>
      </c>
      <c r="M4" s="23">
        <f>SUM(B63:B65)</f>
        <v>13542</v>
      </c>
      <c r="N4" s="23">
        <f>SUM(C63:C65)</f>
        <v>6338.5</v>
      </c>
      <c r="O4" s="23">
        <f t="shared" si="0"/>
        <v>145</v>
      </c>
      <c r="P4" s="23">
        <f>SUM(E63:E65)</f>
        <v>20025.5</v>
      </c>
    </row>
    <row r="5" spans="1:16">
      <c r="A5" t="s">
        <v>21</v>
      </c>
      <c r="B5" s="41">
        <v>8.2100000000000009</v>
      </c>
      <c r="C5" s="41">
        <v>4.4800000000000004</v>
      </c>
      <c r="D5" s="41">
        <v>11.28</v>
      </c>
      <c r="E5" s="41">
        <v>39.18</v>
      </c>
      <c r="F5" s="41">
        <v>51.19</v>
      </c>
      <c r="G5" s="41">
        <v>75.8</v>
      </c>
      <c r="L5" t="s">
        <v>60</v>
      </c>
      <c r="M5" s="23">
        <f>SUM(B66:B68)</f>
        <v>14150.1</v>
      </c>
      <c r="N5" s="23">
        <f>SUM(C66:C68)</f>
        <v>7453.5999999999995</v>
      </c>
      <c r="O5" s="23">
        <f t="shared" si="0"/>
        <v>312.699999999998</v>
      </c>
      <c r="P5" s="23">
        <f>SUM(E66:E68)</f>
        <v>21916.399999999998</v>
      </c>
    </row>
    <row r="6" spans="1:16">
      <c r="A6" t="s">
        <v>22</v>
      </c>
      <c r="B6" s="41">
        <v>7.32</v>
      </c>
      <c r="C6" s="41">
        <v>4.72</v>
      </c>
      <c r="D6" s="41">
        <v>12.93</v>
      </c>
      <c r="E6" s="41">
        <v>28.96</v>
      </c>
      <c r="F6" s="41">
        <v>46.96</v>
      </c>
      <c r="G6" s="41"/>
      <c r="L6" t="s">
        <v>61</v>
      </c>
      <c r="M6" s="23">
        <f>SUM(B69:B71)</f>
        <v>4071.5</v>
      </c>
      <c r="N6" s="23">
        <f>SUM(C69:C71)</f>
        <v>2128.8000000000002</v>
      </c>
      <c r="O6" s="23">
        <f t="shared" si="0"/>
        <v>9.8999999999996362</v>
      </c>
      <c r="P6" s="23">
        <f>SUM(E69:E71)</f>
        <v>6210.2</v>
      </c>
    </row>
    <row r="7" spans="1:16">
      <c r="A7" t="s">
        <v>23</v>
      </c>
      <c r="B7" s="41">
        <v>9.92</v>
      </c>
      <c r="C7" s="41">
        <v>5.2</v>
      </c>
      <c r="D7" s="41">
        <v>13.79</v>
      </c>
      <c r="E7" s="41">
        <v>35.58</v>
      </c>
      <c r="F7" s="41">
        <v>56.56</v>
      </c>
      <c r="G7" s="41"/>
      <c r="L7" t="s">
        <v>62</v>
      </c>
      <c r="M7" s="23">
        <f>SUM(B72:B74)</f>
        <v>9080.2999999999993</v>
      </c>
      <c r="N7" s="23">
        <f>SUM(C72:C74)</f>
        <v>6129</v>
      </c>
      <c r="O7" s="23">
        <f t="shared" si="0"/>
        <v>49.199999999998909</v>
      </c>
      <c r="P7" s="23">
        <f>SUM(E72:E74)</f>
        <v>15258.499999999998</v>
      </c>
    </row>
    <row r="8" spans="1:16">
      <c r="A8" t="s">
        <v>24</v>
      </c>
      <c r="B8" s="41">
        <v>6.38</v>
      </c>
      <c r="C8" s="41">
        <v>5.35</v>
      </c>
      <c r="D8" s="41">
        <v>15.2</v>
      </c>
      <c r="E8" s="41">
        <v>41.29</v>
      </c>
      <c r="F8" s="41">
        <v>60.12</v>
      </c>
      <c r="G8" s="41"/>
      <c r="L8" t="s">
        <v>63</v>
      </c>
      <c r="M8" s="23">
        <f>SUM(B75:B77)</f>
        <v>12395.9</v>
      </c>
      <c r="N8" s="23">
        <f>SUM(C75:C77)</f>
        <v>9624.7999999999993</v>
      </c>
      <c r="O8" s="23">
        <f t="shared" si="0"/>
        <v>120.99999999999818</v>
      </c>
      <c r="P8" s="23">
        <f>SUM(E75:E77)</f>
        <v>22141.699999999997</v>
      </c>
    </row>
    <row r="9" spans="1:16">
      <c r="A9" t="s">
        <v>25</v>
      </c>
      <c r="B9" s="41">
        <v>5.72</v>
      </c>
      <c r="C9" s="41">
        <v>6.08</v>
      </c>
      <c r="D9" s="41">
        <v>17.350000000000001</v>
      </c>
      <c r="E9" s="41">
        <v>47.23</v>
      </c>
      <c r="F9" s="41">
        <v>60.994999999999997</v>
      </c>
      <c r="G9" s="41"/>
      <c r="L9" t="s">
        <v>64</v>
      </c>
      <c r="M9" s="23">
        <f>SUM(B78:B80)</f>
        <v>21299.800000000003</v>
      </c>
      <c r="N9" s="23">
        <f>SUM(C78:C80)</f>
        <v>16248.900000000001</v>
      </c>
      <c r="O9" s="23">
        <f t="shared" si="0"/>
        <v>173.79999999999563</v>
      </c>
      <c r="P9" s="23">
        <f>SUM(E78:E80)</f>
        <v>37722.5</v>
      </c>
    </row>
    <row r="10" spans="1:16">
      <c r="A10" t="s">
        <v>26</v>
      </c>
      <c r="B10" s="41">
        <v>6.66</v>
      </c>
      <c r="C10" s="41">
        <v>7.45</v>
      </c>
      <c r="D10" s="41">
        <v>19.48</v>
      </c>
      <c r="E10" s="41">
        <v>50.07</v>
      </c>
      <c r="F10" s="50">
        <v>73.3</v>
      </c>
      <c r="G10" s="50"/>
      <c r="L10" t="s">
        <v>65</v>
      </c>
      <c r="M10" s="23">
        <f t="shared" ref="M10:N12" si="1">SUM(B81:B83)</f>
        <v>17794.400000000001</v>
      </c>
      <c r="N10" s="23">
        <f t="shared" si="1"/>
        <v>14962</v>
      </c>
      <c r="O10" s="23">
        <f t="shared" si="0"/>
        <v>25.69999999999709</v>
      </c>
      <c r="P10" s="23">
        <f>SUM(E81:E83)</f>
        <v>32782.1</v>
      </c>
    </row>
    <row r="11" spans="1:16">
      <c r="A11" t="s">
        <v>27</v>
      </c>
      <c r="B11" s="41">
        <v>7.64</v>
      </c>
      <c r="C11" s="41">
        <v>8.6199999999999992</v>
      </c>
      <c r="D11" s="41">
        <v>23.17</v>
      </c>
      <c r="E11" s="41">
        <v>59.14</v>
      </c>
      <c r="F11" s="41">
        <v>77.400000000000006</v>
      </c>
      <c r="G11" s="41"/>
      <c r="L11" t="s">
        <v>66</v>
      </c>
      <c r="M11" s="23">
        <f t="shared" si="1"/>
        <v>17652</v>
      </c>
      <c r="N11" s="23">
        <f t="shared" si="1"/>
        <v>15960.9</v>
      </c>
      <c r="O11" s="23">
        <f t="shared" si="0"/>
        <v>46.500000000001819</v>
      </c>
      <c r="P11" s="23">
        <f>SUM(E82:E84)</f>
        <v>33659.4</v>
      </c>
    </row>
    <row r="12" spans="1:16">
      <c r="A12" t="s">
        <v>28</v>
      </c>
      <c r="B12" s="41">
        <v>6.67</v>
      </c>
      <c r="C12" s="41">
        <v>9.86</v>
      </c>
      <c r="D12" s="41">
        <v>25.12</v>
      </c>
      <c r="E12" s="41">
        <v>62.82</v>
      </c>
      <c r="F12" s="41">
        <v>77.3</v>
      </c>
      <c r="G12" s="41"/>
      <c r="L12" t="s">
        <v>67</v>
      </c>
      <c r="M12" s="23">
        <f t="shared" si="1"/>
        <v>17529.400000000001</v>
      </c>
      <c r="N12" s="23">
        <f t="shared" si="1"/>
        <v>20406.099999999999</v>
      </c>
      <c r="O12" s="23">
        <f t="shared" si="0"/>
        <v>65.900000000001455</v>
      </c>
      <c r="P12" s="23">
        <f>SUM(E83:E85)</f>
        <v>38001.4</v>
      </c>
    </row>
    <row r="13" spans="1:16">
      <c r="A13" t="s">
        <v>29</v>
      </c>
      <c r="B13" s="41">
        <v>9.0399999999999991</v>
      </c>
      <c r="C13" s="41">
        <v>12.73</v>
      </c>
      <c r="D13" s="41">
        <v>28.23</v>
      </c>
      <c r="E13" s="41">
        <v>63.41</v>
      </c>
      <c r="F13" s="41">
        <v>87.7</v>
      </c>
      <c r="G13" s="41"/>
      <c r="L13" t="s">
        <v>68</v>
      </c>
      <c r="M13" s="23">
        <f>SUM(B90:B92)</f>
        <v>31024.100000000002</v>
      </c>
      <c r="N13" s="23">
        <f>SUM(C90:C92)</f>
        <v>53750.100000000006</v>
      </c>
      <c r="O13" s="23">
        <f>SUM(D90:D92)</f>
        <v>210.29999999999745</v>
      </c>
      <c r="P13" s="23">
        <f>SUM(E90:E92)</f>
        <v>84984.5</v>
      </c>
    </row>
    <row r="14" spans="1:16">
      <c r="A14" t="s">
        <v>30</v>
      </c>
      <c r="B14" s="41">
        <v>6.21</v>
      </c>
      <c r="C14" s="41">
        <v>15.14</v>
      </c>
      <c r="D14" s="41">
        <v>31.63</v>
      </c>
      <c r="E14" s="41">
        <v>52.47</v>
      </c>
      <c r="F14" s="41">
        <v>77.7</v>
      </c>
      <c r="G14" s="41"/>
      <c r="L14" t="s">
        <v>69</v>
      </c>
      <c r="M14" s="23">
        <f>SUM(B93:B95)</f>
        <v>38022.600000000006</v>
      </c>
      <c r="N14" s="23">
        <f>SUM(C93:C95)</f>
        <v>62424</v>
      </c>
      <c r="O14" s="23">
        <f>P14-M14-N14</f>
        <v>168.69999999999709</v>
      </c>
      <c r="P14" s="23">
        <f>SUM(E93:E95)</f>
        <v>100615.3</v>
      </c>
    </row>
    <row r="15" spans="1:16">
      <c r="A15" t="s">
        <v>48</v>
      </c>
      <c r="B15" s="41">
        <f t="shared" ref="B15:F15" si="2">SUM(B3:B14)</f>
        <v>85.36999999999999</v>
      </c>
      <c r="C15" s="41">
        <f t="shared" si="2"/>
        <v>83.42</v>
      </c>
      <c r="D15" s="41">
        <f t="shared" si="2"/>
        <v>219.68</v>
      </c>
      <c r="E15" s="41">
        <f t="shared" si="2"/>
        <v>541.57999999999993</v>
      </c>
      <c r="F15" s="41">
        <f t="shared" si="2"/>
        <v>738.87500000000011</v>
      </c>
      <c r="G15" s="41"/>
      <c r="L15" t="s">
        <v>70</v>
      </c>
      <c r="M15" s="23">
        <f>SUM(B96:B98)</f>
        <v>44890.1</v>
      </c>
      <c r="N15" s="23">
        <f>SUM(C96:C98)</f>
        <v>60787.200000000004</v>
      </c>
      <c r="O15" s="23">
        <f>P15-M15-N15</f>
        <v>159.09999999999127</v>
      </c>
      <c r="P15" s="23">
        <f>SUM(E96:E98)</f>
        <v>105836.4</v>
      </c>
    </row>
    <row r="16" spans="1:16">
      <c r="F16" s="39" t="s">
        <v>522</v>
      </c>
      <c r="L16" t="s">
        <v>71</v>
      </c>
      <c r="M16" s="23">
        <f>SUM(B99:B101)</f>
        <v>60112.7</v>
      </c>
      <c r="N16" s="23">
        <f>SUM(C99:C101)</f>
        <v>96151.2</v>
      </c>
      <c r="O16" s="23">
        <f>P16-M16-N16</f>
        <v>155.30000000001746</v>
      </c>
      <c r="P16" s="23">
        <f>SUM(E99:E101)</f>
        <v>156419.20000000001</v>
      </c>
    </row>
    <row r="17" spans="1:34">
      <c r="L17" t="s">
        <v>72</v>
      </c>
      <c r="M17" s="23">
        <f>SUM(B102:B104)</f>
        <v>66906.600000000006</v>
      </c>
      <c r="N17" s="23">
        <f>SUM(C102:C104)</f>
        <v>111555.70000000001</v>
      </c>
      <c r="O17" s="23">
        <f>P17-M17-N17</f>
        <v>232.09999999997672</v>
      </c>
      <c r="P17" s="23">
        <f>SUM(E102:E104)</f>
        <v>178694.39999999999</v>
      </c>
    </row>
    <row r="18" spans="1:34">
      <c r="L18" t="s">
        <v>73</v>
      </c>
      <c r="M18" s="23">
        <v>45671.1</v>
      </c>
      <c r="N18" s="23">
        <v>84121.1</v>
      </c>
      <c r="O18" s="23">
        <v>189.5</v>
      </c>
      <c r="P18" s="23">
        <v>129981.7</v>
      </c>
    </row>
    <row r="19" spans="1:34">
      <c r="L19" t="s">
        <v>74</v>
      </c>
      <c r="M19" s="23">
        <f>SUM(W27:W29)</f>
        <v>53904.799999999996</v>
      </c>
      <c r="N19" s="23">
        <f>SUM(X27:X29)</f>
        <v>109379.9</v>
      </c>
      <c r="O19" s="23">
        <f>SUM(Y27:AA29)</f>
        <v>345.79999999999274</v>
      </c>
      <c r="P19" s="23">
        <f>SUM(AB27:AB29)</f>
        <v>163630.5</v>
      </c>
    </row>
    <row r="20" spans="1:34">
      <c r="L20" t="s">
        <v>75</v>
      </c>
      <c r="M20" s="23">
        <f>SUM(W30:W32)</f>
        <v>68827.100000000006</v>
      </c>
      <c r="N20" s="23">
        <f>SUM(X30:X32)</f>
        <v>142432.20000000001</v>
      </c>
      <c r="O20" s="23">
        <f>SUM(Y30:AA32)</f>
        <v>481.49999999999272</v>
      </c>
      <c r="P20" s="23">
        <f>SUM(AB30:AB32)</f>
        <v>211740.79999999999</v>
      </c>
    </row>
    <row r="21" spans="1:34">
      <c r="A21" t="s">
        <v>526</v>
      </c>
      <c r="E21" t="s">
        <v>77</v>
      </c>
      <c r="F21" t="s">
        <v>45</v>
      </c>
    </row>
    <row r="22" spans="1:34">
      <c r="B22" s="276" t="s">
        <v>52</v>
      </c>
      <c r="C22" s="276"/>
      <c r="D22" s="276"/>
      <c r="E22" s="276"/>
      <c r="F22" s="276"/>
      <c r="G22" s="276" t="s">
        <v>53</v>
      </c>
      <c r="H22" s="276"/>
      <c r="I22" s="276"/>
      <c r="J22" s="276"/>
      <c r="K22" s="276"/>
      <c r="L22" s="276" t="s">
        <v>54</v>
      </c>
      <c r="M22" s="276"/>
      <c r="N22" s="276"/>
      <c r="O22" s="276"/>
      <c r="P22" s="276"/>
      <c r="Q22" s="276" t="s">
        <v>55</v>
      </c>
      <c r="R22" s="276"/>
      <c r="S22" s="276"/>
      <c r="T22" s="276"/>
      <c r="U22" s="276"/>
      <c r="V22" s="276"/>
      <c r="W22" s="276" t="s">
        <v>49</v>
      </c>
      <c r="X22" s="276"/>
      <c r="Y22" s="276"/>
      <c r="Z22" s="276"/>
      <c r="AA22" s="276"/>
      <c r="AB22" s="276"/>
      <c r="AC22" s="276" t="s">
        <v>56</v>
      </c>
      <c r="AD22" s="276"/>
      <c r="AE22" s="276"/>
      <c r="AF22" s="276"/>
      <c r="AG22" s="276"/>
      <c r="AH22" s="276"/>
    </row>
    <row r="23" spans="1:34">
      <c r="B23" s="41" t="s">
        <v>46</v>
      </c>
      <c r="C23" s="41" t="s">
        <v>47</v>
      </c>
      <c r="D23" s="41" t="s">
        <v>79</v>
      </c>
      <c r="E23" s="41" t="s">
        <v>80</v>
      </c>
      <c r="F23" s="41" t="s">
        <v>48</v>
      </c>
      <c r="G23" s="41" t="s">
        <v>46</v>
      </c>
      <c r="H23" s="41" t="s">
        <v>47</v>
      </c>
      <c r="I23" s="41" t="s">
        <v>79</v>
      </c>
      <c r="J23" s="41" t="s">
        <v>80</v>
      </c>
      <c r="K23" s="41" t="s">
        <v>48</v>
      </c>
      <c r="L23" s="41" t="s">
        <v>46</v>
      </c>
      <c r="M23" s="41" t="s">
        <v>47</v>
      </c>
      <c r="N23" s="41" t="s">
        <v>79</v>
      </c>
      <c r="O23" s="41" t="s">
        <v>80</v>
      </c>
      <c r="P23" s="41" t="s">
        <v>48</v>
      </c>
      <c r="Q23" s="41" t="s">
        <v>46</v>
      </c>
      <c r="R23" s="41" t="s">
        <v>47</v>
      </c>
      <c r="S23" s="41" t="s">
        <v>79</v>
      </c>
      <c r="T23" s="41" t="s">
        <v>80</v>
      </c>
      <c r="U23" s="41" t="s">
        <v>39</v>
      </c>
      <c r="V23" s="41" t="s">
        <v>48</v>
      </c>
      <c r="W23" s="41" t="s">
        <v>46</v>
      </c>
      <c r="X23" s="41" t="s">
        <v>47</v>
      </c>
      <c r="Y23" s="41" t="s">
        <v>79</v>
      </c>
      <c r="Z23" s="41" t="s">
        <v>80</v>
      </c>
      <c r="AA23" s="41" t="s">
        <v>39</v>
      </c>
      <c r="AB23" s="41" t="s">
        <v>48</v>
      </c>
      <c r="AC23" s="41" t="s">
        <v>46</v>
      </c>
      <c r="AD23" s="41" t="s">
        <v>47</v>
      </c>
      <c r="AE23" s="41" t="s">
        <v>79</v>
      </c>
      <c r="AF23" s="41" t="s">
        <v>80</v>
      </c>
      <c r="AG23" s="41" t="s">
        <v>39</v>
      </c>
      <c r="AH23" s="41" t="s">
        <v>48</v>
      </c>
    </row>
    <row r="24" spans="1:34">
      <c r="A24" t="s">
        <v>19</v>
      </c>
      <c r="B24" s="23">
        <v>3613.3</v>
      </c>
      <c r="C24" s="23">
        <v>2926.5</v>
      </c>
      <c r="D24" s="23">
        <v>195.7</v>
      </c>
      <c r="E24" s="23">
        <v>33.799999999999997</v>
      </c>
      <c r="F24" s="23">
        <f>SUM(B24:E24)</f>
        <v>6769.3</v>
      </c>
      <c r="G24" s="23">
        <v>366</v>
      </c>
      <c r="H24" s="23">
        <v>455.4</v>
      </c>
      <c r="I24" s="23">
        <v>8.3000000000000007</v>
      </c>
      <c r="J24" s="23">
        <v>0.5</v>
      </c>
      <c r="K24" s="23">
        <f>SUM(G24:J24)</f>
        <v>830.19999999999993</v>
      </c>
      <c r="L24" s="23">
        <v>6847.5</v>
      </c>
      <c r="M24" s="23">
        <v>5193.7</v>
      </c>
      <c r="N24" s="23">
        <v>7.4</v>
      </c>
      <c r="O24" s="23">
        <v>0.5</v>
      </c>
      <c r="P24" s="23">
        <f>SUM(L24:O24)</f>
        <v>12049.1</v>
      </c>
      <c r="Q24" s="23">
        <v>10815.3</v>
      </c>
      <c r="R24" s="23">
        <v>18790.099999999999</v>
      </c>
      <c r="S24" s="23">
        <v>45.2</v>
      </c>
      <c r="T24" s="23">
        <v>10.4</v>
      </c>
      <c r="U24" s="23">
        <v>2.7</v>
      </c>
      <c r="V24" s="23">
        <f>SUM(Q24:U24)</f>
        <v>29663.7</v>
      </c>
      <c r="W24" s="23">
        <v>9812.9</v>
      </c>
      <c r="X24" s="23">
        <v>18320</v>
      </c>
      <c r="Y24" s="23">
        <v>17.8</v>
      </c>
      <c r="Z24" s="23">
        <v>13</v>
      </c>
      <c r="AA24" s="23">
        <v>5.6</v>
      </c>
      <c r="AB24" s="23">
        <f>SUM(W24:AA24)</f>
        <v>28169.3</v>
      </c>
      <c r="AC24" s="23">
        <v>22700</v>
      </c>
      <c r="AD24" s="23">
        <v>42400</v>
      </c>
      <c r="AE24" s="23"/>
      <c r="AF24" s="23"/>
      <c r="AG24" s="23">
        <v>100</v>
      </c>
      <c r="AH24" s="23">
        <f>SUM(AC24:AG24)</f>
        <v>65200</v>
      </c>
    </row>
    <row r="25" spans="1:34">
      <c r="A25" t="s">
        <v>20</v>
      </c>
      <c r="B25" s="23">
        <v>3016.4</v>
      </c>
      <c r="C25" s="23">
        <v>1671.5</v>
      </c>
      <c r="D25" s="23">
        <v>118</v>
      </c>
      <c r="E25" s="23">
        <v>21.6</v>
      </c>
      <c r="F25" s="23">
        <f t="shared" ref="F25:F35" si="3">SUM(B25:E25)</f>
        <v>4827.5</v>
      </c>
      <c r="G25" s="23">
        <v>462.9</v>
      </c>
      <c r="H25" s="23">
        <v>438.9</v>
      </c>
      <c r="I25" s="23">
        <v>0</v>
      </c>
      <c r="J25" s="23">
        <v>0</v>
      </c>
      <c r="K25" s="23">
        <f t="shared" ref="K25:K35" si="4">SUM(G25:J25)</f>
        <v>901.8</v>
      </c>
      <c r="L25" s="23">
        <v>5122.1000000000004</v>
      </c>
      <c r="M25" s="23">
        <v>4320.7</v>
      </c>
      <c r="N25" s="23">
        <v>0</v>
      </c>
      <c r="O25" s="23">
        <v>8.6</v>
      </c>
      <c r="P25" s="23">
        <f t="shared" ref="P25:P35" si="5">SUM(L25:O25)</f>
        <v>9451.4</v>
      </c>
      <c r="Q25" s="23">
        <v>11639.1</v>
      </c>
      <c r="R25" s="23">
        <v>20052.2</v>
      </c>
      <c r="S25" s="23">
        <v>65.900000000000006</v>
      </c>
      <c r="T25" s="23">
        <v>5.6</v>
      </c>
      <c r="U25" s="23">
        <v>9.6</v>
      </c>
      <c r="V25" s="23">
        <f t="shared" ref="V25:V35" si="6">SUM(Q25:U25)</f>
        <v>31772.400000000001</v>
      </c>
      <c r="W25" s="23">
        <v>14553.4</v>
      </c>
      <c r="X25" s="23">
        <v>26811.1</v>
      </c>
      <c r="Y25" s="23">
        <v>19.3</v>
      </c>
      <c r="Z25" s="23">
        <v>12.2</v>
      </c>
      <c r="AA25" s="23">
        <f>AB25-SUM(W25:Z25)</f>
        <v>54.5</v>
      </c>
      <c r="AB25" s="23">
        <v>41450.5</v>
      </c>
      <c r="AC25" s="23">
        <v>14800</v>
      </c>
      <c r="AD25" s="23">
        <v>28600</v>
      </c>
      <c r="AE25" s="23"/>
      <c r="AF25" s="23"/>
      <c r="AG25" s="23">
        <v>100</v>
      </c>
      <c r="AH25" s="23">
        <v>43600</v>
      </c>
    </row>
    <row r="26" spans="1:34">
      <c r="A26" t="s">
        <v>21</v>
      </c>
      <c r="B26" s="23">
        <v>5490.7</v>
      </c>
      <c r="C26" s="23">
        <v>2497.1</v>
      </c>
      <c r="D26" s="23">
        <v>190.8</v>
      </c>
      <c r="E26" s="23">
        <v>35.799999999999997</v>
      </c>
      <c r="F26" s="23">
        <f t="shared" si="3"/>
        <v>8214.4</v>
      </c>
      <c r="G26" s="23">
        <v>3242.6</v>
      </c>
      <c r="H26" s="23">
        <v>1234.5</v>
      </c>
      <c r="I26" s="23">
        <v>0.9</v>
      </c>
      <c r="J26" s="23">
        <v>0.2</v>
      </c>
      <c r="K26" s="23">
        <f t="shared" si="4"/>
        <v>4478.2</v>
      </c>
      <c r="L26" s="23">
        <v>5824.8</v>
      </c>
      <c r="M26" s="23">
        <v>5447.6</v>
      </c>
      <c r="N26" s="23">
        <v>3.3</v>
      </c>
      <c r="O26" s="23">
        <v>5.9</v>
      </c>
      <c r="P26" s="23">
        <f t="shared" si="5"/>
        <v>11281.6</v>
      </c>
      <c r="Q26" s="23">
        <v>15568.2</v>
      </c>
      <c r="R26" s="23">
        <v>23581.7</v>
      </c>
      <c r="S26" s="23">
        <v>16.399999999999999</v>
      </c>
      <c r="T26" s="23">
        <v>12.9</v>
      </c>
      <c r="U26" s="23">
        <v>0</v>
      </c>
      <c r="V26" s="23">
        <f t="shared" si="6"/>
        <v>39179.200000000004</v>
      </c>
      <c r="W26" s="23">
        <v>18226.8</v>
      </c>
      <c r="X26" s="23">
        <v>32892</v>
      </c>
      <c r="Y26" s="23">
        <v>24.5</v>
      </c>
      <c r="Z26" s="23">
        <v>6.6</v>
      </c>
      <c r="AA26" s="23">
        <v>36.1</v>
      </c>
      <c r="AB26" s="23">
        <v>51186</v>
      </c>
      <c r="AC26" s="23">
        <v>24200</v>
      </c>
      <c r="AD26" s="23">
        <v>51400</v>
      </c>
      <c r="AE26" s="23"/>
      <c r="AF26" s="23"/>
      <c r="AG26" s="23">
        <v>200</v>
      </c>
      <c r="AH26" s="23">
        <v>75800</v>
      </c>
    </row>
    <row r="27" spans="1:34">
      <c r="A27" t="s">
        <v>22</v>
      </c>
      <c r="B27" s="23">
        <v>4316.6000000000004</v>
      </c>
      <c r="C27" s="23">
        <v>2796.5</v>
      </c>
      <c r="D27" s="23">
        <v>198.8</v>
      </c>
      <c r="E27" s="23">
        <v>5.6</v>
      </c>
      <c r="F27" s="23">
        <f t="shared" si="3"/>
        <v>7317.5000000000009</v>
      </c>
      <c r="G27" s="23">
        <v>2862.3</v>
      </c>
      <c r="H27" s="23">
        <v>1846.2</v>
      </c>
      <c r="I27" s="23">
        <v>9.3000000000000007</v>
      </c>
      <c r="J27" s="23">
        <v>5.0999999999999996</v>
      </c>
      <c r="K27" s="23">
        <f t="shared" si="4"/>
        <v>4722.9000000000005</v>
      </c>
      <c r="L27" s="23">
        <v>6705.1</v>
      </c>
      <c r="M27" s="23">
        <v>6192.6</v>
      </c>
      <c r="N27" s="23">
        <v>11.6</v>
      </c>
      <c r="O27" s="23">
        <v>17.100000000000001</v>
      </c>
      <c r="P27" s="23">
        <f t="shared" si="5"/>
        <v>12926.400000000001</v>
      </c>
      <c r="Q27" s="23">
        <v>10295.4</v>
      </c>
      <c r="R27" s="23">
        <v>18623.400000000001</v>
      </c>
      <c r="S27" s="23">
        <v>34.299999999999997</v>
      </c>
      <c r="T27" s="23">
        <v>11</v>
      </c>
      <c r="U27" s="23">
        <v>0</v>
      </c>
      <c r="V27" s="23">
        <f t="shared" si="6"/>
        <v>28964.100000000002</v>
      </c>
      <c r="W27" s="23">
        <v>17597.2</v>
      </c>
      <c r="X27" s="23">
        <v>29319.3</v>
      </c>
      <c r="Y27" s="23">
        <v>19.100000000000001</v>
      </c>
      <c r="Z27" s="23">
        <v>0</v>
      </c>
      <c r="AA27" s="23">
        <v>22.7</v>
      </c>
      <c r="AB27" s="23">
        <v>46958.3</v>
      </c>
      <c r="AC27" s="23"/>
      <c r="AD27" s="23"/>
      <c r="AE27" s="23"/>
      <c r="AF27" s="23"/>
      <c r="AG27" s="23"/>
      <c r="AH27" s="23"/>
    </row>
    <row r="28" spans="1:34">
      <c r="A28" t="s">
        <v>23</v>
      </c>
      <c r="B28" s="23">
        <v>6451.4</v>
      </c>
      <c r="C28" s="23">
        <v>2324.4</v>
      </c>
      <c r="D28" s="23">
        <v>1104.9000000000001</v>
      </c>
      <c r="E28" s="23">
        <v>41.7</v>
      </c>
      <c r="F28" s="23">
        <f t="shared" si="3"/>
        <v>9922.4</v>
      </c>
      <c r="G28" s="23">
        <v>3069.2</v>
      </c>
      <c r="H28" s="23">
        <v>2100.5</v>
      </c>
      <c r="I28" s="23">
        <v>18.399999999999999</v>
      </c>
      <c r="J28" s="23">
        <v>1.6</v>
      </c>
      <c r="K28" s="23">
        <f t="shared" si="4"/>
        <v>5189.7</v>
      </c>
      <c r="L28" s="23">
        <v>4999.5</v>
      </c>
      <c r="M28" s="23">
        <v>8765.9</v>
      </c>
      <c r="N28" s="23">
        <v>12.8</v>
      </c>
      <c r="O28" s="23">
        <v>15.2</v>
      </c>
      <c r="P28" s="23">
        <f t="shared" si="5"/>
        <v>13793.4</v>
      </c>
      <c r="Q28" s="23">
        <v>16282.4</v>
      </c>
      <c r="R28" s="23">
        <v>19233.900000000001</v>
      </c>
      <c r="S28" s="23">
        <v>36.6</v>
      </c>
      <c r="T28" s="23">
        <v>25.5</v>
      </c>
      <c r="U28" s="23">
        <v>0</v>
      </c>
      <c r="V28" s="23">
        <f t="shared" si="6"/>
        <v>35578.400000000001</v>
      </c>
      <c r="W28" s="23">
        <v>18611</v>
      </c>
      <c r="X28" s="23">
        <v>37817.699999999997</v>
      </c>
      <c r="Y28" s="23">
        <v>80.599999999999994</v>
      </c>
      <c r="Z28" s="23">
        <v>15.8</v>
      </c>
      <c r="AA28" s="23">
        <f>AB28-SUM(W28:Z28)</f>
        <v>31</v>
      </c>
      <c r="AB28" s="23">
        <v>56556.1</v>
      </c>
      <c r="AC28" s="23"/>
      <c r="AD28" s="23"/>
      <c r="AE28" s="23"/>
      <c r="AF28" s="23"/>
      <c r="AG28" s="23"/>
      <c r="AH28" s="23"/>
    </row>
    <row r="29" spans="1:34">
      <c r="A29" t="s">
        <v>24</v>
      </c>
      <c r="B29" s="23">
        <v>4546.1000000000004</v>
      </c>
      <c r="C29" s="23">
        <v>1690.2</v>
      </c>
      <c r="D29" s="23">
        <v>66.8</v>
      </c>
      <c r="E29" s="23">
        <v>79.599999999999994</v>
      </c>
      <c r="F29" s="23">
        <f t="shared" si="3"/>
        <v>6382.7000000000007</v>
      </c>
      <c r="G29" s="23">
        <v>3148.8</v>
      </c>
      <c r="H29" s="23">
        <v>2182.3000000000002</v>
      </c>
      <c r="I29" s="23">
        <v>12.2</v>
      </c>
      <c r="J29" s="23">
        <v>2.6</v>
      </c>
      <c r="K29" s="23">
        <f t="shared" si="4"/>
        <v>5345.9000000000005</v>
      </c>
      <c r="L29" s="23">
        <v>7356.2</v>
      </c>
      <c r="M29" s="23">
        <v>7777.4</v>
      </c>
      <c r="N29" s="23">
        <v>33.700000000000003</v>
      </c>
      <c r="O29" s="23">
        <v>29.8</v>
      </c>
      <c r="P29" s="23">
        <f t="shared" si="5"/>
        <v>15197.099999999999</v>
      </c>
      <c r="Q29" s="23">
        <v>18312.3</v>
      </c>
      <c r="R29" s="23">
        <v>22929.9</v>
      </c>
      <c r="S29" s="23">
        <v>51.7</v>
      </c>
      <c r="T29" s="23">
        <v>0</v>
      </c>
      <c r="U29" s="23">
        <v>0</v>
      </c>
      <c r="V29" s="23">
        <f t="shared" si="6"/>
        <v>41293.899999999994</v>
      </c>
      <c r="W29" s="23">
        <v>17696.599999999999</v>
      </c>
      <c r="X29" s="23">
        <v>42242.9</v>
      </c>
      <c r="Y29" s="23">
        <v>96.8</v>
      </c>
      <c r="Z29" s="23">
        <v>16.3</v>
      </c>
      <c r="AA29" s="23">
        <f>AB29-SUM(W29:Z29)</f>
        <v>63.499999999992724</v>
      </c>
      <c r="AB29" s="23">
        <v>60116.1</v>
      </c>
      <c r="AC29" s="23"/>
      <c r="AD29" s="23"/>
      <c r="AE29" s="23"/>
      <c r="AF29" s="23"/>
      <c r="AG29" s="23"/>
      <c r="AH29" s="23"/>
    </row>
    <row r="30" spans="1:34">
      <c r="A30" t="s">
        <v>25</v>
      </c>
      <c r="B30" s="23">
        <v>4256.3999999999996</v>
      </c>
      <c r="C30" s="23">
        <v>1403.1</v>
      </c>
      <c r="D30" s="23">
        <v>55.9</v>
      </c>
      <c r="E30" s="23">
        <v>1</v>
      </c>
      <c r="F30" s="23">
        <f t="shared" si="3"/>
        <v>5716.4</v>
      </c>
      <c r="G30" s="23">
        <v>3273.7</v>
      </c>
      <c r="H30" s="23">
        <v>2775</v>
      </c>
      <c r="I30" s="23">
        <v>16.399999999999999</v>
      </c>
      <c r="J30" s="23">
        <v>15.9</v>
      </c>
      <c r="K30" s="23">
        <f t="shared" si="4"/>
        <v>6080.9999999999991</v>
      </c>
      <c r="L30" s="23">
        <v>7986.2</v>
      </c>
      <c r="M30" s="23">
        <v>9330.2999999999993</v>
      </c>
      <c r="N30" s="23">
        <v>8.1</v>
      </c>
      <c r="O30" s="23">
        <v>27.3</v>
      </c>
      <c r="P30" s="23">
        <f t="shared" si="5"/>
        <v>17351.899999999998</v>
      </c>
      <c r="Q30" s="23">
        <v>16583.8</v>
      </c>
      <c r="R30" s="23">
        <v>30603.3</v>
      </c>
      <c r="S30" s="23">
        <v>44.1</v>
      </c>
      <c r="T30" s="23">
        <v>2.2000000000000002</v>
      </c>
      <c r="U30" s="23">
        <v>0</v>
      </c>
      <c r="V30" s="23">
        <f t="shared" si="6"/>
        <v>47233.399999999994</v>
      </c>
      <c r="W30" s="23">
        <v>20394.3</v>
      </c>
      <c r="X30" s="23">
        <v>40499.300000000003</v>
      </c>
      <c r="Y30" s="23">
        <v>64.900000000000006</v>
      </c>
      <c r="Z30" s="23">
        <v>0.3</v>
      </c>
      <c r="AA30" s="23">
        <f>AB30-SUM(W30:Z30)</f>
        <v>36.999999999992724</v>
      </c>
      <c r="AB30" s="23">
        <v>60995.8</v>
      </c>
      <c r="AC30" s="23"/>
      <c r="AD30" s="23"/>
      <c r="AE30" s="23"/>
      <c r="AF30" s="23"/>
      <c r="AG30" s="23"/>
      <c r="AH30" s="23"/>
    </row>
    <row r="31" spans="1:34">
      <c r="A31" t="s">
        <v>26</v>
      </c>
      <c r="B31" s="23">
        <v>4566.3</v>
      </c>
      <c r="C31" s="23">
        <v>2071.4</v>
      </c>
      <c r="D31" s="23">
        <v>20</v>
      </c>
      <c r="E31" s="23">
        <v>6.8</v>
      </c>
      <c r="F31" s="23">
        <f t="shared" si="3"/>
        <v>6664.5000000000009</v>
      </c>
      <c r="G31" s="23">
        <v>4368.5</v>
      </c>
      <c r="H31" s="23">
        <v>3010.8</v>
      </c>
      <c r="I31" s="23">
        <v>32</v>
      </c>
      <c r="J31" s="23">
        <v>34.1</v>
      </c>
      <c r="K31" s="23">
        <f t="shared" si="4"/>
        <v>7445.4000000000005</v>
      </c>
      <c r="L31" s="23">
        <v>8366.7000000000007</v>
      </c>
      <c r="M31" s="23">
        <v>11085.8</v>
      </c>
      <c r="N31" s="23">
        <v>23.2</v>
      </c>
      <c r="O31" s="23">
        <v>6</v>
      </c>
      <c r="P31" s="23">
        <f t="shared" si="5"/>
        <v>19481.7</v>
      </c>
      <c r="Q31" s="23">
        <v>19250.599999999999</v>
      </c>
      <c r="R31" s="23">
        <v>30768.1</v>
      </c>
      <c r="S31" s="23">
        <v>41.9</v>
      </c>
      <c r="T31" s="23">
        <v>1</v>
      </c>
      <c r="U31" s="23">
        <v>0</v>
      </c>
      <c r="V31" s="23">
        <f t="shared" si="6"/>
        <v>50061.599999999999</v>
      </c>
      <c r="W31" s="23">
        <v>23132.799999999999</v>
      </c>
      <c r="X31" s="23">
        <v>50032.9</v>
      </c>
      <c r="Y31" s="23"/>
      <c r="Z31" s="23"/>
      <c r="AA31" s="23">
        <v>179.3</v>
      </c>
      <c r="AB31" s="23">
        <v>73345</v>
      </c>
      <c r="AC31" s="23"/>
      <c r="AD31" s="23"/>
      <c r="AE31" s="23"/>
      <c r="AF31" s="23"/>
      <c r="AG31" s="23"/>
      <c r="AH31" s="23"/>
    </row>
    <row r="32" spans="1:34">
      <c r="A32" t="s">
        <v>27</v>
      </c>
      <c r="B32" s="23">
        <v>4719.3</v>
      </c>
      <c r="C32" s="23">
        <v>2864</v>
      </c>
      <c r="D32" s="23">
        <v>60.3</v>
      </c>
      <c r="E32" s="23">
        <v>1</v>
      </c>
      <c r="F32" s="23">
        <f t="shared" si="3"/>
        <v>7644.6</v>
      </c>
      <c r="G32" s="23">
        <v>4753.7</v>
      </c>
      <c r="H32" s="23">
        <v>3839</v>
      </c>
      <c r="I32" s="23">
        <v>20</v>
      </c>
      <c r="J32" s="23">
        <v>2.6</v>
      </c>
      <c r="K32" s="23">
        <f t="shared" si="4"/>
        <v>8615.3000000000011</v>
      </c>
      <c r="L32" s="23">
        <v>9630.2000000000007</v>
      </c>
      <c r="M32" s="23">
        <v>13514.1</v>
      </c>
      <c r="N32" s="23">
        <v>16.2</v>
      </c>
      <c r="O32" s="23">
        <v>8.8000000000000007</v>
      </c>
      <c r="P32" s="23">
        <f t="shared" si="5"/>
        <v>23169.300000000003</v>
      </c>
      <c r="Q32" s="23">
        <v>24278.3</v>
      </c>
      <c r="R32" s="23">
        <v>34779.800000000003</v>
      </c>
      <c r="S32" s="23">
        <v>66.099999999999994</v>
      </c>
      <c r="T32" s="23">
        <v>0</v>
      </c>
      <c r="U32" s="23">
        <v>0</v>
      </c>
      <c r="V32" s="23">
        <f t="shared" si="6"/>
        <v>59124.200000000004</v>
      </c>
      <c r="W32" s="23">
        <v>25300</v>
      </c>
      <c r="X32" s="23">
        <v>51900</v>
      </c>
      <c r="Y32" s="23"/>
      <c r="Z32" s="23"/>
      <c r="AA32" s="23">
        <v>200</v>
      </c>
      <c r="AB32" s="23">
        <v>77400</v>
      </c>
      <c r="AC32" s="23"/>
      <c r="AD32" s="23"/>
      <c r="AE32" s="23"/>
      <c r="AF32" s="23"/>
      <c r="AG32" s="23"/>
      <c r="AH32" s="23"/>
    </row>
    <row r="33" spans="1:34">
      <c r="A33" t="s">
        <v>28</v>
      </c>
      <c r="B33" s="23">
        <v>3950.9</v>
      </c>
      <c r="C33" s="23">
        <v>2651.1</v>
      </c>
      <c r="D33" s="23">
        <v>64.2</v>
      </c>
      <c r="E33" s="23">
        <v>1.1000000000000001</v>
      </c>
      <c r="F33" s="23">
        <f t="shared" si="3"/>
        <v>6667.3</v>
      </c>
      <c r="G33" s="23">
        <v>5517.3</v>
      </c>
      <c r="H33" s="23">
        <v>4322.6000000000004</v>
      </c>
      <c r="I33" s="23">
        <v>19.3</v>
      </c>
      <c r="J33" s="23">
        <v>1.1000000000000001</v>
      </c>
      <c r="K33" s="23">
        <f t="shared" si="4"/>
        <v>9860.3000000000011</v>
      </c>
      <c r="L33" s="23">
        <v>9200.2000000000007</v>
      </c>
      <c r="M33" s="23">
        <v>15892.1</v>
      </c>
      <c r="N33" s="23">
        <v>26.2</v>
      </c>
      <c r="O33" s="23">
        <v>4</v>
      </c>
      <c r="P33" s="23">
        <f t="shared" si="5"/>
        <v>25122.500000000004</v>
      </c>
      <c r="Q33" s="23">
        <v>24240</v>
      </c>
      <c r="R33" s="23">
        <v>38551</v>
      </c>
      <c r="S33" s="23">
        <v>28.5</v>
      </c>
      <c r="T33" s="23">
        <v>0</v>
      </c>
      <c r="U33" s="23">
        <v>0</v>
      </c>
      <c r="V33" s="23">
        <f t="shared" si="6"/>
        <v>62819.5</v>
      </c>
      <c r="W33" s="23">
        <v>23600</v>
      </c>
      <c r="X33" s="23">
        <v>53600</v>
      </c>
      <c r="Y33" s="23"/>
      <c r="Z33" s="23"/>
      <c r="AA33" s="23">
        <v>100</v>
      </c>
      <c r="AB33" s="23">
        <v>77300</v>
      </c>
      <c r="AC33" s="23"/>
      <c r="AD33" s="23"/>
      <c r="AE33" s="23"/>
      <c r="AF33" s="23"/>
      <c r="AG33" s="23"/>
      <c r="AH33" s="23"/>
    </row>
    <row r="34" spans="1:34">
      <c r="A34" t="s">
        <v>29</v>
      </c>
      <c r="B34" s="23">
        <v>5372.7</v>
      </c>
      <c r="C34" s="23">
        <v>3621.8</v>
      </c>
      <c r="D34" s="23">
        <v>48.3</v>
      </c>
      <c r="E34" s="23">
        <v>0</v>
      </c>
      <c r="F34" s="23">
        <f t="shared" si="3"/>
        <v>9042.7999999999993</v>
      </c>
      <c r="G34" s="23">
        <v>7286.6</v>
      </c>
      <c r="H34" s="23">
        <v>5406.6</v>
      </c>
      <c r="I34" s="23">
        <v>27.8</v>
      </c>
      <c r="J34" s="23">
        <v>5.2</v>
      </c>
      <c r="K34" s="23">
        <f t="shared" si="4"/>
        <v>12726.2</v>
      </c>
      <c r="L34" s="23">
        <v>10388.700000000001</v>
      </c>
      <c r="M34" s="23">
        <v>17798.2</v>
      </c>
      <c r="N34" s="23">
        <v>40.4</v>
      </c>
      <c r="O34" s="23">
        <v>3.2</v>
      </c>
      <c r="P34" s="23">
        <f t="shared" si="5"/>
        <v>28230.500000000004</v>
      </c>
      <c r="Q34" s="23">
        <v>24201.8</v>
      </c>
      <c r="R34" s="23">
        <v>39109.300000000003</v>
      </c>
      <c r="S34" s="23">
        <v>28.7</v>
      </c>
      <c r="T34" s="23">
        <v>49.4</v>
      </c>
      <c r="U34" s="23">
        <v>17.100000000000001</v>
      </c>
      <c r="V34" s="23">
        <f t="shared" si="6"/>
        <v>63406.3</v>
      </c>
      <c r="W34" s="23">
        <v>27800</v>
      </c>
      <c r="X34" s="23">
        <v>59800</v>
      </c>
      <c r="Y34" s="23"/>
      <c r="Z34" s="23"/>
      <c r="AA34" s="23">
        <v>200</v>
      </c>
      <c r="AB34" s="23">
        <v>87700</v>
      </c>
      <c r="AC34" s="23"/>
      <c r="AD34" s="23"/>
      <c r="AE34" s="23"/>
      <c r="AF34" s="23"/>
      <c r="AG34" s="23"/>
      <c r="AH34" s="23"/>
    </row>
    <row r="35" spans="1:34">
      <c r="A35" t="s">
        <v>30</v>
      </c>
      <c r="B35" s="23">
        <v>4826.5</v>
      </c>
      <c r="C35" s="23">
        <v>1180.7</v>
      </c>
      <c r="D35" s="23">
        <v>106.3</v>
      </c>
      <c r="E35" s="23">
        <v>92.8</v>
      </c>
      <c r="F35" s="23">
        <f t="shared" si="3"/>
        <v>6206.3</v>
      </c>
      <c r="G35" s="23">
        <v>8495.9</v>
      </c>
      <c r="H35" s="23">
        <v>6519.7</v>
      </c>
      <c r="I35" s="23">
        <v>34.6</v>
      </c>
      <c r="J35" s="23">
        <v>85.8</v>
      </c>
      <c r="K35" s="23">
        <f t="shared" si="4"/>
        <v>15135.999999999998</v>
      </c>
      <c r="L35" s="23">
        <v>11435.2</v>
      </c>
      <c r="M35" s="23">
        <v>20059.8</v>
      </c>
      <c r="N35" s="23">
        <v>130.9</v>
      </c>
      <c r="O35" s="23">
        <v>5.6</v>
      </c>
      <c r="P35" s="23">
        <f t="shared" si="5"/>
        <v>31631.5</v>
      </c>
      <c r="Q35" s="23">
        <v>18464.8</v>
      </c>
      <c r="R35" s="23">
        <v>33895.4</v>
      </c>
      <c r="S35" s="23">
        <v>54.4</v>
      </c>
      <c r="T35" s="23">
        <v>4.0999999999999996</v>
      </c>
      <c r="U35" s="23">
        <v>49.9</v>
      </c>
      <c r="V35" s="23">
        <f t="shared" si="6"/>
        <v>52468.6</v>
      </c>
      <c r="W35" s="23">
        <v>25000</v>
      </c>
      <c r="X35" s="23">
        <v>52500</v>
      </c>
      <c r="Y35" s="23"/>
      <c r="Z35" s="23"/>
      <c r="AA35" s="23">
        <v>200</v>
      </c>
      <c r="AB35" s="23">
        <v>77700</v>
      </c>
      <c r="AC35" s="23"/>
      <c r="AD35" s="23"/>
      <c r="AE35" s="23"/>
      <c r="AF35" s="23"/>
      <c r="AG35" s="23"/>
      <c r="AH35" s="23"/>
    </row>
    <row r="36" spans="1:34">
      <c r="A36" t="s">
        <v>48</v>
      </c>
      <c r="B36" s="23">
        <f>SUM(B24:B35)</f>
        <v>55126.600000000006</v>
      </c>
      <c r="C36" s="23">
        <f t="shared" ref="C36:V36" si="7">SUM(C24:C35)</f>
        <v>27698.3</v>
      </c>
      <c r="D36" s="23">
        <f t="shared" si="7"/>
        <v>2230.0000000000005</v>
      </c>
      <c r="E36" s="23">
        <f t="shared" si="7"/>
        <v>320.8</v>
      </c>
      <c r="F36" s="23">
        <f t="shared" si="7"/>
        <v>85375.700000000012</v>
      </c>
      <c r="G36" s="23">
        <f t="shared" si="7"/>
        <v>46847.5</v>
      </c>
      <c r="H36" s="23">
        <f t="shared" si="7"/>
        <v>34131.499999999993</v>
      </c>
      <c r="I36" s="23">
        <f t="shared" si="7"/>
        <v>199.20000000000002</v>
      </c>
      <c r="J36" s="23">
        <f t="shared" si="7"/>
        <v>154.69999999999999</v>
      </c>
      <c r="K36" s="23">
        <f t="shared" si="7"/>
        <v>81332.900000000009</v>
      </c>
      <c r="L36" s="23">
        <f t="shared" si="7"/>
        <v>93862.39999999998</v>
      </c>
      <c r="M36" s="23">
        <f t="shared" si="7"/>
        <v>125378.20000000001</v>
      </c>
      <c r="N36" s="23">
        <f t="shared" si="7"/>
        <v>313.8</v>
      </c>
      <c r="O36" s="23">
        <f t="shared" si="7"/>
        <v>132</v>
      </c>
      <c r="P36" s="23">
        <f t="shared" si="7"/>
        <v>219686.39999999999</v>
      </c>
      <c r="Q36" s="23">
        <f t="shared" si="7"/>
        <v>209931.99999999997</v>
      </c>
      <c r="R36" s="23">
        <f t="shared" si="7"/>
        <v>330918.09999999998</v>
      </c>
      <c r="S36" s="23">
        <f t="shared" si="7"/>
        <v>513.80000000000007</v>
      </c>
      <c r="T36" s="23">
        <f t="shared" si="7"/>
        <v>122.1</v>
      </c>
      <c r="U36" s="23">
        <f t="shared" si="7"/>
        <v>79.3</v>
      </c>
      <c r="V36" s="23">
        <f t="shared" si="7"/>
        <v>541565.30000000005</v>
      </c>
      <c r="W36" s="23">
        <f t="shared" ref="W36:AH36" si="8">SUM(W24:W35)</f>
        <v>241725</v>
      </c>
      <c r="X36" s="23">
        <f t="shared" si="8"/>
        <v>495735.2</v>
      </c>
      <c r="Y36" s="23">
        <f t="shared" si="8"/>
        <v>323</v>
      </c>
      <c r="Z36" s="23">
        <f t="shared" si="8"/>
        <v>64.199999999999989</v>
      </c>
      <c r="AA36" s="23">
        <f t="shared" si="8"/>
        <v>1129.6999999999855</v>
      </c>
      <c r="AB36" s="23">
        <f t="shared" si="8"/>
        <v>738877.1</v>
      </c>
      <c r="AC36" s="23">
        <f t="shared" si="8"/>
        <v>61700</v>
      </c>
      <c r="AD36" s="23">
        <f t="shared" si="8"/>
        <v>122400</v>
      </c>
      <c r="AE36" s="23">
        <f t="shared" si="8"/>
        <v>0</v>
      </c>
      <c r="AF36" s="23">
        <f t="shared" si="8"/>
        <v>0</v>
      </c>
      <c r="AG36" s="23">
        <f t="shared" si="8"/>
        <v>400</v>
      </c>
      <c r="AH36" s="23">
        <f t="shared" si="8"/>
        <v>184600</v>
      </c>
    </row>
    <row r="37" spans="1:34">
      <c r="AA37" s="39" t="s">
        <v>522</v>
      </c>
    </row>
    <row r="39" spans="1:34">
      <c r="B39" s="276" t="s">
        <v>52</v>
      </c>
      <c r="C39" s="276"/>
      <c r="D39" s="276"/>
      <c r="E39" s="276"/>
      <c r="F39" s="276"/>
      <c r="G39" s="276" t="s">
        <v>53</v>
      </c>
      <c r="H39" s="276"/>
      <c r="I39" s="276"/>
      <c r="J39" s="276"/>
      <c r="K39" s="276"/>
      <c r="L39" s="276" t="s">
        <v>54</v>
      </c>
      <c r="M39" s="276"/>
      <c r="N39" s="276"/>
      <c r="O39" s="276"/>
      <c r="P39" s="276"/>
      <c r="Q39" s="276" t="s">
        <v>55</v>
      </c>
      <c r="R39" s="276"/>
      <c r="S39" s="276"/>
      <c r="T39" s="276"/>
      <c r="U39" s="276"/>
      <c r="V39" s="276"/>
      <c r="W39" s="276" t="s">
        <v>49</v>
      </c>
      <c r="X39" s="276"/>
      <c r="Y39" s="276"/>
      <c r="Z39" s="276"/>
      <c r="AA39" s="276"/>
      <c r="AB39" s="276"/>
      <c r="AC39" s="276" t="s">
        <v>56</v>
      </c>
      <c r="AD39" s="276"/>
      <c r="AE39" s="276"/>
      <c r="AF39" s="276"/>
      <c r="AG39" s="276"/>
      <c r="AH39" s="276"/>
    </row>
    <row r="40" spans="1:34">
      <c r="B40" s="41" t="s">
        <v>46</v>
      </c>
      <c r="C40" s="41" t="s">
        <v>47</v>
      </c>
      <c r="D40" s="41" t="s">
        <v>79</v>
      </c>
      <c r="E40" s="41" t="s">
        <v>80</v>
      </c>
      <c r="F40" s="41" t="s">
        <v>48</v>
      </c>
      <c r="G40" s="41" t="s">
        <v>46</v>
      </c>
      <c r="H40" s="41" t="s">
        <v>47</v>
      </c>
      <c r="I40" s="41" t="s">
        <v>79</v>
      </c>
      <c r="J40" s="41" t="s">
        <v>80</v>
      </c>
      <c r="K40" s="41" t="s">
        <v>48</v>
      </c>
      <c r="L40" s="41" t="s">
        <v>46</v>
      </c>
      <c r="M40" s="41" t="s">
        <v>47</v>
      </c>
      <c r="N40" s="41" t="s">
        <v>79</v>
      </c>
      <c r="O40" s="41" t="s">
        <v>80</v>
      </c>
      <c r="P40" s="41" t="s">
        <v>48</v>
      </c>
      <c r="Q40" s="41" t="s">
        <v>46</v>
      </c>
      <c r="R40" s="41" t="s">
        <v>47</v>
      </c>
      <c r="S40" s="41" t="s">
        <v>79</v>
      </c>
      <c r="T40" s="41" t="s">
        <v>80</v>
      </c>
      <c r="U40" s="41" t="s">
        <v>39</v>
      </c>
      <c r="V40" s="41" t="s">
        <v>48</v>
      </c>
      <c r="W40" s="41" t="s">
        <v>46</v>
      </c>
      <c r="X40" s="41" t="s">
        <v>47</v>
      </c>
      <c r="Y40" s="41" t="s">
        <v>79</v>
      </c>
      <c r="Z40" s="41" t="s">
        <v>80</v>
      </c>
      <c r="AA40" s="41" t="s">
        <v>39</v>
      </c>
      <c r="AB40" s="41" t="s">
        <v>48</v>
      </c>
      <c r="AC40" s="41" t="s">
        <v>46</v>
      </c>
      <c r="AD40" s="41" t="s">
        <v>47</v>
      </c>
      <c r="AE40" s="41" t="s">
        <v>79</v>
      </c>
      <c r="AF40" s="41" t="s">
        <v>80</v>
      </c>
      <c r="AG40" s="41" t="s">
        <v>39</v>
      </c>
      <c r="AH40" s="41" t="s">
        <v>48</v>
      </c>
    </row>
    <row r="41" spans="1:34">
      <c r="A41" t="s">
        <v>19</v>
      </c>
      <c r="B41" s="51">
        <f>B24/F24</f>
        <v>0.5337774954574328</v>
      </c>
      <c r="C41" s="51">
        <f>C24/F24</f>
        <v>0.43231944218752305</v>
      </c>
      <c r="D41" s="51">
        <f>D24/F24</f>
        <v>2.8909931602972241E-2</v>
      </c>
      <c r="E41" s="51">
        <f>E24/F24</f>
        <v>4.9931307520718528E-3</v>
      </c>
      <c r="F41" s="51">
        <f>SUM(B41:E41)</f>
        <v>1</v>
      </c>
      <c r="G41" s="51">
        <f>G24/K24</f>
        <v>0.44085762466875456</v>
      </c>
      <c r="H41" s="51">
        <f>H24/K24</f>
        <v>0.54854251987472902</v>
      </c>
      <c r="I41" s="51">
        <f>I24/K24</f>
        <v>9.9975909419417024E-3</v>
      </c>
      <c r="J41" s="51">
        <f>J24/K24</f>
        <v>6.0226451457480131E-4</v>
      </c>
      <c r="K41" s="51">
        <f>SUM(G41:J41)</f>
        <v>1.0000000000000002</v>
      </c>
      <c r="L41" s="51">
        <f>L24/P24</f>
        <v>0.56829970703206045</v>
      </c>
      <c r="M41" s="51">
        <f>M24/P24</f>
        <v>0.43104464233843187</v>
      </c>
      <c r="N41" s="51">
        <f>N24/P24</f>
        <v>6.141537542223071E-4</v>
      </c>
      <c r="O41" s="51">
        <f>O24/P24</f>
        <v>4.1496875285291014E-5</v>
      </c>
      <c r="P41" s="51">
        <f>SUM(L41:O41)</f>
        <v>1</v>
      </c>
      <c r="Q41" s="51">
        <f t="shared" ref="Q41:Q52" si="9">Q24/V24</f>
        <v>0.36459713387069043</v>
      </c>
      <c r="R41" s="51">
        <f t="shared" ref="R41:R52" si="10">R24/V24</f>
        <v>0.63343750105347607</v>
      </c>
      <c r="S41" s="51">
        <f t="shared" ref="S41:S52" si="11">S24/V24</f>
        <v>1.5237478804060183E-3</v>
      </c>
      <c r="T41" s="51">
        <f t="shared" ref="T41:T52" si="12">T24/V24</f>
        <v>3.5059685743855283E-4</v>
      </c>
      <c r="U41" s="51">
        <f t="shared" ref="U41:U52" si="13">U24/V24</f>
        <v>9.1020337988855063E-5</v>
      </c>
      <c r="V41" s="51">
        <f t="shared" ref="V41:V52" si="14">SUM(Q41:U41)</f>
        <v>0.99999999999999978</v>
      </c>
      <c r="W41" s="51">
        <f>W24/AB24</f>
        <v>0.34835441420269586</v>
      </c>
      <c r="X41" s="51">
        <f>X24/AB24</f>
        <v>0.65035339891300104</v>
      </c>
      <c r="Y41" s="51">
        <f>Y24/AB24</f>
        <v>6.3189358628009925E-4</v>
      </c>
      <c r="Z41" s="51">
        <f>Z24/AB24</f>
        <v>4.6149531582254441E-4</v>
      </c>
      <c r="AA41" s="51">
        <f>AA24/AB24</f>
        <v>1.9879798220048066E-4</v>
      </c>
      <c r="AB41" s="51">
        <f>SUM(W41:AA41)</f>
        <v>1</v>
      </c>
      <c r="AC41" s="51">
        <v>0.34799999999999998</v>
      </c>
      <c r="AD41" s="51">
        <v>0.65</v>
      </c>
      <c r="AE41" s="51"/>
      <c r="AF41" s="51"/>
      <c r="AG41" s="51">
        <v>2E-3</v>
      </c>
      <c r="AH41" s="51">
        <f>SUM(AC41:AG41)</f>
        <v>1</v>
      </c>
    </row>
    <row r="42" spans="1:34">
      <c r="A42" t="s">
        <v>20</v>
      </c>
      <c r="B42" s="51">
        <f t="shared" ref="B42:B52" si="15">B25/F25</f>
        <v>0.62483687208700156</v>
      </c>
      <c r="C42" s="51">
        <f t="shared" ref="C42:C52" si="16">C25/F25</f>
        <v>0.3462454686690834</v>
      </c>
      <c r="D42" s="51">
        <f t="shared" ref="D42:D52" si="17">D25/F25</f>
        <v>2.4443293630243397E-2</v>
      </c>
      <c r="E42" s="51">
        <f t="shared" ref="E42:E52" si="18">E25/F25</f>
        <v>4.4743656136716726E-3</v>
      </c>
      <c r="F42" s="51">
        <f t="shared" ref="F42:F52" si="19">SUM(B42:E42)</f>
        <v>1</v>
      </c>
      <c r="G42" s="51">
        <f t="shared" ref="G42:G52" si="20">G25/K25</f>
        <v>0.51330671989354626</v>
      </c>
      <c r="H42" s="51">
        <f t="shared" ref="H42:H52" si="21">H25/K25</f>
        <v>0.48669328010645374</v>
      </c>
      <c r="I42" s="51">
        <f t="shared" ref="I42:I52" si="22">I25/K25</f>
        <v>0</v>
      </c>
      <c r="J42" s="51">
        <f t="shared" ref="J42:J52" si="23">J25/K25</f>
        <v>0</v>
      </c>
      <c r="K42" s="51">
        <f t="shared" ref="K42:K52" si="24">SUM(G42:J42)</f>
        <v>1</v>
      </c>
      <c r="L42" s="51">
        <f t="shared" ref="L42:L52" si="25">L25/P25</f>
        <v>0.54194087648390721</v>
      </c>
      <c r="M42" s="51">
        <f t="shared" ref="M42:M52" si="26">M25/P25</f>
        <v>0.4571492054087225</v>
      </c>
      <c r="N42" s="51">
        <f t="shared" ref="N42:N52" si="27">N25/P25</f>
        <v>0</v>
      </c>
      <c r="O42" s="51">
        <f t="shared" ref="O42:O52" si="28">O25/P25</f>
        <v>9.099181073703367E-4</v>
      </c>
      <c r="P42" s="51">
        <f t="shared" ref="P42:P52" si="29">SUM(L42:O42)</f>
        <v>1</v>
      </c>
      <c r="Q42" s="51">
        <f t="shared" si="9"/>
        <v>0.36632737847943497</v>
      </c>
      <c r="R42" s="51">
        <f t="shared" si="10"/>
        <v>0.63112009165187399</v>
      </c>
      <c r="S42" s="51">
        <f t="shared" si="11"/>
        <v>2.0741272299228263E-3</v>
      </c>
      <c r="T42" s="51">
        <f t="shared" si="12"/>
        <v>1.7625360375671966E-4</v>
      </c>
      <c r="U42" s="51">
        <f t="shared" si="13"/>
        <v>3.0214903501151938E-4</v>
      </c>
      <c r="V42" s="51">
        <f t="shared" si="14"/>
        <v>1</v>
      </c>
      <c r="W42" s="51">
        <f>W25/AB25</f>
        <v>0.35110312300213509</v>
      </c>
      <c r="X42" s="51">
        <f>X25/AB25</f>
        <v>0.64682211312288151</v>
      </c>
      <c r="Y42" s="51">
        <f>Y25/AB25</f>
        <v>4.6561561380441735E-4</v>
      </c>
      <c r="Z42" s="51">
        <f>Z25/AB25</f>
        <v>2.9432696831160058E-4</v>
      </c>
      <c r="AA42" s="51">
        <f>AA25/AB25</f>
        <v>1.314821292867396E-3</v>
      </c>
      <c r="AB42" s="51">
        <f>SUM(W42:AA42)</f>
        <v>1</v>
      </c>
      <c r="AC42" s="51">
        <v>0.34</v>
      </c>
      <c r="AD42" s="51">
        <v>0.65700000000000003</v>
      </c>
      <c r="AE42" s="51"/>
      <c r="AF42" s="51"/>
      <c r="AG42" s="51">
        <v>3.0000000000000001E-3</v>
      </c>
      <c r="AH42" s="51">
        <f>SUM(AC42:AG42)</f>
        <v>1</v>
      </c>
    </row>
    <row r="43" spans="1:34">
      <c r="A43" t="s">
        <v>21</v>
      </c>
      <c r="B43" s="51">
        <f t="shared" si="15"/>
        <v>0.66842374366965329</v>
      </c>
      <c r="C43" s="51">
        <f t="shared" si="16"/>
        <v>0.30399055317491236</v>
      </c>
      <c r="D43" s="51">
        <f t="shared" si="17"/>
        <v>2.3227502921698482E-2</v>
      </c>
      <c r="E43" s="51">
        <f t="shared" si="18"/>
        <v>4.3582002337358783E-3</v>
      </c>
      <c r="F43" s="51">
        <f t="shared" si="19"/>
        <v>1</v>
      </c>
      <c r="G43" s="51">
        <f t="shared" si="20"/>
        <v>0.72408557009512753</v>
      </c>
      <c r="H43" s="51">
        <f t="shared" si="21"/>
        <v>0.27566879549819123</v>
      </c>
      <c r="I43" s="51">
        <f t="shared" si="22"/>
        <v>2.0097360546648209E-4</v>
      </c>
      <c r="J43" s="51">
        <f t="shared" si="23"/>
        <v>4.4660801214773797E-5</v>
      </c>
      <c r="K43" s="51">
        <f t="shared" si="24"/>
        <v>1</v>
      </c>
      <c r="L43" s="51">
        <f t="shared" si="25"/>
        <v>0.51630974329882284</v>
      </c>
      <c r="M43" s="51">
        <f t="shared" si="26"/>
        <v>0.48287476953623604</v>
      </c>
      <c r="N43" s="51">
        <f t="shared" si="27"/>
        <v>2.9251170046801868E-4</v>
      </c>
      <c r="O43" s="51">
        <f t="shared" si="28"/>
        <v>5.2297546447312442E-4</v>
      </c>
      <c r="P43" s="51">
        <f t="shared" si="29"/>
        <v>1.0000000000000002</v>
      </c>
      <c r="Q43" s="51">
        <f t="shared" si="9"/>
        <v>0.39735880262996692</v>
      </c>
      <c r="R43" s="51">
        <f t="shared" si="10"/>
        <v>0.60189335157430468</v>
      </c>
      <c r="S43" s="51">
        <f t="shared" si="11"/>
        <v>4.1858945562951759E-4</v>
      </c>
      <c r="T43" s="51">
        <f t="shared" si="12"/>
        <v>3.2925634009882795E-4</v>
      </c>
      <c r="U43" s="51">
        <f t="shared" si="13"/>
        <v>0</v>
      </c>
      <c r="V43" s="51">
        <f t="shared" si="14"/>
        <v>1</v>
      </c>
      <c r="W43" s="51">
        <f>W26/AB26</f>
        <v>0.35608955573789708</v>
      </c>
      <c r="X43" s="51">
        <f>X26/AB26</f>
        <v>0.64259758527722421</v>
      </c>
      <c r="Y43" s="51">
        <f>Y26/AB26</f>
        <v>4.7864650490368461E-4</v>
      </c>
      <c r="Z43" s="51">
        <f>Z26/AB26</f>
        <v>1.2894150744344155E-4</v>
      </c>
      <c r="AA43" s="51">
        <f>AA26/AB26</f>
        <v>7.0527097253155163E-4</v>
      </c>
      <c r="AB43" s="51">
        <f>SUM(W43:AA43)</f>
        <v>1</v>
      </c>
      <c r="AC43" s="51">
        <v>0.32</v>
      </c>
      <c r="AD43" s="51">
        <v>0.67800000000000005</v>
      </c>
      <c r="AE43" s="51"/>
      <c r="AF43" s="51"/>
      <c r="AG43" s="51">
        <v>2E-3</v>
      </c>
      <c r="AH43" s="51">
        <f>AH26/75800</f>
        <v>1</v>
      </c>
    </row>
    <row r="44" spans="1:34">
      <c r="A44" t="s">
        <v>22</v>
      </c>
      <c r="B44" s="51">
        <f t="shared" si="15"/>
        <v>0.58990092244619063</v>
      </c>
      <c r="C44" s="51">
        <f t="shared" si="16"/>
        <v>0.38216604031431495</v>
      </c>
      <c r="D44" s="51">
        <f t="shared" si="17"/>
        <v>2.7167748548001365E-2</v>
      </c>
      <c r="E44" s="51">
        <f t="shared" si="18"/>
        <v>7.6528869149299615E-4</v>
      </c>
      <c r="F44" s="51">
        <f t="shared" si="19"/>
        <v>1</v>
      </c>
      <c r="G44" s="51">
        <f t="shared" si="20"/>
        <v>0.60604713205869276</v>
      </c>
      <c r="H44" s="51">
        <f t="shared" si="21"/>
        <v>0.39090389379406715</v>
      </c>
      <c r="I44" s="51">
        <f t="shared" si="22"/>
        <v>1.9691291367591947E-3</v>
      </c>
      <c r="J44" s="51">
        <f t="shared" si="23"/>
        <v>1.0798450104808485E-3</v>
      </c>
      <c r="K44" s="51">
        <f t="shared" si="24"/>
        <v>0.99999999999999989</v>
      </c>
      <c r="L44" s="51">
        <f t="shared" si="25"/>
        <v>0.5187136403020175</v>
      </c>
      <c r="M44" s="51">
        <f t="shared" si="26"/>
        <v>0.47906609728926847</v>
      </c>
      <c r="N44" s="51">
        <f t="shared" si="27"/>
        <v>8.9738829063002834E-4</v>
      </c>
      <c r="O44" s="51">
        <f t="shared" si="28"/>
        <v>1.3228741180839213E-3</v>
      </c>
      <c r="P44" s="51">
        <f t="shared" si="29"/>
        <v>1</v>
      </c>
      <c r="Q44" s="51">
        <f t="shared" si="9"/>
        <v>0.35545382041907048</v>
      </c>
      <c r="R44" s="51">
        <f t="shared" si="10"/>
        <v>0.64298217448496586</v>
      </c>
      <c r="S44" s="51">
        <f t="shared" si="11"/>
        <v>1.1842246090850396E-3</v>
      </c>
      <c r="T44" s="51">
        <f t="shared" si="12"/>
        <v>3.7978048687858413E-4</v>
      </c>
      <c r="U44" s="51">
        <f t="shared" si="13"/>
        <v>0</v>
      </c>
      <c r="V44" s="51">
        <f t="shared" si="14"/>
        <v>1</v>
      </c>
      <c r="W44" s="51">
        <f>W27/AB27</f>
        <v>0.37474099360496438</v>
      </c>
      <c r="X44" s="51">
        <f>X27/AB27</f>
        <v>0.62436885492021643</v>
      </c>
      <c r="Y44" s="51">
        <f>Y27/AB27</f>
        <v>4.067438557187973E-4</v>
      </c>
      <c r="Z44" s="51">
        <f>Z27/AB27</f>
        <v>0</v>
      </c>
      <c r="AA44" s="51">
        <f>AA27/AB27</f>
        <v>4.8340761910035067E-4</v>
      </c>
      <c r="AB44" s="51">
        <f>SUM(W44:AA44)</f>
        <v>1</v>
      </c>
      <c r="AC44" s="51"/>
      <c r="AD44" s="51"/>
      <c r="AE44" s="51"/>
      <c r="AF44" s="51"/>
      <c r="AG44" s="51"/>
      <c r="AH44" s="51"/>
    </row>
    <row r="45" spans="1:34">
      <c r="A45" t="s">
        <v>23</v>
      </c>
      <c r="B45" s="51">
        <f t="shared" si="15"/>
        <v>0.6501854390066919</v>
      </c>
      <c r="C45" s="51">
        <f t="shared" si="16"/>
        <v>0.23425784084495688</v>
      </c>
      <c r="D45" s="51">
        <f t="shared" si="17"/>
        <v>0.11135410787712652</v>
      </c>
      <c r="E45" s="51">
        <f t="shared" si="18"/>
        <v>4.2026122712247038E-3</v>
      </c>
      <c r="F45" s="51">
        <f t="shared" si="19"/>
        <v>1</v>
      </c>
      <c r="G45" s="51">
        <f t="shared" si="20"/>
        <v>0.59140220051255366</v>
      </c>
      <c r="H45" s="51">
        <f t="shared" si="21"/>
        <v>0.4047440121779679</v>
      </c>
      <c r="I45" s="51">
        <f t="shared" si="22"/>
        <v>3.5454843247201186E-3</v>
      </c>
      <c r="J45" s="51">
        <f t="shared" si="23"/>
        <v>3.0830298475827123E-4</v>
      </c>
      <c r="K45" s="51">
        <f t="shared" si="24"/>
        <v>1</v>
      </c>
      <c r="L45" s="51">
        <f t="shared" si="25"/>
        <v>0.36245595719692025</v>
      </c>
      <c r="M45" s="51">
        <f t="shared" si="26"/>
        <v>0.63551408644714136</v>
      </c>
      <c r="N45" s="51">
        <f t="shared" si="27"/>
        <v>9.2798004842895888E-4</v>
      </c>
      <c r="O45" s="51">
        <f t="shared" si="28"/>
        <v>1.1019763075093886E-3</v>
      </c>
      <c r="P45" s="51">
        <f t="shared" si="29"/>
        <v>1</v>
      </c>
      <c r="Q45" s="51">
        <f t="shared" si="9"/>
        <v>0.45764846086389493</v>
      </c>
      <c r="R45" s="51">
        <f t="shared" si="10"/>
        <v>0.54060609808198234</v>
      </c>
      <c r="S45" s="51">
        <f t="shared" si="11"/>
        <v>1.0287140512220897E-3</v>
      </c>
      <c r="T45" s="51">
        <f t="shared" si="12"/>
        <v>7.1672700290063634E-4</v>
      </c>
      <c r="U45" s="51">
        <f t="shared" si="13"/>
        <v>0</v>
      </c>
      <c r="V45" s="51">
        <f t="shared" si="14"/>
        <v>1</v>
      </c>
      <c r="W45" s="51">
        <f>W28/$AB$28</f>
        <v>0.32907148830983751</v>
      </c>
      <c r="X45" s="51">
        <f t="shared" ref="X45:AB45" si="30">X28/$AB$28</f>
        <v>0.66867588111627208</v>
      </c>
      <c r="Y45" s="51">
        <f t="shared" si="30"/>
        <v>1.4251336283796088E-3</v>
      </c>
      <c r="Z45" s="51">
        <f t="shared" si="30"/>
        <v>2.7936862690319879E-4</v>
      </c>
      <c r="AA45" s="51">
        <f t="shared" si="30"/>
        <v>5.4812831860754187E-4</v>
      </c>
      <c r="AB45" s="51">
        <f t="shared" si="30"/>
        <v>1</v>
      </c>
      <c r="AC45" s="51"/>
      <c r="AD45" s="51"/>
      <c r="AE45" s="51"/>
      <c r="AF45" s="51"/>
      <c r="AG45" s="51"/>
      <c r="AH45" s="51"/>
    </row>
    <row r="46" spans="1:34">
      <c r="A46" t="s">
        <v>24</v>
      </c>
      <c r="B46" s="51">
        <f t="shared" si="15"/>
        <v>0.71225343506666461</v>
      </c>
      <c r="C46" s="51">
        <f t="shared" si="16"/>
        <v>0.26480956335093297</v>
      </c>
      <c r="D46" s="51">
        <f t="shared" si="17"/>
        <v>1.0465790339511491E-2</v>
      </c>
      <c r="E46" s="51">
        <f t="shared" si="18"/>
        <v>1.2471211242890938E-2</v>
      </c>
      <c r="F46" s="51">
        <f t="shared" si="19"/>
        <v>1</v>
      </c>
      <c r="G46" s="51">
        <f t="shared" si="20"/>
        <v>0.58901214014478387</v>
      </c>
      <c r="H46" s="51">
        <f t="shared" si="21"/>
        <v>0.40821938307862099</v>
      </c>
      <c r="I46" s="51">
        <f t="shared" si="22"/>
        <v>2.2821227482743779E-3</v>
      </c>
      <c r="J46" s="51">
        <f t="shared" si="23"/>
        <v>4.8635402832076916E-4</v>
      </c>
      <c r="K46" s="51">
        <f t="shared" si="24"/>
        <v>0.99999999999999989</v>
      </c>
      <c r="L46" s="51">
        <f t="shared" si="25"/>
        <v>0.48405287850971568</v>
      </c>
      <c r="M46" s="51">
        <f t="shared" si="26"/>
        <v>0.51176869271110936</v>
      </c>
      <c r="N46" s="51">
        <f t="shared" si="27"/>
        <v>2.2175283442235692E-3</v>
      </c>
      <c r="O46" s="51">
        <f t="shared" si="28"/>
        <v>1.9609004349514054E-3</v>
      </c>
      <c r="P46" s="51">
        <f t="shared" si="29"/>
        <v>1</v>
      </c>
      <c r="Q46" s="51">
        <f t="shared" si="9"/>
        <v>0.44346259374871355</v>
      </c>
      <c r="R46" s="51">
        <f t="shared" si="10"/>
        <v>0.55528540535042714</v>
      </c>
      <c r="S46" s="51">
        <f t="shared" si="11"/>
        <v>1.2520009008594492E-3</v>
      </c>
      <c r="T46" s="51">
        <f t="shared" si="12"/>
        <v>0</v>
      </c>
      <c r="U46" s="51">
        <f t="shared" si="13"/>
        <v>0</v>
      </c>
      <c r="V46" s="51">
        <f t="shared" si="14"/>
        <v>1.0000000000000002</v>
      </c>
      <c r="W46" s="51">
        <f t="shared" ref="W46:AB46" si="31">W29/$AB$29</f>
        <v>0.29437372018477576</v>
      </c>
      <c r="X46" s="51">
        <f t="shared" si="31"/>
        <v>0.70268863083267219</v>
      </c>
      <c r="Y46" s="51">
        <f t="shared" si="31"/>
        <v>1.6102175623501857E-3</v>
      </c>
      <c r="Z46" s="51">
        <f t="shared" si="31"/>
        <v>2.7114200688334739E-4</v>
      </c>
      <c r="AA46" s="51">
        <f t="shared" si="31"/>
        <v>1.0562894133184409E-3</v>
      </c>
      <c r="AB46" s="51">
        <f t="shared" si="31"/>
        <v>1</v>
      </c>
      <c r="AC46" s="51"/>
      <c r="AD46" s="51"/>
      <c r="AE46" s="51"/>
      <c r="AF46" s="51"/>
      <c r="AG46" s="51"/>
      <c r="AH46" s="51"/>
    </row>
    <row r="47" spans="1:34">
      <c r="A47" t="s">
        <v>25</v>
      </c>
      <c r="B47" s="51">
        <f t="shared" si="15"/>
        <v>0.74459450003498706</v>
      </c>
      <c r="C47" s="51">
        <f t="shared" si="16"/>
        <v>0.24545168287733538</v>
      </c>
      <c r="D47" s="51">
        <f t="shared" si="17"/>
        <v>9.7788818137289207E-3</v>
      </c>
      <c r="E47" s="51">
        <f t="shared" si="18"/>
        <v>1.7493527394863901E-4</v>
      </c>
      <c r="F47" s="51">
        <f t="shared" si="19"/>
        <v>0.99999999999999989</v>
      </c>
      <c r="G47" s="51">
        <f t="shared" si="20"/>
        <v>0.53834895576385466</v>
      </c>
      <c r="H47" s="51">
        <f t="shared" si="21"/>
        <v>0.45633941785890486</v>
      </c>
      <c r="I47" s="51">
        <f t="shared" si="22"/>
        <v>2.6969248478868608E-3</v>
      </c>
      <c r="J47" s="51">
        <f t="shared" si="23"/>
        <v>2.614701529353725E-3</v>
      </c>
      <c r="K47" s="51">
        <f t="shared" si="24"/>
        <v>1.0000000000000002</v>
      </c>
      <c r="L47" s="51">
        <f t="shared" si="25"/>
        <v>0.46024930987384671</v>
      </c>
      <c r="M47" s="51">
        <f t="shared" si="26"/>
        <v>0.53771056771880887</v>
      </c>
      <c r="N47" s="51">
        <f t="shared" si="27"/>
        <v>4.668076694771178E-4</v>
      </c>
      <c r="O47" s="51">
        <f t="shared" si="28"/>
        <v>1.5733147378673232E-3</v>
      </c>
      <c r="P47" s="51">
        <f t="shared" si="29"/>
        <v>1</v>
      </c>
      <c r="Q47" s="51">
        <f t="shared" si="9"/>
        <v>0.35110324473783383</v>
      </c>
      <c r="R47" s="51">
        <f t="shared" si="10"/>
        <v>0.64791651670216421</v>
      </c>
      <c r="S47" s="51">
        <f t="shared" si="11"/>
        <v>9.3366134980755154E-4</v>
      </c>
      <c r="T47" s="51">
        <f t="shared" si="12"/>
        <v>4.6577210194481034E-5</v>
      </c>
      <c r="U47" s="51">
        <f t="shared" si="13"/>
        <v>0</v>
      </c>
      <c r="V47" s="51">
        <f t="shared" si="14"/>
        <v>1</v>
      </c>
      <c r="W47" s="51">
        <f>W30/$AB$30</f>
        <v>0.3343558081048203</v>
      </c>
      <c r="X47" s="51">
        <f t="shared" ref="X47:AB47" si="32">X30/$AB$30</f>
        <v>0.66396866669508392</v>
      </c>
      <c r="Y47" s="51">
        <f t="shared" si="32"/>
        <v>1.0640076857750863E-3</v>
      </c>
      <c r="Z47" s="51">
        <f t="shared" si="32"/>
        <v>4.918371428852478E-6</v>
      </c>
      <c r="AA47" s="51">
        <f t="shared" si="32"/>
        <v>6.0659914289168631E-4</v>
      </c>
      <c r="AB47" s="51">
        <f t="shared" si="32"/>
        <v>1</v>
      </c>
      <c r="AC47" s="51"/>
      <c r="AD47" s="51"/>
      <c r="AE47" s="51"/>
      <c r="AF47" s="51"/>
      <c r="AG47" s="51"/>
      <c r="AH47" s="51"/>
    </row>
    <row r="48" spans="1:34">
      <c r="A48" t="s">
        <v>26</v>
      </c>
      <c r="B48" s="51">
        <f t="shared" si="15"/>
        <v>0.68516767949583612</v>
      </c>
      <c r="C48" s="51">
        <f t="shared" si="16"/>
        <v>0.31081101357941326</v>
      </c>
      <c r="D48" s="51">
        <f t="shared" si="17"/>
        <v>3.0009753169780175E-3</v>
      </c>
      <c r="E48" s="51">
        <f t="shared" si="18"/>
        <v>1.0203316077725259E-3</v>
      </c>
      <c r="F48" s="51">
        <f t="shared" si="19"/>
        <v>1</v>
      </c>
      <c r="G48" s="51">
        <f t="shared" si="20"/>
        <v>0.58673812018158855</v>
      </c>
      <c r="H48" s="51">
        <f t="shared" si="21"/>
        <v>0.40438391490047548</v>
      </c>
      <c r="I48" s="51">
        <f t="shared" si="22"/>
        <v>4.2979557847798635E-3</v>
      </c>
      <c r="J48" s="51">
        <f t="shared" si="23"/>
        <v>4.5800091331560421E-3</v>
      </c>
      <c r="K48" s="51">
        <f t="shared" si="24"/>
        <v>0.99999999999999989</v>
      </c>
      <c r="L48" s="51">
        <f t="shared" si="25"/>
        <v>0.42946457444678854</v>
      </c>
      <c r="M48" s="51">
        <f t="shared" si="26"/>
        <v>0.56903658304973381</v>
      </c>
      <c r="N48" s="51">
        <f t="shared" si="27"/>
        <v>1.1908611671466042E-3</v>
      </c>
      <c r="O48" s="51">
        <f t="shared" si="28"/>
        <v>3.0798133633101835E-4</v>
      </c>
      <c r="P48" s="51">
        <f t="shared" si="29"/>
        <v>1</v>
      </c>
      <c r="Q48" s="51">
        <f t="shared" si="9"/>
        <v>0.38453824887738303</v>
      </c>
      <c r="R48" s="51">
        <f t="shared" si="10"/>
        <v>0.6146048068779264</v>
      </c>
      <c r="S48" s="51">
        <f t="shared" si="11"/>
        <v>8.3696885437141444E-4</v>
      </c>
      <c r="T48" s="51">
        <f t="shared" si="12"/>
        <v>1.9975390319126837E-5</v>
      </c>
      <c r="U48" s="51">
        <f t="shared" si="13"/>
        <v>0</v>
      </c>
      <c r="V48" s="51">
        <f t="shared" si="14"/>
        <v>1</v>
      </c>
      <c r="W48" s="51">
        <f>W31/$AB$31</f>
        <v>0.31539709591655873</v>
      </c>
      <c r="X48" s="51">
        <f t="shared" ref="X48:AB48" si="33">X31/$AB$31</f>
        <v>0.68215829299884112</v>
      </c>
      <c r="Y48" s="51"/>
      <c r="Z48" s="51"/>
      <c r="AA48" s="51">
        <f t="shared" si="33"/>
        <v>2.4446110846001773E-3</v>
      </c>
      <c r="AB48" s="51">
        <f t="shared" si="33"/>
        <v>1</v>
      </c>
      <c r="AC48" s="51"/>
      <c r="AD48" s="51"/>
      <c r="AE48" s="51"/>
      <c r="AF48" s="51"/>
      <c r="AG48" s="51"/>
      <c r="AH48" s="51"/>
    </row>
    <row r="49" spans="1:34">
      <c r="A49" t="s">
        <v>27</v>
      </c>
      <c r="B49" s="51">
        <f t="shared" si="15"/>
        <v>0.61733772859273217</v>
      </c>
      <c r="C49" s="51">
        <f t="shared" si="16"/>
        <v>0.37464353923030635</v>
      </c>
      <c r="D49" s="51">
        <f t="shared" si="17"/>
        <v>7.8879208853308205E-3</v>
      </c>
      <c r="E49" s="51">
        <f t="shared" si="18"/>
        <v>1.3081129163069354E-4</v>
      </c>
      <c r="F49" s="51">
        <f t="shared" si="19"/>
        <v>1</v>
      </c>
      <c r="G49" s="51">
        <f t="shared" si="20"/>
        <v>0.55177416921059041</v>
      </c>
      <c r="H49" s="51">
        <f t="shared" si="21"/>
        <v>0.44560259073973041</v>
      </c>
      <c r="I49" s="51">
        <f t="shared" si="22"/>
        <v>2.3214513713973972E-3</v>
      </c>
      <c r="J49" s="51">
        <f t="shared" si="23"/>
        <v>3.0178867828166168E-4</v>
      </c>
      <c r="K49" s="51">
        <f t="shared" si="24"/>
        <v>0.99999999999999989</v>
      </c>
      <c r="L49" s="51">
        <f t="shared" si="25"/>
        <v>0.4156448403706629</v>
      </c>
      <c r="M49" s="51">
        <f t="shared" si="26"/>
        <v>0.58327614558920637</v>
      </c>
      <c r="N49" s="51">
        <f t="shared" si="27"/>
        <v>6.9920109800468715E-4</v>
      </c>
      <c r="O49" s="51">
        <f t="shared" si="28"/>
        <v>3.7981294212600291E-4</v>
      </c>
      <c r="P49" s="51">
        <f t="shared" si="29"/>
        <v>1</v>
      </c>
      <c r="Q49" s="51">
        <f t="shared" si="9"/>
        <v>0.41063219460051886</v>
      </c>
      <c r="R49" s="51">
        <f t="shared" si="10"/>
        <v>0.5882498198707129</v>
      </c>
      <c r="S49" s="51">
        <f t="shared" si="11"/>
        <v>1.1179855287682537E-3</v>
      </c>
      <c r="T49" s="51">
        <f t="shared" si="12"/>
        <v>0</v>
      </c>
      <c r="U49" s="51">
        <f t="shared" si="13"/>
        <v>0</v>
      </c>
      <c r="V49" s="51">
        <f t="shared" si="14"/>
        <v>1</v>
      </c>
      <c r="W49" s="51">
        <v>0.32600000000000001</v>
      </c>
      <c r="X49" s="51">
        <v>0.67100000000000004</v>
      </c>
      <c r="Y49" s="51"/>
      <c r="Z49" s="51"/>
      <c r="AA49" s="51">
        <v>3.0000000000000001E-3</v>
      </c>
      <c r="AB49" s="51">
        <v>1</v>
      </c>
      <c r="AC49" s="51"/>
      <c r="AD49" s="51"/>
      <c r="AE49" s="51"/>
      <c r="AF49" s="51"/>
      <c r="AG49" s="51"/>
      <c r="AH49" s="51"/>
    </row>
    <row r="50" spans="1:34">
      <c r="A50" t="s">
        <v>28</v>
      </c>
      <c r="B50" s="51">
        <f t="shared" si="15"/>
        <v>0.59257870502302279</v>
      </c>
      <c r="C50" s="51">
        <f t="shared" si="16"/>
        <v>0.39762722541358569</v>
      </c>
      <c r="D50" s="51">
        <f t="shared" si="17"/>
        <v>9.6290852369024949E-3</v>
      </c>
      <c r="E50" s="51">
        <f t="shared" si="18"/>
        <v>1.6498432648898354E-4</v>
      </c>
      <c r="F50" s="51">
        <f t="shared" si="19"/>
        <v>1</v>
      </c>
      <c r="G50" s="51">
        <f t="shared" si="20"/>
        <v>0.55954686977069656</v>
      </c>
      <c r="H50" s="51">
        <f t="shared" si="21"/>
        <v>0.43838422766041601</v>
      </c>
      <c r="I50" s="51">
        <f t="shared" si="22"/>
        <v>1.9573440970355872E-3</v>
      </c>
      <c r="J50" s="51">
        <f t="shared" si="23"/>
        <v>1.1155847185176921E-4</v>
      </c>
      <c r="K50" s="51">
        <f t="shared" si="24"/>
        <v>1</v>
      </c>
      <c r="L50" s="51">
        <f t="shared" si="25"/>
        <v>0.36621355358742164</v>
      </c>
      <c r="M50" s="51">
        <f t="shared" si="26"/>
        <v>0.63258433674992531</v>
      </c>
      <c r="N50" s="51">
        <f t="shared" si="27"/>
        <v>1.0428898397850531E-3</v>
      </c>
      <c r="O50" s="51">
        <f t="shared" si="28"/>
        <v>1.5921982286794703E-4</v>
      </c>
      <c r="P50" s="51">
        <f t="shared" si="29"/>
        <v>0.99999999999999989</v>
      </c>
      <c r="Q50" s="51">
        <f t="shared" si="9"/>
        <v>0.38586744561800079</v>
      </c>
      <c r="R50" s="51">
        <f t="shared" si="10"/>
        <v>0.6136788735981662</v>
      </c>
      <c r="S50" s="51">
        <f t="shared" si="11"/>
        <v>4.5368078383304549E-4</v>
      </c>
      <c r="T50" s="51">
        <f t="shared" si="12"/>
        <v>0</v>
      </c>
      <c r="U50" s="51">
        <f t="shared" si="13"/>
        <v>0</v>
      </c>
      <c r="V50" s="51">
        <f t="shared" si="14"/>
        <v>1</v>
      </c>
      <c r="W50" s="51">
        <v>0.30499999999999999</v>
      </c>
      <c r="X50" s="51">
        <v>0.69299999999999995</v>
      </c>
      <c r="Y50" s="51"/>
      <c r="Z50" s="51"/>
      <c r="AA50" s="51">
        <v>2E-3</v>
      </c>
      <c r="AB50" s="51">
        <v>1</v>
      </c>
      <c r="AC50" s="51"/>
      <c r="AD50" s="51"/>
      <c r="AE50" s="51"/>
      <c r="AF50" s="51"/>
      <c r="AG50" s="51"/>
      <c r="AH50" s="51"/>
    </row>
    <row r="51" spans="1:34">
      <c r="A51" t="s">
        <v>29</v>
      </c>
      <c r="B51" s="51">
        <f t="shared" si="15"/>
        <v>0.59414119520502506</v>
      </c>
      <c r="C51" s="51">
        <f t="shared" si="16"/>
        <v>0.40051753881541119</v>
      </c>
      <c r="D51" s="51">
        <f t="shared" si="17"/>
        <v>5.3412659795638523E-3</v>
      </c>
      <c r="E51" s="51">
        <f t="shared" si="18"/>
        <v>0</v>
      </c>
      <c r="F51" s="51">
        <f t="shared" si="19"/>
        <v>1</v>
      </c>
      <c r="G51" s="51">
        <f t="shared" si="20"/>
        <v>0.57256683063286762</v>
      </c>
      <c r="H51" s="51">
        <f t="shared" si="21"/>
        <v>0.4248400936650375</v>
      </c>
      <c r="I51" s="51">
        <f t="shared" si="22"/>
        <v>2.184469833885999E-3</v>
      </c>
      <c r="J51" s="51">
        <f t="shared" si="23"/>
        <v>4.0860586820889186E-4</v>
      </c>
      <c r="K51" s="51">
        <f t="shared" si="24"/>
        <v>1</v>
      </c>
      <c r="L51" s="51">
        <f t="shared" si="25"/>
        <v>0.3679956075875383</v>
      </c>
      <c r="M51" s="51">
        <f t="shared" si="26"/>
        <v>0.6304599635146384</v>
      </c>
      <c r="N51" s="51">
        <f t="shared" si="27"/>
        <v>1.4310763181665219E-3</v>
      </c>
      <c r="O51" s="51">
        <f t="shared" si="28"/>
        <v>1.1335257965675422E-4</v>
      </c>
      <c r="P51" s="51">
        <f t="shared" si="29"/>
        <v>1</v>
      </c>
      <c r="Q51" s="51">
        <f t="shared" si="9"/>
        <v>0.38169393262183721</v>
      </c>
      <c r="R51" s="51">
        <f t="shared" si="10"/>
        <v>0.61680463928663243</v>
      </c>
      <c r="S51" s="51">
        <f t="shared" si="11"/>
        <v>4.5263640994664566E-4</v>
      </c>
      <c r="T51" s="51">
        <f t="shared" si="12"/>
        <v>7.791023920335991E-4</v>
      </c>
      <c r="U51" s="51">
        <f t="shared" si="13"/>
        <v>2.6968928955009206E-4</v>
      </c>
      <c r="V51" s="51">
        <f t="shared" si="14"/>
        <v>0.99999999999999989</v>
      </c>
      <c r="W51" s="51">
        <v>0.317</v>
      </c>
      <c r="X51" s="51">
        <v>0.68100000000000005</v>
      </c>
      <c r="AA51" s="51">
        <v>2E-3</v>
      </c>
      <c r="AB51" s="51">
        <v>1</v>
      </c>
      <c r="AC51" s="51"/>
      <c r="AD51" s="51"/>
      <c r="AG51" s="51"/>
      <c r="AH51" s="51"/>
    </row>
    <row r="52" spans="1:34">
      <c r="A52" t="s">
        <v>30</v>
      </c>
      <c r="B52" s="51">
        <f t="shared" si="15"/>
        <v>0.77767752122842915</v>
      </c>
      <c r="C52" s="51">
        <f t="shared" si="16"/>
        <v>0.1902421732755426</v>
      </c>
      <c r="D52" s="51">
        <f t="shared" si="17"/>
        <v>1.7127757278894026E-2</v>
      </c>
      <c r="E52" s="51">
        <f t="shared" si="18"/>
        <v>1.4952548217134201E-2</v>
      </c>
      <c r="F52" s="51">
        <f t="shared" si="19"/>
        <v>1</v>
      </c>
      <c r="G52" s="51">
        <f t="shared" si="20"/>
        <v>0.56130417547568712</v>
      </c>
      <c r="H52" s="51">
        <f t="shared" si="21"/>
        <v>0.4307412790697675</v>
      </c>
      <c r="I52" s="51">
        <f t="shared" si="22"/>
        <v>2.2859408033826644E-3</v>
      </c>
      <c r="J52" s="51">
        <f t="shared" si="23"/>
        <v>5.6686046511627911E-3</v>
      </c>
      <c r="K52" s="51">
        <f t="shared" si="24"/>
        <v>1</v>
      </c>
      <c r="L52" s="51">
        <f t="shared" si="25"/>
        <v>0.36151304870145268</v>
      </c>
      <c r="M52" s="51">
        <f t="shared" si="26"/>
        <v>0.63417163270790189</v>
      </c>
      <c r="N52" s="51">
        <f t="shared" si="27"/>
        <v>4.1382798792343077E-3</v>
      </c>
      <c r="O52" s="51">
        <f t="shared" si="28"/>
        <v>1.7703871141109336E-4</v>
      </c>
      <c r="P52" s="51">
        <f t="shared" si="29"/>
        <v>0.99999999999999989</v>
      </c>
      <c r="Q52" s="51">
        <f t="shared" si="9"/>
        <v>0.35192095843990501</v>
      </c>
      <c r="R52" s="51">
        <f t="shared" si="10"/>
        <v>0.64601304399202575</v>
      </c>
      <c r="S52" s="51">
        <f t="shared" si="11"/>
        <v>1.0368105876657659E-3</v>
      </c>
      <c r="T52" s="51">
        <f t="shared" si="12"/>
        <v>7.8141974438044844E-5</v>
      </c>
      <c r="U52" s="51">
        <f t="shared" si="13"/>
        <v>9.5104500596547266E-4</v>
      </c>
      <c r="V52" s="51">
        <f t="shared" si="14"/>
        <v>1</v>
      </c>
      <c r="W52" s="51">
        <v>0.32100000000000001</v>
      </c>
      <c r="X52" s="51">
        <v>0.67500000000000004</v>
      </c>
      <c r="AA52" s="51">
        <v>4.0000000000000001E-3</v>
      </c>
      <c r="AB52" s="51">
        <v>2</v>
      </c>
      <c r="AC52" s="51"/>
      <c r="AD52" s="51"/>
      <c r="AG52" s="51"/>
      <c r="AH52" s="51"/>
    </row>
    <row r="56" spans="1:34">
      <c r="B56" s="41" t="s">
        <v>46</v>
      </c>
      <c r="C56" s="41" t="s">
        <v>47</v>
      </c>
      <c r="D56" s="41" t="s">
        <v>39</v>
      </c>
      <c r="E56" s="41" t="s">
        <v>48</v>
      </c>
      <c r="O56" s="41" t="s">
        <v>527</v>
      </c>
      <c r="P56" s="41" t="s">
        <v>528</v>
      </c>
      <c r="Q56" s="41" t="s">
        <v>529</v>
      </c>
      <c r="R56" s="41"/>
      <c r="S56" s="41"/>
    </row>
    <row r="57" spans="1:34">
      <c r="A57" s="41">
        <v>2019.01</v>
      </c>
      <c r="B57" s="23">
        <v>3613.3</v>
      </c>
      <c r="C57" s="23">
        <v>2926.5</v>
      </c>
      <c r="D57" s="23">
        <f>E57-B57-C57</f>
        <v>229.5</v>
      </c>
      <c r="E57" s="23">
        <v>6769.3</v>
      </c>
      <c r="N57" s="41">
        <v>2019.01</v>
      </c>
      <c r="O57" s="51">
        <v>0.53377749545743303</v>
      </c>
      <c r="P57" s="51">
        <v>0.432319442187523</v>
      </c>
      <c r="Q57" s="51">
        <f>1-O57-P57</f>
        <v>3.3903062355043978E-2</v>
      </c>
      <c r="R57" s="51"/>
      <c r="S57" s="51"/>
    </row>
    <row r="58" spans="1:34">
      <c r="A58" s="41">
        <v>2019.02</v>
      </c>
      <c r="B58" s="23">
        <v>3016.4</v>
      </c>
      <c r="C58" s="23">
        <v>1671.5</v>
      </c>
      <c r="D58" s="23">
        <f t="shared" ref="D58:D104" si="34">E58-B58-C58</f>
        <v>139.59999999999991</v>
      </c>
      <c r="E58" s="23">
        <v>4827.5</v>
      </c>
      <c r="N58" s="41">
        <v>2019.02</v>
      </c>
      <c r="O58" s="51">
        <v>0.624836872087002</v>
      </c>
      <c r="P58" s="51">
        <v>0.34624546866908301</v>
      </c>
      <c r="Q58" s="51">
        <f t="shared" ref="Q58:Q94" si="35">1-O58-P58</f>
        <v>2.8917659243914984E-2</v>
      </c>
      <c r="R58" s="51"/>
      <c r="S58" s="51"/>
    </row>
    <row r="59" spans="1:34">
      <c r="A59" s="41">
        <v>2019.03</v>
      </c>
      <c r="B59" s="23">
        <v>5490.7</v>
      </c>
      <c r="C59" s="23">
        <v>2497.1</v>
      </c>
      <c r="D59" s="23">
        <f t="shared" si="34"/>
        <v>226.59999999999991</v>
      </c>
      <c r="E59" s="23">
        <v>8214.4</v>
      </c>
      <c r="N59" s="41">
        <v>2019.03</v>
      </c>
      <c r="O59" s="51">
        <v>0.66842374366965296</v>
      </c>
      <c r="P59" s="51">
        <v>0.30399055317491203</v>
      </c>
      <c r="Q59" s="51">
        <f t="shared" si="35"/>
        <v>2.7585703155435015E-2</v>
      </c>
      <c r="R59" s="51"/>
      <c r="S59" s="51"/>
    </row>
    <row r="60" spans="1:34">
      <c r="A60" s="41">
        <v>2019.04</v>
      </c>
      <c r="B60" s="23">
        <v>4316.6000000000004</v>
      </c>
      <c r="C60" s="23">
        <v>2796.5</v>
      </c>
      <c r="D60" s="23">
        <f t="shared" si="34"/>
        <v>204.39999999999964</v>
      </c>
      <c r="E60" s="23">
        <v>7317.5</v>
      </c>
      <c r="N60" s="41">
        <v>2019.04</v>
      </c>
      <c r="O60" s="51">
        <v>0.58990092244619097</v>
      </c>
      <c r="P60" s="51">
        <v>0.382166040314315</v>
      </c>
      <c r="Q60" s="51">
        <f t="shared" si="35"/>
        <v>2.793303723949403E-2</v>
      </c>
      <c r="R60" s="51"/>
      <c r="S60" s="51"/>
    </row>
    <row r="61" spans="1:34">
      <c r="A61" s="41">
        <v>2019.05</v>
      </c>
      <c r="B61" s="23">
        <v>6451.4</v>
      </c>
      <c r="C61" s="23">
        <v>2324.4</v>
      </c>
      <c r="D61" s="23">
        <f t="shared" si="34"/>
        <v>1146.5999999999999</v>
      </c>
      <c r="E61" s="23">
        <v>9922.4</v>
      </c>
      <c r="N61" s="41">
        <v>2019.05</v>
      </c>
      <c r="O61" s="51">
        <v>0.65018543900669201</v>
      </c>
      <c r="P61" s="51">
        <v>0.23425784084495699</v>
      </c>
      <c r="Q61" s="51">
        <f t="shared" si="35"/>
        <v>0.115556720148351</v>
      </c>
      <c r="R61" s="51"/>
      <c r="S61" s="51"/>
    </row>
    <row r="62" spans="1:34">
      <c r="A62" s="41">
        <v>2019.06</v>
      </c>
      <c r="B62" s="23">
        <v>4546.1000000000004</v>
      </c>
      <c r="C62" s="23">
        <v>1690.2</v>
      </c>
      <c r="D62" s="23">
        <f t="shared" si="34"/>
        <v>146.39999999999941</v>
      </c>
      <c r="E62" s="23">
        <v>6382.7</v>
      </c>
      <c r="N62" s="41">
        <v>2019.06</v>
      </c>
      <c r="O62" s="51">
        <v>0.71225343506666505</v>
      </c>
      <c r="P62" s="51">
        <v>0.26480956335093297</v>
      </c>
      <c r="Q62" s="51">
        <f t="shared" si="35"/>
        <v>2.2937001582401972E-2</v>
      </c>
      <c r="R62" s="51"/>
      <c r="S62" s="51"/>
    </row>
    <row r="63" spans="1:34">
      <c r="A63" s="41">
        <v>2019.07</v>
      </c>
      <c r="B63" s="23">
        <v>4256.3999999999996</v>
      </c>
      <c r="C63" s="23">
        <v>1403.1</v>
      </c>
      <c r="D63" s="23">
        <f t="shared" si="34"/>
        <v>56.900000000000091</v>
      </c>
      <c r="E63" s="23">
        <v>5716.4</v>
      </c>
      <c r="N63" s="41">
        <v>2019.07</v>
      </c>
      <c r="O63" s="51">
        <v>0.74459450003498695</v>
      </c>
      <c r="P63" s="51">
        <v>0.24545168287733499</v>
      </c>
      <c r="Q63" s="51">
        <f t="shared" si="35"/>
        <v>9.9538170876780629E-3</v>
      </c>
      <c r="R63" s="51"/>
      <c r="S63" s="51"/>
    </row>
    <row r="64" spans="1:34">
      <c r="A64" s="41">
        <v>2019.08</v>
      </c>
      <c r="B64" s="23">
        <v>4566.3</v>
      </c>
      <c r="C64" s="23">
        <v>2071.4</v>
      </c>
      <c r="D64" s="23">
        <f t="shared" si="34"/>
        <v>26.799999999999727</v>
      </c>
      <c r="E64" s="23">
        <v>6664.5</v>
      </c>
      <c r="N64" s="41">
        <v>2019.08</v>
      </c>
      <c r="O64" s="51">
        <v>0.68516767949583601</v>
      </c>
      <c r="P64" s="51">
        <v>0.31081101357941299</v>
      </c>
      <c r="Q64" s="51">
        <f t="shared" si="35"/>
        <v>4.0213069247510003E-3</v>
      </c>
      <c r="R64" s="51"/>
      <c r="S64" s="51"/>
    </row>
    <row r="65" spans="1:19">
      <c r="A65" s="41">
        <v>2019.09</v>
      </c>
      <c r="B65" s="23">
        <v>4719.3</v>
      </c>
      <c r="C65" s="23">
        <v>2864</v>
      </c>
      <c r="D65" s="23">
        <f t="shared" si="34"/>
        <v>61.300000000000182</v>
      </c>
      <c r="E65" s="23">
        <v>7644.6</v>
      </c>
      <c r="N65" s="41">
        <v>2019.09</v>
      </c>
      <c r="O65" s="51">
        <v>0.61733772859273195</v>
      </c>
      <c r="P65" s="51">
        <v>0.37464353923030602</v>
      </c>
      <c r="Q65" s="51">
        <f t="shared" si="35"/>
        <v>8.018732176962029E-3</v>
      </c>
      <c r="R65" s="51"/>
      <c r="S65" s="51"/>
    </row>
    <row r="66" spans="1:19">
      <c r="A66" s="41">
        <v>2019.1</v>
      </c>
      <c r="B66" s="23">
        <v>3950.9</v>
      </c>
      <c r="C66" s="23">
        <v>2651.1</v>
      </c>
      <c r="D66" s="23">
        <f t="shared" si="34"/>
        <v>65.300000000000182</v>
      </c>
      <c r="E66" s="23">
        <v>6667.3</v>
      </c>
      <c r="N66" s="41">
        <v>2019.1</v>
      </c>
      <c r="O66" s="51">
        <v>0.59257870502302301</v>
      </c>
      <c r="P66" s="51">
        <v>0.39762722541358603</v>
      </c>
      <c r="Q66" s="51">
        <f t="shared" si="35"/>
        <v>9.7940695633909614E-3</v>
      </c>
      <c r="R66" s="51"/>
      <c r="S66" s="51"/>
    </row>
    <row r="67" spans="1:19">
      <c r="A67" s="41">
        <v>2019.11</v>
      </c>
      <c r="B67" s="23">
        <v>5372.7</v>
      </c>
      <c r="C67" s="23">
        <v>3621.8</v>
      </c>
      <c r="D67" s="23">
        <f t="shared" si="34"/>
        <v>48.299999999999272</v>
      </c>
      <c r="E67" s="23">
        <v>9042.7999999999993</v>
      </c>
      <c r="N67" s="41">
        <v>2019.11</v>
      </c>
      <c r="O67" s="51">
        <v>0.59414119520502495</v>
      </c>
      <c r="P67" s="51">
        <v>0.40051753881541102</v>
      </c>
      <c r="Q67" s="51">
        <f t="shared" si="35"/>
        <v>5.3412659795640249E-3</v>
      </c>
      <c r="R67" s="51"/>
      <c r="S67" s="51"/>
    </row>
    <row r="68" spans="1:19">
      <c r="A68" s="41">
        <v>2019.12</v>
      </c>
      <c r="B68" s="23">
        <v>4826.5</v>
      </c>
      <c r="C68" s="23">
        <v>1180.7</v>
      </c>
      <c r="D68" s="23">
        <f t="shared" si="34"/>
        <v>199.10000000000014</v>
      </c>
      <c r="E68" s="23">
        <v>6206.3</v>
      </c>
      <c r="N68" s="41">
        <v>2019.12</v>
      </c>
      <c r="O68" s="51">
        <v>0.77767752122842904</v>
      </c>
      <c r="P68" s="51">
        <v>0.19024217327554299</v>
      </c>
      <c r="Q68" s="51">
        <f t="shared" si="35"/>
        <v>3.2080305496027972E-2</v>
      </c>
      <c r="R68" s="51"/>
      <c r="S68" s="51"/>
    </row>
    <row r="69" spans="1:19">
      <c r="A69" s="41">
        <v>2020.01</v>
      </c>
      <c r="B69" s="23">
        <v>366</v>
      </c>
      <c r="C69" s="23">
        <v>455.4</v>
      </c>
      <c r="D69" s="23">
        <f t="shared" si="34"/>
        <v>8.8000000000000682</v>
      </c>
      <c r="E69" s="23">
        <v>830.2</v>
      </c>
      <c r="N69" s="41">
        <v>2020.01</v>
      </c>
      <c r="O69" s="51">
        <v>0.440857624668755</v>
      </c>
      <c r="P69" s="51">
        <v>0.54854251987472902</v>
      </c>
      <c r="Q69" s="51">
        <f t="shared" si="35"/>
        <v>1.0599855456515983E-2</v>
      </c>
      <c r="R69" s="51"/>
      <c r="S69" s="51"/>
    </row>
    <row r="70" spans="1:19">
      <c r="A70" s="41">
        <v>2020.02</v>
      </c>
      <c r="B70" s="23">
        <v>462.9</v>
      </c>
      <c r="C70" s="23">
        <v>438.9</v>
      </c>
      <c r="D70" s="23">
        <f t="shared" si="34"/>
        <v>0</v>
      </c>
      <c r="E70" s="23">
        <v>901.8</v>
      </c>
      <c r="N70" s="41">
        <v>2020.02</v>
      </c>
      <c r="O70" s="51">
        <v>0.51330671989354604</v>
      </c>
      <c r="P70" s="51">
        <v>0.48669328010645402</v>
      </c>
      <c r="Q70" s="51">
        <f t="shared" si="35"/>
        <v>0</v>
      </c>
      <c r="R70" s="51"/>
      <c r="S70" s="51"/>
    </row>
    <row r="71" spans="1:19">
      <c r="A71" s="41">
        <v>2020.03</v>
      </c>
      <c r="B71" s="23">
        <v>3242.6</v>
      </c>
      <c r="C71" s="23">
        <v>1234.5</v>
      </c>
      <c r="D71" s="23">
        <f t="shared" si="34"/>
        <v>1.0999999999999091</v>
      </c>
      <c r="E71" s="23">
        <v>4478.2</v>
      </c>
      <c r="N71" s="41">
        <v>2020.03</v>
      </c>
      <c r="O71" s="51">
        <v>0.72408557009512797</v>
      </c>
      <c r="P71" s="51">
        <v>0.27566879549819101</v>
      </c>
      <c r="Q71" s="51">
        <f t="shared" si="35"/>
        <v>2.4563440668101677E-4</v>
      </c>
      <c r="R71" s="51"/>
      <c r="S71" s="51"/>
    </row>
    <row r="72" spans="1:19">
      <c r="A72" s="41">
        <v>2020.04</v>
      </c>
      <c r="B72" s="23">
        <v>2862.3</v>
      </c>
      <c r="C72" s="23">
        <v>1846.2</v>
      </c>
      <c r="D72" s="23">
        <f t="shared" si="34"/>
        <v>14.399999999999409</v>
      </c>
      <c r="E72" s="23">
        <v>4722.8999999999996</v>
      </c>
      <c r="N72" s="41">
        <v>2020.04</v>
      </c>
      <c r="O72" s="51">
        <v>0.60604713205869298</v>
      </c>
      <c r="P72" s="51">
        <v>0.39090389379406698</v>
      </c>
      <c r="Q72" s="51">
        <f t="shared" si="35"/>
        <v>3.0489741472400356E-3</v>
      </c>
      <c r="R72" s="51"/>
      <c r="S72" s="51"/>
    </row>
    <row r="73" spans="1:19">
      <c r="A73" s="41">
        <v>2020.05</v>
      </c>
      <c r="B73" s="23">
        <v>3069.2</v>
      </c>
      <c r="C73" s="23">
        <v>2100.5</v>
      </c>
      <c r="D73" s="23">
        <f t="shared" si="34"/>
        <v>20</v>
      </c>
      <c r="E73" s="23">
        <v>5189.7</v>
      </c>
      <c r="N73" s="41">
        <v>2020.05</v>
      </c>
      <c r="O73" s="51">
        <v>0.59140220051255399</v>
      </c>
      <c r="P73" s="51">
        <v>0.40474401217796802</v>
      </c>
      <c r="Q73" s="51">
        <f t="shared" si="35"/>
        <v>3.8537873094779962E-3</v>
      </c>
      <c r="R73" s="51"/>
      <c r="S73" s="51"/>
    </row>
    <row r="74" spans="1:19">
      <c r="A74" s="41">
        <v>2020.06</v>
      </c>
      <c r="B74" s="23">
        <v>3148.8</v>
      </c>
      <c r="C74" s="23">
        <v>2182.3000000000002</v>
      </c>
      <c r="D74" s="23">
        <f t="shared" si="34"/>
        <v>14.799999999999272</v>
      </c>
      <c r="E74" s="23">
        <v>5345.9</v>
      </c>
      <c r="N74" s="41">
        <v>2020.06</v>
      </c>
      <c r="O74" s="51">
        <v>0.58901214014478398</v>
      </c>
      <c r="P74" s="51">
        <v>0.40821938307862099</v>
      </c>
      <c r="Q74" s="51">
        <f t="shared" si="35"/>
        <v>2.7684767765950302E-3</v>
      </c>
      <c r="R74" s="51"/>
      <c r="S74" s="51"/>
    </row>
    <row r="75" spans="1:19">
      <c r="A75" s="41">
        <v>2020.07</v>
      </c>
      <c r="B75" s="23">
        <v>3273.7</v>
      </c>
      <c r="C75" s="23">
        <v>2775</v>
      </c>
      <c r="D75" s="23">
        <f t="shared" si="34"/>
        <v>32.300000000000182</v>
      </c>
      <c r="E75" s="23">
        <v>6081</v>
      </c>
      <c r="N75" s="41">
        <v>2020.07</v>
      </c>
      <c r="O75" s="51">
        <v>0.538348955763855</v>
      </c>
      <c r="P75" s="51">
        <v>0.45633941785890503</v>
      </c>
      <c r="Q75" s="51">
        <f t="shared" si="35"/>
        <v>5.3116263772399752E-3</v>
      </c>
      <c r="R75" s="51"/>
      <c r="S75" s="51"/>
    </row>
    <row r="76" spans="1:19">
      <c r="A76" s="41">
        <v>2020.08</v>
      </c>
      <c r="B76" s="23">
        <v>4368.5</v>
      </c>
      <c r="C76" s="23">
        <v>3010.8</v>
      </c>
      <c r="D76" s="23">
        <f t="shared" si="34"/>
        <v>66.099999999999454</v>
      </c>
      <c r="E76" s="23">
        <v>7445.4</v>
      </c>
      <c r="N76" s="41">
        <v>2020.08</v>
      </c>
      <c r="O76" s="51">
        <v>0.586738120181589</v>
      </c>
      <c r="P76" s="51">
        <v>0.40438391490047498</v>
      </c>
      <c r="Q76" s="51">
        <f t="shared" si="35"/>
        <v>8.8779649179360209E-3</v>
      </c>
      <c r="R76" s="51"/>
      <c r="S76" s="51"/>
    </row>
    <row r="77" spans="1:19">
      <c r="A77" s="41">
        <v>2020.09</v>
      </c>
      <c r="B77" s="23">
        <v>4753.7</v>
      </c>
      <c r="C77" s="23">
        <v>3839</v>
      </c>
      <c r="D77" s="23">
        <f t="shared" si="34"/>
        <v>22.599999999999454</v>
      </c>
      <c r="E77" s="23">
        <v>8615.2999999999993</v>
      </c>
      <c r="N77" s="41">
        <v>2020.09</v>
      </c>
      <c r="O77" s="51">
        <v>0.55177416921058997</v>
      </c>
      <c r="P77" s="51">
        <v>0.44560259073973002</v>
      </c>
      <c r="Q77" s="51">
        <f t="shared" si="35"/>
        <v>2.623240049680009E-3</v>
      </c>
      <c r="R77" s="51"/>
      <c r="S77" s="51"/>
    </row>
    <row r="78" spans="1:19">
      <c r="A78" s="41">
        <v>2020.1</v>
      </c>
      <c r="B78" s="23">
        <v>5517.3</v>
      </c>
      <c r="C78" s="23">
        <v>4322.6000000000004</v>
      </c>
      <c r="D78" s="23">
        <f t="shared" si="34"/>
        <v>20.399999999998727</v>
      </c>
      <c r="E78" s="23">
        <v>9860.2999999999993</v>
      </c>
      <c r="N78" s="41">
        <v>2020.1</v>
      </c>
      <c r="O78" s="51">
        <v>0.55954686977069701</v>
      </c>
      <c r="P78" s="51">
        <v>0.43838422766041601</v>
      </c>
      <c r="Q78" s="51">
        <f t="shared" si="35"/>
        <v>2.0689025688869767E-3</v>
      </c>
      <c r="R78" s="51"/>
      <c r="S78" s="51"/>
    </row>
    <row r="79" spans="1:19">
      <c r="A79" s="41">
        <v>2020.11</v>
      </c>
      <c r="B79" s="23">
        <v>7286.6</v>
      </c>
      <c r="C79" s="23">
        <v>5406.6</v>
      </c>
      <c r="D79" s="23">
        <f t="shared" si="34"/>
        <v>33</v>
      </c>
      <c r="E79" s="23">
        <v>12726.2</v>
      </c>
      <c r="N79" s="41">
        <v>2020.11</v>
      </c>
      <c r="O79" s="51">
        <v>0.57256683063286795</v>
      </c>
      <c r="P79" s="51">
        <v>0.424840093665037</v>
      </c>
      <c r="Q79" s="51">
        <f t="shared" si="35"/>
        <v>2.593075702095049E-3</v>
      </c>
      <c r="R79" s="51"/>
      <c r="S79" s="51"/>
    </row>
    <row r="80" spans="1:19">
      <c r="A80" s="41">
        <v>2020.12</v>
      </c>
      <c r="B80" s="23">
        <v>8495.9</v>
      </c>
      <c r="C80" s="23">
        <v>6519.7</v>
      </c>
      <c r="D80" s="23">
        <f t="shared" si="34"/>
        <v>120.40000000000055</v>
      </c>
      <c r="E80" s="23">
        <v>15136</v>
      </c>
      <c r="N80" s="41">
        <v>2020.12</v>
      </c>
      <c r="O80" s="51">
        <v>0.56130417547568701</v>
      </c>
      <c r="P80" s="51">
        <v>0.430741279069768</v>
      </c>
      <c r="Q80" s="51">
        <f t="shared" si="35"/>
        <v>7.9545454545449923E-3</v>
      </c>
      <c r="R80" s="51"/>
      <c r="S80" s="51"/>
    </row>
    <row r="81" spans="1:19">
      <c r="A81" s="41">
        <v>2021.01</v>
      </c>
      <c r="B81" s="23">
        <v>6847.5</v>
      </c>
      <c r="C81" s="23">
        <v>5193.7</v>
      </c>
      <c r="D81" s="23">
        <f t="shared" si="34"/>
        <v>7.9000000000005457</v>
      </c>
      <c r="E81" s="23">
        <v>12049.1</v>
      </c>
      <c r="N81" s="41">
        <v>2021.01</v>
      </c>
      <c r="O81" s="51">
        <v>0.56829970703206001</v>
      </c>
      <c r="P81" s="51">
        <v>0.43104464233843198</v>
      </c>
      <c r="Q81" s="51">
        <f t="shared" si="35"/>
        <v>6.556506295080089E-4</v>
      </c>
      <c r="R81" s="51"/>
      <c r="S81" s="51"/>
    </row>
    <row r="82" spans="1:19">
      <c r="A82" s="41">
        <v>2021.02</v>
      </c>
      <c r="B82" s="23">
        <v>5122.1000000000004</v>
      </c>
      <c r="C82" s="23">
        <v>4320.7</v>
      </c>
      <c r="D82" s="23">
        <f t="shared" si="34"/>
        <v>8.5999999999994543</v>
      </c>
      <c r="E82" s="23">
        <v>9451.4</v>
      </c>
      <c r="N82" s="41">
        <v>2021.02</v>
      </c>
      <c r="O82" s="51">
        <v>0.54194087648390699</v>
      </c>
      <c r="P82" s="51">
        <v>0.457149205408723</v>
      </c>
      <c r="Q82" s="51">
        <f t="shared" si="35"/>
        <v>9.0991810737001133E-4</v>
      </c>
      <c r="R82" s="51"/>
      <c r="S82" s="51"/>
    </row>
    <row r="83" spans="1:19">
      <c r="A83" s="41">
        <v>2021.03</v>
      </c>
      <c r="B83" s="23">
        <v>5824.8</v>
      </c>
      <c r="C83" s="23">
        <v>5447.6</v>
      </c>
      <c r="D83" s="23">
        <f t="shared" si="34"/>
        <v>9.1999999999998181</v>
      </c>
      <c r="E83" s="23">
        <v>11281.6</v>
      </c>
      <c r="N83" s="41">
        <v>2021.03</v>
      </c>
      <c r="O83" s="51">
        <v>0.51630974329882295</v>
      </c>
      <c r="P83" s="51">
        <v>0.48287476953623598</v>
      </c>
      <c r="Q83" s="51">
        <f t="shared" si="35"/>
        <v>8.1548716494106444E-4</v>
      </c>
      <c r="R83" s="51"/>
      <c r="S83" s="51"/>
    </row>
    <row r="84" spans="1:19">
      <c r="A84" s="41">
        <v>2021.04</v>
      </c>
      <c r="B84" s="23">
        <v>6705.1</v>
      </c>
      <c r="C84" s="23">
        <v>6192.6</v>
      </c>
      <c r="D84" s="23">
        <f t="shared" si="34"/>
        <v>28.699999999998909</v>
      </c>
      <c r="E84" s="23">
        <v>12926.4</v>
      </c>
      <c r="N84" s="41">
        <v>2021.04</v>
      </c>
      <c r="O84" s="51">
        <v>0.51871364030201705</v>
      </c>
      <c r="P84" s="51">
        <v>0.47906609728926802</v>
      </c>
      <c r="Q84" s="51">
        <f t="shared" si="35"/>
        <v>2.2202624087149236E-3</v>
      </c>
      <c r="R84" s="51"/>
      <c r="S84" s="51"/>
    </row>
    <row r="85" spans="1:19">
      <c r="A85" s="41">
        <v>2021.05</v>
      </c>
      <c r="B85" s="23">
        <v>4999.5</v>
      </c>
      <c r="C85" s="23">
        <v>8765.9</v>
      </c>
      <c r="D85" s="23">
        <f t="shared" si="34"/>
        <v>28</v>
      </c>
      <c r="E85" s="23">
        <v>13793.4</v>
      </c>
      <c r="N85" s="41">
        <v>2021.05</v>
      </c>
      <c r="O85" s="51">
        <v>0.36245595719691998</v>
      </c>
      <c r="P85" s="51">
        <v>0.63551408644714102</v>
      </c>
      <c r="Q85" s="51">
        <f t="shared" si="35"/>
        <v>2.0299563559390554E-3</v>
      </c>
      <c r="R85" s="51"/>
      <c r="S85" s="51"/>
    </row>
    <row r="86" spans="1:19">
      <c r="A86" s="41">
        <v>2021.06</v>
      </c>
      <c r="B86" s="23">
        <v>7356.2</v>
      </c>
      <c r="C86" s="23">
        <v>7777.4</v>
      </c>
      <c r="D86" s="23">
        <f t="shared" si="34"/>
        <v>63.500000000000909</v>
      </c>
      <c r="E86" s="23">
        <v>15197.1</v>
      </c>
      <c r="N86" s="41">
        <v>2021.06</v>
      </c>
      <c r="O86" s="51">
        <v>0.48405287850971601</v>
      </c>
      <c r="P86" s="51">
        <v>0.51176869271110903</v>
      </c>
      <c r="Q86" s="51">
        <f t="shared" si="35"/>
        <v>4.1784287791749586E-3</v>
      </c>
    </row>
    <row r="87" spans="1:19">
      <c r="A87" s="41">
        <v>2021.07</v>
      </c>
      <c r="B87" s="23">
        <v>7986.2</v>
      </c>
      <c r="C87" s="23">
        <v>9330.2999999999993</v>
      </c>
      <c r="D87" s="23">
        <f t="shared" si="34"/>
        <v>35.400000000001455</v>
      </c>
      <c r="E87" s="23">
        <v>17351.900000000001</v>
      </c>
      <c r="N87" s="41">
        <v>2021.07</v>
      </c>
      <c r="O87" s="51">
        <v>0.46024930987384699</v>
      </c>
      <c r="P87" s="51">
        <v>0.53771056771880898</v>
      </c>
      <c r="Q87" s="51">
        <f t="shared" si="35"/>
        <v>2.0401224073440805E-3</v>
      </c>
    </row>
    <row r="88" spans="1:19">
      <c r="A88" s="41">
        <v>2021.08</v>
      </c>
      <c r="B88" s="23">
        <v>8366.7000000000007</v>
      </c>
      <c r="C88" s="23">
        <v>11085.8</v>
      </c>
      <c r="D88" s="23">
        <f t="shared" si="34"/>
        <v>29.200000000000728</v>
      </c>
      <c r="E88" s="23">
        <v>19481.7</v>
      </c>
      <c r="N88" s="41">
        <v>2021.08</v>
      </c>
      <c r="O88" s="51">
        <v>0.42946457444678898</v>
      </c>
      <c r="P88" s="51">
        <v>0.56903658304973403</v>
      </c>
      <c r="Q88" s="51">
        <f t="shared" si="35"/>
        <v>1.4988425034769826E-3</v>
      </c>
    </row>
    <row r="89" spans="1:19">
      <c r="A89" s="41">
        <v>2021.09</v>
      </c>
      <c r="B89" s="23">
        <v>9630.2000000000007</v>
      </c>
      <c r="C89" s="23">
        <v>13514.1</v>
      </c>
      <c r="D89" s="23">
        <f t="shared" si="34"/>
        <v>24.999999999998181</v>
      </c>
      <c r="E89" s="23">
        <v>23169.3</v>
      </c>
      <c r="N89" s="41">
        <v>2021.09</v>
      </c>
      <c r="O89" s="51">
        <v>0.41564484037066302</v>
      </c>
      <c r="P89" s="51">
        <v>0.58327614558920604</v>
      </c>
      <c r="Q89" s="51">
        <f t="shared" si="35"/>
        <v>1.0790140401309989E-3</v>
      </c>
    </row>
    <row r="90" spans="1:19">
      <c r="A90" s="41">
        <v>2021.1</v>
      </c>
      <c r="B90" s="23">
        <v>9200.2000000000007</v>
      </c>
      <c r="C90" s="23">
        <v>15892.1</v>
      </c>
      <c r="D90" s="23">
        <f t="shared" si="34"/>
        <v>30.199999999998909</v>
      </c>
      <c r="E90" s="23">
        <v>25122.5</v>
      </c>
      <c r="N90" s="41">
        <v>2021.1</v>
      </c>
      <c r="O90" s="51">
        <v>0.36621355358742202</v>
      </c>
      <c r="P90" s="51">
        <v>0.63258433674992498</v>
      </c>
      <c r="Q90" s="51">
        <f t="shared" si="35"/>
        <v>1.2021096626529948E-3</v>
      </c>
    </row>
    <row r="91" spans="1:19">
      <c r="A91" s="41">
        <v>2021.11</v>
      </c>
      <c r="B91" s="23">
        <v>10388.700000000001</v>
      </c>
      <c r="C91" s="23">
        <v>17798.2</v>
      </c>
      <c r="D91" s="23">
        <f t="shared" si="34"/>
        <v>43.599999999998545</v>
      </c>
      <c r="E91" s="23">
        <v>28230.5</v>
      </c>
      <c r="N91" s="41">
        <v>2021.11</v>
      </c>
      <c r="O91" s="51">
        <v>0.36799560758753802</v>
      </c>
      <c r="P91" s="51">
        <v>0.63045996351463796</v>
      </c>
      <c r="Q91" s="51">
        <f t="shared" si="35"/>
        <v>1.5444288978240239E-3</v>
      </c>
    </row>
    <row r="92" spans="1:19">
      <c r="A92" s="41">
        <v>2021.12</v>
      </c>
      <c r="B92" s="23">
        <v>11435.2</v>
      </c>
      <c r="C92" s="23">
        <v>20059.8</v>
      </c>
      <c r="D92" s="23">
        <f t="shared" si="34"/>
        <v>136.5</v>
      </c>
      <c r="E92" s="23">
        <v>31631.5</v>
      </c>
      <c r="N92" s="41">
        <v>2021.12</v>
      </c>
      <c r="O92" s="51">
        <v>0.36151304870145301</v>
      </c>
      <c r="P92" s="51">
        <v>0.634171632707902</v>
      </c>
      <c r="Q92" s="51">
        <f t="shared" si="35"/>
        <v>4.3153185906449343E-3</v>
      </c>
    </row>
    <row r="93" spans="1:19">
      <c r="A93" s="41">
        <v>2022.01</v>
      </c>
      <c r="B93" s="23">
        <v>10815.3</v>
      </c>
      <c r="C93" s="23">
        <v>18790.099999999999</v>
      </c>
      <c r="D93" s="23">
        <f t="shared" si="34"/>
        <v>58.30000000000291</v>
      </c>
      <c r="E93" s="23">
        <v>29663.7</v>
      </c>
      <c r="N93" s="41">
        <v>2022.01</v>
      </c>
      <c r="O93" s="51">
        <v>0.36459713387068998</v>
      </c>
      <c r="P93" s="51">
        <v>0.63343750105347596</v>
      </c>
      <c r="Q93" s="51">
        <f t="shared" si="35"/>
        <v>1.9653650758341135E-3</v>
      </c>
    </row>
    <row r="94" spans="1:19">
      <c r="A94" s="41">
        <v>2022.02</v>
      </c>
      <c r="B94" s="23">
        <v>11639.1</v>
      </c>
      <c r="C94" s="23">
        <v>20052.2</v>
      </c>
      <c r="D94" s="23">
        <f t="shared" si="34"/>
        <v>81.100000000002183</v>
      </c>
      <c r="E94" s="23">
        <v>31772.400000000001</v>
      </c>
      <c r="F94" s="23"/>
      <c r="G94" s="23"/>
      <c r="N94" s="41">
        <v>2022.02</v>
      </c>
      <c r="O94" s="51">
        <v>0.36632737847943497</v>
      </c>
      <c r="P94" s="51">
        <v>0.63112009165187399</v>
      </c>
      <c r="Q94" s="51">
        <f t="shared" si="35"/>
        <v>2.5525298686910336E-3</v>
      </c>
    </row>
    <row r="95" spans="1:19">
      <c r="A95" s="41">
        <v>2022.03</v>
      </c>
      <c r="B95" s="23">
        <v>15568.2</v>
      </c>
      <c r="C95" s="23">
        <v>23581.7</v>
      </c>
      <c r="D95" s="23">
        <f t="shared" si="34"/>
        <v>29.299999999995634</v>
      </c>
      <c r="E95" s="23">
        <v>39179.199999999997</v>
      </c>
      <c r="N95" s="41">
        <v>2022.03</v>
      </c>
      <c r="O95" s="51">
        <v>0.39735880262996698</v>
      </c>
      <c r="P95" s="51">
        <v>0.60189335157430501</v>
      </c>
      <c r="Q95" s="51">
        <f t="shared" ref="Q95:Q107" si="36">1-O95-P95</f>
        <v>7.4784579572795273E-4</v>
      </c>
    </row>
    <row r="96" spans="1:19">
      <c r="A96" s="41">
        <v>2022.04</v>
      </c>
      <c r="B96" s="23">
        <v>10295.4</v>
      </c>
      <c r="C96" s="23">
        <v>18623.400000000001</v>
      </c>
      <c r="D96" s="23">
        <f t="shared" si="34"/>
        <v>45.299999999995634</v>
      </c>
      <c r="E96" s="23">
        <v>28964.1</v>
      </c>
      <c r="N96" s="41">
        <v>2022.04</v>
      </c>
      <c r="O96" s="51">
        <v>0.35545382041906998</v>
      </c>
      <c r="P96" s="51">
        <v>0.64298217448496597</v>
      </c>
      <c r="Q96" s="51">
        <f t="shared" si="36"/>
        <v>1.564005095963994E-3</v>
      </c>
    </row>
    <row r="97" spans="1:17">
      <c r="A97" s="41">
        <v>2022.05</v>
      </c>
      <c r="B97" s="23">
        <v>16282.4</v>
      </c>
      <c r="C97" s="23">
        <v>19233.900000000001</v>
      </c>
      <c r="D97" s="23">
        <f t="shared" si="34"/>
        <v>62.099999999998545</v>
      </c>
      <c r="E97" s="23">
        <v>35578.400000000001</v>
      </c>
      <c r="N97" s="41">
        <v>2022.05</v>
      </c>
      <c r="O97" s="51">
        <v>0.45764846086389499</v>
      </c>
      <c r="P97" s="51">
        <v>0.54060609808198201</v>
      </c>
      <c r="Q97" s="51">
        <f t="shared" si="36"/>
        <v>1.7454410541229981E-3</v>
      </c>
    </row>
    <row r="98" spans="1:17">
      <c r="A98" s="41">
        <v>2022.06</v>
      </c>
      <c r="B98" s="23">
        <v>18312.3</v>
      </c>
      <c r="C98" s="23">
        <v>22929.9</v>
      </c>
      <c r="D98" s="23">
        <f t="shared" si="34"/>
        <v>51.700000000000728</v>
      </c>
      <c r="E98" s="23">
        <v>41293.9</v>
      </c>
      <c r="N98" s="41">
        <v>2022.06</v>
      </c>
      <c r="O98" s="51">
        <v>0.443462593748714</v>
      </c>
      <c r="P98" s="51">
        <v>0.55528540535042703</v>
      </c>
      <c r="Q98" s="51">
        <f t="shared" si="36"/>
        <v>1.2520009008589739E-3</v>
      </c>
    </row>
    <row r="99" spans="1:17">
      <c r="A99" s="41">
        <v>2022.07</v>
      </c>
      <c r="B99" s="23">
        <v>16583.8</v>
      </c>
      <c r="C99" s="23">
        <v>30603.3</v>
      </c>
      <c r="D99" s="23">
        <f t="shared" si="34"/>
        <v>46.30000000000291</v>
      </c>
      <c r="E99" s="23">
        <v>47233.4</v>
      </c>
      <c r="N99" s="41">
        <v>2022.07</v>
      </c>
      <c r="O99" s="51">
        <v>0.351103244737834</v>
      </c>
      <c r="P99" s="51">
        <v>0.64791651670216399</v>
      </c>
      <c r="Q99" s="51">
        <f t="shared" si="36"/>
        <v>9.8023856000206688E-4</v>
      </c>
    </row>
    <row r="100" spans="1:17">
      <c r="A100" s="41">
        <v>2022.08</v>
      </c>
      <c r="B100" s="23">
        <v>19250.599999999999</v>
      </c>
      <c r="C100" s="23">
        <v>30768.1</v>
      </c>
      <c r="D100" s="23">
        <f t="shared" si="34"/>
        <v>42.900000000001455</v>
      </c>
      <c r="E100" s="23">
        <v>50061.599999999999</v>
      </c>
      <c r="N100" s="41">
        <v>2022.08</v>
      </c>
      <c r="O100" s="51">
        <v>0.38453824887738303</v>
      </c>
      <c r="P100" s="51">
        <v>0.61460480687792596</v>
      </c>
      <c r="Q100" s="51">
        <f t="shared" si="36"/>
        <v>8.5694424469107133E-4</v>
      </c>
    </row>
    <row r="101" spans="1:17">
      <c r="A101" s="41">
        <v>2022.09</v>
      </c>
      <c r="B101" s="23">
        <v>24278.3</v>
      </c>
      <c r="C101" s="23">
        <v>34779.800000000003</v>
      </c>
      <c r="D101" s="23">
        <f t="shared" si="34"/>
        <v>66.099999999991269</v>
      </c>
      <c r="E101" s="23">
        <v>59124.2</v>
      </c>
      <c r="N101" s="41">
        <v>2022.09</v>
      </c>
      <c r="O101" s="51">
        <v>0.41063219460051897</v>
      </c>
      <c r="P101" s="51">
        <v>0.58824981987071301</v>
      </c>
      <c r="Q101" s="51">
        <f t="shared" si="36"/>
        <v>1.1179855287680729E-3</v>
      </c>
    </row>
    <row r="102" spans="1:17">
      <c r="A102" s="41">
        <v>2022.1</v>
      </c>
      <c r="B102" s="23">
        <v>24240</v>
      </c>
      <c r="C102" s="23">
        <v>38551</v>
      </c>
      <c r="D102" s="23">
        <f t="shared" si="34"/>
        <v>28.5</v>
      </c>
      <c r="E102" s="23">
        <v>62819.5</v>
      </c>
      <c r="N102" s="41">
        <v>2022.1</v>
      </c>
      <c r="O102" s="51">
        <v>0.38586744561800101</v>
      </c>
      <c r="P102" s="51">
        <v>0.61367887359816597</v>
      </c>
      <c r="Q102" s="51">
        <f t="shared" si="36"/>
        <v>4.5368078383301036E-4</v>
      </c>
    </row>
    <row r="103" spans="1:17">
      <c r="A103" s="41">
        <v>2022.11</v>
      </c>
      <c r="B103" s="23">
        <v>24201.8</v>
      </c>
      <c r="C103" s="23">
        <v>39109.300000000003</v>
      </c>
      <c r="D103" s="23">
        <f t="shared" si="34"/>
        <v>95.19999999999709</v>
      </c>
      <c r="E103" s="23">
        <v>63406.3</v>
      </c>
      <c r="N103" s="41">
        <v>2022.11</v>
      </c>
      <c r="O103" s="51">
        <v>0.38169393262183698</v>
      </c>
      <c r="P103" s="51">
        <v>0.61680463928663198</v>
      </c>
      <c r="Q103" s="51">
        <f t="shared" si="36"/>
        <v>1.5014280915310874E-3</v>
      </c>
    </row>
    <row r="104" spans="1:17">
      <c r="A104" s="41">
        <v>2022.12</v>
      </c>
      <c r="B104" s="23">
        <v>18464.8</v>
      </c>
      <c r="C104" s="23">
        <v>33895.4</v>
      </c>
      <c r="D104" s="23">
        <f t="shared" si="34"/>
        <v>108.40000000000146</v>
      </c>
      <c r="E104" s="23">
        <v>52468.6</v>
      </c>
      <c r="N104" s="41">
        <v>2022.12</v>
      </c>
      <c r="O104" s="51">
        <v>0.35192095843990501</v>
      </c>
      <c r="P104" s="51">
        <v>0.64601304399202597</v>
      </c>
      <c r="Q104" s="51">
        <f t="shared" si="36"/>
        <v>2.0659975680690223E-3</v>
      </c>
    </row>
    <row r="105" spans="1:17">
      <c r="A105" s="41">
        <v>2023.01</v>
      </c>
      <c r="B105" s="23">
        <v>9812.9</v>
      </c>
      <c r="C105" s="23">
        <v>18320</v>
      </c>
      <c r="D105" s="23">
        <v>36.4</v>
      </c>
      <c r="E105" s="23">
        <v>28169.3</v>
      </c>
      <c r="N105" s="41">
        <v>2023.01</v>
      </c>
      <c r="O105" s="51">
        <v>0.34835441420269603</v>
      </c>
      <c r="P105" s="51">
        <v>0.65035339891300104</v>
      </c>
      <c r="Q105" s="51">
        <f t="shared" si="36"/>
        <v>1.2921868843029927E-3</v>
      </c>
    </row>
    <row r="106" spans="1:17">
      <c r="A106" s="41">
        <v>2023.02</v>
      </c>
      <c r="B106" s="23">
        <f>W25</f>
        <v>14553.4</v>
      </c>
      <c r="C106" s="23">
        <f>X25</f>
        <v>26811.1</v>
      </c>
      <c r="D106" s="23">
        <f>SUM(Y25:AA25)</f>
        <v>86</v>
      </c>
      <c r="E106" s="23">
        <f>SUM(B106:D106)</f>
        <v>41450.5</v>
      </c>
      <c r="N106" s="18">
        <v>2023.02</v>
      </c>
      <c r="O106" s="51">
        <v>0.35110312300213498</v>
      </c>
      <c r="P106" s="51">
        <v>0.64682211312288196</v>
      </c>
      <c r="Q106" s="51">
        <f t="shared" si="36"/>
        <v>2.0747638749830655E-3</v>
      </c>
    </row>
    <row r="107" spans="1:17">
      <c r="A107" s="41">
        <v>2023.03</v>
      </c>
      <c r="B107" s="23">
        <v>18226.8</v>
      </c>
      <c r="C107" s="23">
        <v>32892</v>
      </c>
      <c r="D107" s="23">
        <v>67.2</v>
      </c>
      <c r="E107" s="23">
        <v>51186</v>
      </c>
      <c r="N107" s="41">
        <v>2023.03</v>
      </c>
      <c r="O107" s="51">
        <v>0.35608955573789702</v>
      </c>
      <c r="P107" s="51">
        <v>0.64259758527722399</v>
      </c>
      <c r="Q107" s="51">
        <f t="shared" si="36"/>
        <v>1.312858984878984E-3</v>
      </c>
    </row>
    <row r="108" spans="1:17">
      <c r="A108" s="41">
        <v>2023.04</v>
      </c>
      <c r="B108" s="23">
        <v>17597.2</v>
      </c>
      <c r="C108" s="23">
        <v>29319.3</v>
      </c>
      <c r="D108" s="23">
        <v>41.8</v>
      </c>
      <c r="E108" s="23">
        <v>46958.3</v>
      </c>
      <c r="N108" s="41">
        <v>2023.04</v>
      </c>
      <c r="O108" s="54">
        <v>0.37474099360496399</v>
      </c>
      <c r="P108" s="54">
        <v>0.62436885492021599</v>
      </c>
      <c r="Q108" s="51">
        <v>8.9999999999999998E-4</v>
      </c>
    </row>
    <row r="109" spans="1:17">
      <c r="A109" s="41">
        <v>2023.05</v>
      </c>
      <c r="B109" s="23">
        <v>18611</v>
      </c>
      <c r="C109" s="23">
        <v>37817.699999999997</v>
      </c>
      <c r="D109" s="23">
        <f>E109-SUM(B109:C109)</f>
        <v>127.40000000000146</v>
      </c>
      <c r="E109" s="23">
        <v>56556.1</v>
      </c>
      <c r="N109" s="41">
        <v>2023.05</v>
      </c>
      <c r="O109" s="51">
        <f t="shared" ref="O109:P111" si="37">W45</f>
        <v>0.32907148830983751</v>
      </c>
      <c r="P109" s="51">
        <f t="shared" si="37"/>
        <v>0.66867588111627208</v>
      </c>
      <c r="Q109" s="51">
        <f>SUM(Y45:AA45)</f>
        <v>2.2526305738903496E-3</v>
      </c>
    </row>
    <row r="110" spans="1:17">
      <c r="A110" s="41">
        <v>2023.06</v>
      </c>
      <c r="B110" s="23">
        <f>W29</f>
        <v>17696.599999999999</v>
      </c>
      <c r="C110" s="23">
        <f>X29</f>
        <v>42242.9</v>
      </c>
      <c r="D110" s="23">
        <f>E110-SUM(B110:C110)</f>
        <v>176.59999999999854</v>
      </c>
      <c r="E110" s="23">
        <f>AB29</f>
        <v>60116.1</v>
      </c>
      <c r="N110" s="18">
        <v>2023.06</v>
      </c>
      <c r="O110" s="51">
        <f t="shared" si="37"/>
        <v>0.29437372018477576</v>
      </c>
      <c r="P110" s="51">
        <f t="shared" si="37"/>
        <v>0.70268863083267219</v>
      </c>
      <c r="Q110" s="51">
        <f>SUM(Y46:AA46)</f>
        <v>2.937648982551974E-3</v>
      </c>
    </row>
    <row r="111" spans="1:17">
      <c r="A111" s="41">
        <v>2023.07</v>
      </c>
      <c r="B111" s="23">
        <f>W30</f>
        <v>20394.3</v>
      </c>
      <c r="C111" s="23">
        <f>X30</f>
        <v>40499.300000000003</v>
      </c>
      <c r="D111" s="23">
        <f>E111-SUM(B111:C111)</f>
        <v>102.19999999999709</v>
      </c>
      <c r="E111" s="23">
        <f>AB30</f>
        <v>60995.8</v>
      </c>
      <c r="N111" s="41">
        <v>2023.07</v>
      </c>
      <c r="O111" s="51">
        <f t="shared" si="37"/>
        <v>0.3343558081048203</v>
      </c>
      <c r="P111" s="51">
        <f t="shared" si="37"/>
        <v>0.66396866669508392</v>
      </c>
      <c r="Q111" s="51">
        <f>SUM(Y47:AA47)</f>
        <v>1.6755252000956252E-3</v>
      </c>
    </row>
    <row r="112" spans="1:17">
      <c r="A112" s="41">
        <v>2023.08</v>
      </c>
      <c r="B112" s="23">
        <v>23132.799999999999</v>
      </c>
      <c r="C112" s="23">
        <v>50032.9</v>
      </c>
      <c r="D112" s="23">
        <v>179.3</v>
      </c>
      <c r="E112" s="23">
        <v>73345</v>
      </c>
      <c r="N112" s="41">
        <v>2023.08</v>
      </c>
      <c r="O112" s="51">
        <f>W48</f>
        <v>0.31539709591655873</v>
      </c>
      <c r="P112" s="51">
        <f>X48</f>
        <v>0.68215829299884112</v>
      </c>
      <c r="Q112" s="51">
        <f>SUM(Y48:AA48)</f>
        <v>2.4446110846001773E-3</v>
      </c>
    </row>
    <row r="113" spans="1:18">
      <c r="A113" s="41">
        <v>2023.09</v>
      </c>
      <c r="B113" s="23">
        <v>25300</v>
      </c>
      <c r="C113" s="23">
        <v>51900</v>
      </c>
      <c r="D113" s="23">
        <v>200</v>
      </c>
      <c r="E113" s="23">
        <v>77400</v>
      </c>
      <c r="N113" s="41">
        <v>2023.09</v>
      </c>
      <c r="O113" s="51">
        <v>0.32600000000000001</v>
      </c>
      <c r="P113" s="51">
        <v>0.67100000000000004</v>
      </c>
      <c r="Q113" s="51">
        <v>3.0000000000000001E-3</v>
      </c>
      <c r="R113" s="51"/>
    </row>
    <row r="114" spans="1:18">
      <c r="A114" s="52">
        <v>2023.1</v>
      </c>
      <c r="B114" s="53">
        <v>23600</v>
      </c>
      <c r="C114" s="53">
        <v>53600</v>
      </c>
      <c r="D114" s="53">
        <v>100</v>
      </c>
      <c r="E114" s="53">
        <v>77300</v>
      </c>
      <c r="N114" s="41">
        <v>2023.1</v>
      </c>
      <c r="O114" s="51">
        <v>0.30499999999999999</v>
      </c>
      <c r="P114" s="51">
        <v>0.69299999999999995</v>
      </c>
      <c r="Q114" s="51">
        <v>2E-3</v>
      </c>
      <c r="R114" s="51"/>
    </row>
    <row r="115" spans="1:18">
      <c r="A115" s="52">
        <v>2023.11</v>
      </c>
      <c r="B115" s="53">
        <v>27800</v>
      </c>
      <c r="C115" s="53">
        <v>59800</v>
      </c>
      <c r="D115" s="53">
        <v>200</v>
      </c>
      <c r="E115" s="53">
        <v>87700</v>
      </c>
      <c r="N115" s="41">
        <v>2023.11</v>
      </c>
      <c r="O115" s="51">
        <v>0.317</v>
      </c>
      <c r="P115" s="51">
        <v>0.68100000000000005</v>
      </c>
      <c r="Q115" s="51">
        <v>2E-3</v>
      </c>
    </row>
    <row r="116" spans="1:18">
      <c r="A116" s="52">
        <v>2023.12</v>
      </c>
      <c r="B116" s="53">
        <v>25000</v>
      </c>
      <c r="C116" s="53">
        <v>52500</v>
      </c>
      <c r="D116" s="53">
        <v>200</v>
      </c>
      <c r="E116" s="53">
        <v>77700</v>
      </c>
      <c r="N116" s="41">
        <v>2023.12</v>
      </c>
      <c r="O116" s="51">
        <v>0.32100000000000001</v>
      </c>
      <c r="P116" s="51">
        <v>0.67500000000000004</v>
      </c>
      <c r="Q116" s="51">
        <v>4.0000000000000001E-3</v>
      </c>
    </row>
    <row r="117" spans="1:18">
      <c r="A117" s="52">
        <v>2024.01</v>
      </c>
      <c r="B117" s="53">
        <v>22700</v>
      </c>
      <c r="C117" s="53">
        <v>42400</v>
      </c>
      <c r="D117" s="53">
        <v>100</v>
      </c>
      <c r="E117" s="53">
        <v>65200</v>
      </c>
      <c r="N117" s="41">
        <v>2024.01</v>
      </c>
      <c r="O117" s="51">
        <v>0.34799999999999998</v>
      </c>
      <c r="P117" s="51">
        <v>0.65</v>
      </c>
      <c r="Q117" s="51">
        <v>2E-3</v>
      </c>
    </row>
    <row r="118" spans="1:18">
      <c r="A118" s="52">
        <v>2024.02</v>
      </c>
      <c r="B118" s="53">
        <v>14800</v>
      </c>
      <c r="C118" s="53">
        <v>28600</v>
      </c>
      <c r="D118" s="53">
        <v>100</v>
      </c>
      <c r="E118" s="53">
        <v>43600</v>
      </c>
      <c r="N118" s="41">
        <v>2024.02</v>
      </c>
      <c r="O118" s="51">
        <v>0.34</v>
      </c>
      <c r="P118" s="51">
        <v>0.65700000000000003</v>
      </c>
      <c r="Q118" s="51">
        <v>3.0000000000000001E-3</v>
      </c>
    </row>
    <row r="119" spans="1:18">
      <c r="A119" s="52">
        <v>2024.03</v>
      </c>
      <c r="B119" s="53">
        <v>24200</v>
      </c>
      <c r="C119" s="53">
        <v>51400</v>
      </c>
      <c r="D119" s="53">
        <v>200</v>
      </c>
      <c r="E119" s="53">
        <v>75800</v>
      </c>
      <c r="N119" s="41">
        <v>2024.03</v>
      </c>
      <c r="O119" s="51">
        <v>0.32</v>
      </c>
      <c r="P119" s="51">
        <v>0.67800000000000005</v>
      </c>
      <c r="Q119" s="51">
        <v>2E-3</v>
      </c>
    </row>
  </sheetData>
  <mergeCells count="12">
    <mergeCell ref="AC22:AH22"/>
    <mergeCell ref="B39:F39"/>
    <mergeCell ref="G39:K39"/>
    <mergeCell ref="L39:P39"/>
    <mergeCell ref="Q39:V39"/>
    <mergeCell ref="W39:AB39"/>
    <mergeCell ref="AC39:AH39"/>
    <mergeCell ref="B22:F22"/>
    <mergeCell ref="G22:K22"/>
    <mergeCell ref="L22:P22"/>
    <mergeCell ref="Q22:V22"/>
    <mergeCell ref="W22:AB22"/>
  </mergeCells>
  <phoneticPr fontId="45" type="noConversion"/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AB56"/>
  <sheetViews>
    <sheetView zoomScale="85" zoomScaleNormal="85" workbookViewId="0">
      <selection activeCell="AB35" sqref="AB35"/>
    </sheetView>
  </sheetViews>
  <sheetFormatPr baseColWidth="10" defaultColWidth="8.6640625" defaultRowHeight="14"/>
  <cols>
    <col min="2" max="2" width="27.1640625" customWidth="1"/>
    <col min="3" max="27" width="10.6640625" customWidth="1"/>
  </cols>
  <sheetData>
    <row r="3" spans="1:15">
      <c r="B3" s="29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42"/>
    </row>
    <row r="4" spans="1:15">
      <c r="B4" s="29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43"/>
    </row>
    <row r="5" spans="1:15"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44"/>
      <c r="O5" s="45"/>
    </row>
    <row r="6" spans="1:15" ht="16">
      <c r="A6" s="33" t="s">
        <v>530</v>
      </c>
      <c r="B6" s="34" t="s">
        <v>531</v>
      </c>
      <c r="C6" s="34" t="s">
        <v>19</v>
      </c>
      <c r="D6" s="34" t="s">
        <v>20</v>
      </c>
      <c r="E6" s="34" t="s">
        <v>21</v>
      </c>
      <c r="F6" s="34" t="s">
        <v>22</v>
      </c>
      <c r="G6" s="34" t="s">
        <v>23</v>
      </c>
      <c r="H6" s="34" t="s">
        <v>24</v>
      </c>
      <c r="I6" s="34" t="s">
        <v>25</v>
      </c>
      <c r="J6" s="34" t="s">
        <v>26</v>
      </c>
      <c r="K6" s="34" t="s">
        <v>27</v>
      </c>
      <c r="L6" s="34" t="s">
        <v>28</v>
      </c>
      <c r="M6" s="34" t="s">
        <v>29</v>
      </c>
      <c r="N6" s="34" t="s">
        <v>30</v>
      </c>
      <c r="O6" s="34" t="s">
        <v>31</v>
      </c>
    </row>
    <row r="7" spans="1:15">
      <c r="B7" s="18">
        <v>2021</v>
      </c>
      <c r="C7" s="35"/>
      <c r="D7" s="35"/>
      <c r="E7" s="35">
        <v>23.9</v>
      </c>
      <c r="F7" s="35"/>
      <c r="G7" s="35"/>
      <c r="H7" s="35">
        <v>58.2</v>
      </c>
      <c r="I7" s="35"/>
      <c r="J7" s="35"/>
      <c r="K7" s="35">
        <v>106.8</v>
      </c>
      <c r="L7" s="35"/>
      <c r="M7" s="35"/>
      <c r="N7" s="35">
        <v>186</v>
      </c>
      <c r="O7" s="35"/>
    </row>
    <row r="8" spans="1:15">
      <c r="B8" s="18">
        <v>2022</v>
      </c>
      <c r="C8" s="35"/>
      <c r="D8" s="35"/>
      <c r="E8" s="35">
        <v>65</v>
      </c>
      <c r="F8" s="35"/>
      <c r="G8" s="35"/>
      <c r="H8" s="35">
        <v>205.4</v>
      </c>
      <c r="I8" s="35"/>
      <c r="J8" s="35"/>
      <c r="K8" s="35">
        <v>367.4</v>
      </c>
      <c r="L8" s="35"/>
      <c r="M8" s="35"/>
      <c r="N8" s="35">
        <v>465.5</v>
      </c>
      <c r="O8" s="35"/>
    </row>
    <row r="9" spans="1:15">
      <c r="B9" s="18">
        <v>2023</v>
      </c>
      <c r="C9" s="35"/>
      <c r="D9" s="35"/>
      <c r="E9" s="35">
        <v>108.5</v>
      </c>
      <c r="F9" s="35"/>
      <c r="G9" s="35"/>
      <c r="H9" s="35">
        <v>256.5</v>
      </c>
      <c r="I9" s="35">
        <v>309.8</v>
      </c>
      <c r="J9" s="35">
        <v>364.9</v>
      </c>
      <c r="K9" s="35">
        <v>425</v>
      </c>
      <c r="L9" s="35">
        <v>486</v>
      </c>
      <c r="M9" s="35">
        <v>554.1</v>
      </c>
      <c r="N9" s="35">
        <v>616.29999999999995</v>
      </c>
      <c r="O9" s="35"/>
    </row>
    <row r="10" spans="1:15" ht="16">
      <c r="B10" s="36">
        <v>2024</v>
      </c>
      <c r="C10" s="35">
        <v>50.4</v>
      </c>
      <c r="D10" s="35">
        <v>83.9</v>
      </c>
      <c r="E10" s="35">
        <v>146.19999999999999</v>
      </c>
      <c r="J10" s="32"/>
      <c r="K10" s="46"/>
    </row>
    <row r="13" spans="1:15" ht="16">
      <c r="A13" s="33" t="s">
        <v>532</v>
      </c>
      <c r="B13" s="34" t="s">
        <v>531</v>
      </c>
      <c r="C13" s="34" t="s">
        <v>19</v>
      </c>
      <c r="D13" s="34" t="s">
        <v>20</v>
      </c>
      <c r="E13" s="34" t="s">
        <v>21</v>
      </c>
      <c r="F13" s="34" t="s">
        <v>22</v>
      </c>
      <c r="G13" s="34" t="s">
        <v>23</v>
      </c>
      <c r="H13" s="34" t="s">
        <v>24</v>
      </c>
      <c r="I13" s="34" t="s">
        <v>25</v>
      </c>
      <c r="J13" s="34" t="s">
        <v>26</v>
      </c>
      <c r="K13" s="34" t="s">
        <v>27</v>
      </c>
      <c r="L13" s="34" t="s">
        <v>28</v>
      </c>
      <c r="M13" s="34" t="s">
        <v>29</v>
      </c>
      <c r="N13" s="34" t="s">
        <v>30</v>
      </c>
      <c r="O13" s="34" t="s">
        <v>31</v>
      </c>
    </row>
    <row r="14" spans="1:15">
      <c r="B14" s="18">
        <v>2023</v>
      </c>
      <c r="C14" s="35"/>
      <c r="D14" s="35"/>
      <c r="E14" s="35"/>
      <c r="F14" s="35"/>
      <c r="G14" s="35"/>
      <c r="H14" s="35">
        <v>52.2</v>
      </c>
      <c r="I14" s="35">
        <v>53.3</v>
      </c>
      <c r="J14" s="35">
        <v>55.1</v>
      </c>
      <c r="K14" s="35">
        <v>60.1</v>
      </c>
      <c r="L14" s="35">
        <v>61</v>
      </c>
      <c r="M14" s="35">
        <v>68.099999999999994</v>
      </c>
      <c r="N14" s="35">
        <v>72.099999999999994</v>
      </c>
      <c r="O14" s="35"/>
    </row>
    <row r="15" spans="1:15" ht="16">
      <c r="B15" s="36" t="s">
        <v>33</v>
      </c>
      <c r="C15" s="37"/>
      <c r="D15" s="37"/>
      <c r="E15" s="37"/>
      <c r="F15" s="37"/>
      <c r="G15" s="37"/>
      <c r="H15" s="37"/>
      <c r="I15" s="47">
        <f>I14/H14-1</f>
        <v>2.1072796934865856E-2</v>
      </c>
      <c r="J15" s="47">
        <f t="shared" ref="J15:L15" si="0">J14/I14-1</f>
        <v>3.3771106941838713E-2</v>
      </c>
      <c r="K15" s="47">
        <f t="shared" si="0"/>
        <v>9.0744101633393859E-2</v>
      </c>
      <c r="L15" s="47">
        <f t="shared" si="0"/>
        <v>1.4975041597337757E-2</v>
      </c>
      <c r="M15" s="40">
        <v>0.11600000000000001</v>
      </c>
      <c r="N15" s="40">
        <f>(N14-M14)/M14</f>
        <v>5.8737151248164469E-2</v>
      </c>
      <c r="O15" s="37"/>
    </row>
    <row r="16" spans="1:15" ht="15">
      <c r="B16" s="38"/>
      <c r="H16" s="39" t="s">
        <v>533</v>
      </c>
      <c r="J16" s="32"/>
      <c r="K16" s="46"/>
    </row>
    <row r="17" spans="1:27">
      <c r="B17" s="18">
        <v>2024</v>
      </c>
      <c r="C17" s="35">
        <v>50.4</v>
      </c>
      <c r="D17" s="35">
        <v>33.5</v>
      </c>
      <c r="E17" s="35">
        <v>62.3</v>
      </c>
      <c r="F17" s="35"/>
      <c r="G17" s="35"/>
      <c r="H17" s="35"/>
      <c r="I17" s="35"/>
      <c r="J17" s="35"/>
      <c r="K17" s="35"/>
      <c r="L17" s="35"/>
      <c r="M17" s="35"/>
      <c r="N17" s="35"/>
    </row>
    <row r="18" spans="1:27" ht="16">
      <c r="B18" s="36" t="s">
        <v>33</v>
      </c>
      <c r="C18" s="40">
        <v>-0.30099999999999999</v>
      </c>
      <c r="D18" s="40">
        <v>-0.33400000000000002</v>
      </c>
      <c r="E18" s="40">
        <v>0.85599999999999998</v>
      </c>
      <c r="F18" s="37"/>
      <c r="G18" s="37"/>
      <c r="H18" s="37"/>
      <c r="I18" s="47"/>
      <c r="J18" s="47"/>
      <c r="K18" s="47"/>
      <c r="L18" s="47"/>
      <c r="M18" s="40"/>
      <c r="N18" s="40"/>
    </row>
    <row r="20" spans="1:27" ht="16">
      <c r="A20" s="33" t="s">
        <v>532</v>
      </c>
      <c r="B20" s="34" t="s">
        <v>534</v>
      </c>
      <c r="C20" s="34" t="s">
        <v>19</v>
      </c>
      <c r="D20" s="34" t="s">
        <v>20</v>
      </c>
      <c r="E20" s="34" t="s">
        <v>21</v>
      </c>
      <c r="F20" s="34" t="s">
        <v>22</v>
      </c>
      <c r="G20" s="34" t="s">
        <v>23</v>
      </c>
      <c r="H20" s="34" t="s">
        <v>24</v>
      </c>
      <c r="I20" s="34" t="s">
        <v>25</v>
      </c>
      <c r="J20" s="34" t="s">
        <v>26</v>
      </c>
      <c r="K20" s="34" t="s">
        <v>27</v>
      </c>
      <c r="L20" s="34" t="s">
        <v>28</v>
      </c>
      <c r="M20" s="34" t="s">
        <v>29</v>
      </c>
      <c r="N20" s="34" t="s">
        <v>30</v>
      </c>
      <c r="O20" s="34" t="s">
        <v>31</v>
      </c>
    </row>
    <row r="21" spans="1:27">
      <c r="B21" s="22">
        <v>2023</v>
      </c>
      <c r="C21" s="35"/>
      <c r="D21" s="35"/>
      <c r="E21" s="35"/>
      <c r="F21" s="35"/>
      <c r="G21" s="35"/>
      <c r="H21" s="35">
        <v>8.6999999999999993</v>
      </c>
      <c r="I21" s="35">
        <v>4.3</v>
      </c>
      <c r="J21" s="35">
        <v>9.9</v>
      </c>
      <c r="K21" s="35">
        <v>11.5</v>
      </c>
      <c r="L21" s="35">
        <v>13.9</v>
      </c>
      <c r="M21" s="35">
        <v>16</v>
      </c>
      <c r="N21" s="35">
        <v>18</v>
      </c>
      <c r="O21" s="35"/>
    </row>
    <row r="22" spans="1:27" ht="16">
      <c r="B22" s="36" t="s">
        <v>33</v>
      </c>
      <c r="C22" s="37"/>
      <c r="D22" s="37"/>
      <c r="E22" s="37"/>
      <c r="F22" s="37"/>
      <c r="G22" s="37"/>
      <c r="H22" s="37"/>
      <c r="I22" s="47">
        <v>-0.50600000000000001</v>
      </c>
      <c r="J22" s="48">
        <v>1.3169999999999999</v>
      </c>
      <c r="K22" s="48">
        <v>0.15</v>
      </c>
      <c r="L22" s="40">
        <v>0.219</v>
      </c>
      <c r="M22" s="40">
        <v>0.151</v>
      </c>
      <c r="N22" s="40">
        <v>0.125</v>
      </c>
      <c r="O22" s="37"/>
    </row>
    <row r="23" spans="1:27">
      <c r="B23" s="22">
        <v>2024</v>
      </c>
      <c r="C23" s="35">
        <v>6.7</v>
      </c>
      <c r="D23" s="35">
        <v>3.8</v>
      </c>
      <c r="E23" s="35">
        <v>11</v>
      </c>
      <c r="F23" s="35"/>
      <c r="G23" s="35"/>
      <c r="H23" s="35"/>
      <c r="I23" s="35"/>
      <c r="J23" s="35"/>
      <c r="K23" s="35"/>
      <c r="L23" s="35"/>
      <c r="M23" s="35"/>
      <c r="N23" s="35"/>
    </row>
    <row r="24" spans="1:27" ht="16">
      <c r="B24" s="36" t="s">
        <v>33</v>
      </c>
      <c r="C24" s="40">
        <v>-0.627</v>
      </c>
      <c r="D24" s="40">
        <v>-0.432</v>
      </c>
      <c r="E24" s="40">
        <v>1.875</v>
      </c>
      <c r="F24" s="37"/>
      <c r="G24" s="37"/>
      <c r="H24" s="37"/>
      <c r="I24" s="47"/>
      <c r="J24" s="48"/>
      <c r="K24" s="48"/>
      <c r="L24" s="40"/>
      <c r="M24" s="40"/>
      <c r="N24" s="40"/>
    </row>
    <row r="29" spans="1:27">
      <c r="B29" t="s">
        <v>535</v>
      </c>
      <c r="F29" t="s">
        <v>77</v>
      </c>
      <c r="G29" t="s">
        <v>45</v>
      </c>
      <c r="K29" s="49" t="s">
        <v>536</v>
      </c>
    </row>
    <row r="30" spans="1:27">
      <c r="C30" s="276" t="s">
        <v>53</v>
      </c>
      <c r="D30" s="276"/>
      <c r="E30" s="276"/>
      <c r="F30" s="276"/>
      <c r="G30" s="276"/>
      <c r="H30" s="276" t="s">
        <v>54</v>
      </c>
      <c r="I30" s="276"/>
      <c r="J30" s="276"/>
      <c r="K30" s="276"/>
      <c r="L30" s="276"/>
      <c r="M30" s="276" t="s">
        <v>55</v>
      </c>
      <c r="N30" s="276"/>
      <c r="O30" s="276"/>
      <c r="P30" s="276"/>
      <c r="Q30" s="276"/>
      <c r="R30" s="276" t="s">
        <v>49</v>
      </c>
      <c r="S30" s="276"/>
      <c r="T30" s="276"/>
      <c r="U30" s="276"/>
      <c r="V30" s="276"/>
      <c r="W30" s="276" t="s">
        <v>56</v>
      </c>
      <c r="X30" s="276"/>
      <c r="Y30" s="276"/>
      <c r="Z30" s="276"/>
      <c r="AA30" s="276"/>
    </row>
    <row r="31" spans="1:27">
      <c r="C31" s="41" t="s">
        <v>46</v>
      </c>
      <c r="D31" s="41" t="s">
        <v>47</v>
      </c>
      <c r="E31" s="41" t="s">
        <v>79</v>
      </c>
      <c r="F31" s="41" t="s">
        <v>80</v>
      </c>
      <c r="G31" s="41" t="s">
        <v>48</v>
      </c>
      <c r="H31" s="41" t="s">
        <v>46</v>
      </c>
      <c r="I31" s="41" t="s">
        <v>47</v>
      </c>
      <c r="J31" s="41" t="s">
        <v>79</v>
      </c>
      <c r="K31" s="41" t="s">
        <v>80</v>
      </c>
      <c r="L31" s="41" t="s">
        <v>48</v>
      </c>
      <c r="M31" s="41" t="s">
        <v>46</v>
      </c>
      <c r="N31" s="41" t="s">
        <v>47</v>
      </c>
      <c r="O31" s="41" t="s">
        <v>79</v>
      </c>
      <c r="P31" s="41" t="s">
        <v>80</v>
      </c>
      <c r="Q31" s="41" t="s">
        <v>48</v>
      </c>
      <c r="R31" s="41" t="s">
        <v>46</v>
      </c>
      <c r="S31" s="41" t="s">
        <v>47</v>
      </c>
      <c r="T31" s="41" t="s">
        <v>79</v>
      </c>
      <c r="U31" s="41" t="s">
        <v>80</v>
      </c>
      <c r="V31" s="41" t="s">
        <v>48</v>
      </c>
      <c r="W31" s="41" t="s">
        <v>46</v>
      </c>
      <c r="X31" s="41" t="s">
        <v>47</v>
      </c>
      <c r="Y31" s="41" t="s">
        <v>79</v>
      </c>
      <c r="Z31" s="41" t="s">
        <v>80</v>
      </c>
      <c r="AA31" s="41" t="s">
        <v>48</v>
      </c>
    </row>
    <row r="32" spans="1:27">
      <c r="B32" t="s">
        <v>19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R32" s="18"/>
      <c r="S32" s="18"/>
      <c r="T32" s="18"/>
      <c r="U32" s="18"/>
      <c r="V32" s="18"/>
      <c r="W32" s="18">
        <v>20.399999999999999</v>
      </c>
      <c r="X32" s="18">
        <v>36.799999999999997</v>
      </c>
      <c r="Y32" s="18"/>
      <c r="Z32" s="18"/>
      <c r="AA32" s="18">
        <v>57.1</v>
      </c>
    </row>
    <row r="33" spans="2:28">
      <c r="B33" t="s">
        <v>20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R33" s="27"/>
      <c r="S33" s="27"/>
      <c r="T33" s="27"/>
      <c r="U33" s="27"/>
      <c r="V33" s="27"/>
      <c r="W33" s="27">
        <v>14</v>
      </c>
      <c r="X33" s="27">
        <v>19.399999999999999</v>
      </c>
      <c r="Y33" s="27"/>
      <c r="Z33" s="27"/>
      <c r="AA33" s="27">
        <v>33.5</v>
      </c>
      <c r="AB33" t="s">
        <v>537</v>
      </c>
    </row>
    <row r="34" spans="2:28">
      <c r="B34" t="s">
        <v>21</v>
      </c>
      <c r="C34" s="23">
        <v>4.7022000000000004</v>
      </c>
      <c r="D34" s="23">
        <v>3.2141999999999999</v>
      </c>
      <c r="E34" s="23">
        <v>9.1999999999999998E-3</v>
      </c>
      <c r="F34" s="23">
        <v>1.1000000000000001E-3</v>
      </c>
      <c r="G34" s="23">
        <v>7.9267000000000003</v>
      </c>
      <c r="H34" s="23">
        <v>12.7028</v>
      </c>
      <c r="I34" s="23">
        <v>11.1326</v>
      </c>
      <c r="J34" s="23">
        <v>1.3599999999999999E-2</v>
      </c>
      <c r="K34" s="23">
        <v>7.1000000000000004E-3</v>
      </c>
      <c r="L34" s="23">
        <v>23.856100000000001</v>
      </c>
      <c r="M34" s="23">
        <v>27.5427</v>
      </c>
      <c r="N34" s="23">
        <v>37.351300000000002</v>
      </c>
      <c r="O34" s="23">
        <v>0.11360000000000001</v>
      </c>
      <c r="P34" s="23">
        <v>2.69E-2</v>
      </c>
      <c r="Q34" s="23">
        <v>65.034499999999994</v>
      </c>
      <c r="R34" s="27">
        <v>44.745800000000003</v>
      </c>
      <c r="S34" s="27">
        <v>63.563400000000001</v>
      </c>
      <c r="T34" s="27">
        <v>4.0500000000000001E-2</v>
      </c>
      <c r="U34" s="27">
        <v>3.1899999999999998E-2</v>
      </c>
      <c r="V34" s="27">
        <v>108.4623</v>
      </c>
      <c r="W34" s="27">
        <v>23.2</v>
      </c>
      <c r="X34" s="27">
        <v>38.799999999999997</v>
      </c>
      <c r="Y34" s="27"/>
      <c r="Z34" s="27"/>
      <c r="AA34" s="27">
        <v>62.3</v>
      </c>
      <c r="AB34" t="s">
        <v>538</v>
      </c>
    </row>
    <row r="35" spans="2:28">
      <c r="B35" t="s">
        <v>22</v>
      </c>
      <c r="C35" s="23"/>
      <c r="D35" s="23"/>
      <c r="E35" s="23"/>
      <c r="F35" s="23"/>
      <c r="G35" s="23"/>
      <c r="H35" s="23"/>
      <c r="I35" s="23"/>
      <c r="J35" s="23"/>
      <c r="L35" s="23"/>
      <c r="R35" s="27"/>
      <c r="S35" s="27"/>
      <c r="T35" s="27"/>
      <c r="U35" s="27"/>
      <c r="V35" s="27"/>
      <c r="W35" s="27"/>
      <c r="X35" s="27"/>
      <c r="Y35" s="27"/>
      <c r="Z35" s="27"/>
      <c r="AA35" s="27"/>
    </row>
    <row r="36" spans="2:28">
      <c r="B36" t="s">
        <v>23</v>
      </c>
      <c r="C36" s="23"/>
      <c r="D36" s="23"/>
      <c r="E36" s="23"/>
      <c r="F36" s="23"/>
      <c r="G36" s="23"/>
      <c r="H36" s="23"/>
      <c r="I36" s="23"/>
      <c r="J36" s="23"/>
      <c r="L36" s="23"/>
      <c r="R36" s="27"/>
      <c r="S36" s="27"/>
      <c r="T36" s="27"/>
      <c r="U36" s="27"/>
      <c r="V36" s="27"/>
      <c r="W36" s="27"/>
      <c r="X36" s="27"/>
      <c r="Y36" s="27"/>
      <c r="Z36" s="27"/>
      <c r="AA36" s="27"/>
    </row>
    <row r="37" spans="2:28">
      <c r="B37" t="s">
        <v>24</v>
      </c>
      <c r="C37" s="23">
        <v>12.619</v>
      </c>
      <c r="D37" s="23">
        <v>8.5464000000000002</v>
      </c>
      <c r="E37" s="23">
        <v>7.6799999999999993E-2</v>
      </c>
      <c r="F37" s="23">
        <v>1.18E-2</v>
      </c>
      <c r="G37" s="23">
        <v>21.254000000000001</v>
      </c>
      <c r="H37" s="23">
        <v>27.2041</v>
      </c>
      <c r="I37" s="23">
        <v>30.764299999999999</v>
      </c>
      <c r="J37" s="23">
        <v>9.7600000000000006E-2</v>
      </c>
      <c r="K37" s="23">
        <v>8.5500000000000007E-2</v>
      </c>
      <c r="L37" s="23">
        <v>58.151499999999999</v>
      </c>
      <c r="M37" s="23">
        <v>83.814599999999999</v>
      </c>
      <c r="N37" s="23">
        <v>121.2616</v>
      </c>
      <c r="O37" s="23">
        <v>0.25659999999999999</v>
      </c>
      <c r="P37" s="23">
        <v>6.6000000000000003E-2</v>
      </c>
      <c r="Q37" s="23">
        <v>205.39879999999999</v>
      </c>
      <c r="R37" s="27">
        <v>99.7958</v>
      </c>
      <c r="S37" s="27">
        <v>156.2636</v>
      </c>
      <c r="T37" s="27">
        <v>0.2215</v>
      </c>
      <c r="U37" s="27">
        <v>6.4899999999999999E-2</v>
      </c>
      <c r="V37" s="27">
        <v>256.54219999999998</v>
      </c>
      <c r="W37" s="27"/>
      <c r="X37" s="27"/>
      <c r="Y37" s="27"/>
      <c r="Z37" s="27"/>
      <c r="AA37" s="27"/>
    </row>
    <row r="38" spans="2:28">
      <c r="B38" t="s">
        <v>25</v>
      </c>
      <c r="C38" s="23"/>
      <c r="D38" s="23"/>
      <c r="E38" s="23"/>
      <c r="F38" s="23"/>
      <c r="G38" s="23"/>
      <c r="H38" s="23"/>
      <c r="I38" s="23"/>
      <c r="J38" s="23"/>
      <c r="L38" s="23"/>
      <c r="R38" s="27">
        <v>119.62690000000001</v>
      </c>
      <c r="S38" s="27">
        <v>189.56649999999999</v>
      </c>
      <c r="T38" s="27">
        <v>0.57720000000000005</v>
      </c>
      <c r="U38" s="27"/>
      <c r="V38" s="27">
        <v>309.7706</v>
      </c>
      <c r="W38" s="27"/>
      <c r="X38" s="27"/>
      <c r="Y38" s="27"/>
      <c r="Z38" s="27"/>
      <c r="AA38" s="27"/>
    </row>
    <row r="39" spans="2:28">
      <c r="B39" t="s">
        <v>26</v>
      </c>
      <c r="G39" s="23"/>
      <c r="H39" s="23"/>
      <c r="I39" s="23"/>
      <c r="J39" s="23"/>
      <c r="L39" s="23"/>
      <c r="R39" s="27">
        <v>140.70939999999999</v>
      </c>
      <c r="S39" s="27">
        <v>223.428</v>
      </c>
      <c r="T39" s="27">
        <v>0.71540000000000004</v>
      </c>
      <c r="U39" s="27"/>
      <c r="V39" s="27">
        <v>364.8528</v>
      </c>
      <c r="W39" s="27"/>
      <c r="X39" s="27"/>
      <c r="Y39" s="27"/>
      <c r="Z39" s="27"/>
      <c r="AA39" s="27"/>
    </row>
    <row r="40" spans="2:28">
      <c r="B40" t="s">
        <v>27</v>
      </c>
      <c r="C40" s="23">
        <v>20.9026</v>
      </c>
      <c r="D40" s="23">
        <v>17.451000000000001</v>
      </c>
      <c r="E40" s="23">
        <v>0.13439999999999999</v>
      </c>
      <c r="F40" s="23">
        <v>6.7900000000000002E-2</v>
      </c>
      <c r="G40" s="23">
        <v>38.555900000000001</v>
      </c>
      <c r="H40" s="23">
        <v>49.281599999999997</v>
      </c>
      <c r="I40" s="23">
        <v>56.722799999999999</v>
      </c>
      <c r="J40" s="23">
        <v>0.10780000000000001</v>
      </c>
      <c r="K40" s="23">
        <v>0.64029999999999998</v>
      </c>
      <c r="L40" s="23">
        <v>106.7525</v>
      </c>
      <c r="M40" s="23">
        <v>163.8272</v>
      </c>
      <c r="N40" s="23">
        <v>203.04259999999999</v>
      </c>
      <c r="O40" s="23">
        <v>0.3755</v>
      </c>
      <c r="P40" s="23">
        <v>6.9199999999999998E-2</v>
      </c>
      <c r="Q40" s="23">
        <v>367.44330000000002</v>
      </c>
      <c r="R40" s="27">
        <v>165.3</v>
      </c>
      <c r="S40" s="27">
        <v>258.7</v>
      </c>
      <c r="T40" s="27">
        <v>1</v>
      </c>
      <c r="U40" s="27"/>
      <c r="V40" s="27">
        <f>SUM(R40:U40)</f>
        <v>425</v>
      </c>
      <c r="W40" s="27"/>
      <c r="X40" s="27"/>
      <c r="Y40" s="27"/>
      <c r="Z40" s="27"/>
      <c r="AA40" s="27"/>
    </row>
    <row r="41" spans="2:28">
      <c r="B41" t="s">
        <v>28</v>
      </c>
      <c r="C41" s="23"/>
      <c r="D41" s="23"/>
      <c r="E41" s="23"/>
      <c r="F41" s="23"/>
      <c r="G41" s="23"/>
      <c r="H41" s="23"/>
      <c r="I41" s="23"/>
      <c r="J41" s="23"/>
      <c r="L41" s="23"/>
      <c r="R41" s="27">
        <v>188.9</v>
      </c>
      <c r="S41" s="27">
        <v>296</v>
      </c>
      <c r="T41" s="27"/>
      <c r="U41" s="27"/>
      <c r="V41" s="27">
        <f>SUM(R41:U41)</f>
        <v>484.9</v>
      </c>
      <c r="W41" s="27"/>
      <c r="X41" s="27"/>
      <c r="Y41" s="27"/>
      <c r="Z41" s="27"/>
      <c r="AA41" s="27"/>
    </row>
    <row r="42" spans="2:28">
      <c r="B42" t="s">
        <v>29</v>
      </c>
      <c r="G42" s="23"/>
      <c r="H42" s="23"/>
      <c r="I42" s="23"/>
      <c r="J42" s="23"/>
      <c r="L42" s="23"/>
      <c r="R42" s="27">
        <v>218.1</v>
      </c>
      <c r="S42" s="27">
        <v>334.7</v>
      </c>
      <c r="T42" s="27"/>
      <c r="U42" s="27"/>
      <c r="V42" s="27">
        <v>554.1</v>
      </c>
      <c r="W42" s="27"/>
      <c r="X42" s="27"/>
      <c r="Y42" s="27"/>
      <c r="Z42" s="27"/>
      <c r="AA42" s="27"/>
    </row>
    <row r="43" spans="2:28">
      <c r="B43" t="s">
        <v>30</v>
      </c>
      <c r="C43" s="23">
        <v>34.770000000000003</v>
      </c>
      <c r="D43" s="23">
        <v>30.718900000000001</v>
      </c>
      <c r="E43" s="23">
        <v>0.22819999999999999</v>
      </c>
      <c r="F43" s="23">
        <v>0.15559999999999999</v>
      </c>
      <c r="G43" s="23">
        <v>65.872699999999995</v>
      </c>
      <c r="H43" s="23">
        <v>79.580399999999997</v>
      </c>
      <c r="I43" s="23">
        <v>105.97110000000001</v>
      </c>
      <c r="J43" s="23">
        <v>0.27789999999999998</v>
      </c>
      <c r="K43" s="23">
        <v>0.1231</v>
      </c>
      <c r="L43" s="23">
        <v>185.95249999999999</v>
      </c>
      <c r="M43" s="23">
        <v>193.53630000000001</v>
      </c>
      <c r="N43" s="23">
        <v>270.95519999999999</v>
      </c>
      <c r="O43" s="23">
        <v>0.63570000000000004</v>
      </c>
      <c r="P43" s="23">
        <v>0.1227</v>
      </c>
      <c r="Q43" s="23">
        <v>465.50189999999998</v>
      </c>
      <c r="R43" s="27">
        <v>249.6</v>
      </c>
      <c r="S43" s="27">
        <v>365.2</v>
      </c>
      <c r="T43" s="27"/>
      <c r="U43" s="27"/>
      <c r="V43" s="27">
        <v>616.29999999999995</v>
      </c>
      <c r="W43" s="27"/>
      <c r="X43" s="27"/>
      <c r="Y43" s="27"/>
      <c r="Z43" s="27"/>
      <c r="AA43" s="27"/>
    </row>
    <row r="44" spans="2:28">
      <c r="C44" s="41"/>
      <c r="D44" s="41"/>
      <c r="E44" s="41"/>
      <c r="F44" s="41"/>
      <c r="V44" s="39" t="s">
        <v>539</v>
      </c>
    </row>
    <row r="45" spans="2:28">
      <c r="C45" s="24"/>
      <c r="D45" s="24"/>
      <c r="E45" s="24"/>
      <c r="F45" s="24"/>
    </row>
    <row r="46" spans="2:28">
      <c r="C46" s="24"/>
      <c r="D46" s="24"/>
      <c r="E46" s="24"/>
      <c r="F46" s="24"/>
    </row>
    <row r="47" spans="2:28">
      <c r="C47" s="24"/>
      <c r="D47" s="24"/>
      <c r="E47" s="24"/>
      <c r="F47" s="24"/>
    </row>
    <row r="48" spans="2:28">
      <c r="C48" s="24"/>
      <c r="D48" s="24"/>
      <c r="E48" s="24"/>
      <c r="F48" s="24"/>
    </row>
    <row r="49" spans="3:6">
      <c r="C49" s="24"/>
      <c r="D49" s="24"/>
      <c r="E49" s="24"/>
      <c r="F49" s="24"/>
    </row>
    <row r="50" spans="3:6">
      <c r="C50" s="24"/>
      <c r="D50" s="24"/>
      <c r="E50" s="24"/>
      <c r="F50" s="24"/>
    </row>
    <row r="51" spans="3:6">
      <c r="C51" s="24"/>
      <c r="D51" s="24"/>
      <c r="E51" s="24"/>
      <c r="F51" s="24"/>
    </row>
    <row r="52" spans="3:6">
      <c r="C52" s="24"/>
      <c r="D52" s="24"/>
      <c r="E52" s="24"/>
      <c r="F52" s="24"/>
    </row>
    <row r="53" spans="3:6">
      <c r="C53" s="23"/>
      <c r="D53" s="23"/>
      <c r="E53" s="23"/>
      <c r="F53" s="23"/>
    </row>
    <row r="54" spans="3:6">
      <c r="C54" s="23"/>
      <c r="D54" s="23"/>
      <c r="E54" s="23"/>
      <c r="F54" s="23"/>
    </row>
    <row r="55" spans="3:6">
      <c r="C55" s="23"/>
      <c r="D55" s="23"/>
      <c r="E55" s="23"/>
      <c r="F55" s="23"/>
    </row>
    <row r="56" spans="3:6">
      <c r="C56" s="23"/>
      <c r="D56" s="23"/>
      <c r="E56" s="23"/>
      <c r="F56" s="23"/>
    </row>
  </sheetData>
  <mergeCells count="5">
    <mergeCell ref="C30:G30"/>
    <mergeCell ref="H30:L30"/>
    <mergeCell ref="M30:Q30"/>
    <mergeCell ref="R30:V30"/>
    <mergeCell ref="W30:AA30"/>
  </mergeCells>
  <phoneticPr fontId="45" type="noConversion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Y108"/>
  <sheetViews>
    <sheetView zoomScale="85" zoomScaleNormal="85" workbookViewId="0">
      <selection activeCell="J17" sqref="J17"/>
    </sheetView>
  </sheetViews>
  <sheetFormatPr baseColWidth="10" defaultColWidth="9" defaultRowHeight="14"/>
  <cols>
    <col min="7" max="7" width="10.1640625" customWidth="1"/>
    <col min="10" max="10" width="12.83203125" customWidth="1"/>
    <col min="11" max="11" width="10.83203125" customWidth="1"/>
    <col min="12" max="13" width="12.83203125" customWidth="1"/>
    <col min="15" max="15" width="12.83203125" customWidth="1"/>
    <col min="16" max="16" width="8.83203125" customWidth="1"/>
    <col min="45" max="45" width="12.83203125" customWidth="1"/>
  </cols>
  <sheetData>
    <row r="1" spans="1:43" ht="13.5">
      <c r="A1" t="s">
        <v>540</v>
      </c>
      <c r="B1" t="s">
        <v>44</v>
      </c>
      <c r="C1" t="s">
        <v>45</v>
      </c>
      <c r="R1" t="s">
        <v>541</v>
      </c>
      <c r="S1" t="s">
        <v>540</v>
      </c>
      <c r="T1" t="s">
        <v>44</v>
      </c>
      <c r="U1" t="s">
        <v>45</v>
      </c>
      <c r="AE1" t="s">
        <v>542</v>
      </c>
      <c r="AJ1" t="s">
        <v>540</v>
      </c>
      <c r="AK1" t="s">
        <v>44</v>
      </c>
      <c r="AL1" t="s">
        <v>45</v>
      </c>
    </row>
    <row r="2" spans="1:43" ht="13.5">
      <c r="B2" t="s">
        <v>53</v>
      </c>
      <c r="C2" t="s">
        <v>54</v>
      </c>
      <c r="D2" t="s">
        <v>55</v>
      </c>
      <c r="E2" t="s">
        <v>49</v>
      </c>
      <c r="F2" t="s">
        <v>56</v>
      </c>
      <c r="T2" t="s">
        <v>53</v>
      </c>
      <c r="U2" t="s">
        <v>54</v>
      </c>
      <c r="V2" t="s">
        <v>55</v>
      </c>
      <c r="W2" t="s">
        <v>49</v>
      </c>
      <c r="X2" t="s">
        <v>56</v>
      </c>
      <c r="AK2" t="s">
        <v>53</v>
      </c>
      <c r="AL2" t="s">
        <v>54</v>
      </c>
      <c r="AM2" t="s">
        <v>55</v>
      </c>
      <c r="AN2" t="s">
        <v>49</v>
      </c>
      <c r="AO2" t="s">
        <v>56</v>
      </c>
    </row>
    <row r="3" spans="1:43" ht="13.5">
      <c r="A3" t="s">
        <v>19</v>
      </c>
      <c r="B3" s="24">
        <v>2.89</v>
      </c>
      <c r="C3" s="24">
        <v>12.05</v>
      </c>
      <c r="D3" s="24">
        <v>29.66</v>
      </c>
      <c r="E3" s="24">
        <v>28.2</v>
      </c>
      <c r="F3">
        <v>65.2</v>
      </c>
      <c r="K3" s="24"/>
      <c r="L3" s="24"/>
      <c r="O3" s="24"/>
      <c r="P3" s="24"/>
      <c r="Q3" s="24"/>
      <c r="R3" s="24"/>
      <c r="S3" t="s">
        <v>19</v>
      </c>
      <c r="T3" s="24">
        <v>0.36599999999999999</v>
      </c>
      <c r="U3" s="24">
        <v>6.8475000000000001</v>
      </c>
      <c r="V3" s="24">
        <v>10.815300000000001</v>
      </c>
      <c r="W3" s="24">
        <v>9.8129000000000008</v>
      </c>
      <c r="X3">
        <v>22.7</v>
      </c>
      <c r="Y3" s="24"/>
      <c r="Z3" s="24"/>
      <c r="AA3" s="24"/>
      <c r="AE3" s="24"/>
      <c r="AJ3" t="s">
        <v>19</v>
      </c>
      <c r="AK3" s="24">
        <v>0.45540000000000003</v>
      </c>
      <c r="AL3" s="24">
        <v>5.1936999999999998</v>
      </c>
      <c r="AM3" s="24">
        <v>18.790099999999999</v>
      </c>
      <c r="AN3" s="24">
        <v>18.32</v>
      </c>
      <c r="AO3" s="24">
        <v>42.4</v>
      </c>
      <c r="AP3" s="24"/>
      <c r="AQ3" s="24"/>
    </row>
    <row r="4" spans="1:43" ht="13.5">
      <c r="A4" t="s">
        <v>20</v>
      </c>
      <c r="B4" s="24">
        <v>3.79</v>
      </c>
      <c r="C4" s="24">
        <v>21.5</v>
      </c>
      <c r="D4" s="24">
        <v>61.43</v>
      </c>
      <c r="E4" s="24">
        <v>69.650000000000006</v>
      </c>
      <c r="F4">
        <v>108.8</v>
      </c>
      <c r="K4" s="24"/>
      <c r="L4" s="24"/>
      <c r="O4" s="24"/>
      <c r="P4" s="24"/>
      <c r="Q4" s="24"/>
      <c r="R4" s="24"/>
      <c r="S4" t="s">
        <v>20</v>
      </c>
      <c r="T4" s="24">
        <v>0.82889999999999997</v>
      </c>
      <c r="U4" s="24">
        <v>11.9696</v>
      </c>
      <c r="V4" s="24">
        <v>22.4544</v>
      </c>
      <c r="W4" s="24">
        <v>24.366299999999999</v>
      </c>
      <c r="X4">
        <v>37.5</v>
      </c>
      <c r="Y4" s="24"/>
      <c r="Z4" s="24"/>
      <c r="AA4" s="24"/>
      <c r="AE4" s="24"/>
      <c r="AJ4" t="s">
        <v>20</v>
      </c>
      <c r="AK4" s="24">
        <v>0.89429999999999998</v>
      </c>
      <c r="AL4" s="24">
        <v>9.5144000000000002</v>
      </c>
      <c r="AM4" s="24">
        <v>38.842300000000002</v>
      </c>
      <c r="AN4" s="24">
        <v>45.131100000000004</v>
      </c>
      <c r="AO4" s="24">
        <v>71</v>
      </c>
      <c r="AP4" s="24"/>
      <c r="AQ4" s="24"/>
    </row>
    <row r="5" spans="1:43" ht="13.5">
      <c r="A5" t="s">
        <v>21</v>
      </c>
      <c r="B5" s="24">
        <v>8.27</v>
      </c>
      <c r="C5" s="24">
        <v>32.78</v>
      </c>
      <c r="D5" s="24">
        <v>100.61</v>
      </c>
      <c r="E5" s="24">
        <v>120.84</v>
      </c>
      <c r="F5">
        <v>184.6</v>
      </c>
      <c r="K5" s="24"/>
      <c r="L5" s="24"/>
      <c r="O5" s="24"/>
      <c r="P5" s="24"/>
      <c r="Q5" s="24"/>
      <c r="R5" s="24"/>
      <c r="S5" t="s">
        <v>21</v>
      </c>
      <c r="T5" s="24">
        <v>4.0715000000000003</v>
      </c>
      <c r="U5" s="24">
        <v>17.7944</v>
      </c>
      <c r="V5" s="24">
        <v>38.022599999999997</v>
      </c>
      <c r="W5" s="24">
        <v>42.5931</v>
      </c>
      <c r="Y5" s="24"/>
      <c r="Z5" s="24"/>
      <c r="AA5" s="24"/>
      <c r="AE5" s="24"/>
      <c r="AJ5" t="s">
        <v>21</v>
      </c>
      <c r="AK5" s="24">
        <v>2.1288</v>
      </c>
      <c r="AL5" s="24">
        <v>14.962</v>
      </c>
      <c r="AM5" s="24">
        <v>62.423999999999999</v>
      </c>
      <c r="AN5" s="24">
        <v>78.023099999999999</v>
      </c>
      <c r="AO5" s="24"/>
      <c r="AP5" s="24"/>
      <c r="AQ5" s="24"/>
    </row>
    <row r="6" spans="1:43" ht="13.5">
      <c r="A6" t="s">
        <v>22</v>
      </c>
      <c r="B6" s="24">
        <v>12.99</v>
      </c>
      <c r="C6" s="24">
        <v>45.71</v>
      </c>
      <c r="D6" s="24">
        <v>129.57</v>
      </c>
      <c r="E6" s="24">
        <v>167.8</v>
      </c>
      <c r="K6" s="24"/>
      <c r="L6" s="24"/>
      <c r="O6" s="24"/>
      <c r="P6" s="24"/>
      <c r="Q6" s="24"/>
      <c r="R6" s="24"/>
      <c r="S6" t="s">
        <v>22</v>
      </c>
      <c r="T6" s="24">
        <v>6.9337999999999997</v>
      </c>
      <c r="U6" s="24">
        <v>24.499500000000001</v>
      </c>
      <c r="V6" s="24">
        <v>48.317999999999998</v>
      </c>
      <c r="W6" s="24">
        <v>60.190300000000001</v>
      </c>
      <c r="Y6" s="24"/>
      <c r="Z6" s="24"/>
      <c r="AA6" s="24"/>
      <c r="AE6" s="24"/>
      <c r="AJ6" t="s">
        <v>22</v>
      </c>
      <c r="AK6" s="24">
        <v>3.9750000000000001</v>
      </c>
      <c r="AL6" s="24">
        <v>21.154599999999999</v>
      </c>
      <c r="AM6" s="24">
        <v>81.047399999999996</v>
      </c>
      <c r="AN6" s="24">
        <v>107.3424</v>
      </c>
      <c r="AO6" s="24"/>
      <c r="AP6" s="24"/>
      <c r="AQ6" s="24"/>
    </row>
    <row r="7" spans="1:43" ht="13.5">
      <c r="A7" t="s">
        <v>23</v>
      </c>
      <c r="B7" s="24">
        <v>18.190000000000001</v>
      </c>
      <c r="C7" s="24">
        <v>59.5</v>
      </c>
      <c r="D7" s="24">
        <v>165.15</v>
      </c>
      <c r="E7" s="24">
        <v>224.36</v>
      </c>
      <c r="K7" s="24"/>
      <c r="L7" s="24"/>
      <c r="O7" s="24"/>
      <c r="P7" s="24"/>
      <c r="Q7" s="24"/>
      <c r="R7" s="24"/>
      <c r="S7" t="s">
        <v>23</v>
      </c>
      <c r="T7" s="24">
        <v>10.003</v>
      </c>
      <c r="U7" s="24">
        <v>29.498999999999999</v>
      </c>
      <c r="V7" s="24">
        <v>64.600399999999993</v>
      </c>
      <c r="W7" s="24">
        <v>78.801299999999998</v>
      </c>
      <c r="Y7" s="24"/>
      <c r="Z7" s="24"/>
      <c r="AA7" s="24"/>
      <c r="AE7" s="24"/>
      <c r="AJ7" t="s">
        <v>23</v>
      </c>
      <c r="AK7" s="24">
        <v>6.0754999999999999</v>
      </c>
      <c r="AL7" s="24">
        <v>29.920500000000001</v>
      </c>
      <c r="AM7" s="24">
        <v>100.2813</v>
      </c>
      <c r="AN7" s="24">
        <v>145.1601</v>
      </c>
      <c r="AO7" s="24"/>
      <c r="AP7" s="24"/>
      <c r="AQ7" s="24"/>
    </row>
    <row r="8" spans="1:43" ht="13.5">
      <c r="A8" t="s">
        <v>24</v>
      </c>
      <c r="B8" s="24">
        <v>23.54</v>
      </c>
      <c r="C8" s="24">
        <v>74.7</v>
      </c>
      <c r="D8" s="24">
        <v>206.44</v>
      </c>
      <c r="E8" s="24">
        <v>284.48</v>
      </c>
      <c r="K8" s="24"/>
      <c r="L8" s="24"/>
      <c r="O8" s="24"/>
      <c r="P8" s="24"/>
      <c r="Q8" s="24"/>
      <c r="R8" s="24"/>
      <c r="S8" t="s">
        <v>24</v>
      </c>
      <c r="T8" s="24">
        <v>13.1518</v>
      </c>
      <c r="U8" s="24">
        <v>36.855200000000004</v>
      </c>
      <c r="V8" s="24">
        <v>82.912700000000001</v>
      </c>
      <c r="W8" s="24">
        <v>96.497900000000001</v>
      </c>
      <c r="Y8" s="24"/>
      <c r="Z8" s="24"/>
      <c r="AA8" s="24"/>
      <c r="AE8" s="24"/>
      <c r="AJ8" t="s">
        <v>24</v>
      </c>
      <c r="AK8" s="24">
        <v>8.2577999999999996</v>
      </c>
      <c r="AL8" s="24">
        <v>37.697899999999997</v>
      </c>
      <c r="AM8" s="24">
        <v>123.21120000000001</v>
      </c>
      <c r="AN8" s="24">
        <v>187.40299999999999</v>
      </c>
      <c r="AO8" s="24"/>
      <c r="AP8" s="24"/>
      <c r="AQ8" s="24"/>
    </row>
    <row r="9" spans="1:43" ht="13.5">
      <c r="A9" t="s">
        <v>25</v>
      </c>
      <c r="B9" s="24">
        <v>29.62</v>
      </c>
      <c r="C9" s="24">
        <v>92.05</v>
      </c>
      <c r="D9" s="24">
        <v>253.67</v>
      </c>
      <c r="E9" s="24">
        <v>345.47500000000002</v>
      </c>
      <c r="K9" s="24"/>
      <c r="L9" s="24"/>
      <c r="O9" s="24"/>
      <c r="P9" s="24"/>
      <c r="Q9" s="24"/>
      <c r="R9" s="24"/>
      <c r="S9" t="s">
        <v>25</v>
      </c>
      <c r="T9" s="24">
        <v>16.4255</v>
      </c>
      <c r="U9" s="24">
        <v>44.8414</v>
      </c>
      <c r="V9" s="24">
        <v>99.496499999999997</v>
      </c>
      <c r="W9" s="24">
        <v>116.8922</v>
      </c>
      <c r="Y9" s="24"/>
      <c r="Z9" s="24"/>
      <c r="AA9" s="24"/>
      <c r="AE9" s="24"/>
      <c r="AJ9" t="s">
        <v>25</v>
      </c>
      <c r="AK9" s="24">
        <v>11.0328</v>
      </c>
      <c r="AL9" s="24">
        <v>47.028199999999998</v>
      </c>
      <c r="AM9" s="24">
        <v>153.81450000000001</v>
      </c>
      <c r="AN9" s="24">
        <v>227.9023</v>
      </c>
      <c r="AO9" s="24"/>
      <c r="AP9" s="24"/>
      <c r="AQ9" s="24"/>
    </row>
    <row r="10" spans="1:43" ht="13.5">
      <c r="A10" t="s">
        <v>26</v>
      </c>
      <c r="B10" s="24">
        <v>37.07</v>
      </c>
      <c r="C10" s="24">
        <v>111.53</v>
      </c>
      <c r="D10" s="24">
        <v>303.74</v>
      </c>
      <c r="E10" s="25">
        <v>418.77499999999998</v>
      </c>
      <c r="K10" s="24"/>
      <c r="L10" s="24"/>
      <c r="O10" s="24"/>
      <c r="P10" s="24"/>
      <c r="Q10" s="24"/>
      <c r="R10" s="24"/>
      <c r="S10" t="s">
        <v>26</v>
      </c>
      <c r="T10" s="24">
        <v>20.794</v>
      </c>
      <c r="U10" s="24">
        <v>53.208100000000002</v>
      </c>
      <c r="V10" s="24">
        <v>118.7471</v>
      </c>
      <c r="W10" s="24">
        <v>140.02500000000001</v>
      </c>
      <c r="Y10" s="24"/>
      <c r="Z10" s="24"/>
      <c r="AA10" s="24"/>
      <c r="AE10" s="24"/>
      <c r="AJ10" t="s">
        <v>26</v>
      </c>
      <c r="AK10" s="24">
        <v>14.0436</v>
      </c>
      <c r="AL10" s="24">
        <v>58.113999999999997</v>
      </c>
      <c r="AM10" s="24">
        <v>184.58260000000001</v>
      </c>
      <c r="AN10" s="24">
        <v>277.93520000000001</v>
      </c>
      <c r="AO10" s="24"/>
      <c r="AP10" s="24"/>
      <c r="AQ10" s="24"/>
    </row>
    <row r="11" spans="1:43" ht="13.5">
      <c r="A11" t="s">
        <v>27</v>
      </c>
      <c r="B11" s="24">
        <v>45.69</v>
      </c>
      <c r="C11" s="24">
        <v>134.69999999999999</v>
      </c>
      <c r="D11" s="24">
        <v>362.88</v>
      </c>
      <c r="E11" s="24">
        <v>496.17500000000001</v>
      </c>
      <c r="K11" s="24"/>
      <c r="L11" s="24"/>
      <c r="O11" s="24"/>
      <c r="P11" s="24"/>
      <c r="Q11" s="24"/>
      <c r="R11" s="24"/>
      <c r="S11" t="s">
        <v>27</v>
      </c>
      <c r="T11" s="24">
        <v>25.547699999999999</v>
      </c>
      <c r="U11" s="24">
        <v>62.838299999999997</v>
      </c>
      <c r="V11" s="24">
        <v>143.02539999999999</v>
      </c>
      <c r="W11" s="24">
        <v>165.32499999999999</v>
      </c>
      <c r="Y11" s="24"/>
      <c r="Z11" s="24"/>
      <c r="AA11" s="24"/>
      <c r="AE11" s="24"/>
      <c r="AJ11" t="s">
        <v>27</v>
      </c>
      <c r="AK11" s="24">
        <v>17.8826</v>
      </c>
      <c r="AL11" s="24">
        <v>71.628100000000003</v>
      </c>
      <c r="AM11" s="24">
        <v>219.36240000000001</v>
      </c>
      <c r="AN11" s="24">
        <v>329.83519999999999</v>
      </c>
      <c r="AO11" s="24"/>
      <c r="AP11" s="24"/>
      <c r="AQ11" s="24"/>
    </row>
    <row r="12" spans="1:43" ht="13.5">
      <c r="A12" t="s">
        <v>28</v>
      </c>
      <c r="B12" s="24">
        <v>55.55</v>
      </c>
      <c r="C12" s="24">
        <v>159.82</v>
      </c>
      <c r="D12" s="24">
        <v>425.7</v>
      </c>
      <c r="E12" s="24">
        <v>611</v>
      </c>
      <c r="K12" s="24"/>
      <c r="L12" s="24"/>
      <c r="O12" s="24"/>
      <c r="P12" s="24"/>
      <c r="Q12" s="24"/>
      <c r="R12" s="24"/>
      <c r="S12" t="s">
        <v>28</v>
      </c>
      <c r="T12" s="24">
        <v>31.065000000000001</v>
      </c>
      <c r="U12" s="24">
        <v>72.038499999999999</v>
      </c>
      <c r="V12" s="24">
        <v>167.2654</v>
      </c>
      <c r="W12" s="24">
        <v>193.3</v>
      </c>
      <c r="Y12" s="24"/>
      <c r="Z12" s="24"/>
      <c r="AA12" s="24"/>
      <c r="AE12" s="24"/>
      <c r="AJ12" t="s">
        <v>28</v>
      </c>
      <c r="AK12" s="24">
        <v>22.205200000000001</v>
      </c>
      <c r="AL12" s="24">
        <v>87.520200000000003</v>
      </c>
      <c r="AM12" s="24">
        <v>257.91340000000002</v>
      </c>
      <c r="AN12" s="24">
        <v>416.5</v>
      </c>
      <c r="AO12" s="24"/>
      <c r="AP12" s="24"/>
      <c r="AQ12" s="24"/>
    </row>
    <row r="13" spans="1:43" ht="13.5">
      <c r="A13" t="s">
        <v>29</v>
      </c>
      <c r="B13" s="24">
        <v>68.28</v>
      </c>
      <c r="C13" s="24">
        <v>188.05</v>
      </c>
      <c r="D13" s="24">
        <v>489.11</v>
      </c>
      <c r="E13" s="24">
        <v>698.7</v>
      </c>
      <c r="K13" s="24"/>
      <c r="L13" s="24"/>
      <c r="O13" s="24"/>
      <c r="P13" s="24"/>
      <c r="Q13" s="24"/>
      <c r="R13" s="24"/>
      <c r="S13" t="s">
        <v>29</v>
      </c>
      <c r="T13" s="24">
        <v>38.351599999999998</v>
      </c>
      <c r="U13" s="24">
        <v>82.427199999999999</v>
      </c>
      <c r="V13" s="24">
        <v>191.46719999999999</v>
      </c>
      <c r="W13" s="24">
        <v>221.1</v>
      </c>
      <c r="Y13" s="24"/>
      <c r="Z13" s="24"/>
      <c r="AA13" s="24"/>
      <c r="AE13" s="24"/>
      <c r="AJ13" t="s">
        <v>29</v>
      </c>
      <c r="AK13" s="24">
        <v>27.611799999999999</v>
      </c>
      <c r="AL13" s="24">
        <v>105.3184</v>
      </c>
      <c r="AM13" s="24">
        <v>297.02269999999999</v>
      </c>
      <c r="AN13" s="24">
        <v>476.3</v>
      </c>
      <c r="AO13" s="24"/>
      <c r="AP13" s="24"/>
      <c r="AQ13" s="24"/>
    </row>
    <row r="14" spans="1:43" ht="13.5">
      <c r="A14" t="s">
        <v>30</v>
      </c>
      <c r="B14" s="24">
        <v>83.42</v>
      </c>
      <c r="C14" s="24">
        <v>219.68</v>
      </c>
      <c r="D14" s="24">
        <v>541.58000000000004</v>
      </c>
      <c r="E14" s="24">
        <v>778.1</v>
      </c>
      <c r="K14" s="24"/>
      <c r="L14" s="24"/>
      <c r="O14" s="24"/>
      <c r="P14" s="24"/>
      <c r="Q14" s="24"/>
      <c r="R14" s="24"/>
      <c r="S14" t="s">
        <v>30</v>
      </c>
      <c r="T14" s="24">
        <v>46.847499999999997</v>
      </c>
      <c r="U14" s="24">
        <v>93.862399999999994</v>
      </c>
      <c r="V14" s="24">
        <v>209.93199999999999</v>
      </c>
      <c r="W14" s="24">
        <v>245.1</v>
      </c>
      <c r="Y14" s="24"/>
      <c r="Z14" s="24"/>
      <c r="AA14" s="24"/>
      <c r="AE14" s="24"/>
      <c r="AJ14" t="s">
        <v>30</v>
      </c>
      <c r="AK14" s="24">
        <v>34.131500000000003</v>
      </c>
      <c r="AL14" s="24">
        <v>125.37820000000001</v>
      </c>
      <c r="AM14" s="24">
        <v>330.91809999999998</v>
      </c>
      <c r="AN14" s="24">
        <v>531.4</v>
      </c>
      <c r="AO14" s="24"/>
      <c r="AP14" s="24"/>
      <c r="AQ14" s="24"/>
    </row>
    <row r="18" spans="1:41" ht="15">
      <c r="A18" s="26" t="s">
        <v>530</v>
      </c>
      <c r="B18" t="s">
        <v>44</v>
      </c>
      <c r="C18" t="s">
        <v>45</v>
      </c>
      <c r="S18" t="s">
        <v>530</v>
      </c>
      <c r="T18" t="s">
        <v>44</v>
      </c>
      <c r="U18" t="s">
        <v>45</v>
      </c>
      <c r="AJ18" t="s">
        <v>530</v>
      </c>
      <c r="AK18" t="s">
        <v>44</v>
      </c>
      <c r="AL18" t="s">
        <v>45</v>
      </c>
    </row>
    <row r="19" spans="1:41">
      <c r="B19" t="s">
        <v>53</v>
      </c>
      <c r="C19" t="s">
        <v>54</v>
      </c>
      <c r="D19" t="s">
        <v>55</v>
      </c>
      <c r="E19" t="s">
        <v>49</v>
      </c>
      <c r="F19" t="s">
        <v>56</v>
      </c>
      <c r="T19" t="s">
        <v>53</v>
      </c>
      <c r="U19" t="s">
        <v>54</v>
      </c>
      <c r="V19" t="s">
        <v>55</v>
      </c>
      <c r="W19" t="s">
        <v>49</v>
      </c>
      <c r="X19" t="s">
        <v>56</v>
      </c>
      <c r="AK19" t="s">
        <v>53</v>
      </c>
      <c r="AL19" t="s">
        <v>54</v>
      </c>
      <c r="AM19" t="s">
        <v>55</v>
      </c>
      <c r="AN19" t="s">
        <v>49</v>
      </c>
      <c r="AO19" t="s">
        <v>56</v>
      </c>
    </row>
    <row r="20" spans="1:41">
      <c r="A20" t="s">
        <v>19</v>
      </c>
      <c r="B20" s="23"/>
      <c r="C20" s="23"/>
      <c r="E20" s="18"/>
      <c r="F20">
        <v>57.1</v>
      </c>
      <c r="S20" t="s">
        <v>19</v>
      </c>
      <c r="T20" s="23"/>
      <c r="W20" s="18"/>
      <c r="X20">
        <v>20.399999999999999</v>
      </c>
      <c r="AJ20" t="s">
        <v>19</v>
      </c>
      <c r="AK20" s="24"/>
      <c r="AL20" s="24"/>
      <c r="AM20" s="24"/>
      <c r="AN20" s="24"/>
      <c r="AO20">
        <v>36.799999999999997</v>
      </c>
    </row>
    <row r="21" spans="1:41">
      <c r="A21" t="s">
        <v>20</v>
      </c>
      <c r="B21" s="23"/>
      <c r="C21" s="23"/>
      <c r="E21" s="27"/>
      <c r="F21">
        <v>94.5</v>
      </c>
      <c r="S21" t="s">
        <v>20</v>
      </c>
      <c r="T21" s="23"/>
      <c r="W21" s="27"/>
      <c r="X21">
        <v>34.299999999999997</v>
      </c>
      <c r="AJ21" t="s">
        <v>20</v>
      </c>
      <c r="AK21" s="24"/>
      <c r="AL21" s="24"/>
      <c r="AM21" s="24"/>
      <c r="AN21" s="24"/>
      <c r="AO21">
        <v>60</v>
      </c>
    </row>
    <row r="22" spans="1:41">
      <c r="A22" t="s">
        <v>21</v>
      </c>
      <c r="B22" s="23">
        <v>7.9267000000000003</v>
      </c>
      <c r="C22" s="23">
        <v>23.856100000000001</v>
      </c>
      <c r="D22" s="23">
        <v>65.034499999999994</v>
      </c>
      <c r="E22" s="27">
        <v>108.4623</v>
      </c>
      <c r="F22">
        <v>167.7</v>
      </c>
      <c r="S22" t="s">
        <v>21</v>
      </c>
      <c r="T22" s="23">
        <v>4.7022000000000004</v>
      </c>
      <c r="U22" s="23">
        <v>12.7028</v>
      </c>
      <c r="V22" s="23">
        <v>27.5427</v>
      </c>
      <c r="W22" s="27">
        <v>44.745800000000003</v>
      </c>
      <c r="AJ22" t="s">
        <v>21</v>
      </c>
      <c r="AK22" s="24">
        <v>3.2141999999999999</v>
      </c>
      <c r="AL22" s="24">
        <v>11.1326</v>
      </c>
      <c r="AM22" s="24">
        <v>37.351300000000002</v>
      </c>
      <c r="AN22" s="24">
        <v>63.563400000000001</v>
      </c>
    </row>
    <row r="23" spans="1:41">
      <c r="A23" t="s">
        <v>22</v>
      </c>
      <c r="B23" s="23"/>
      <c r="C23" s="23"/>
      <c r="E23" s="27"/>
      <c r="S23" t="s">
        <v>22</v>
      </c>
      <c r="T23" s="23"/>
      <c r="U23" s="23"/>
      <c r="W23" s="27"/>
      <c r="AJ23" t="s">
        <v>22</v>
      </c>
      <c r="AK23" s="24"/>
      <c r="AL23" s="24"/>
      <c r="AM23" s="24"/>
      <c r="AN23" s="24"/>
    </row>
    <row r="24" spans="1:41">
      <c r="A24" t="s">
        <v>23</v>
      </c>
      <c r="B24" s="23"/>
      <c r="C24" s="23"/>
      <c r="E24" s="27"/>
      <c r="S24" t="s">
        <v>23</v>
      </c>
      <c r="T24" s="23"/>
      <c r="U24" s="23"/>
      <c r="W24" s="27"/>
      <c r="AJ24" t="s">
        <v>23</v>
      </c>
      <c r="AK24" s="24"/>
      <c r="AL24" s="24"/>
      <c r="AM24" s="24"/>
      <c r="AN24" s="24"/>
    </row>
    <row r="25" spans="1:41">
      <c r="A25" t="s">
        <v>24</v>
      </c>
      <c r="B25" s="23">
        <v>21.254000000000001</v>
      </c>
      <c r="C25" s="23">
        <v>58.151499999999999</v>
      </c>
      <c r="D25" s="23">
        <v>205.39879999999999</v>
      </c>
      <c r="E25" s="27">
        <v>256.54219999999998</v>
      </c>
      <c r="S25" t="s">
        <v>24</v>
      </c>
      <c r="T25" s="23">
        <v>12.619</v>
      </c>
      <c r="U25" s="23">
        <v>27.2041</v>
      </c>
      <c r="V25" s="23">
        <v>83.814599999999999</v>
      </c>
      <c r="W25" s="27">
        <v>99.7958</v>
      </c>
      <c r="AJ25" t="s">
        <v>24</v>
      </c>
      <c r="AK25" s="24">
        <v>8.5464000000000002</v>
      </c>
      <c r="AL25" s="24">
        <v>30.764299999999999</v>
      </c>
      <c r="AM25" s="24">
        <v>121.2616</v>
      </c>
      <c r="AN25" s="24">
        <v>156.2636</v>
      </c>
    </row>
    <row r="26" spans="1:41">
      <c r="A26" t="s">
        <v>25</v>
      </c>
      <c r="B26" s="23"/>
      <c r="C26" s="23"/>
      <c r="E26" s="27">
        <v>309.7706</v>
      </c>
      <c r="S26" t="s">
        <v>25</v>
      </c>
      <c r="T26" s="23"/>
      <c r="U26" s="23"/>
      <c r="W26" s="27">
        <v>119.62690000000001</v>
      </c>
      <c r="AJ26" t="s">
        <v>25</v>
      </c>
      <c r="AK26" s="24"/>
      <c r="AL26" s="24"/>
      <c r="AM26" s="24"/>
      <c r="AN26" s="24">
        <v>189.56649999999999</v>
      </c>
    </row>
    <row r="27" spans="1:41">
      <c r="A27" t="s">
        <v>26</v>
      </c>
      <c r="B27" s="23"/>
      <c r="C27" s="23"/>
      <c r="E27" s="27">
        <v>364.8528</v>
      </c>
      <c r="S27" t="s">
        <v>26</v>
      </c>
      <c r="U27" s="23"/>
      <c r="W27" s="27">
        <v>140.70939999999999</v>
      </c>
      <c r="AJ27" t="s">
        <v>26</v>
      </c>
      <c r="AK27" s="24"/>
      <c r="AL27" s="24"/>
      <c r="AM27" s="24"/>
      <c r="AN27" s="24">
        <v>223.428</v>
      </c>
    </row>
    <row r="28" spans="1:41">
      <c r="A28" t="s">
        <v>27</v>
      </c>
      <c r="B28" s="23">
        <v>38.555900000000001</v>
      </c>
      <c r="C28" s="23">
        <v>106.7525</v>
      </c>
      <c r="D28" s="23">
        <v>367.44330000000002</v>
      </c>
      <c r="E28" s="27">
        <v>425</v>
      </c>
      <c r="S28" t="s">
        <v>27</v>
      </c>
      <c r="T28" s="23">
        <v>20.9026</v>
      </c>
      <c r="U28" s="23">
        <v>49.281599999999997</v>
      </c>
      <c r="V28" s="23">
        <v>163.8272</v>
      </c>
      <c r="W28" s="27">
        <v>165.3</v>
      </c>
      <c r="AJ28" t="s">
        <v>27</v>
      </c>
      <c r="AK28" s="24">
        <v>17.451000000000001</v>
      </c>
      <c r="AL28" s="24">
        <v>56.722799999999999</v>
      </c>
      <c r="AM28" s="24">
        <v>203.04259999999999</v>
      </c>
      <c r="AN28" s="24">
        <v>258.7</v>
      </c>
    </row>
    <row r="29" spans="1:41">
      <c r="A29" t="s">
        <v>28</v>
      </c>
      <c r="B29" s="23"/>
      <c r="C29" s="23"/>
      <c r="E29" s="27">
        <v>486</v>
      </c>
      <c r="S29" t="s">
        <v>28</v>
      </c>
      <c r="T29" s="23"/>
      <c r="U29" s="23"/>
      <c r="W29" s="27">
        <v>188.9</v>
      </c>
      <c r="AJ29" t="s">
        <v>28</v>
      </c>
      <c r="AK29" s="24"/>
      <c r="AL29" s="24"/>
      <c r="AM29" s="24"/>
      <c r="AN29" s="24">
        <v>296</v>
      </c>
    </row>
    <row r="30" spans="1:41">
      <c r="A30" t="s">
        <v>29</v>
      </c>
      <c r="B30" s="23"/>
      <c r="C30" s="23"/>
      <c r="E30" s="27">
        <v>554.1</v>
      </c>
      <c r="S30" t="s">
        <v>29</v>
      </c>
      <c r="U30" s="23"/>
      <c r="W30" s="27">
        <v>218.1</v>
      </c>
      <c r="AJ30" t="s">
        <v>29</v>
      </c>
      <c r="AK30" s="24"/>
      <c r="AL30" s="24"/>
      <c r="AM30" s="24"/>
      <c r="AN30" s="24">
        <v>334.7</v>
      </c>
    </row>
    <row r="31" spans="1:41">
      <c r="A31" t="s">
        <v>30</v>
      </c>
      <c r="B31" s="23">
        <v>65.872699999999995</v>
      </c>
      <c r="C31" s="23">
        <v>185.95249999999999</v>
      </c>
      <c r="D31" s="23">
        <v>465.50189999999998</v>
      </c>
      <c r="E31" s="27">
        <v>616.29999999999995</v>
      </c>
      <c r="S31" t="s">
        <v>30</v>
      </c>
      <c r="T31" s="23">
        <v>34.770000000000003</v>
      </c>
      <c r="U31" s="23">
        <v>79.580399999999997</v>
      </c>
      <c r="V31" s="23">
        <v>193.53630000000001</v>
      </c>
      <c r="W31" s="27">
        <v>249.6</v>
      </c>
      <c r="AJ31" t="s">
        <v>30</v>
      </c>
      <c r="AK31" s="24">
        <v>30.718900000000001</v>
      </c>
      <c r="AL31" s="24">
        <v>105.97110000000001</v>
      </c>
      <c r="AM31" s="24">
        <v>270.95519999999999</v>
      </c>
      <c r="AN31" s="24">
        <v>365.2</v>
      </c>
    </row>
    <row r="35" spans="1:45">
      <c r="A35" t="s">
        <v>543</v>
      </c>
      <c r="B35" t="s">
        <v>44</v>
      </c>
      <c r="C35" t="s">
        <v>45</v>
      </c>
      <c r="S35" t="s">
        <v>543</v>
      </c>
      <c r="T35" t="s">
        <v>44</v>
      </c>
      <c r="U35" t="s">
        <v>45</v>
      </c>
      <c r="AJ35" t="s">
        <v>543</v>
      </c>
      <c r="AK35" t="s">
        <v>44</v>
      </c>
      <c r="AL35" t="s">
        <v>45</v>
      </c>
    </row>
    <row r="36" spans="1:45">
      <c r="B36" t="s">
        <v>53</v>
      </c>
      <c r="C36" t="s">
        <v>54</v>
      </c>
      <c r="D36" t="s">
        <v>55</v>
      </c>
      <c r="E36" t="s">
        <v>49</v>
      </c>
      <c r="F36" t="s">
        <v>56</v>
      </c>
      <c r="T36" t="s">
        <v>53</v>
      </c>
      <c r="U36" t="s">
        <v>54</v>
      </c>
      <c r="V36" t="s">
        <v>55</v>
      </c>
      <c r="W36" t="s">
        <v>49</v>
      </c>
      <c r="X36" t="s">
        <v>56</v>
      </c>
      <c r="AK36" t="s">
        <v>53</v>
      </c>
      <c r="AL36" t="s">
        <v>54</v>
      </c>
      <c r="AM36" t="s">
        <v>55</v>
      </c>
      <c r="AN36" t="s">
        <v>49</v>
      </c>
      <c r="AO36" t="s">
        <v>56</v>
      </c>
    </row>
    <row r="37" spans="1:45">
      <c r="A37" t="s">
        <v>19</v>
      </c>
      <c r="B37" s="24">
        <v>2.3199999999999998</v>
      </c>
      <c r="C37" s="24">
        <v>8.66</v>
      </c>
      <c r="D37" s="24">
        <v>16.18</v>
      </c>
      <c r="E37" s="24">
        <v>16.100000000000001</v>
      </c>
      <c r="F37">
        <v>32.299999999999997</v>
      </c>
      <c r="I37" s="24"/>
      <c r="J37" s="24"/>
      <c r="K37" s="24"/>
      <c r="L37" s="24"/>
      <c r="S37" t="s">
        <v>19</v>
      </c>
      <c r="T37" s="24">
        <v>1.5791999999999999</v>
      </c>
      <c r="U37" s="24">
        <v>5.3986000000000001</v>
      </c>
      <c r="V37" s="24">
        <v>7.2999000000000001</v>
      </c>
      <c r="W37" s="24">
        <v>5.4329999999999998</v>
      </c>
      <c r="X37">
        <v>12.6</v>
      </c>
      <c r="Y37" s="24"/>
      <c r="Z37" s="24"/>
      <c r="AA37" s="24"/>
      <c r="AB37" s="24"/>
      <c r="AJ37" t="s">
        <v>19</v>
      </c>
      <c r="AK37" s="24">
        <v>0.72340000000000004</v>
      </c>
      <c r="AL37" s="24">
        <v>3.2538999999999998</v>
      </c>
      <c r="AM37" s="24">
        <v>8.8739000000000008</v>
      </c>
      <c r="AN37" s="24">
        <v>10.683199999999999</v>
      </c>
      <c r="AO37">
        <v>19.7</v>
      </c>
      <c r="AP37" s="24"/>
      <c r="AQ37" s="24"/>
      <c r="AR37" s="24"/>
      <c r="AS37" s="24"/>
    </row>
    <row r="38" spans="1:45">
      <c r="A38" t="s">
        <v>20</v>
      </c>
      <c r="B38" s="24">
        <v>2.92</v>
      </c>
      <c r="C38" s="24">
        <v>14.24</v>
      </c>
      <c r="D38" s="24">
        <v>29.86</v>
      </c>
      <c r="E38" s="24">
        <v>38</v>
      </c>
      <c r="F38">
        <v>50.3</v>
      </c>
      <c r="I38" s="24"/>
      <c r="J38" s="24"/>
      <c r="K38" s="24"/>
      <c r="L38" s="24"/>
      <c r="S38" t="s">
        <v>20</v>
      </c>
      <c r="T38" s="24">
        <v>2.1004</v>
      </c>
      <c r="U38" s="24">
        <v>8.7266999999999992</v>
      </c>
      <c r="V38" s="24">
        <v>13.145200000000001</v>
      </c>
      <c r="W38" s="24">
        <v>12.153600000000001</v>
      </c>
      <c r="X38">
        <v>19.5</v>
      </c>
      <c r="Y38" s="24"/>
      <c r="Z38" s="24"/>
      <c r="AA38" s="24"/>
      <c r="AB38" s="24"/>
      <c r="AJ38" t="s">
        <v>20</v>
      </c>
      <c r="AK38" s="24">
        <v>0.8</v>
      </c>
      <c r="AL38" s="24">
        <v>5.4942000000000002</v>
      </c>
      <c r="AM38" s="24">
        <v>16.654</v>
      </c>
      <c r="AN38" s="24">
        <v>25.876300000000001</v>
      </c>
      <c r="AO38">
        <v>30.7</v>
      </c>
      <c r="AP38" s="24"/>
      <c r="AQ38" s="24"/>
      <c r="AR38" s="24"/>
      <c r="AS38" s="24"/>
    </row>
    <row r="39" spans="1:45">
      <c r="A39" t="s">
        <v>21</v>
      </c>
      <c r="B39" s="24">
        <v>5.69</v>
      </c>
      <c r="C39" s="24">
        <v>23.24</v>
      </c>
      <c r="D39" s="24">
        <v>51.28</v>
      </c>
      <c r="E39" s="24">
        <v>65.8</v>
      </c>
      <c r="F39">
        <v>85.2</v>
      </c>
      <c r="I39" s="24"/>
      <c r="J39" s="24"/>
      <c r="K39" s="24"/>
      <c r="L39" s="24"/>
      <c r="S39" t="s">
        <v>21</v>
      </c>
      <c r="T39" s="24">
        <v>4.3249000000000004</v>
      </c>
      <c r="U39" s="24">
        <v>13.821099999999999</v>
      </c>
      <c r="V39" s="24">
        <v>21.3552</v>
      </c>
      <c r="W39" s="24">
        <v>20.879000000000001</v>
      </c>
      <c r="Y39" s="24"/>
      <c r="Z39" s="24"/>
      <c r="AA39" s="24"/>
      <c r="AB39" s="24"/>
      <c r="AJ39" t="s">
        <v>21</v>
      </c>
      <c r="AK39" s="24">
        <v>1.3345</v>
      </c>
      <c r="AL39" s="24">
        <v>9.3849</v>
      </c>
      <c r="AM39" s="24">
        <v>29.8353</v>
      </c>
      <c r="AN39" s="24">
        <v>44.915799999999997</v>
      </c>
      <c r="AP39" s="24"/>
      <c r="AQ39" s="24"/>
      <c r="AR39" s="24"/>
      <c r="AS39" s="24"/>
    </row>
    <row r="40" spans="1:45">
      <c r="A40" t="s">
        <v>22</v>
      </c>
      <c r="B40" s="24">
        <v>9.2799999999999994</v>
      </c>
      <c r="C40" s="24">
        <v>31.63</v>
      </c>
      <c r="D40" s="24">
        <v>64.55</v>
      </c>
      <c r="E40" s="24">
        <v>90.9</v>
      </c>
      <c r="I40" s="24"/>
      <c r="J40" s="24"/>
      <c r="K40" s="24"/>
      <c r="L40" s="24"/>
      <c r="S40" t="s">
        <v>22</v>
      </c>
      <c r="T40" s="24">
        <v>6.9451999999999998</v>
      </c>
      <c r="U40" s="24">
        <v>18.989899999999999</v>
      </c>
      <c r="V40" s="24">
        <v>25.718</v>
      </c>
      <c r="W40" s="24">
        <v>28.883099999999999</v>
      </c>
      <c r="Y40" s="24"/>
      <c r="Z40" s="24"/>
      <c r="AA40" s="24"/>
      <c r="AB40" s="24"/>
      <c r="AJ40" t="s">
        <v>22</v>
      </c>
      <c r="AK40" s="24">
        <v>2.2652999999999999</v>
      </c>
      <c r="AL40" s="24">
        <v>12.5915</v>
      </c>
      <c r="AM40" s="24">
        <v>38.723300000000002</v>
      </c>
      <c r="AN40" s="24">
        <v>62.042400000000001</v>
      </c>
      <c r="AP40" s="24"/>
      <c r="AQ40" s="24"/>
      <c r="AR40" s="24"/>
      <c r="AS40" s="24"/>
    </row>
    <row r="41" spans="1:45">
      <c r="A41" t="s">
        <v>23</v>
      </c>
      <c r="B41" s="24">
        <v>12.79</v>
      </c>
      <c r="C41" s="24">
        <v>41.39</v>
      </c>
      <c r="D41" s="24">
        <v>83.11</v>
      </c>
      <c r="E41" s="24">
        <v>119.1</v>
      </c>
      <c r="I41" s="24"/>
      <c r="J41" s="24"/>
      <c r="K41" s="24"/>
      <c r="L41" s="24"/>
      <c r="S41" t="s">
        <v>23</v>
      </c>
      <c r="T41" s="24">
        <v>9.6186000000000007</v>
      </c>
      <c r="U41" s="24">
        <v>24.211300000000001</v>
      </c>
      <c r="V41" s="24">
        <v>34.0214</v>
      </c>
      <c r="W41" s="24">
        <v>37.911200000000001</v>
      </c>
      <c r="Y41" s="24"/>
      <c r="Z41" s="24"/>
      <c r="AA41" s="24"/>
      <c r="AB41" s="24"/>
      <c r="AJ41" t="s">
        <v>23</v>
      </c>
      <c r="AK41" s="24">
        <v>3.0739000000000001</v>
      </c>
      <c r="AL41" s="24">
        <v>17.108599999999999</v>
      </c>
      <c r="AM41" s="24">
        <v>48.955599999999997</v>
      </c>
      <c r="AN41" s="24">
        <v>81.195700000000002</v>
      </c>
      <c r="AP41" s="24"/>
      <c r="AQ41" s="24"/>
      <c r="AR41" s="24"/>
      <c r="AS41" s="24"/>
    </row>
    <row r="42" spans="1:45">
      <c r="A42" t="s">
        <v>24</v>
      </c>
      <c r="B42" s="24">
        <v>17.489999999999998</v>
      </c>
      <c r="C42" s="24">
        <v>52.49</v>
      </c>
      <c r="D42" s="24">
        <v>110.12</v>
      </c>
      <c r="E42" s="24">
        <v>152</v>
      </c>
      <c r="I42" s="24"/>
      <c r="J42" s="24"/>
      <c r="K42" s="24"/>
      <c r="L42" s="24"/>
      <c r="S42" t="s">
        <v>24</v>
      </c>
      <c r="T42" s="24">
        <v>12.6152</v>
      </c>
      <c r="U42" s="24">
        <v>30.153600000000001</v>
      </c>
      <c r="V42" s="24">
        <v>45.6004</v>
      </c>
      <c r="W42" s="24">
        <v>47.9895</v>
      </c>
      <c r="Y42" s="24"/>
      <c r="Z42" s="24"/>
      <c r="AA42" s="24"/>
      <c r="AB42" s="24"/>
      <c r="AJ42" t="s">
        <v>24</v>
      </c>
      <c r="AK42" s="24">
        <v>4.7431999999999999</v>
      </c>
      <c r="AL42" s="24">
        <v>22.2225</v>
      </c>
      <c r="AM42" s="24">
        <v>64.371899999999997</v>
      </c>
      <c r="AN42" s="24">
        <v>103.9341</v>
      </c>
      <c r="AP42" s="24"/>
      <c r="AQ42" s="24"/>
      <c r="AR42" s="24"/>
      <c r="AS42" s="24"/>
    </row>
    <row r="43" spans="1:45">
      <c r="A43" t="s">
        <v>25</v>
      </c>
      <c r="B43" s="24">
        <v>22.51</v>
      </c>
      <c r="C43" s="24">
        <v>63.78</v>
      </c>
      <c r="D43" s="24">
        <v>134.31</v>
      </c>
      <c r="E43" s="24">
        <v>184.2</v>
      </c>
      <c r="I43" s="24"/>
      <c r="J43" s="24"/>
      <c r="K43" s="24"/>
      <c r="L43" s="24"/>
      <c r="S43" t="s">
        <v>25</v>
      </c>
      <c r="T43" s="24">
        <v>15.872199999999999</v>
      </c>
      <c r="U43" s="24">
        <v>35.6083</v>
      </c>
      <c r="V43" s="24">
        <v>55.438899999999997</v>
      </c>
      <c r="W43" s="24">
        <v>58.551699999999997</v>
      </c>
      <c r="Y43" s="24"/>
      <c r="Z43" s="24"/>
      <c r="AA43" s="24"/>
      <c r="AB43" s="24"/>
      <c r="AJ43" t="s">
        <v>25</v>
      </c>
      <c r="AK43" s="24">
        <v>6.4715999999999996</v>
      </c>
      <c r="AL43" s="24">
        <v>28.021100000000001</v>
      </c>
      <c r="AM43" s="24">
        <v>78.708799999999997</v>
      </c>
      <c r="AN43" s="24">
        <v>125.5943</v>
      </c>
      <c r="AP43" s="24"/>
      <c r="AQ43" s="24"/>
      <c r="AR43" s="24"/>
      <c r="AS43" s="24"/>
    </row>
    <row r="44" spans="1:45">
      <c r="A44" t="s">
        <v>26</v>
      </c>
      <c r="B44" s="24">
        <v>27.64</v>
      </c>
      <c r="C44" s="24">
        <v>76.34</v>
      </c>
      <c r="D44" s="24">
        <v>162.06</v>
      </c>
      <c r="E44" s="24">
        <v>219.1</v>
      </c>
      <c r="I44" s="24"/>
      <c r="J44" s="24"/>
      <c r="K44" s="24"/>
      <c r="L44" s="24"/>
      <c r="S44" t="s">
        <v>26</v>
      </c>
      <c r="T44" s="24">
        <v>19.3874</v>
      </c>
      <c r="U44" s="24">
        <v>40.946399999999997</v>
      </c>
      <c r="V44" s="24">
        <v>65.961399999999998</v>
      </c>
      <c r="W44" s="24">
        <v>69.358699999999999</v>
      </c>
      <c r="Y44" s="24"/>
      <c r="Z44" s="24"/>
      <c r="AA44" s="24"/>
      <c r="AB44" s="24"/>
      <c r="AJ44" t="s">
        <v>26</v>
      </c>
      <c r="AK44" s="24">
        <v>8.0336999999999996</v>
      </c>
      <c r="AL44" s="24">
        <v>35.235599999999998</v>
      </c>
      <c r="AM44" s="24">
        <v>95.919300000000007</v>
      </c>
      <c r="AN44" s="24">
        <v>149.6454</v>
      </c>
      <c r="AP44" s="24"/>
      <c r="AQ44" s="24"/>
      <c r="AR44" s="24"/>
      <c r="AS44" s="24"/>
    </row>
    <row r="45" spans="1:45">
      <c r="A45" t="s">
        <v>27</v>
      </c>
      <c r="B45" s="24">
        <v>34.22</v>
      </c>
      <c r="C45" s="24">
        <v>92.03</v>
      </c>
      <c r="D45" s="24">
        <v>193.69</v>
      </c>
      <c r="E45" s="24">
        <v>255.5</v>
      </c>
      <c r="I45" s="24"/>
      <c r="J45" s="24"/>
      <c r="K45" s="24"/>
      <c r="L45" s="24"/>
      <c r="S45" t="s">
        <v>27</v>
      </c>
      <c r="T45" s="24">
        <v>23.604399999999998</v>
      </c>
      <c r="U45" s="24">
        <v>47.085000000000001</v>
      </c>
      <c r="V45" s="24">
        <v>77.1708</v>
      </c>
      <c r="W45" s="24">
        <v>81.558700000000002</v>
      </c>
      <c r="Y45" s="24"/>
      <c r="Z45" s="24"/>
      <c r="AA45" s="24"/>
      <c r="AB45" s="24"/>
      <c r="AJ45" t="s">
        <v>27</v>
      </c>
      <c r="AK45" s="24">
        <v>10.365</v>
      </c>
      <c r="AL45" s="24">
        <v>44.7776</v>
      </c>
      <c r="AM45" s="24">
        <v>116.31959999999999</v>
      </c>
      <c r="AN45" s="24">
        <v>173.84540000000001</v>
      </c>
      <c r="AP45" s="24"/>
      <c r="AQ45" s="24"/>
      <c r="AR45" s="24"/>
      <c r="AS45" s="24"/>
    </row>
    <row r="46" spans="1:45">
      <c r="A46" t="s">
        <v>28</v>
      </c>
      <c r="B46" s="24">
        <v>40.090000000000003</v>
      </c>
      <c r="C46" s="24">
        <v>107.45</v>
      </c>
      <c r="D46" s="24">
        <v>224.23</v>
      </c>
      <c r="E46" s="24">
        <v>294.89999999999998</v>
      </c>
      <c r="I46" s="24"/>
      <c r="J46" s="24"/>
      <c r="K46" s="24"/>
      <c r="L46" s="24"/>
      <c r="S46" t="s">
        <v>28</v>
      </c>
      <c r="T46" s="24">
        <v>27.015999999999998</v>
      </c>
      <c r="U46" s="24">
        <v>54.054200000000002</v>
      </c>
      <c r="V46" s="24">
        <v>87.987399999999994</v>
      </c>
      <c r="W46" s="24">
        <v>93.9</v>
      </c>
      <c r="Y46" s="24"/>
      <c r="Z46" s="24"/>
      <c r="AA46" s="24"/>
      <c r="AB46" s="24"/>
      <c r="AJ46" t="s">
        <v>28</v>
      </c>
      <c r="AK46" s="24">
        <v>12.777900000000001</v>
      </c>
      <c r="AL46" s="24">
        <v>53.211599999999997</v>
      </c>
      <c r="AM46" s="24">
        <v>135.98490000000001</v>
      </c>
      <c r="AN46" s="24">
        <v>200.7</v>
      </c>
      <c r="AP46" s="24"/>
      <c r="AQ46" s="24"/>
      <c r="AR46" s="24"/>
      <c r="AS46" s="24"/>
    </row>
    <row r="47" spans="1:45">
      <c r="A47" t="s">
        <v>29</v>
      </c>
      <c r="B47" s="24">
        <v>50.7</v>
      </c>
      <c r="C47" s="24">
        <v>128.27000000000001</v>
      </c>
      <c r="D47" s="24">
        <v>258.49</v>
      </c>
      <c r="E47" s="24">
        <v>339.7</v>
      </c>
      <c r="I47" s="24"/>
      <c r="J47" s="24"/>
      <c r="K47" s="24"/>
      <c r="L47" s="24"/>
      <c r="S47" t="s">
        <v>29</v>
      </c>
      <c r="T47" s="24">
        <v>32.871600000000001</v>
      </c>
      <c r="U47" s="24">
        <v>63.289499999999997</v>
      </c>
      <c r="V47" s="24">
        <v>99.022400000000005</v>
      </c>
      <c r="W47" s="24">
        <v>109.6</v>
      </c>
      <c r="Y47" s="24"/>
      <c r="Z47" s="24"/>
      <c r="AA47" s="24"/>
      <c r="AB47" s="24"/>
      <c r="AJ47" t="s">
        <v>29</v>
      </c>
      <c r="AK47" s="24">
        <v>17.4956</v>
      </c>
      <c r="AL47" s="24">
        <v>64.785200000000003</v>
      </c>
      <c r="AM47" s="24">
        <v>159.07570000000001</v>
      </c>
      <c r="AN47" s="24">
        <v>229.8</v>
      </c>
      <c r="AP47" s="24"/>
      <c r="AQ47" s="24"/>
      <c r="AR47" s="24"/>
      <c r="AS47" s="24"/>
    </row>
    <row r="48" spans="1:45">
      <c r="A48" t="s">
        <v>30</v>
      </c>
      <c r="B48" s="24">
        <v>63.65</v>
      </c>
      <c r="C48" s="24">
        <v>154.49</v>
      </c>
      <c r="D48" s="24">
        <v>294.64</v>
      </c>
      <c r="E48" s="24">
        <v>387.7</v>
      </c>
      <c r="I48" s="24"/>
      <c r="J48" s="24"/>
      <c r="K48" s="24"/>
      <c r="L48" s="24"/>
      <c r="S48" t="s">
        <v>30</v>
      </c>
      <c r="T48" s="24">
        <v>38.8583</v>
      </c>
      <c r="U48" s="24">
        <v>74.347399999999993</v>
      </c>
      <c r="V48" s="24">
        <v>110.44450000000001</v>
      </c>
      <c r="W48" s="24">
        <v>126.2</v>
      </c>
      <c r="Y48" s="24"/>
      <c r="Z48" s="24"/>
      <c r="AA48" s="24"/>
      <c r="AB48" s="24"/>
      <c r="AJ48" t="s">
        <v>30</v>
      </c>
      <c r="AK48" s="24">
        <v>24.382899999999999</v>
      </c>
      <c r="AL48" s="24">
        <v>79.8369</v>
      </c>
      <c r="AM48" s="24">
        <v>183.75309999999999</v>
      </c>
      <c r="AN48" s="24">
        <v>261</v>
      </c>
      <c r="AP48" s="24"/>
      <c r="AQ48" s="24"/>
      <c r="AR48" s="24"/>
      <c r="AS48" s="24"/>
    </row>
    <row r="52" spans="1:6">
      <c r="A52" t="s">
        <v>544</v>
      </c>
      <c r="B52" t="s">
        <v>44</v>
      </c>
      <c r="C52" t="s">
        <v>45</v>
      </c>
    </row>
    <row r="53" spans="1:6">
      <c r="B53" t="s">
        <v>53</v>
      </c>
      <c r="C53" t="s">
        <v>54</v>
      </c>
      <c r="D53" t="s">
        <v>55</v>
      </c>
      <c r="E53" t="s">
        <v>49</v>
      </c>
      <c r="F53" t="s">
        <v>56</v>
      </c>
    </row>
    <row r="54" spans="1:6">
      <c r="A54" t="s">
        <v>19</v>
      </c>
      <c r="B54" s="24"/>
      <c r="C54" s="24"/>
      <c r="D54" s="24"/>
      <c r="E54" s="24">
        <v>7.9</v>
      </c>
      <c r="F54">
        <v>8.4</v>
      </c>
    </row>
    <row r="55" spans="1:6">
      <c r="A55" t="s">
        <v>20</v>
      </c>
      <c r="B55" s="24"/>
      <c r="C55" s="24"/>
      <c r="D55" s="24"/>
      <c r="E55" s="24">
        <v>17.399999999999999</v>
      </c>
      <c r="F55">
        <v>16.600000000000001</v>
      </c>
    </row>
    <row r="56" spans="1:6">
      <c r="A56" t="s">
        <v>21</v>
      </c>
      <c r="B56" s="24"/>
      <c r="C56" s="24"/>
      <c r="D56" s="24"/>
      <c r="E56" s="24">
        <v>25.8</v>
      </c>
      <c r="F56">
        <v>28.9</v>
      </c>
    </row>
    <row r="57" spans="1:6">
      <c r="A57" t="s">
        <v>22</v>
      </c>
      <c r="B57" s="24"/>
      <c r="C57" s="24"/>
      <c r="D57" s="24"/>
      <c r="E57" s="24">
        <v>34.6</v>
      </c>
    </row>
    <row r="58" spans="1:6">
      <c r="A58" t="s">
        <v>23</v>
      </c>
      <c r="B58" s="24"/>
      <c r="C58" s="24"/>
      <c r="D58" s="24"/>
      <c r="E58" s="24">
        <v>45.9</v>
      </c>
    </row>
    <row r="59" spans="1:6">
      <c r="A59" t="s">
        <v>24</v>
      </c>
      <c r="B59" s="24"/>
      <c r="D59" s="24"/>
      <c r="E59" s="24">
        <v>56.7</v>
      </c>
    </row>
    <row r="60" spans="1:6">
      <c r="A60" t="s">
        <v>25</v>
      </c>
      <c r="B60" s="24"/>
      <c r="D60" s="24"/>
      <c r="E60" s="24">
        <v>67.099999999999994</v>
      </c>
    </row>
    <row r="61" spans="1:6">
      <c r="A61" t="s">
        <v>26</v>
      </c>
      <c r="B61" s="24"/>
      <c r="D61" s="24">
        <v>33.396656534954403</v>
      </c>
      <c r="E61" s="24">
        <v>87.9</v>
      </c>
    </row>
    <row r="62" spans="1:6">
      <c r="A62" t="s">
        <v>27</v>
      </c>
      <c r="B62" s="24"/>
      <c r="D62" s="24">
        <v>40.744101633393797</v>
      </c>
      <c r="E62" s="24">
        <v>89.8</v>
      </c>
    </row>
    <row r="63" spans="1:6">
      <c r="A63" t="s">
        <v>28</v>
      </c>
      <c r="B63" s="24"/>
      <c r="D63" s="24">
        <v>49.269717624148001</v>
      </c>
      <c r="E63" s="24">
        <v>101.2</v>
      </c>
    </row>
    <row r="64" spans="1:6">
      <c r="A64" t="s">
        <v>29</v>
      </c>
      <c r="B64" s="24"/>
      <c r="D64" s="24">
        <v>58.7</v>
      </c>
      <c r="E64" s="24">
        <v>114.2</v>
      </c>
    </row>
    <row r="65" spans="1:51">
      <c r="A65" t="s">
        <v>30</v>
      </c>
      <c r="B65" s="24"/>
      <c r="D65" s="24">
        <v>68.099999999999994</v>
      </c>
      <c r="E65" s="24">
        <v>127.4</v>
      </c>
    </row>
    <row r="66" spans="1:51">
      <c r="B66" s="24"/>
      <c r="C66" s="24"/>
      <c r="D66" s="24"/>
      <c r="E66" s="24"/>
    </row>
    <row r="67" spans="1:51">
      <c r="B67" s="24"/>
      <c r="C67" s="24"/>
      <c r="D67" s="24"/>
      <c r="E67" s="24"/>
    </row>
    <row r="68" spans="1:51">
      <c r="AF68" t="s">
        <v>37</v>
      </c>
    </row>
    <row r="69" spans="1:51">
      <c r="B69" s="276">
        <v>2022</v>
      </c>
      <c r="C69" s="276"/>
      <c r="D69" s="276"/>
      <c r="E69" s="276"/>
      <c r="F69" s="276"/>
      <c r="G69" s="276">
        <v>2023</v>
      </c>
      <c r="H69" s="276"/>
      <c r="I69" s="276"/>
      <c r="J69" s="276"/>
      <c r="K69" s="276"/>
      <c r="L69" s="276">
        <v>2024</v>
      </c>
      <c r="M69" s="276"/>
      <c r="N69" s="276"/>
      <c r="O69" s="276"/>
      <c r="P69" s="276"/>
      <c r="T69" s="276">
        <v>2022</v>
      </c>
      <c r="U69" s="276"/>
      <c r="V69" s="276"/>
      <c r="W69" s="276"/>
      <c r="X69" s="276"/>
      <c r="Y69" s="276">
        <v>2023</v>
      </c>
      <c r="Z69" s="276"/>
      <c r="AA69" s="276"/>
      <c r="AB69" s="276"/>
      <c r="AC69" s="276"/>
      <c r="AD69" s="276">
        <v>2024</v>
      </c>
      <c r="AE69" s="276"/>
      <c r="AF69" s="276"/>
      <c r="AG69" s="276"/>
      <c r="AH69" s="276"/>
      <c r="AK69" s="276">
        <v>2022</v>
      </c>
      <c r="AL69" s="276"/>
      <c r="AM69" s="276"/>
      <c r="AN69" s="276"/>
      <c r="AO69" s="276"/>
      <c r="AP69" s="276">
        <v>2023</v>
      </c>
      <c r="AQ69" s="276"/>
      <c r="AR69" s="276"/>
      <c r="AS69" s="276"/>
      <c r="AT69" s="276"/>
      <c r="AU69" s="276">
        <v>2024</v>
      </c>
      <c r="AV69" s="276"/>
      <c r="AW69" s="276"/>
      <c r="AX69" s="276"/>
      <c r="AY69" s="276"/>
    </row>
    <row r="70" spans="1:51">
      <c r="B70" t="s">
        <v>545</v>
      </c>
      <c r="C70" t="s">
        <v>546</v>
      </c>
      <c r="D70" t="s">
        <v>547</v>
      </c>
      <c r="E70" t="s">
        <v>548</v>
      </c>
      <c r="F70" t="s">
        <v>549</v>
      </c>
      <c r="G70" t="s">
        <v>545</v>
      </c>
      <c r="H70" t="s">
        <v>546</v>
      </c>
      <c r="I70" t="s">
        <v>547</v>
      </c>
      <c r="J70" t="s">
        <v>548</v>
      </c>
      <c r="K70" t="s">
        <v>549</v>
      </c>
      <c r="L70" t="s">
        <v>545</v>
      </c>
      <c r="M70" t="s">
        <v>546</v>
      </c>
      <c r="N70" t="s">
        <v>547</v>
      </c>
      <c r="O70" t="s">
        <v>548</v>
      </c>
      <c r="P70" t="s">
        <v>549</v>
      </c>
      <c r="T70" t="s">
        <v>545</v>
      </c>
      <c r="U70" t="s">
        <v>546</v>
      </c>
      <c r="V70" t="s">
        <v>547</v>
      </c>
      <c r="W70" t="s">
        <v>548</v>
      </c>
      <c r="X70" t="s">
        <v>549</v>
      </c>
      <c r="Y70" t="s">
        <v>545</v>
      </c>
      <c r="Z70" t="s">
        <v>546</v>
      </c>
      <c r="AA70" t="s">
        <v>547</v>
      </c>
      <c r="AB70" t="s">
        <v>548</v>
      </c>
      <c r="AC70" t="s">
        <v>549</v>
      </c>
      <c r="AD70" t="s">
        <v>545</v>
      </c>
      <c r="AE70" t="s">
        <v>546</v>
      </c>
      <c r="AF70" t="s">
        <v>547</v>
      </c>
      <c r="AG70" t="s">
        <v>548</v>
      </c>
      <c r="AH70" t="s">
        <v>549</v>
      </c>
      <c r="AK70" t="s">
        <v>545</v>
      </c>
      <c r="AL70" t="s">
        <v>546</v>
      </c>
      <c r="AM70" t="s">
        <v>547</v>
      </c>
      <c r="AN70" t="s">
        <v>548</v>
      </c>
      <c r="AO70" t="s">
        <v>549</v>
      </c>
      <c r="AP70" t="s">
        <v>545</v>
      </c>
      <c r="AQ70" t="s">
        <v>546</v>
      </c>
      <c r="AR70" t="s">
        <v>547</v>
      </c>
      <c r="AS70" t="s">
        <v>548</v>
      </c>
      <c r="AT70" t="s">
        <v>549</v>
      </c>
      <c r="AU70" t="s">
        <v>545</v>
      </c>
      <c r="AV70" t="s">
        <v>546</v>
      </c>
      <c r="AW70" t="s">
        <v>547</v>
      </c>
      <c r="AX70" t="s">
        <v>548</v>
      </c>
      <c r="AY70" t="s">
        <v>549</v>
      </c>
    </row>
    <row r="71" spans="1:51">
      <c r="A71" t="s">
        <v>19</v>
      </c>
      <c r="B71" s="24">
        <v>29.66</v>
      </c>
      <c r="D71" s="24">
        <v>16.18</v>
      </c>
      <c r="G71" s="24">
        <v>28.2</v>
      </c>
      <c r="H71" s="18"/>
      <c r="I71" s="24">
        <v>16.100000000000001</v>
      </c>
      <c r="L71" s="24">
        <v>65.2</v>
      </c>
      <c r="M71" s="18">
        <v>57.1</v>
      </c>
      <c r="N71" s="24">
        <v>32.299999999999997</v>
      </c>
      <c r="O71" s="24">
        <f t="shared" ref="O71:O73" si="0">L71-M71</f>
        <v>8.1000000000000014</v>
      </c>
      <c r="P71" s="23">
        <f t="shared" ref="P71:P73" si="1">M71-N71</f>
        <v>24.800000000000004</v>
      </c>
      <c r="S71" t="s">
        <v>19</v>
      </c>
      <c r="T71" s="24">
        <v>10.815300000000001</v>
      </c>
      <c r="V71" s="24">
        <v>7.2999000000000001</v>
      </c>
      <c r="Y71" s="24">
        <v>9.8129000000000008</v>
      </c>
      <c r="Z71" s="18"/>
      <c r="AA71" s="24">
        <v>5.4329999999999998</v>
      </c>
      <c r="AD71" s="24">
        <v>22.7</v>
      </c>
      <c r="AE71" s="18">
        <v>20.399999999999999</v>
      </c>
      <c r="AF71" s="24">
        <v>12.6</v>
      </c>
      <c r="AG71">
        <f t="shared" ref="AG71:AG73" si="2">AD71-AE71</f>
        <v>2.3000000000000007</v>
      </c>
      <c r="AH71">
        <f t="shared" ref="AH71:AH73" si="3">AE71-AF71</f>
        <v>7.7999999999999989</v>
      </c>
      <c r="AJ71" t="s">
        <v>19</v>
      </c>
      <c r="AK71" s="24">
        <v>18.790099999999999</v>
      </c>
      <c r="AL71" s="24"/>
      <c r="AM71" s="24">
        <v>8.8739000000000008</v>
      </c>
      <c r="AP71" s="24">
        <v>18.32</v>
      </c>
      <c r="AQ71" s="24"/>
      <c r="AR71" s="24">
        <v>10.683199999999999</v>
      </c>
      <c r="AU71" s="24">
        <v>42.4</v>
      </c>
      <c r="AV71" s="24">
        <v>36.799999999999997</v>
      </c>
      <c r="AW71" s="24">
        <v>19.7</v>
      </c>
      <c r="AX71">
        <f t="shared" ref="AX71:AX73" si="4">AU71-AV71</f>
        <v>5.6000000000000014</v>
      </c>
      <c r="AY71">
        <f t="shared" ref="AY71:AY73" si="5">AV71-AW71</f>
        <v>17.099999999999998</v>
      </c>
    </row>
    <row r="72" spans="1:51">
      <c r="A72" t="s">
        <v>20</v>
      </c>
      <c r="B72" s="24">
        <v>61.43</v>
      </c>
      <c r="D72" s="24">
        <v>29.86</v>
      </c>
      <c r="G72" s="24">
        <v>69.650000000000006</v>
      </c>
      <c r="H72" s="27"/>
      <c r="I72" s="24">
        <v>38</v>
      </c>
      <c r="L72" s="24">
        <v>43.6</v>
      </c>
      <c r="M72" s="27">
        <v>37.4</v>
      </c>
      <c r="N72" s="24">
        <v>18</v>
      </c>
      <c r="O72" s="24">
        <f t="shared" si="0"/>
        <v>6.2000000000000028</v>
      </c>
      <c r="P72" s="23">
        <f t="shared" si="1"/>
        <v>19.399999999999999</v>
      </c>
      <c r="S72" t="s">
        <v>20</v>
      </c>
      <c r="T72" s="24">
        <v>22.4544</v>
      </c>
      <c r="V72" s="24">
        <v>13.145200000000001</v>
      </c>
      <c r="Y72" s="24">
        <v>24.366299999999999</v>
      </c>
      <c r="Z72" s="27"/>
      <c r="AA72" s="24">
        <v>12.153600000000001</v>
      </c>
      <c r="AD72" s="24">
        <v>14.8</v>
      </c>
      <c r="AE72" s="27">
        <v>14</v>
      </c>
      <c r="AF72" s="24">
        <v>6.9</v>
      </c>
      <c r="AG72">
        <f t="shared" si="2"/>
        <v>0.80000000000000071</v>
      </c>
      <c r="AH72">
        <f t="shared" si="3"/>
        <v>7.1</v>
      </c>
      <c r="AJ72" t="s">
        <v>20</v>
      </c>
      <c r="AK72" s="24">
        <v>38.842300000000002</v>
      </c>
      <c r="AL72" s="24"/>
      <c r="AM72" s="24">
        <v>16.654</v>
      </c>
      <c r="AP72" s="24">
        <v>45.131100000000004</v>
      </c>
      <c r="AQ72" s="24"/>
      <c r="AR72" s="24">
        <v>25.876300000000001</v>
      </c>
      <c r="AU72" s="24">
        <v>28.6</v>
      </c>
      <c r="AV72" s="24">
        <v>19.399999999999999</v>
      </c>
      <c r="AW72" s="24">
        <v>11</v>
      </c>
      <c r="AX72">
        <f t="shared" si="4"/>
        <v>9.2000000000000028</v>
      </c>
      <c r="AY72">
        <f t="shared" si="5"/>
        <v>8.3999999999999986</v>
      </c>
    </row>
    <row r="73" spans="1:51">
      <c r="A73" t="s">
        <v>21</v>
      </c>
      <c r="B73" s="24">
        <v>100.61</v>
      </c>
      <c r="C73" s="23">
        <v>65.034499999999994</v>
      </c>
      <c r="D73" s="24">
        <v>51.28</v>
      </c>
      <c r="E73" s="24">
        <f>B73-C73</f>
        <v>35.575500000000005</v>
      </c>
      <c r="F73" s="23">
        <f>C73-D73</f>
        <v>13.754499999999993</v>
      </c>
      <c r="G73" s="24">
        <v>120.84</v>
      </c>
      <c r="H73" s="27">
        <v>108.4623</v>
      </c>
      <c r="I73" s="24">
        <v>65.8</v>
      </c>
      <c r="J73" s="24">
        <f>G73-H73</f>
        <v>12.377700000000004</v>
      </c>
      <c r="K73" s="23">
        <f>H73-I73</f>
        <v>42.662300000000002</v>
      </c>
      <c r="L73" s="24">
        <v>75.8</v>
      </c>
      <c r="M73" s="27">
        <v>73.2</v>
      </c>
      <c r="N73" s="24">
        <v>35</v>
      </c>
      <c r="O73" s="24">
        <f t="shared" si="0"/>
        <v>2.5999999999999943</v>
      </c>
      <c r="P73" s="23">
        <f t="shared" si="1"/>
        <v>38.200000000000003</v>
      </c>
      <c r="S73" t="s">
        <v>21</v>
      </c>
      <c r="T73" s="24">
        <v>38.022599999999997</v>
      </c>
      <c r="U73" s="23">
        <v>27.5427</v>
      </c>
      <c r="V73" s="24">
        <v>21.3552</v>
      </c>
      <c r="W73" s="24">
        <f>T73-U73</f>
        <v>10.479899999999997</v>
      </c>
      <c r="X73" s="23">
        <f>U73-V73</f>
        <v>6.1875</v>
      </c>
      <c r="Y73" s="24">
        <v>42.5931</v>
      </c>
      <c r="Z73" s="24">
        <v>44.745800000000003</v>
      </c>
      <c r="AA73" s="24">
        <v>20.879000000000001</v>
      </c>
      <c r="AB73" s="24">
        <f>Y73-Z73</f>
        <v>-2.1527000000000029</v>
      </c>
      <c r="AC73" s="23">
        <f>Z73-AA73</f>
        <v>23.866800000000001</v>
      </c>
      <c r="AD73" s="24">
        <v>24.2</v>
      </c>
      <c r="AE73" s="24">
        <v>23.2</v>
      </c>
      <c r="AF73" s="24">
        <v>11.3</v>
      </c>
      <c r="AG73">
        <f t="shared" si="2"/>
        <v>1</v>
      </c>
      <c r="AH73">
        <f t="shared" si="3"/>
        <v>11.899999999999999</v>
      </c>
      <c r="AJ73" t="s">
        <v>21</v>
      </c>
      <c r="AK73" s="24">
        <v>62.423999999999999</v>
      </c>
      <c r="AL73" s="24">
        <v>37.351300000000002</v>
      </c>
      <c r="AM73" s="24">
        <v>29.8353</v>
      </c>
      <c r="AN73" s="24">
        <f>AK73-AL73</f>
        <v>25.072699999999998</v>
      </c>
      <c r="AO73" s="23">
        <f>AL73-AM73</f>
        <v>7.5160000000000018</v>
      </c>
      <c r="AP73" s="24">
        <v>78.023099999999999</v>
      </c>
      <c r="AQ73" s="24">
        <v>63.563400000000001</v>
      </c>
      <c r="AR73" s="24">
        <v>44.915799999999997</v>
      </c>
      <c r="AS73" s="24">
        <f>AP73-AQ73</f>
        <v>14.459699999999998</v>
      </c>
      <c r="AT73" s="23">
        <f>AQ73-AR73</f>
        <v>18.647600000000004</v>
      </c>
      <c r="AU73" s="24">
        <v>51.4</v>
      </c>
      <c r="AV73" s="24">
        <v>38.799999999999997</v>
      </c>
      <c r="AW73" s="24">
        <v>23.6</v>
      </c>
      <c r="AX73">
        <f t="shared" si="4"/>
        <v>12.600000000000001</v>
      </c>
      <c r="AY73">
        <f t="shared" si="5"/>
        <v>15.199999999999996</v>
      </c>
    </row>
    <row r="74" spans="1:51">
      <c r="A74" t="s">
        <v>22</v>
      </c>
      <c r="B74" s="24">
        <v>129.57</v>
      </c>
      <c r="D74" s="24">
        <v>64.55</v>
      </c>
      <c r="E74" s="24"/>
      <c r="F74" s="23"/>
      <c r="G74" s="24">
        <v>167.8</v>
      </c>
      <c r="H74" s="27"/>
      <c r="I74" s="24">
        <v>90.9</v>
      </c>
      <c r="J74" s="24"/>
      <c r="K74" s="23"/>
      <c r="L74" s="24"/>
      <c r="M74" s="27"/>
      <c r="N74" s="24"/>
      <c r="O74" s="24"/>
      <c r="P74" s="23"/>
      <c r="S74" t="s">
        <v>22</v>
      </c>
      <c r="T74" s="24">
        <v>48.317999999999998</v>
      </c>
      <c r="V74" s="24">
        <v>25.718</v>
      </c>
      <c r="W74" s="24"/>
      <c r="X74" s="23"/>
      <c r="Y74" s="24">
        <v>60.190300000000001</v>
      </c>
      <c r="Z74" s="24"/>
      <c r="AA74" s="24">
        <v>28.883099999999999</v>
      </c>
      <c r="AB74" s="24"/>
      <c r="AC74" s="23"/>
      <c r="AD74" s="24"/>
      <c r="AE74" s="24"/>
      <c r="AF74" s="24"/>
      <c r="AG74" s="24"/>
      <c r="AH74" s="23"/>
      <c r="AJ74" t="s">
        <v>22</v>
      </c>
      <c r="AK74" s="24">
        <v>81.047399999999996</v>
      </c>
      <c r="AL74" s="24"/>
      <c r="AM74" s="24">
        <v>38.723300000000002</v>
      </c>
      <c r="AN74" s="24"/>
      <c r="AO74" s="23"/>
      <c r="AP74" s="24">
        <v>107.3424</v>
      </c>
      <c r="AQ74" s="24"/>
      <c r="AR74" s="24">
        <v>62.042400000000001</v>
      </c>
      <c r="AS74" s="24"/>
      <c r="AT74" s="23"/>
      <c r="AU74" s="24"/>
      <c r="AV74" s="24"/>
      <c r="AW74" s="24"/>
      <c r="AX74" s="24"/>
      <c r="AY74" s="23"/>
    </row>
    <row r="75" spans="1:51">
      <c r="A75" t="s">
        <v>23</v>
      </c>
      <c r="B75" s="24">
        <v>165.15</v>
      </c>
      <c r="D75" s="24">
        <v>83.11</v>
      </c>
      <c r="E75" s="24"/>
      <c r="F75" s="23"/>
      <c r="G75" s="24">
        <v>224.36</v>
      </c>
      <c r="H75" s="27"/>
      <c r="I75" s="24">
        <v>119.1</v>
      </c>
      <c r="J75" s="24"/>
      <c r="K75" s="23"/>
      <c r="L75" s="24"/>
      <c r="M75" s="27"/>
      <c r="N75" s="24"/>
      <c r="O75" s="24"/>
      <c r="P75" s="23"/>
      <c r="S75" t="s">
        <v>23</v>
      </c>
      <c r="T75" s="24">
        <v>64.600399999999993</v>
      </c>
      <c r="V75" s="24">
        <v>34.0214</v>
      </c>
      <c r="W75" s="24"/>
      <c r="X75" s="23"/>
      <c r="Y75" s="24">
        <v>78.801299999999998</v>
      </c>
      <c r="Z75" s="24"/>
      <c r="AA75" s="24">
        <v>37.911200000000001</v>
      </c>
      <c r="AB75" s="24"/>
      <c r="AC75" s="23"/>
      <c r="AD75" s="24"/>
      <c r="AE75" s="24"/>
      <c r="AF75" s="24"/>
      <c r="AG75" s="24"/>
      <c r="AH75" s="23"/>
      <c r="AJ75" t="s">
        <v>23</v>
      </c>
      <c r="AK75" s="24">
        <v>100.2813</v>
      </c>
      <c r="AL75" s="24"/>
      <c r="AM75" s="24">
        <v>48.955599999999997</v>
      </c>
      <c r="AN75" s="24"/>
      <c r="AO75" s="23"/>
      <c r="AP75" s="24">
        <v>145.1601</v>
      </c>
      <c r="AQ75" s="24"/>
      <c r="AR75" s="24">
        <v>81.195700000000002</v>
      </c>
      <c r="AS75" s="24"/>
      <c r="AT75" s="23"/>
      <c r="AU75" s="24"/>
      <c r="AV75" s="24"/>
      <c r="AW75" s="24"/>
      <c r="AX75" s="24"/>
      <c r="AY75" s="23"/>
    </row>
    <row r="76" spans="1:51">
      <c r="A76" t="s">
        <v>24</v>
      </c>
      <c r="B76" s="24">
        <v>206.44</v>
      </c>
      <c r="C76" s="23">
        <v>205.39879999999999</v>
      </c>
      <c r="D76" s="24">
        <v>110.12</v>
      </c>
      <c r="E76" s="24">
        <f t="shared" ref="E76:E82" si="6">B76-C76</f>
        <v>1.0412000000000035</v>
      </c>
      <c r="F76" s="23">
        <f t="shared" ref="F76:F82" si="7">C76-D76</f>
        <v>95.27879999999999</v>
      </c>
      <c r="G76" s="24">
        <v>284.48</v>
      </c>
      <c r="H76" s="27">
        <v>256.54219999999998</v>
      </c>
      <c r="I76" s="24">
        <v>152</v>
      </c>
      <c r="J76" s="24">
        <f t="shared" ref="J76:J82" si="8">G76-H76</f>
        <v>27.937800000000038</v>
      </c>
      <c r="K76" s="23">
        <f t="shared" ref="K76:K82" si="9">H76-I76</f>
        <v>104.54219999999998</v>
      </c>
      <c r="L76" s="24"/>
      <c r="M76" s="27"/>
      <c r="N76" s="24"/>
      <c r="O76" s="24"/>
      <c r="P76" s="23"/>
      <c r="S76" t="s">
        <v>24</v>
      </c>
      <c r="T76" s="24">
        <v>82.912700000000001</v>
      </c>
      <c r="U76" s="23">
        <v>83.814599999999999</v>
      </c>
      <c r="V76" s="24">
        <v>45.6004</v>
      </c>
      <c r="W76" s="24">
        <f t="shared" ref="W76:W82" si="10">T76-U76</f>
        <v>-0.9018999999999977</v>
      </c>
      <c r="X76" s="23">
        <f t="shared" ref="X76:X82" si="11">U76-V76</f>
        <v>38.214199999999998</v>
      </c>
      <c r="Y76" s="24">
        <v>96.497900000000001</v>
      </c>
      <c r="Z76" s="24">
        <v>99.7958</v>
      </c>
      <c r="AA76" s="24">
        <v>47.9895</v>
      </c>
      <c r="AB76" s="24">
        <f t="shared" ref="AB76:AB82" si="12">Y76-Z76</f>
        <v>-3.2978999999999985</v>
      </c>
      <c r="AC76" s="23">
        <f t="shared" ref="AC76:AC82" si="13">Z76-AA76</f>
        <v>51.8063</v>
      </c>
      <c r="AD76" s="24"/>
      <c r="AE76" s="24"/>
      <c r="AF76" s="24"/>
      <c r="AG76" s="24"/>
      <c r="AH76" s="23"/>
      <c r="AJ76" t="s">
        <v>24</v>
      </c>
      <c r="AK76" s="24">
        <v>123.21120000000001</v>
      </c>
      <c r="AL76" s="24">
        <v>121.2616</v>
      </c>
      <c r="AM76" s="24">
        <v>64.371899999999997</v>
      </c>
      <c r="AN76" s="24">
        <f t="shared" ref="AN76:AN82" si="14">AK76-AL76</f>
        <v>1.9496000000000038</v>
      </c>
      <c r="AO76" s="23">
        <f t="shared" ref="AO76:AO82" si="15">AL76-AM76</f>
        <v>56.889700000000005</v>
      </c>
      <c r="AP76" s="24">
        <v>187.40299999999999</v>
      </c>
      <c r="AQ76" s="24">
        <v>156.2636</v>
      </c>
      <c r="AR76" s="24">
        <v>103.9341</v>
      </c>
      <c r="AS76" s="24">
        <f t="shared" ref="AS76:AS82" si="16">AP76-AQ76</f>
        <v>31.139399999999995</v>
      </c>
      <c r="AT76" s="23">
        <f t="shared" ref="AT76:AT81" si="17">AQ76-AR76</f>
        <v>52.329499999999996</v>
      </c>
      <c r="AU76" s="24"/>
      <c r="AV76" s="24"/>
      <c r="AW76" s="24"/>
      <c r="AX76" s="24"/>
      <c r="AY76" s="23"/>
    </row>
    <row r="77" spans="1:51">
      <c r="A77" t="s">
        <v>25</v>
      </c>
      <c r="B77" s="24">
        <v>253.67</v>
      </c>
      <c r="D77" s="24">
        <v>134.31</v>
      </c>
      <c r="E77" s="24"/>
      <c r="F77" s="23"/>
      <c r="G77" s="24">
        <v>345.47500000000002</v>
      </c>
      <c r="H77" s="27">
        <v>309.7706</v>
      </c>
      <c r="I77" s="24">
        <v>184.2</v>
      </c>
      <c r="J77" s="24">
        <f t="shared" si="8"/>
        <v>35.704400000000021</v>
      </c>
      <c r="K77" s="23">
        <f t="shared" si="9"/>
        <v>125.57060000000001</v>
      </c>
      <c r="L77" s="24"/>
      <c r="M77" s="27"/>
      <c r="N77" s="24"/>
      <c r="O77" s="24"/>
      <c r="P77" s="23"/>
      <c r="S77" t="s">
        <v>25</v>
      </c>
      <c r="T77" s="24">
        <v>99.496499999999997</v>
      </c>
      <c r="V77" s="24">
        <v>55.438899999999997</v>
      </c>
      <c r="W77" s="24"/>
      <c r="X77" s="23"/>
      <c r="Y77" s="24">
        <v>116.8922</v>
      </c>
      <c r="Z77" s="24">
        <v>119.62690000000001</v>
      </c>
      <c r="AA77" s="24">
        <v>58.551699999999997</v>
      </c>
      <c r="AB77" s="24">
        <f t="shared" si="12"/>
        <v>-2.7347000000000037</v>
      </c>
      <c r="AC77" s="23">
        <f t="shared" si="13"/>
        <v>61.075200000000009</v>
      </c>
      <c r="AD77" s="24"/>
      <c r="AE77" s="24"/>
      <c r="AF77" s="24"/>
      <c r="AG77" s="24"/>
      <c r="AH77" s="23"/>
      <c r="AJ77" t="s">
        <v>25</v>
      </c>
      <c r="AK77" s="24">
        <v>153.81450000000001</v>
      </c>
      <c r="AL77" s="24"/>
      <c r="AM77" s="24">
        <v>78.708799999999997</v>
      </c>
      <c r="AN77" s="24"/>
      <c r="AO77" s="23"/>
      <c r="AP77" s="24">
        <v>227.9023</v>
      </c>
      <c r="AQ77" s="24">
        <v>189.56649999999999</v>
      </c>
      <c r="AR77" s="24">
        <v>125.5943</v>
      </c>
      <c r="AS77" s="24">
        <f t="shared" si="16"/>
        <v>38.335800000000006</v>
      </c>
      <c r="AT77" s="23">
        <f t="shared" si="17"/>
        <v>63.972199999999987</v>
      </c>
      <c r="AU77" s="24"/>
      <c r="AV77" s="24"/>
      <c r="AW77" s="24"/>
      <c r="AX77" s="24"/>
      <c r="AY77" s="23"/>
    </row>
    <row r="78" spans="1:51">
      <c r="A78" t="s">
        <v>26</v>
      </c>
      <c r="B78" s="24">
        <v>303.74</v>
      </c>
      <c r="D78" s="24">
        <v>162.06</v>
      </c>
      <c r="E78" s="24"/>
      <c r="F78" s="23"/>
      <c r="G78" s="24">
        <v>418.77499999999998</v>
      </c>
      <c r="H78" s="27">
        <v>364.8528</v>
      </c>
      <c r="I78" s="24">
        <v>219.1</v>
      </c>
      <c r="J78" s="24">
        <f t="shared" si="8"/>
        <v>53.922199999999975</v>
      </c>
      <c r="K78" s="23">
        <f t="shared" si="9"/>
        <v>145.75280000000001</v>
      </c>
      <c r="L78" s="24"/>
      <c r="M78" s="27"/>
      <c r="N78" s="24"/>
      <c r="O78" s="24"/>
      <c r="P78" s="23"/>
      <c r="S78" t="s">
        <v>26</v>
      </c>
      <c r="T78" s="24">
        <v>118.7471</v>
      </c>
      <c r="V78" s="24">
        <v>65.961399999999998</v>
      </c>
      <c r="W78" s="24"/>
      <c r="X78" s="23"/>
      <c r="Y78" s="24">
        <v>140.02500000000001</v>
      </c>
      <c r="Z78" s="24">
        <v>140.70939999999999</v>
      </c>
      <c r="AA78" s="24">
        <v>69.358699999999999</v>
      </c>
      <c r="AB78" s="24">
        <f t="shared" si="12"/>
        <v>-0.68439999999998236</v>
      </c>
      <c r="AC78" s="23">
        <f t="shared" si="13"/>
        <v>71.350699999999989</v>
      </c>
      <c r="AD78" s="24"/>
      <c r="AE78" s="24"/>
      <c r="AF78" s="24"/>
      <c r="AG78" s="24"/>
      <c r="AH78" s="23"/>
      <c r="AJ78" t="s">
        <v>26</v>
      </c>
      <c r="AK78" s="24">
        <v>184.58260000000001</v>
      </c>
      <c r="AL78" s="24"/>
      <c r="AM78" s="24">
        <v>95.919300000000007</v>
      </c>
      <c r="AN78" s="24"/>
      <c r="AO78" s="23"/>
      <c r="AP78" s="24">
        <v>277.93520000000001</v>
      </c>
      <c r="AQ78" s="24">
        <v>223.428</v>
      </c>
      <c r="AR78" s="24">
        <v>149.6454</v>
      </c>
      <c r="AS78" s="24">
        <f t="shared" si="16"/>
        <v>54.507200000000012</v>
      </c>
      <c r="AT78" s="23">
        <f t="shared" si="17"/>
        <v>73.782600000000002</v>
      </c>
      <c r="AU78" s="24"/>
      <c r="AV78" s="24"/>
      <c r="AW78" s="24"/>
      <c r="AX78" s="24"/>
      <c r="AY78" s="23"/>
    </row>
    <row r="79" spans="1:51">
      <c r="A79" t="s">
        <v>27</v>
      </c>
      <c r="B79" s="24">
        <v>362.88</v>
      </c>
      <c r="C79" s="23">
        <v>367.44330000000002</v>
      </c>
      <c r="D79" s="24">
        <v>193.69</v>
      </c>
      <c r="E79" s="24">
        <f t="shared" si="6"/>
        <v>-4.5633000000000266</v>
      </c>
      <c r="F79" s="23">
        <f t="shared" si="7"/>
        <v>173.75330000000002</v>
      </c>
      <c r="G79" s="24">
        <v>496.17500000000001</v>
      </c>
      <c r="H79" s="27">
        <v>425</v>
      </c>
      <c r="I79" s="24">
        <v>255.5</v>
      </c>
      <c r="J79" s="24">
        <f t="shared" si="8"/>
        <v>71.175000000000011</v>
      </c>
      <c r="K79" s="23">
        <f t="shared" si="9"/>
        <v>169.5</v>
      </c>
      <c r="L79" s="24"/>
      <c r="M79" s="27"/>
      <c r="N79" s="24"/>
      <c r="O79" s="24"/>
      <c r="P79" s="23"/>
      <c r="S79" t="s">
        <v>27</v>
      </c>
      <c r="T79" s="24">
        <v>143.02539999999999</v>
      </c>
      <c r="U79" s="23">
        <v>163.8272</v>
      </c>
      <c r="V79" s="24">
        <v>77.1708</v>
      </c>
      <c r="W79" s="24">
        <f t="shared" si="10"/>
        <v>-20.801800000000014</v>
      </c>
      <c r="X79" s="23">
        <f t="shared" si="11"/>
        <v>86.656400000000005</v>
      </c>
      <c r="Y79" s="24">
        <v>165.32499999999999</v>
      </c>
      <c r="Z79" s="24">
        <v>165.3</v>
      </c>
      <c r="AA79" s="24">
        <v>81.558700000000002</v>
      </c>
      <c r="AB79" s="24">
        <f t="shared" si="12"/>
        <v>2.4999999999977263E-2</v>
      </c>
      <c r="AC79" s="23">
        <f t="shared" si="13"/>
        <v>83.74130000000001</v>
      </c>
      <c r="AD79" s="24"/>
      <c r="AE79" s="24"/>
      <c r="AF79" s="24"/>
      <c r="AG79" s="24"/>
      <c r="AH79" s="23"/>
      <c r="AJ79" t="s">
        <v>27</v>
      </c>
      <c r="AK79" s="24">
        <v>219.36240000000001</v>
      </c>
      <c r="AL79" s="24">
        <v>203.04259999999999</v>
      </c>
      <c r="AM79" s="24">
        <v>116.31959999999999</v>
      </c>
      <c r="AN79" s="24">
        <f t="shared" si="14"/>
        <v>16.319800000000015</v>
      </c>
      <c r="AO79" s="23">
        <f t="shared" si="15"/>
        <v>86.722999999999999</v>
      </c>
      <c r="AP79" s="24">
        <v>329.83519999999999</v>
      </c>
      <c r="AQ79" s="24">
        <v>258.7</v>
      </c>
      <c r="AR79" s="24">
        <v>173.84540000000001</v>
      </c>
      <c r="AS79" s="24">
        <f t="shared" si="16"/>
        <v>71.135199999999998</v>
      </c>
      <c r="AT79" s="23">
        <f t="shared" si="17"/>
        <v>84.854599999999976</v>
      </c>
      <c r="AU79" s="24"/>
      <c r="AV79" s="24"/>
      <c r="AW79" s="24"/>
      <c r="AX79" s="24"/>
      <c r="AY79" s="23"/>
    </row>
    <row r="80" spans="1:51">
      <c r="A80" t="s">
        <v>28</v>
      </c>
      <c r="B80" s="24">
        <v>425.7</v>
      </c>
      <c r="D80" s="24">
        <v>224.23</v>
      </c>
      <c r="E80" s="24"/>
      <c r="F80" s="23"/>
      <c r="G80" s="24">
        <v>611</v>
      </c>
      <c r="H80" s="27">
        <v>486</v>
      </c>
      <c r="I80" s="24">
        <v>294.89999999999998</v>
      </c>
      <c r="J80" s="24">
        <f t="shared" si="8"/>
        <v>125</v>
      </c>
      <c r="K80" s="23">
        <f t="shared" si="9"/>
        <v>191.10000000000002</v>
      </c>
      <c r="L80" s="24"/>
      <c r="M80" s="27"/>
      <c r="N80" s="24"/>
      <c r="O80" s="24"/>
      <c r="P80" s="23"/>
      <c r="S80" t="s">
        <v>28</v>
      </c>
      <c r="T80" s="24">
        <v>167.2654</v>
      </c>
      <c r="V80" s="24">
        <v>87.987399999999994</v>
      </c>
      <c r="W80" s="24"/>
      <c r="X80" s="23"/>
      <c r="Y80" s="24">
        <v>193.3</v>
      </c>
      <c r="Z80" s="24">
        <v>188.9</v>
      </c>
      <c r="AA80" s="24">
        <v>93.6</v>
      </c>
      <c r="AB80" s="24">
        <f t="shared" si="12"/>
        <v>4.4000000000000057</v>
      </c>
      <c r="AC80" s="23">
        <f t="shared" si="13"/>
        <v>95.300000000000011</v>
      </c>
      <c r="AD80" s="24"/>
      <c r="AE80" s="24"/>
      <c r="AF80" s="24"/>
      <c r="AG80" s="24"/>
      <c r="AH80" s="23"/>
      <c r="AJ80" t="s">
        <v>28</v>
      </c>
      <c r="AK80" s="24">
        <v>257.91340000000002</v>
      </c>
      <c r="AL80" s="24"/>
      <c r="AM80" s="24">
        <v>135.98490000000001</v>
      </c>
      <c r="AN80" s="24"/>
      <c r="AO80" s="23"/>
      <c r="AP80" s="24">
        <v>416.5</v>
      </c>
      <c r="AQ80" s="24">
        <v>296</v>
      </c>
      <c r="AR80" s="24">
        <v>200.7</v>
      </c>
      <c r="AS80" s="24">
        <f t="shared" si="16"/>
        <v>120.5</v>
      </c>
      <c r="AT80" s="23">
        <f t="shared" si="17"/>
        <v>95.300000000000011</v>
      </c>
      <c r="AU80" s="24"/>
      <c r="AV80" s="24"/>
      <c r="AW80" s="24"/>
      <c r="AX80" s="24"/>
      <c r="AY80" s="23"/>
    </row>
    <row r="81" spans="1:51">
      <c r="A81" t="s">
        <v>29</v>
      </c>
      <c r="B81" s="24">
        <v>489.11</v>
      </c>
      <c r="D81" s="24">
        <v>258.49</v>
      </c>
      <c r="E81" s="24"/>
      <c r="F81" s="23"/>
      <c r="G81" s="24">
        <v>698.7</v>
      </c>
      <c r="H81" s="27">
        <v>554.1</v>
      </c>
      <c r="I81" s="24">
        <v>339.7</v>
      </c>
      <c r="J81" s="24">
        <f t="shared" si="8"/>
        <v>144.60000000000002</v>
      </c>
      <c r="K81" s="23">
        <f t="shared" si="9"/>
        <v>214.40000000000003</v>
      </c>
      <c r="L81" s="24"/>
      <c r="M81" s="27"/>
      <c r="N81" s="24"/>
      <c r="O81" s="24"/>
      <c r="P81" s="23"/>
      <c r="S81" t="s">
        <v>29</v>
      </c>
      <c r="T81" s="24">
        <v>191.46719999999999</v>
      </c>
      <c r="V81" s="24">
        <v>99.022400000000005</v>
      </c>
      <c r="W81" s="24"/>
      <c r="X81" s="23"/>
      <c r="Y81" s="24">
        <v>221.1</v>
      </c>
      <c r="Z81" s="27">
        <v>218.1</v>
      </c>
      <c r="AA81" s="24">
        <v>109.6</v>
      </c>
      <c r="AB81" s="24">
        <f t="shared" si="12"/>
        <v>3</v>
      </c>
      <c r="AC81" s="23">
        <f t="shared" si="13"/>
        <v>108.5</v>
      </c>
      <c r="AD81" s="24"/>
      <c r="AE81" s="27"/>
      <c r="AF81" s="24"/>
      <c r="AG81" s="24"/>
      <c r="AH81" s="23"/>
      <c r="AJ81" t="s">
        <v>29</v>
      </c>
      <c r="AK81" s="24">
        <v>297.02269999999999</v>
      </c>
      <c r="AL81" s="24"/>
      <c r="AM81" s="24">
        <v>159.07570000000001</v>
      </c>
      <c r="AN81" s="24"/>
      <c r="AO81" s="23"/>
      <c r="AP81" s="24">
        <v>476.3</v>
      </c>
      <c r="AQ81" s="24">
        <v>334.7</v>
      </c>
      <c r="AR81" s="24">
        <v>229.8</v>
      </c>
      <c r="AS81" s="24">
        <f t="shared" si="16"/>
        <v>141.60000000000002</v>
      </c>
      <c r="AT81" s="23">
        <f t="shared" si="17"/>
        <v>104.89999999999998</v>
      </c>
      <c r="AU81" s="24"/>
      <c r="AV81" s="24"/>
      <c r="AW81" s="24"/>
      <c r="AX81" s="24"/>
      <c r="AY81" s="23"/>
    </row>
    <row r="82" spans="1:51">
      <c r="A82" t="s">
        <v>30</v>
      </c>
      <c r="B82" s="24">
        <v>541.58000000000004</v>
      </c>
      <c r="C82" s="23">
        <v>465.50189999999998</v>
      </c>
      <c r="D82" s="24">
        <v>294.64</v>
      </c>
      <c r="E82" s="24">
        <f t="shared" si="6"/>
        <v>76.078100000000063</v>
      </c>
      <c r="F82" s="23">
        <f t="shared" si="7"/>
        <v>170.86189999999999</v>
      </c>
      <c r="G82" s="24">
        <v>778.1</v>
      </c>
      <c r="H82" s="27">
        <v>616.29999999999995</v>
      </c>
      <c r="I82" s="24">
        <v>387.7</v>
      </c>
      <c r="J82" s="24">
        <f t="shared" si="8"/>
        <v>161.80000000000007</v>
      </c>
      <c r="K82" s="23">
        <f t="shared" si="9"/>
        <v>228.59999999999997</v>
      </c>
      <c r="L82" s="24"/>
      <c r="M82" s="27"/>
      <c r="N82" s="24"/>
      <c r="O82" s="24"/>
      <c r="P82" s="23"/>
      <c r="S82" t="s">
        <v>30</v>
      </c>
      <c r="T82" s="24">
        <v>209.93199999999999</v>
      </c>
      <c r="U82" s="23">
        <v>193.53630000000001</v>
      </c>
      <c r="V82" s="24">
        <v>110.44450000000001</v>
      </c>
      <c r="W82" s="24">
        <f t="shared" si="10"/>
        <v>16.395699999999977</v>
      </c>
      <c r="X82" s="23">
        <f t="shared" si="11"/>
        <v>83.091800000000006</v>
      </c>
      <c r="Y82" s="24">
        <v>245.1</v>
      </c>
      <c r="Z82" s="27">
        <v>249.6</v>
      </c>
      <c r="AA82" s="24">
        <v>126.2</v>
      </c>
      <c r="AB82" s="24">
        <f t="shared" si="12"/>
        <v>-4.5</v>
      </c>
      <c r="AC82" s="23">
        <f t="shared" si="13"/>
        <v>123.39999999999999</v>
      </c>
      <c r="AD82" s="24"/>
      <c r="AE82" s="27"/>
      <c r="AF82" s="24"/>
      <c r="AG82" s="24"/>
      <c r="AH82" s="23"/>
      <c r="AJ82" t="s">
        <v>30</v>
      </c>
      <c r="AK82" s="24">
        <v>330.91809999999998</v>
      </c>
      <c r="AL82" s="24">
        <v>270.95519999999999</v>
      </c>
      <c r="AM82" s="24">
        <v>183.75309999999999</v>
      </c>
      <c r="AN82" s="24">
        <f t="shared" si="14"/>
        <v>59.962899999999991</v>
      </c>
      <c r="AO82" s="23">
        <f t="shared" si="15"/>
        <v>87.202100000000002</v>
      </c>
      <c r="AP82" s="24">
        <v>531.4</v>
      </c>
      <c r="AQ82" s="24">
        <v>365.2</v>
      </c>
      <c r="AR82" s="24">
        <v>261</v>
      </c>
      <c r="AS82" s="24">
        <f t="shared" si="16"/>
        <v>166.2</v>
      </c>
      <c r="AT82" s="23">
        <f>AR82-AS82</f>
        <v>94.800000000000011</v>
      </c>
      <c r="AU82" s="24"/>
      <c r="AV82" s="24"/>
      <c r="AW82" s="24"/>
      <c r="AX82" s="24"/>
      <c r="AY82" s="23"/>
    </row>
    <row r="86" spans="1:51">
      <c r="B86">
        <v>2022</v>
      </c>
      <c r="H86">
        <v>2023</v>
      </c>
      <c r="N86">
        <v>2024</v>
      </c>
    </row>
    <row r="87" spans="1:51">
      <c r="B87" t="s">
        <v>540</v>
      </c>
      <c r="C87" t="s">
        <v>530</v>
      </c>
      <c r="D87" t="s">
        <v>550</v>
      </c>
      <c r="E87" t="s">
        <v>543</v>
      </c>
      <c r="F87" t="s">
        <v>548</v>
      </c>
      <c r="G87" t="s">
        <v>551</v>
      </c>
      <c r="H87" t="s">
        <v>540</v>
      </c>
      <c r="I87" t="s">
        <v>530</v>
      </c>
      <c r="J87" t="s">
        <v>550</v>
      </c>
      <c r="K87" t="s">
        <v>543</v>
      </c>
      <c r="L87" t="s">
        <v>548</v>
      </c>
      <c r="M87" t="s">
        <v>551</v>
      </c>
      <c r="N87" t="s">
        <v>540</v>
      </c>
      <c r="O87" t="s">
        <v>530</v>
      </c>
      <c r="P87" t="s">
        <v>550</v>
      </c>
      <c r="Q87" t="s">
        <v>543</v>
      </c>
      <c r="R87" t="s">
        <v>548</v>
      </c>
      <c r="S87" t="s">
        <v>551</v>
      </c>
    </row>
    <row r="88" spans="1:51">
      <c r="A88" t="s">
        <v>19</v>
      </c>
      <c r="B88" s="24">
        <v>11</v>
      </c>
      <c r="C88" s="24"/>
      <c r="D88" s="24"/>
      <c r="E88" s="24">
        <v>16.2</v>
      </c>
      <c r="F88" s="24"/>
      <c r="G88" s="24"/>
      <c r="H88" s="24">
        <v>28.2</v>
      </c>
      <c r="I88" s="24"/>
      <c r="J88" s="24">
        <v>7.9</v>
      </c>
      <c r="K88" s="24">
        <v>16.100000000000001</v>
      </c>
      <c r="L88" s="24"/>
      <c r="M88" s="24"/>
      <c r="N88" s="24">
        <v>65.2</v>
      </c>
      <c r="O88" s="24">
        <v>57.1</v>
      </c>
      <c r="P88" s="24">
        <v>8.4</v>
      </c>
      <c r="Q88" s="24">
        <v>32.299999999999997</v>
      </c>
      <c r="R88" s="24">
        <f t="shared" ref="R88:R90" si="18">N88-O88</f>
        <v>8.1000000000000014</v>
      </c>
      <c r="S88" s="24">
        <f t="shared" ref="S88:S90" si="19">O88-P88-Q88</f>
        <v>16.400000000000006</v>
      </c>
    </row>
    <row r="89" spans="1:51">
      <c r="A89" t="s">
        <v>20</v>
      </c>
      <c r="B89" s="24">
        <v>61.4</v>
      </c>
      <c r="C89" s="24"/>
      <c r="D89" s="24"/>
      <c r="E89" s="24">
        <v>29.9</v>
      </c>
      <c r="F89" s="24"/>
      <c r="G89" s="24"/>
      <c r="H89" s="24">
        <v>69.7</v>
      </c>
      <c r="I89" s="24"/>
      <c r="J89" s="24">
        <v>17.399999999999999</v>
      </c>
      <c r="K89" s="24">
        <v>38</v>
      </c>
      <c r="L89" s="24"/>
      <c r="M89" s="24"/>
      <c r="N89">
        <v>108.8</v>
      </c>
      <c r="O89">
        <v>94.5</v>
      </c>
      <c r="P89">
        <v>16.600000000000001</v>
      </c>
      <c r="Q89">
        <v>50.3</v>
      </c>
      <c r="R89" s="24">
        <f t="shared" si="18"/>
        <v>14.299999999999997</v>
      </c>
      <c r="S89" s="24">
        <f t="shared" si="19"/>
        <v>27.600000000000009</v>
      </c>
    </row>
    <row r="90" spans="1:51">
      <c r="A90" t="s">
        <v>21</v>
      </c>
      <c r="B90" s="24">
        <v>100.6</v>
      </c>
      <c r="C90" s="24">
        <v>65</v>
      </c>
      <c r="D90" s="24"/>
      <c r="E90" s="24">
        <v>51.3</v>
      </c>
      <c r="F90" s="24">
        <v>35.6</v>
      </c>
      <c r="G90" s="24"/>
      <c r="H90" s="24">
        <v>120.8</v>
      </c>
      <c r="I90" s="24">
        <v>108.5</v>
      </c>
      <c r="J90" s="24">
        <v>25.8</v>
      </c>
      <c r="K90" s="24">
        <v>65.8</v>
      </c>
      <c r="L90" s="24">
        <v>12.4</v>
      </c>
      <c r="M90" s="24">
        <v>16.899999999999999</v>
      </c>
      <c r="N90">
        <v>184.6</v>
      </c>
      <c r="O90">
        <v>146.19999999999999</v>
      </c>
      <c r="P90">
        <v>28.1</v>
      </c>
      <c r="Q90">
        <v>85.2</v>
      </c>
      <c r="R90" s="24">
        <f t="shared" si="18"/>
        <v>38.400000000000006</v>
      </c>
      <c r="S90" s="24">
        <f t="shared" si="19"/>
        <v>32.899999999999991</v>
      </c>
    </row>
    <row r="91" spans="1:51">
      <c r="A91" t="s">
        <v>22</v>
      </c>
      <c r="B91" s="24">
        <v>129.6</v>
      </c>
      <c r="C91" s="24"/>
      <c r="D91" s="24"/>
      <c r="E91" s="24">
        <v>64.599999999999994</v>
      </c>
      <c r="F91" s="24"/>
      <c r="G91" s="24"/>
      <c r="H91" s="24">
        <v>167.8</v>
      </c>
      <c r="I91" s="24"/>
      <c r="J91" s="24">
        <v>34.6</v>
      </c>
      <c r="K91" s="24">
        <v>90.9</v>
      </c>
      <c r="L91" s="24"/>
      <c r="M91" s="24"/>
    </row>
    <row r="92" spans="1:51">
      <c r="A92" t="s">
        <v>23</v>
      </c>
      <c r="B92" s="24">
        <v>165.2</v>
      </c>
      <c r="C92" s="24"/>
      <c r="D92" s="24"/>
      <c r="E92" s="24">
        <v>83.1</v>
      </c>
      <c r="F92" s="24"/>
      <c r="G92" s="24"/>
      <c r="H92" s="24">
        <v>224.4</v>
      </c>
      <c r="I92" s="24"/>
      <c r="J92" s="24">
        <v>45.9</v>
      </c>
      <c r="K92" s="24">
        <v>119.1</v>
      </c>
      <c r="L92" s="24"/>
      <c r="M92" s="24"/>
    </row>
    <row r="93" spans="1:51">
      <c r="A93" t="s">
        <v>24</v>
      </c>
      <c r="B93" s="24">
        <v>206.4</v>
      </c>
      <c r="C93" s="24">
        <v>205.4</v>
      </c>
      <c r="D93" s="24"/>
      <c r="E93" s="24">
        <v>110.1</v>
      </c>
      <c r="F93" s="24">
        <v>1</v>
      </c>
      <c r="G93" s="24"/>
      <c r="H93" s="24">
        <v>284.5</v>
      </c>
      <c r="I93" s="24">
        <v>256.5</v>
      </c>
      <c r="J93" s="24">
        <v>56.7</v>
      </c>
      <c r="K93" s="24">
        <v>152</v>
      </c>
      <c r="L93" s="24">
        <v>27.9</v>
      </c>
      <c r="M93" s="24">
        <f t="shared" ref="M93:M99" si="20">I93-J93-K93</f>
        <v>47.800000000000011</v>
      </c>
    </row>
    <row r="94" spans="1:51">
      <c r="A94" t="s">
        <v>25</v>
      </c>
      <c r="B94" s="24">
        <v>253.7</v>
      </c>
      <c r="C94" s="24"/>
      <c r="D94" s="24"/>
      <c r="E94" s="24">
        <v>134.30000000000001</v>
      </c>
      <c r="F94" s="24"/>
      <c r="G94" s="24"/>
      <c r="H94" s="24">
        <v>345.5</v>
      </c>
      <c r="I94" s="24">
        <v>309.8</v>
      </c>
      <c r="J94" s="24">
        <v>67.099999999999994</v>
      </c>
      <c r="K94" s="24">
        <v>184.2</v>
      </c>
      <c r="L94" s="24">
        <v>35.700000000000003</v>
      </c>
      <c r="M94" s="24">
        <f t="shared" si="20"/>
        <v>58.500000000000028</v>
      </c>
    </row>
    <row r="95" spans="1:51">
      <c r="A95" t="s">
        <v>26</v>
      </c>
      <c r="B95" s="24">
        <v>303.7</v>
      </c>
      <c r="C95" s="24"/>
      <c r="D95" s="24">
        <v>33.396656534954403</v>
      </c>
      <c r="E95" s="24">
        <v>162.1</v>
      </c>
      <c r="F95" s="24"/>
      <c r="G95" s="24"/>
      <c r="H95" s="24">
        <v>418.8</v>
      </c>
      <c r="I95" s="24">
        <v>364.9</v>
      </c>
      <c r="J95" s="24">
        <v>87.9</v>
      </c>
      <c r="K95" s="24">
        <v>219.1</v>
      </c>
      <c r="L95" s="24">
        <v>53.9</v>
      </c>
      <c r="M95" s="24">
        <f t="shared" si="20"/>
        <v>57.900000000000006</v>
      </c>
    </row>
    <row r="96" spans="1:51">
      <c r="A96" t="s">
        <v>27</v>
      </c>
      <c r="B96" s="24">
        <v>362.9</v>
      </c>
      <c r="C96" s="24">
        <v>367.4</v>
      </c>
      <c r="D96" s="24">
        <v>40.744101633393797</v>
      </c>
      <c r="E96" s="24">
        <v>193.7</v>
      </c>
      <c r="F96" s="24">
        <v>-4.5999999999999996</v>
      </c>
      <c r="G96" s="24">
        <f t="shared" ref="G96" si="21">C96-D96-E96</f>
        <v>132.95589836660616</v>
      </c>
      <c r="H96" s="24">
        <v>496.2</v>
      </c>
      <c r="I96" s="24">
        <v>425</v>
      </c>
      <c r="J96" s="24">
        <v>89.8</v>
      </c>
      <c r="K96" s="24">
        <v>255.5</v>
      </c>
      <c r="L96" s="24">
        <v>71.2</v>
      </c>
      <c r="M96" s="24">
        <f t="shared" si="20"/>
        <v>79.699999999999989</v>
      </c>
    </row>
    <row r="97" spans="1:23">
      <c r="A97" t="s">
        <v>28</v>
      </c>
      <c r="B97" s="24">
        <v>425.7</v>
      </c>
      <c r="C97" s="24"/>
      <c r="D97" s="24">
        <v>49.269717624148001</v>
      </c>
      <c r="E97" s="24">
        <v>224.2</v>
      </c>
      <c r="F97" s="24"/>
      <c r="G97" s="24"/>
      <c r="H97" s="24">
        <v>611</v>
      </c>
      <c r="I97" s="24">
        <v>486</v>
      </c>
      <c r="J97" s="24">
        <v>101.2</v>
      </c>
      <c r="K97" s="24">
        <v>294.89999999999998</v>
      </c>
      <c r="L97" s="24">
        <v>125</v>
      </c>
      <c r="M97" s="24">
        <f t="shared" si="20"/>
        <v>89.900000000000034</v>
      </c>
    </row>
    <row r="98" spans="1:23">
      <c r="A98" t="s">
        <v>29</v>
      </c>
      <c r="B98" s="24">
        <v>489.1</v>
      </c>
      <c r="C98" s="24"/>
      <c r="D98" s="24">
        <v>58.7</v>
      </c>
      <c r="E98" s="24">
        <v>258.5</v>
      </c>
      <c r="F98" s="24"/>
      <c r="G98" s="24"/>
      <c r="H98" s="24">
        <v>698.7</v>
      </c>
      <c r="I98" s="24">
        <v>554.1</v>
      </c>
      <c r="J98" s="24">
        <v>114.2</v>
      </c>
      <c r="K98" s="24">
        <v>339.7</v>
      </c>
      <c r="L98" s="24">
        <v>144.6</v>
      </c>
      <c r="M98" s="24">
        <f t="shared" si="20"/>
        <v>100.20000000000005</v>
      </c>
      <c r="N98" s="24"/>
      <c r="O98" s="27"/>
      <c r="P98" s="24"/>
      <c r="Q98" s="24"/>
      <c r="S98" s="24"/>
    </row>
    <row r="99" spans="1:23">
      <c r="A99" t="s">
        <v>30</v>
      </c>
      <c r="B99" s="24">
        <v>541.6</v>
      </c>
      <c r="C99" s="24">
        <v>465.5</v>
      </c>
      <c r="D99" s="24">
        <v>68.099999999999994</v>
      </c>
      <c r="E99" s="24">
        <v>294.60000000000002</v>
      </c>
      <c r="F99" s="24">
        <v>76.099999999999994</v>
      </c>
      <c r="G99" s="24">
        <f>C99-D99-E99</f>
        <v>102.79999999999995</v>
      </c>
      <c r="H99" s="24">
        <v>778.1</v>
      </c>
      <c r="I99" s="24">
        <v>616.29999999999995</v>
      </c>
      <c r="J99" s="24">
        <v>127.4</v>
      </c>
      <c r="K99" s="24">
        <v>387.7</v>
      </c>
      <c r="L99" s="24">
        <f>H99-I99</f>
        <v>161.80000000000007</v>
      </c>
      <c r="M99" s="24">
        <f t="shared" si="20"/>
        <v>101.19999999999999</v>
      </c>
      <c r="N99" s="24"/>
      <c r="O99" s="27"/>
      <c r="Q99" s="24"/>
    </row>
    <row r="100" spans="1:23">
      <c r="N100" s="28"/>
      <c r="O100" s="28"/>
      <c r="P100" s="28"/>
      <c r="Q100" s="28"/>
      <c r="R100" s="28"/>
    </row>
    <row r="101" spans="1:23">
      <c r="N101" s="28"/>
      <c r="O101" s="28"/>
      <c r="P101" s="28"/>
      <c r="Q101" s="28"/>
      <c r="R101" s="28"/>
    </row>
    <row r="102" spans="1:23">
      <c r="N102" s="28"/>
      <c r="O102" s="28"/>
      <c r="P102" s="28"/>
      <c r="Q102" s="28"/>
      <c r="R102" s="28"/>
    </row>
    <row r="103" spans="1:23">
      <c r="N103" s="28"/>
      <c r="O103" s="28"/>
      <c r="P103" s="28"/>
      <c r="Q103" s="28"/>
      <c r="R103" s="28"/>
    </row>
    <row r="104" spans="1:23">
      <c r="N104" s="28"/>
      <c r="O104" s="28"/>
      <c r="P104" s="28"/>
      <c r="Q104" s="28"/>
      <c r="R104" s="28"/>
    </row>
    <row r="105" spans="1:23">
      <c r="N105" s="28"/>
      <c r="O105" s="28"/>
      <c r="P105" s="28"/>
      <c r="Q105" s="28"/>
      <c r="R105" s="28"/>
    </row>
    <row r="108" spans="1:23">
      <c r="O108" s="28"/>
      <c r="P108" s="28"/>
      <c r="Q108" s="28"/>
      <c r="R108" s="28"/>
      <c r="S108" s="28"/>
      <c r="T108" s="28"/>
      <c r="U108" s="28"/>
      <c r="V108" s="28"/>
      <c r="W108" s="28"/>
    </row>
  </sheetData>
  <mergeCells count="9">
    <mergeCell ref="AD69:AH69"/>
    <mergeCell ref="AK69:AO69"/>
    <mergeCell ref="AP69:AT69"/>
    <mergeCell ref="AU69:AY69"/>
    <mergeCell ref="B69:F69"/>
    <mergeCell ref="G69:K69"/>
    <mergeCell ref="L69:P69"/>
    <mergeCell ref="T69:X69"/>
    <mergeCell ref="Y69:AC69"/>
  </mergeCells>
  <phoneticPr fontId="4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BA37"/>
  <sheetViews>
    <sheetView zoomScale="200" workbookViewId="0">
      <pane xSplit="2" ySplit="1" topLeftCell="C2" activePane="bottomRight" state="frozen"/>
      <selection pane="topRight"/>
      <selection pane="bottomLeft"/>
      <selection pane="bottomRight" activeCell="K41" sqref="K41"/>
    </sheetView>
  </sheetViews>
  <sheetFormatPr baseColWidth="10" defaultColWidth="9" defaultRowHeight="14"/>
  <cols>
    <col min="1" max="1" width="3.33203125" customWidth="1"/>
    <col min="2" max="2" width="13.83203125" customWidth="1"/>
  </cols>
  <sheetData>
    <row r="2" spans="2:53">
      <c r="B2" s="6" t="s">
        <v>552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53">
      <c r="B3" s="8"/>
      <c r="C3" s="8" t="s">
        <v>19</v>
      </c>
      <c r="D3" s="8" t="s">
        <v>20</v>
      </c>
      <c r="E3" s="8" t="s">
        <v>21</v>
      </c>
      <c r="F3" s="8" t="s">
        <v>22</v>
      </c>
      <c r="G3" s="8" t="s">
        <v>23</v>
      </c>
      <c r="H3" s="8" t="s">
        <v>24</v>
      </c>
      <c r="I3" s="8" t="s">
        <v>25</v>
      </c>
      <c r="J3" s="8" t="s">
        <v>26</v>
      </c>
      <c r="K3" s="8" t="s">
        <v>27</v>
      </c>
      <c r="L3" s="8" t="s">
        <v>28</v>
      </c>
      <c r="M3" s="8" t="s">
        <v>29</v>
      </c>
      <c r="N3" s="8" t="s">
        <v>30</v>
      </c>
    </row>
    <row r="4" spans="2:53">
      <c r="B4" s="8">
        <v>2018</v>
      </c>
      <c r="C4" s="9">
        <v>32.9</v>
      </c>
      <c r="D4" s="9">
        <v>27.9</v>
      </c>
      <c r="E4" s="9">
        <v>31.8</v>
      </c>
      <c r="F4" s="9">
        <v>43.4</v>
      </c>
      <c r="G4" s="9">
        <v>52.3</v>
      </c>
      <c r="H4" s="9">
        <v>43.4</v>
      </c>
      <c r="I4" s="9">
        <v>42.6</v>
      </c>
      <c r="J4" s="9">
        <v>43.6</v>
      </c>
      <c r="K4" s="9">
        <v>51.4</v>
      </c>
      <c r="L4" s="9">
        <v>43.6</v>
      </c>
      <c r="M4" s="9">
        <v>46.5</v>
      </c>
      <c r="N4" s="9">
        <v>59.1</v>
      </c>
    </row>
    <row r="5" spans="2:53">
      <c r="B5" s="8">
        <v>2019</v>
      </c>
      <c r="C5" s="9">
        <v>49.1</v>
      </c>
      <c r="D5" s="9">
        <v>42.5</v>
      </c>
      <c r="E5" s="9">
        <v>47.4</v>
      </c>
      <c r="F5" s="9">
        <v>50.8</v>
      </c>
      <c r="G5" s="9">
        <v>51.2</v>
      </c>
      <c r="H5" s="9">
        <v>51.3</v>
      </c>
      <c r="I5" s="9">
        <v>63.9</v>
      </c>
      <c r="J5" s="9">
        <v>47.8</v>
      </c>
      <c r="K5" s="9">
        <v>51.7</v>
      </c>
      <c r="L5" s="9">
        <v>49.1</v>
      </c>
      <c r="M5" s="9">
        <v>58.1</v>
      </c>
      <c r="N5" s="9">
        <v>63.2</v>
      </c>
    </row>
    <row r="6" spans="2:53">
      <c r="B6" s="8">
        <v>2020</v>
      </c>
      <c r="C6" s="9">
        <v>47.7</v>
      </c>
      <c r="D6" s="9">
        <v>50.2</v>
      </c>
      <c r="E6" s="9">
        <v>53.5</v>
      </c>
      <c r="F6" s="9">
        <v>49.4</v>
      </c>
      <c r="G6" s="9">
        <v>46.7</v>
      </c>
      <c r="H6" s="9">
        <v>51.5</v>
      </c>
      <c r="I6" s="9">
        <v>52.2</v>
      </c>
      <c r="J6" s="9">
        <v>48.5</v>
      </c>
      <c r="K6" s="9">
        <v>47.3</v>
      </c>
      <c r="L6" s="9">
        <v>44.1</v>
      </c>
      <c r="M6" s="9">
        <v>49.7</v>
      </c>
      <c r="N6" s="9">
        <v>53.4</v>
      </c>
    </row>
    <row r="7" spans="2:53">
      <c r="B7" s="8">
        <v>2021</v>
      </c>
      <c r="C7" s="9">
        <v>44.4</v>
      </c>
      <c r="D7" s="9">
        <v>46.4</v>
      </c>
      <c r="E7" s="9">
        <v>45.3</v>
      </c>
      <c r="F7" s="9">
        <v>45.4</v>
      </c>
      <c r="G7" s="9">
        <v>48.7</v>
      </c>
      <c r="H7" s="9">
        <v>47.6</v>
      </c>
      <c r="I7" s="9">
        <v>46.9</v>
      </c>
      <c r="J7" s="9">
        <v>45.5</v>
      </c>
      <c r="K7" s="9">
        <v>48.6</v>
      </c>
      <c r="L7" s="9">
        <v>46.4</v>
      </c>
      <c r="M7" s="9">
        <v>47.7</v>
      </c>
      <c r="N7" s="9">
        <v>48.8</v>
      </c>
    </row>
    <row r="8" spans="2:53">
      <c r="B8" s="8">
        <v>2022</v>
      </c>
      <c r="C8" s="10">
        <v>45.62</v>
      </c>
      <c r="D8" s="9">
        <v>43.6</v>
      </c>
      <c r="E8" s="9">
        <v>46.6</v>
      </c>
      <c r="F8" s="9">
        <v>42.6</v>
      </c>
      <c r="G8" s="9">
        <v>45.3</v>
      </c>
      <c r="H8" s="9">
        <v>48.3</v>
      </c>
      <c r="I8" s="9">
        <v>44.4</v>
      </c>
      <c r="J8" s="9">
        <v>44.7</v>
      </c>
      <c r="K8" s="9">
        <v>45.8</v>
      </c>
      <c r="L8" s="9">
        <v>47.1</v>
      </c>
      <c r="M8" s="9">
        <v>48.5</v>
      </c>
      <c r="N8" s="9">
        <v>50.4</v>
      </c>
    </row>
    <row r="9" spans="2:53">
      <c r="B9" s="8">
        <v>2023</v>
      </c>
      <c r="C9" s="9">
        <v>46.38</v>
      </c>
      <c r="D9" s="9">
        <v>47.2</v>
      </c>
      <c r="E9" s="9">
        <v>49.1</v>
      </c>
      <c r="F9" s="9">
        <v>47.6</v>
      </c>
      <c r="G9" s="9">
        <v>46.8</v>
      </c>
      <c r="H9" s="9">
        <v>48</v>
      </c>
      <c r="I9" s="9">
        <v>45.9</v>
      </c>
      <c r="J9" s="9">
        <v>46.9</v>
      </c>
      <c r="K9" s="9">
        <v>43</v>
      </c>
      <c r="L9" s="9">
        <v>46.2</v>
      </c>
      <c r="M9" s="9">
        <v>47.7</v>
      </c>
      <c r="N9" s="9">
        <v>47.3</v>
      </c>
    </row>
    <row r="10" spans="2:53">
      <c r="B10" s="8">
        <v>2024</v>
      </c>
      <c r="C10" s="9">
        <v>45.3</v>
      </c>
      <c r="D10" s="9">
        <v>49.5</v>
      </c>
      <c r="E10" s="9">
        <v>47.8</v>
      </c>
      <c r="F10" s="9"/>
      <c r="G10" s="9"/>
      <c r="H10" s="9"/>
      <c r="I10" s="9"/>
      <c r="J10" s="9"/>
      <c r="K10" s="9"/>
      <c r="L10" s="9"/>
      <c r="M10" s="9"/>
      <c r="N10" s="9"/>
    </row>
    <row r="11" spans="2:53">
      <c r="B11" s="8"/>
    </row>
    <row r="13" spans="2:53">
      <c r="B13" s="6" t="s">
        <v>553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2:53">
      <c r="B14" s="11" t="s">
        <v>554</v>
      </c>
      <c r="C14" s="8">
        <v>2001</v>
      </c>
      <c r="D14" s="8">
        <v>2002</v>
      </c>
      <c r="E14" s="8">
        <v>2003</v>
      </c>
      <c r="F14" s="8">
        <v>2004</v>
      </c>
      <c r="G14" s="8">
        <v>2005</v>
      </c>
      <c r="H14" s="8">
        <v>2006</v>
      </c>
      <c r="I14" s="8">
        <v>2007</v>
      </c>
      <c r="J14" s="8">
        <v>2008</v>
      </c>
      <c r="K14" s="8">
        <v>2009</v>
      </c>
      <c r="L14" s="8">
        <v>2010</v>
      </c>
      <c r="M14" s="8">
        <v>2011</v>
      </c>
      <c r="N14" s="8">
        <v>2012</v>
      </c>
      <c r="O14" s="8">
        <v>2101</v>
      </c>
      <c r="P14" s="8">
        <v>2102</v>
      </c>
      <c r="Q14" s="8">
        <v>2103</v>
      </c>
      <c r="R14" s="8">
        <v>2104</v>
      </c>
      <c r="S14" s="8">
        <v>2105</v>
      </c>
      <c r="T14" s="8">
        <v>2106</v>
      </c>
      <c r="U14" s="8">
        <v>2107</v>
      </c>
      <c r="V14" s="8">
        <v>2108</v>
      </c>
      <c r="W14" s="8">
        <v>2109</v>
      </c>
      <c r="X14" s="8">
        <v>2110</v>
      </c>
      <c r="Y14" s="8">
        <v>2111</v>
      </c>
      <c r="Z14" s="8">
        <v>2112</v>
      </c>
      <c r="AA14" s="8">
        <v>2201</v>
      </c>
      <c r="AB14" s="8">
        <v>2202</v>
      </c>
      <c r="AC14" s="8">
        <v>2203</v>
      </c>
      <c r="AD14" s="8">
        <v>2204</v>
      </c>
      <c r="AE14" s="8">
        <v>2205</v>
      </c>
      <c r="AF14" s="8">
        <v>2206</v>
      </c>
      <c r="AG14" s="8">
        <v>2207</v>
      </c>
      <c r="AH14" s="8">
        <v>2208</v>
      </c>
      <c r="AI14" s="8">
        <v>2209</v>
      </c>
      <c r="AJ14" s="8">
        <v>2210</v>
      </c>
      <c r="AK14" s="8">
        <v>2211</v>
      </c>
      <c r="AL14" s="8">
        <v>2212</v>
      </c>
      <c r="AM14" s="8">
        <v>2301</v>
      </c>
      <c r="AN14" s="8">
        <v>2302</v>
      </c>
      <c r="AO14" s="8">
        <v>2303</v>
      </c>
      <c r="AP14" s="8">
        <v>2304</v>
      </c>
      <c r="AQ14" s="8">
        <v>2305</v>
      </c>
      <c r="AR14" s="8">
        <v>2306</v>
      </c>
      <c r="AS14" s="8">
        <v>2307</v>
      </c>
      <c r="AT14" s="8">
        <v>2308</v>
      </c>
      <c r="AU14" s="8">
        <v>2309</v>
      </c>
      <c r="AV14" s="8">
        <v>2310</v>
      </c>
      <c r="AW14" s="8">
        <v>2311</v>
      </c>
      <c r="AX14" s="8">
        <v>2312</v>
      </c>
      <c r="AY14" s="8">
        <v>2401</v>
      </c>
      <c r="AZ14" s="8">
        <v>2402</v>
      </c>
      <c r="BA14" s="8">
        <v>2402</v>
      </c>
    </row>
    <row r="15" spans="2:53">
      <c r="B15" s="12" t="s">
        <v>555</v>
      </c>
      <c r="C15" s="8">
        <v>187.2</v>
      </c>
      <c r="D15" s="8">
        <v>183.4</v>
      </c>
      <c r="E15" s="8">
        <v>243.7</v>
      </c>
      <c r="F15" s="8">
        <v>217.2</v>
      </c>
      <c r="G15" s="8">
        <v>201.2</v>
      </c>
      <c r="H15" s="8">
        <v>217.4</v>
      </c>
      <c r="I15" s="8">
        <v>218.3</v>
      </c>
      <c r="J15" s="8">
        <v>201.5</v>
      </c>
      <c r="K15" s="8">
        <v>202.6</v>
      </c>
      <c r="L15" s="8">
        <v>201.6</v>
      </c>
      <c r="M15" s="8">
        <v>227.5</v>
      </c>
      <c r="N15" s="8">
        <v>220.6</v>
      </c>
      <c r="O15" s="16">
        <v>198.9</v>
      </c>
      <c r="P15" s="16">
        <v>205.2</v>
      </c>
      <c r="Q15" s="19"/>
      <c r="R15" s="16">
        <v>217.4</v>
      </c>
      <c r="S15" s="16">
        <v>234.1</v>
      </c>
      <c r="T15" s="16">
        <v>211.8</v>
      </c>
      <c r="U15" s="16">
        <v>207</v>
      </c>
      <c r="V15" s="8">
        <v>199.1</v>
      </c>
      <c r="W15" s="9">
        <v>228.7</v>
      </c>
      <c r="X15" s="8">
        <v>233.1</v>
      </c>
      <c r="Y15" s="8">
        <v>224.6</v>
      </c>
      <c r="Z15" s="8">
        <v>197.7</v>
      </c>
      <c r="AA15" s="16">
        <v>196.2</v>
      </c>
      <c r="AB15" s="16">
        <v>203.8</v>
      </c>
      <c r="AC15" s="21">
        <v>242.5</v>
      </c>
      <c r="AD15" s="16">
        <v>193.6</v>
      </c>
      <c r="AE15" s="16">
        <v>190.4</v>
      </c>
      <c r="AF15" s="16">
        <v>222.4</v>
      </c>
      <c r="AG15" s="16">
        <v>217.4</v>
      </c>
      <c r="AH15" s="16">
        <v>218.5</v>
      </c>
      <c r="AI15" s="16">
        <v>218.4</v>
      </c>
      <c r="AJ15" s="16">
        <v>214.9</v>
      </c>
      <c r="AK15" s="16">
        <v>202.3</v>
      </c>
      <c r="AL15" s="16">
        <v>218</v>
      </c>
      <c r="AM15" s="16">
        <v>109.2</v>
      </c>
      <c r="AN15" s="16">
        <v>168.2</v>
      </c>
      <c r="AO15" s="16">
        <v>139.1</v>
      </c>
      <c r="AP15" s="16">
        <v>179.6</v>
      </c>
      <c r="AQ15" s="16">
        <v>181</v>
      </c>
      <c r="AR15" s="16">
        <v>196.5</v>
      </c>
      <c r="AS15" s="16">
        <v>205</v>
      </c>
      <c r="AT15" s="16">
        <v>181.6</v>
      </c>
      <c r="AU15" s="16">
        <v>185</v>
      </c>
      <c r="AV15" s="16">
        <v>171.4</v>
      </c>
      <c r="AW15" s="16">
        <v>183.2</v>
      </c>
      <c r="AX15" s="16">
        <v>185.5</v>
      </c>
      <c r="AY15" s="16">
        <v>158</v>
      </c>
      <c r="AZ15" s="16">
        <v>171.9</v>
      </c>
      <c r="BA15" s="16">
        <v>166.5</v>
      </c>
    </row>
    <row r="16" spans="2:53">
      <c r="B16" s="12" t="s">
        <v>556</v>
      </c>
      <c r="C16" s="8">
        <v>92.6</v>
      </c>
      <c r="D16" s="8"/>
      <c r="E16" s="8">
        <v>50.5</v>
      </c>
      <c r="F16" s="8"/>
      <c r="G16" s="8"/>
      <c r="H16" s="8"/>
      <c r="I16" s="8">
        <v>98.2</v>
      </c>
      <c r="J16" s="8">
        <v>98.5</v>
      </c>
      <c r="K16" s="8">
        <v>59.7</v>
      </c>
      <c r="L16" s="8">
        <v>54.1</v>
      </c>
      <c r="M16" s="8">
        <v>97.1</v>
      </c>
      <c r="N16" s="8">
        <v>86.7</v>
      </c>
      <c r="O16" s="16">
        <v>104.6</v>
      </c>
      <c r="P16" s="16">
        <v>81.900000000000006</v>
      </c>
      <c r="Q16" s="19"/>
      <c r="R16" s="16">
        <v>106.1</v>
      </c>
      <c r="S16" s="16">
        <v>90.4</v>
      </c>
      <c r="T16" s="16">
        <v>88.4</v>
      </c>
      <c r="U16" s="20">
        <v>98.3</v>
      </c>
      <c r="V16" s="8">
        <v>99.3</v>
      </c>
      <c r="W16" s="9">
        <v>90</v>
      </c>
      <c r="X16" s="8">
        <v>60.1</v>
      </c>
      <c r="Y16" s="8">
        <v>100</v>
      </c>
      <c r="Z16" s="8">
        <v>112.4</v>
      </c>
      <c r="AA16" s="16">
        <v>136.01</v>
      </c>
      <c r="AB16" s="16"/>
      <c r="AC16" s="21">
        <v>84.1</v>
      </c>
      <c r="AD16" s="16">
        <v>102.2</v>
      </c>
      <c r="AE16" s="16">
        <v>116.7</v>
      </c>
      <c r="AF16" s="16">
        <v>114.2</v>
      </c>
      <c r="AG16" s="16">
        <v>117.1</v>
      </c>
      <c r="AH16" s="16">
        <v>107.3</v>
      </c>
      <c r="AI16" s="16">
        <v>97.8</v>
      </c>
      <c r="AJ16" s="16">
        <v>101.1</v>
      </c>
      <c r="AK16" s="16">
        <v>85.9</v>
      </c>
      <c r="AL16" s="16">
        <v>87.3</v>
      </c>
      <c r="AM16" s="16">
        <v>105.3</v>
      </c>
      <c r="AN16" s="16">
        <v>143.6</v>
      </c>
      <c r="AO16" s="16">
        <v>116.3</v>
      </c>
      <c r="AP16" s="16">
        <v>111.3</v>
      </c>
      <c r="AQ16" s="16">
        <v>110.7</v>
      </c>
      <c r="AR16" s="16">
        <v>110.8</v>
      </c>
      <c r="AS16" s="16">
        <v>104.4</v>
      </c>
      <c r="AT16" s="16">
        <v>117</v>
      </c>
      <c r="AU16" s="16">
        <v>115.4</v>
      </c>
      <c r="AV16" s="16">
        <v>115.5</v>
      </c>
      <c r="AW16" s="16">
        <v>149.19999999999999</v>
      </c>
      <c r="AX16" s="16">
        <v>118.3</v>
      </c>
      <c r="AY16" s="16">
        <v>100.3</v>
      </c>
      <c r="AZ16" s="16">
        <v>105.3</v>
      </c>
      <c r="BA16" s="16">
        <v>98.9</v>
      </c>
    </row>
    <row r="17" spans="2:53">
      <c r="B17" s="12" t="s">
        <v>557</v>
      </c>
      <c r="C17" s="8"/>
      <c r="D17" s="8"/>
      <c r="E17" s="8">
        <v>52.5</v>
      </c>
      <c r="F17" s="8"/>
      <c r="G17" s="8"/>
      <c r="H17" s="8"/>
      <c r="I17" s="8">
        <v>121.1</v>
      </c>
      <c r="J17" s="9">
        <v>53</v>
      </c>
      <c r="K17" s="8">
        <v>215.7</v>
      </c>
      <c r="L17" s="8">
        <v>70.400000000000006</v>
      </c>
      <c r="M17" s="8">
        <v>81.599999999999994</v>
      </c>
      <c r="N17" s="8">
        <v>77.400000000000006</v>
      </c>
      <c r="O17" s="16">
        <v>127.7</v>
      </c>
      <c r="P17" s="16"/>
      <c r="Q17" s="19"/>
      <c r="R17" s="16">
        <v>124.4</v>
      </c>
      <c r="S17" s="16">
        <v>85.9</v>
      </c>
      <c r="T17" s="16">
        <v>98.7</v>
      </c>
      <c r="U17" s="16">
        <v>104.7</v>
      </c>
      <c r="V17" s="9">
        <v>75.599999999999994</v>
      </c>
      <c r="W17" s="9">
        <v>81.5</v>
      </c>
      <c r="X17" s="8">
        <v>76.599999999999994</v>
      </c>
      <c r="Y17" s="22">
        <v>110.6</v>
      </c>
      <c r="Z17" s="8">
        <v>93.3</v>
      </c>
      <c r="AA17" s="16">
        <v>105.66</v>
      </c>
      <c r="AB17" s="16">
        <v>36.799999999999997</v>
      </c>
      <c r="AC17" s="21">
        <v>113.8</v>
      </c>
      <c r="AD17" s="16">
        <v>112.1</v>
      </c>
      <c r="AE17" s="16">
        <v>74.5</v>
      </c>
      <c r="AF17" s="16">
        <v>75.2</v>
      </c>
      <c r="AG17" s="16">
        <v>33.6</v>
      </c>
      <c r="AH17" s="16">
        <v>90.2</v>
      </c>
      <c r="AI17" s="16">
        <v>73.099999999999994</v>
      </c>
      <c r="AJ17" s="16">
        <v>112.4</v>
      </c>
      <c r="AK17" s="16">
        <v>93.7</v>
      </c>
      <c r="AL17" s="16">
        <v>84.9</v>
      </c>
      <c r="AM17" s="16">
        <v>105.8</v>
      </c>
      <c r="AN17" s="16">
        <v>85.8</v>
      </c>
      <c r="AO17" s="16">
        <v>33.5</v>
      </c>
      <c r="AP17" s="16">
        <v>99</v>
      </c>
      <c r="AQ17" s="16">
        <v>72.099999999999994</v>
      </c>
      <c r="AR17" s="16">
        <v>81.099999999999994</v>
      </c>
      <c r="AS17" s="16">
        <v>75</v>
      </c>
      <c r="AT17" s="16">
        <v>72.8</v>
      </c>
      <c r="AU17" s="16">
        <v>73.099999999999994</v>
      </c>
      <c r="AV17" s="16">
        <v>76.8</v>
      </c>
      <c r="AW17" s="16">
        <v>90.6</v>
      </c>
      <c r="AX17" s="16">
        <v>73.400000000000006</v>
      </c>
      <c r="AY17" s="16">
        <v>44.1</v>
      </c>
      <c r="AZ17" s="16">
        <v>71.400000000000006</v>
      </c>
      <c r="BA17" s="16">
        <v>71.900000000000006</v>
      </c>
    </row>
    <row r="18" spans="2:53">
      <c r="B18" s="12" t="s">
        <v>558</v>
      </c>
      <c r="C18" s="8">
        <v>52.7</v>
      </c>
      <c r="D18" s="8">
        <v>52.6</v>
      </c>
      <c r="E18" s="8">
        <v>62.3</v>
      </c>
      <c r="F18" s="8">
        <v>67.3</v>
      </c>
      <c r="G18" s="9">
        <v>55</v>
      </c>
      <c r="H18" s="8">
        <v>59.6</v>
      </c>
      <c r="I18" s="9">
        <v>70</v>
      </c>
      <c r="J18" s="8">
        <v>60.8</v>
      </c>
      <c r="K18" s="8">
        <v>67.5</v>
      </c>
      <c r="L18" s="8">
        <v>62.2</v>
      </c>
      <c r="M18" s="8">
        <v>53.6</v>
      </c>
      <c r="N18" s="8">
        <v>57.6</v>
      </c>
      <c r="O18" s="16">
        <v>67.900000000000006</v>
      </c>
      <c r="P18" s="16">
        <v>56.7</v>
      </c>
      <c r="Q18" s="19"/>
      <c r="R18" s="16">
        <v>49.8</v>
      </c>
      <c r="S18" s="16">
        <v>64.400000000000006</v>
      </c>
      <c r="T18" s="16">
        <v>75</v>
      </c>
      <c r="U18" s="16">
        <v>74.3</v>
      </c>
      <c r="V18" s="8">
        <v>77.599999999999994</v>
      </c>
      <c r="W18" s="9">
        <v>70.8</v>
      </c>
      <c r="X18" s="8">
        <v>74.5</v>
      </c>
      <c r="Y18" s="8">
        <v>72.5</v>
      </c>
      <c r="Z18" s="8">
        <v>84</v>
      </c>
      <c r="AA18" s="16">
        <v>85.51</v>
      </c>
      <c r="AB18" s="16">
        <v>80.599999999999994</v>
      </c>
      <c r="AC18" s="21">
        <v>83.1</v>
      </c>
      <c r="AD18" s="16">
        <v>69</v>
      </c>
      <c r="AE18" s="16">
        <v>73.2</v>
      </c>
      <c r="AF18" s="16">
        <v>71.7</v>
      </c>
      <c r="AG18" s="16">
        <v>67.900000000000006</v>
      </c>
      <c r="AH18" s="16">
        <v>77</v>
      </c>
      <c r="AI18" s="16">
        <v>67.099999999999994</v>
      </c>
      <c r="AJ18" s="16">
        <v>65.599999999999994</v>
      </c>
      <c r="AK18" s="16">
        <v>62.2</v>
      </c>
      <c r="AL18" s="16">
        <v>82.6</v>
      </c>
      <c r="AM18" s="16">
        <v>80.7</v>
      </c>
      <c r="AN18" s="16">
        <v>58.5</v>
      </c>
      <c r="AO18" s="16">
        <v>67.900000000000006</v>
      </c>
      <c r="AP18" s="16">
        <v>69.400000000000006</v>
      </c>
      <c r="AQ18" s="16">
        <v>72.599999999999994</v>
      </c>
      <c r="AR18" s="16">
        <v>89.7</v>
      </c>
      <c r="AS18" s="16">
        <v>55.4</v>
      </c>
      <c r="AT18" s="16">
        <v>70.7</v>
      </c>
      <c r="AU18" s="16">
        <v>71.3</v>
      </c>
      <c r="AV18" s="16">
        <v>58.7</v>
      </c>
      <c r="AW18" s="16">
        <v>81.5</v>
      </c>
      <c r="AX18" s="16">
        <v>75.8</v>
      </c>
      <c r="AY18" s="16">
        <v>97.4</v>
      </c>
      <c r="AZ18" s="16">
        <v>105.9</v>
      </c>
      <c r="BA18" s="16">
        <v>101.2</v>
      </c>
    </row>
    <row r="19" spans="2:53">
      <c r="B19" s="12" t="s">
        <v>559</v>
      </c>
      <c r="C19" s="8">
        <v>48.3</v>
      </c>
      <c r="D19" s="8">
        <v>51.5</v>
      </c>
      <c r="E19" s="8">
        <v>52.3</v>
      </c>
      <c r="F19" s="8">
        <v>51.2</v>
      </c>
      <c r="G19" s="8">
        <v>49.7</v>
      </c>
      <c r="H19" s="9">
        <v>50</v>
      </c>
      <c r="I19" s="8">
        <v>48.5</v>
      </c>
      <c r="J19" s="8">
        <v>46.1</v>
      </c>
      <c r="K19" s="8">
        <v>44.9</v>
      </c>
      <c r="L19" s="8">
        <v>42.3</v>
      </c>
      <c r="M19" s="8">
        <v>46.2</v>
      </c>
      <c r="N19" s="8">
        <v>45.5</v>
      </c>
      <c r="O19" s="16">
        <v>45.2</v>
      </c>
      <c r="P19" s="16">
        <v>48</v>
      </c>
      <c r="Q19" s="19"/>
      <c r="R19" s="16">
        <v>48.1</v>
      </c>
      <c r="S19" s="16">
        <v>50.4</v>
      </c>
      <c r="T19" s="16">
        <v>48.4</v>
      </c>
      <c r="U19" s="16">
        <v>48.4</v>
      </c>
      <c r="V19" s="8">
        <v>46.7</v>
      </c>
      <c r="W19" s="9">
        <v>49.9</v>
      </c>
      <c r="X19" s="8">
        <v>47.6</v>
      </c>
      <c r="Y19" s="8">
        <v>49.4</v>
      </c>
      <c r="Z19" s="8">
        <v>48.6</v>
      </c>
      <c r="AA19" s="16">
        <v>50.16</v>
      </c>
      <c r="AB19" s="16">
        <v>48.8</v>
      </c>
      <c r="AC19" s="21">
        <v>48.4</v>
      </c>
      <c r="AD19" s="16">
        <v>45.6</v>
      </c>
      <c r="AE19" s="16">
        <v>49.7</v>
      </c>
      <c r="AF19" s="16">
        <v>52.9</v>
      </c>
      <c r="AG19" s="16">
        <v>50.3</v>
      </c>
      <c r="AH19" s="16">
        <v>49.9</v>
      </c>
      <c r="AI19" s="16">
        <v>51.5</v>
      </c>
      <c r="AJ19" s="16">
        <v>53.1</v>
      </c>
      <c r="AK19" s="16">
        <v>53.2</v>
      </c>
      <c r="AL19" s="16">
        <v>53.5</v>
      </c>
      <c r="AM19" s="16">
        <v>55.5</v>
      </c>
      <c r="AN19" s="16">
        <v>57</v>
      </c>
      <c r="AO19" s="16">
        <v>55.6</v>
      </c>
      <c r="AP19" s="16">
        <v>54.5</v>
      </c>
      <c r="AQ19" s="16">
        <v>55.3</v>
      </c>
      <c r="AR19" s="16">
        <v>54.7</v>
      </c>
      <c r="AS19" s="16">
        <v>53.2</v>
      </c>
      <c r="AT19" s="16">
        <v>55.5</v>
      </c>
      <c r="AU19" s="16">
        <v>55.5</v>
      </c>
      <c r="AV19" s="16">
        <v>53.7</v>
      </c>
      <c r="AW19" s="16">
        <v>78.599999999999994</v>
      </c>
      <c r="AX19" s="16">
        <v>54.8</v>
      </c>
      <c r="AY19" s="16">
        <v>52.1</v>
      </c>
      <c r="AZ19" s="16">
        <v>58.5</v>
      </c>
      <c r="BA19" s="16">
        <v>58.4</v>
      </c>
    </row>
    <row r="20" spans="2:53">
      <c r="B20" s="12" t="s">
        <v>560</v>
      </c>
      <c r="C20" s="8">
        <v>49.1</v>
      </c>
      <c r="D20" s="8"/>
      <c r="E20" s="8">
        <v>44.3</v>
      </c>
      <c r="F20" s="8">
        <v>41.5</v>
      </c>
      <c r="G20" s="8">
        <v>37.9</v>
      </c>
      <c r="H20" s="8">
        <v>48.4</v>
      </c>
      <c r="I20" s="8">
        <v>61.6</v>
      </c>
      <c r="J20" s="8">
        <v>70.7</v>
      </c>
      <c r="K20" s="8">
        <v>46.2</v>
      </c>
      <c r="L20" s="8">
        <v>51.7</v>
      </c>
      <c r="M20" s="8">
        <v>48.3</v>
      </c>
      <c r="N20" s="9">
        <v>43</v>
      </c>
      <c r="O20" s="16">
        <v>42.4</v>
      </c>
      <c r="P20" s="16"/>
      <c r="Q20" s="19"/>
      <c r="R20" s="16">
        <v>50.1</v>
      </c>
      <c r="S20" s="16">
        <v>54.2</v>
      </c>
      <c r="T20" s="16">
        <v>40.4</v>
      </c>
      <c r="U20" s="16">
        <v>39.700000000000003</v>
      </c>
      <c r="V20" s="8">
        <v>49.9</v>
      </c>
      <c r="W20" s="20" t="s">
        <v>115</v>
      </c>
      <c r="X20" s="8">
        <v>30.1</v>
      </c>
      <c r="Y20" s="8">
        <v>50.1</v>
      </c>
      <c r="Z20" s="8">
        <v>52.4</v>
      </c>
      <c r="AA20" s="16">
        <v>38.64</v>
      </c>
      <c r="AB20" s="16">
        <v>34.9</v>
      </c>
      <c r="AC20" s="21">
        <v>38.6</v>
      </c>
      <c r="AD20" s="16">
        <v>56</v>
      </c>
      <c r="AE20" s="16">
        <v>38.6</v>
      </c>
      <c r="AF20" s="16">
        <v>33.6</v>
      </c>
      <c r="AG20" s="16"/>
      <c r="AH20" s="16"/>
      <c r="AI20" s="16">
        <v>50.4</v>
      </c>
      <c r="AJ20" s="16">
        <v>50.5</v>
      </c>
      <c r="AK20" s="16">
        <v>51.8</v>
      </c>
      <c r="AL20" s="16">
        <v>52.5</v>
      </c>
      <c r="AM20" s="16">
        <v>46.9</v>
      </c>
      <c r="AN20" s="16">
        <v>50.4</v>
      </c>
      <c r="AO20" s="16">
        <v>49.7</v>
      </c>
      <c r="AP20" s="16">
        <v>50.3</v>
      </c>
      <c r="AR20" s="16">
        <v>50.5</v>
      </c>
      <c r="AS20" s="16">
        <v>46.8</v>
      </c>
      <c r="AT20" s="16">
        <v>48.7</v>
      </c>
      <c r="AU20" s="16">
        <v>48.8</v>
      </c>
      <c r="AV20" s="16">
        <v>50.5</v>
      </c>
      <c r="AW20" s="16">
        <v>53.8</v>
      </c>
      <c r="AX20" s="16">
        <v>58.5</v>
      </c>
      <c r="AY20" s="16"/>
      <c r="AZ20" s="16"/>
      <c r="BA20" s="16"/>
    </row>
    <row r="21" spans="2:53">
      <c r="B21" s="12" t="s">
        <v>561</v>
      </c>
      <c r="C21" s="8">
        <v>18.2</v>
      </c>
      <c r="D21" s="8">
        <v>25.9</v>
      </c>
      <c r="E21" s="8">
        <v>25.9</v>
      </c>
      <c r="F21" s="8"/>
      <c r="G21" s="8">
        <v>20.100000000000001</v>
      </c>
      <c r="H21" s="8">
        <v>31.6</v>
      </c>
      <c r="I21" s="9">
        <v>35</v>
      </c>
      <c r="J21" s="8">
        <v>39.200000000000003</v>
      </c>
      <c r="K21" s="8">
        <v>39.200000000000003</v>
      </c>
      <c r="L21" s="9">
        <v>45</v>
      </c>
      <c r="M21" s="8">
        <v>46.9</v>
      </c>
      <c r="N21" s="8">
        <v>40.6</v>
      </c>
      <c r="O21" s="16">
        <v>37.6</v>
      </c>
      <c r="P21" s="16">
        <v>29.2</v>
      </c>
      <c r="Q21" s="19"/>
      <c r="R21" s="16">
        <v>52</v>
      </c>
      <c r="S21" s="16">
        <v>39.6</v>
      </c>
      <c r="T21" s="16">
        <v>22.7</v>
      </c>
      <c r="U21" s="16">
        <v>41.1</v>
      </c>
      <c r="V21" s="8">
        <v>43.2</v>
      </c>
      <c r="W21" s="9">
        <v>45.5</v>
      </c>
      <c r="X21" s="9">
        <v>44.2</v>
      </c>
      <c r="Y21" s="8">
        <v>42.4</v>
      </c>
      <c r="Z21" s="9">
        <v>45.5</v>
      </c>
      <c r="AA21" s="16">
        <v>47.24</v>
      </c>
      <c r="AB21" s="16">
        <v>31</v>
      </c>
      <c r="AC21" s="21">
        <v>30</v>
      </c>
      <c r="AD21" s="16">
        <v>36.6</v>
      </c>
      <c r="AE21" s="16">
        <v>42.9</v>
      </c>
      <c r="AF21" s="16">
        <v>48.3</v>
      </c>
      <c r="AG21" s="16">
        <v>46.6</v>
      </c>
      <c r="AH21" s="16">
        <v>23.2</v>
      </c>
      <c r="AI21" s="16">
        <v>41.3</v>
      </c>
      <c r="AJ21" s="16">
        <v>51</v>
      </c>
      <c r="AK21" s="16">
        <v>48.2</v>
      </c>
      <c r="AL21" s="16">
        <v>50.1</v>
      </c>
      <c r="AM21" s="16">
        <v>28.6</v>
      </c>
      <c r="AN21" s="16">
        <v>20.9</v>
      </c>
      <c r="AO21" s="16">
        <v>21.5</v>
      </c>
      <c r="AP21" s="16">
        <v>20</v>
      </c>
      <c r="AQ21" s="16">
        <v>20.6</v>
      </c>
      <c r="AR21" s="16">
        <v>34.5</v>
      </c>
      <c r="AS21" s="16">
        <v>23.8</v>
      </c>
      <c r="AT21" s="16">
        <v>24.8</v>
      </c>
      <c r="AU21" s="16">
        <v>24.9</v>
      </c>
      <c r="AV21" s="16">
        <v>26.2</v>
      </c>
      <c r="AW21" s="16">
        <v>27.3</v>
      </c>
      <c r="AX21" s="16">
        <v>22.9</v>
      </c>
      <c r="AY21" s="16">
        <v>30.4</v>
      </c>
      <c r="AZ21" s="16">
        <v>30.8</v>
      </c>
      <c r="BA21" s="16">
        <v>26.9</v>
      </c>
    </row>
    <row r="22" spans="2:53">
      <c r="B22" s="12" t="s">
        <v>562</v>
      </c>
      <c r="C22" s="8">
        <v>17.100000000000001</v>
      </c>
      <c r="D22" s="8">
        <v>20.3</v>
      </c>
      <c r="E22" s="8">
        <v>20.9</v>
      </c>
      <c r="F22" s="8">
        <v>17.899999999999999</v>
      </c>
      <c r="G22" s="8">
        <v>17.3</v>
      </c>
      <c r="H22" s="8">
        <v>16.3</v>
      </c>
      <c r="I22" s="8">
        <v>16.7</v>
      </c>
      <c r="J22" s="8">
        <v>18.3</v>
      </c>
      <c r="K22" s="8">
        <v>18.100000000000001</v>
      </c>
      <c r="L22" s="8">
        <v>19.3</v>
      </c>
      <c r="M22" s="9">
        <v>19</v>
      </c>
      <c r="N22" s="8">
        <v>19.8</v>
      </c>
      <c r="O22" s="16">
        <v>20.3</v>
      </c>
      <c r="P22" s="16">
        <v>18.3</v>
      </c>
      <c r="Q22" s="19"/>
      <c r="R22" s="16">
        <v>17.7</v>
      </c>
      <c r="S22" s="16">
        <v>18</v>
      </c>
      <c r="T22" s="16">
        <v>19.899999999999999</v>
      </c>
      <c r="U22" s="16">
        <v>19.600000000000001</v>
      </c>
      <c r="V22" s="8">
        <v>19.8</v>
      </c>
      <c r="W22" s="9">
        <v>19.7</v>
      </c>
      <c r="X22" s="8">
        <v>19.600000000000001</v>
      </c>
      <c r="Y22" s="9">
        <v>20</v>
      </c>
      <c r="Z22" s="8">
        <v>20.6</v>
      </c>
      <c r="AA22" s="16">
        <v>20.7</v>
      </c>
      <c r="AB22" s="16">
        <v>20.399999999999999</v>
      </c>
      <c r="AC22" s="21">
        <v>21.1</v>
      </c>
      <c r="AD22" s="16">
        <v>19.8</v>
      </c>
      <c r="AE22" s="16">
        <v>20.7</v>
      </c>
      <c r="AF22" s="16">
        <v>19.899999999999999</v>
      </c>
      <c r="AG22" s="16">
        <v>20.2</v>
      </c>
      <c r="AH22" s="16">
        <v>19.399999999999999</v>
      </c>
      <c r="AI22" s="16">
        <v>20.8</v>
      </c>
      <c r="AJ22" s="16">
        <v>22.1</v>
      </c>
      <c r="AK22" s="16">
        <v>22.9</v>
      </c>
      <c r="AL22" s="16">
        <v>24.6</v>
      </c>
      <c r="AM22" s="16">
        <v>24.2</v>
      </c>
      <c r="AN22" s="16">
        <v>24.8</v>
      </c>
      <c r="AO22" s="16">
        <v>25.4</v>
      </c>
      <c r="AP22" s="16">
        <v>25.9</v>
      </c>
      <c r="AQ22" s="16">
        <v>25.2</v>
      </c>
      <c r="AR22" s="16">
        <v>25.3</v>
      </c>
      <c r="AS22" s="16">
        <v>20.5</v>
      </c>
      <c r="AT22" s="16">
        <v>23.8</v>
      </c>
      <c r="AU22" s="16">
        <v>22.8</v>
      </c>
      <c r="AV22" s="16">
        <v>23.2</v>
      </c>
      <c r="AW22" s="16">
        <v>18.8</v>
      </c>
      <c r="AX22" s="16">
        <v>25.6</v>
      </c>
      <c r="AY22" s="16">
        <v>28.8</v>
      </c>
      <c r="AZ22" s="16">
        <v>28.8</v>
      </c>
      <c r="BA22" s="16">
        <v>26</v>
      </c>
    </row>
    <row r="23" spans="2:53">
      <c r="B23" s="12" t="s">
        <v>563</v>
      </c>
      <c r="O23" s="16"/>
      <c r="P23" s="16">
        <v>101.7</v>
      </c>
      <c r="Q23" s="19"/>
      <c r="R23" s="16">
        <v>13</v>
      </c>
      <c r="S23" s="16">
        <v>13</v>
      </c>
      <c r="T23" s="16"/>
      <c r="U23" s="16">
        <v>13</v>
      </c>
      <c r="V23" s="21"/>
      <c r="W23" s="16"/>
      <c r="X23" s="16"/>
      <c r="Y23" s="16"/>
      <c r="Z23" s="16"/>
      <c r="AA23" s="16"/>
      <c r="AB23" s="16">
        <v>13</v>
      </c>
      <c r="AC23" s="21">
        <v>13</v>
      </c>
      <c r="AD23" s="16">
        <v>13</v>
      </c>
      <c r="AE23" s="16">
        <v>13</v>
      </c>
      <c r="AF23" s="16">
        <v>13</v>
      </c>
      <c r="AG23" s="23"/>
      <c r="AH23" s="23"/>
      <c r="AI23" s="23"/>
      <c r="AJ23" s="23"/>
      <c r="AK23" s="23"/>
      <c r="AL23" s="23"/>
      <c r="AO23" s="16">
        <v>16.8</v>
      </c>
      <c r="AP23" s="16">
        <v>13</v>
      </c>
      <c r="AQ23" s="16">
        <v>13</v>
      </c>
      <c r="AR23" s="16">
        <v>13.1</v>
      </c>
      <c r="AS23" s="16">
        <v>13</v>
      </c>
      <c r="AT23" s="16">
        <v>13.1</v>
      </c>
      <c r="AU23" s="16">
        <v>13.1</v>
      </c>
      <c r="AV23" s="16" t="s">
        <v>115</v>
      </c>
      <c r="AW23" s="16">
        <v>28.4</v>
      </c>
      <c r="AX23" s="16">
        <v>12.3</v>
      </c>
      <c r="AY23" s="16"/>
      <c r="BA23" s="16">
        <v>13</v>
      </c>
    </row>
    <row r="24" spans="2:53">
      <c r="B24" s="12"/>
      <c r="O24" s="16"/>
      <c r="P24" s="16"/>
      <c r="Q24" s="19"/>
      <c r="R24" s="16"/>
      <c r="S24" s="16"/>
      <c r="T24" s="16"/>
      <c r="U24" s="16"/>
      <c r="V24" s="21"/>
      <c r="W24" s="16"/>
      <c r="X24" s="16"/>
      <c r="Y24" s="16"/>
      <c r="Z24" s="16"/>
      <c r="AA24" s="16"/>
      <c r="AB24" s="16"/>
      <c r="AC24" s="21"/>
      <c r="AD24" s="16"/>
      <c r="AE24" s="16"/>
      <c r="AF24" s="16"/>
      <c r="AG24" s="23"/>
      <c r="AH24" s="23"/>
      <c r="AI24" s="23"/>
      <c r="AJ24" s="23"/>
      <c r="AK24" s="23"/>
      <c r="AL24" s="23"/>
    </row>
    <row r="25" spans="2:53">
      <c r="B25" s="12"/>
      <c r="O25" s="16"/>
      <c r="P25" s="16"/>
      <c r="Q25" s="19"/>
      <c r="R25" s="16"/>
      <c r="S25" s="16"/>
      <c r="T25" s="16"/>
      <c r="U25" s="16"/>
      <c r="V25" s="21"/>
      <c r="W25" s="16"/>
      <c r="X25" s="16"/>
      <c r="Y25" s="16"/>
      <c r="Z25" s="16"/>
      <c r="AA25" s="16"/>
      <c r="AB25" s="16"/>
      <c r="AC25" s="21"/>
      <c r="AD25" s="16"/>
      <c r="AE25" s="16"/>
      <c r="AF25" s="16"/>
      <c r="AG25" s="23"/>
      <c r="AH25" s="23"/>
      <c r="AI25" s="23"/>
      <c r="AJ25" s="23"/>
      <c r="AK25" s="23"/>
      <c r="AL25" s="23"/>
    </row>
    <row r="26" spans="2:53">
      <c r="I26" s="17"/>
      <c r="J26" s="17"/>
      <c r="K26" s="17"/>
      <c r="L26" s="17"/>
      <c r="M26" s="17"/>
      <c r="N26" s="17"/>
      <c r="O26" s="17"/>
      <c r="P26" s="17"/>
    </row>
    <row r="27" spans="2:53">
      <c r="B27" s="13" t="s">
        <v>564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7"/>
      <c r="P27" s="17"/>
    </row>
    <row r="28" spans="2:53">
      <c r="B28" s="15"/>
      <c r="C28" s="8" t="s">
        <v>19</v>
      </c>
      <c r="D28" s="8" t="s">
        <v>20</v>
      </c>
      <c r="E28" s="8" t="s">
        <v>21</v>
      </c>
      <c r="F28" s="8" t="s">
        <v>22</v>
      </c>
      <c r="G28" s="8" t="s">
        <v>23</v>
      </c>
      <c r="H28" s="8" t="s">
        <v>24</v>
      </c>
      <c r="I28" s="8" t="s">
        <v>25</v>
      </c>
      <c r="J28" s="8" t="s">
        <v>26</v>
      </c>
      <c r="K28" s="8" t="s">
        <v>27</v>
      </c>
      <c r="L28" s="8" t="s">
        <v>28</v>
      </c>
      <c r="M28" s="8" t="s">
        <v>29</v>
      </c>
      <c r="N28" s="8" t="s">
        <v>30</v>
      </c>
    </row>
    <row r="29" spans="2:53">
      <c r="B29" s="15">
        <v>2017</v>
      </c>
      <c r="C29" s="15">
        <v>37</v>
      </c>
      <c r="D29" s="15">
        <v>28</v>
      </c>
      <c r="E29" s="15">
        <v>41</v>
      </c>
      <c r="F29" s="15">
        <v>43</v>
      </c>
      <c r="G29" s="15">
        <v>52</v>
      </c>
      <c r="H29" s="15">
        <v>63</v>
      </c>
      <c r="I29" s="15">
        <v>61</v>
      </c>
      <c r="J29" s="15">
        <v>59</v>
      </c>
      <c r="K29" s="15">
        <v>60</v>
      </c>
      <c r="L29" s="15">
        <v>55</v>
      </c>
      <c r="M29" s="15">
        <v>62</v>
      </c>
      <c r="N29" s="15">
        <v>81</v>
      </c>
    </row>
    <row r="30" spans="2:53">
      <c r="B30" s="15">
        <v>2018</v>
      </c>
      <c r="C30" s="15">
        <v>48</v>
      </c>
      <c r="D30" s="15">
        <v>37</v>
      </c>
      <c r="E30" s="15">
        <v>48</v>
      </c>
      <c r="F30" s="15">
        <v>48</v>
      </c>
      <c r="G30" s="15">
        <v>61</v>
      </c>
      <c r="H30" s="15">
        <v>62</v>
      </c>
      <c r="I30" s="15">
        <v>47</v>
      </c>
      <c r="J30" s="15">
        <v>54</v>
      </c>
      <c r="K30" s="15">
        <v>59</v>
      </c>
      <c r="L30" s="15">
        <v>61</v>
      </c>
      <c r="M30" s="15">
        <v>67</v>
      </c>
      <c r="N30" s="15">
        <v>74</v>
      </c>
    </row>
    <row r="31" spans="2:53">
      <c r="B31" s="15">
        <v>2019</v>
      </c>
      <c r="C31" s="15">
        <v>47</v>
      </c>
      <c r="D31" s="15">
        <v>34</v>
      </c>
      <c r="E31" s="15">
        <v>38</v>
      </c>
      <c r="F31" s="15">
        <v>42</v>
      </c>
      <c r="G31" s="15">
        <v>39</v>
      </c>
      <c r="H31" s="15">
        <v>51</v>
      </c>
      <c r="I31" s="15">
        <v>45</v>
      </c>
      <c r="J31" s="15">
        <v>41</v>
      </c>
      <c r="K31" s="15">
        <v>49</v>
      </c>
      <c r="L31" s="15">
        <v>43</v>
      </c>
      <c r="M31" s="15">
        <v>49</v>
      </c>
      <c r="N31" s="15">
        <v>53</v>
      </c>
    </row>
    <row r="32" spans="2:53">
      <c r="B32" s="15">
        <v>2020</v>
      </c>
      <c r="C32" s="15">
        <v>41</v>
      </c>
      <c r="D32" s="15">
        <v>23</v>
      </c>
      <c r="E32" s="15">
        <v>35</v>
      </c>
      <c r="F32" s="15">
        <v>38</v>
      </c>
      <c r="G32" s="15">
        <v>39</v>
      </c>
      <c r="H32" s="15">
        <v>45</v>
      </c>
      <c r="I32" s="15">
        <v>41</v>
      </c>
      <c r="J32" s="15">
        <v>43</v>
      </c>
      <c r="K32" s="15">
        <v>50</v>
      </c>
      <c r="L32" s="15">
        <v>37</v>
      </c>
      <c r="M32" s="15">
        <v>46</v>
      </c>
      <c r="N32" s="15">
        <v>49</v>
      </c>
    </row>
    <row r="33" spans="2:14">
      <c r="B33" s="15">
        <v>2021</v>
      </c>
      <c r="C33" s="15">
        <v>36</v>
      </c>
      <c r="D33" s="15">
        <v>38</v>
      </c>
      <c r="E33" s="15">
        <v>42</v>
      </c>
      <c r="F33" s="15">
        <v>39</v>
      </c>
      <c r="G33" s="15">
        <v>40</v>
      </c>
      <c r="H33" s="15">
        <v>40</v>
      </c>
      <c r="I33" s="15">
        <v>45</v>
      </c>
      <c r="J33" s="15">
        <v>38</v>
      </c>
      <c r="K33" s="15">
        <v>39</v>
      </c>
      <c r="L33" s="15">
        <v>54</v>
      </c>
      <c r="M33" s="15">
        <v>43</v>
      </c>
      <c r="N33" s="15">
        <v>47</v>
      </c>
    </row>
    <row r="34" spans="2:14">
      <c r="B34" s="15">
        <v>2022</v>
      </c>
      <c r="C34" s="15">
        <v>35</v>
      </c>
      <c r="D34" s="15">
        <v>35</v>
      </c>
      <c r="E34" s="15">
        <v>39</v>
      </c>
      <c r="F34" s="15">
        <v>34</v>
      </c>
      <c r="G34" s="15">
        <v>37</v>
      </c>
      <c r="H34" s="15">
        <v>37</v>
      </c>
      <c r="I34" s="15">
        <v>37</v>
      </c>
      <c r="J34" s="15">
        <v>37</v>
      </c>
      <c r="K34" s="15">
        <v>36</v>
      </c>
      <c r="L34" s="15">
        <v>40</v>
      </c>
      <c r="M34" s="15">
        <v>42</v>
      </c>
      <c r="N34" s="15">
        <v>41</v>
      </c>
    </row>
    <row r="35" spans="2:14">
      <c r="B35" s="15">
        <v>2023</v>
      </c>
      <c r="C35" s="15">
        <v>35</v>
      </c>
      <c r="D35" s="15">
        <v>39</v>
      </c>
      <c r="E35" s="15">
        <v>39</v>
      </c>
      <c r="F35" s="15">
        <v>36</v>
      </c>
      <c r="G35" s="15">
        <v>35</v>
      </c>
      <c r="H35" s="15">
        <v>43</v>
      </c>
      <c r="I35" s="15">
        <v>36</v>
      </c>
      <c r="J35" s="15">
        <v>33</v>
      </c>
      <c r="K35" s="18">
        <v>33</v>
      </c>
      <c r="L35" s="18">
        <v>35</v>
      </c>
      <c r="M35" s="18">
        <v>37</v>
      </c>
      <c r="N35" s="18">
        <v>43</v>
      </c>
    </row>
    <row r="36" spans="2:14">
      <c r="B36" s="15">
        <v>2024</v>
      </c>
      <c r="C36" s="15">
        <v>38</v>
      </c>
      <c r="D36" s="15">
        <v>36</v>
      </c>
      <c r="E36" s="15">
        <v>39</v>
      </c>
    </row>
    <row r="37" spans="2:14">
      <c r="B37" s="15"/>
      <c r="C37" s="15"/>
    </row>
  </sheetData>
  <phoneticPr fontId="45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67"/>
  <sheetViews>
    <sheetView zoomScale="115" zoomScaleNormal="115" workbookViewId="0">
      <pane xSplit="1" ySplit="3" topLeftCell="I49" activePane="bottomRight" state="frozen"/>
      <selection pane="topRight"/>
      <selection pane="bottomLeft"/>
      <selection pane="bottomRight" activeCell="N69" sqref="N69"/>
    </sheetView>
  </sheetViews>
  <sheetFormatPr baseColWidth="10" defaultColWidth="13.1640625" defaultRowHeight="15"/>
  <cols>
    <col min="1" max="2" width="13.1640625" style="1"/>
    <col min="3" max="3" width="15" style="1" customWidth="1"/>
    <col min="4" max="16384" width="13.1640625" style="1"/>
  </cols>
  <sheetData>
    <row r="1" spans="1:15">
      <c r="B1" s="1" t="s">
        <v>565</v>
      </c>
      <c r="H1" s="1" t="s">
        <v>566</v>
      </c>
      <c r="M1" s="1" t="s">
        <v>567</v>
      </c>
    </row>
    <row r="3" spans="1:15">
      <c r="B3" s="2" t="s">
        <v>46</v>
      </c>
      <c r="C3" s="2" t="s">
        <v>47</v>
      </c>
      <c r="D3" s="2" t="s">
        <v>39</v>
      </c>
      <c r="E3" s="2" t="s">
        <v>48</v>
      </c>
      <c r="H3" s="2" t="s">
        <v>46</v>
      </c>
      <c r="I3" s="2" t="s">
        <v>47</v>
      </c>
      <c r="J3" s="2" t="s">
        <v>48</v>
      </c>
      <c r="M3" s="2" t="s">
        <v>46</v>
      </c>
      <c r="N3" s="2" t="s">
        <v>47</v>
      </c>
      <c r="O3" s="2" t="s">
        <v>48</v>
      </c>
    </row>
    <row r="4" spans="1:15">
      <c r="A4" s="3">
        <v>43466</v>
      </c>
      <c r="G4" s="3">
        <v>43466</v>
      </c>
      <c r="L4" s="3">
        <v>43466</v>
      </c>
    </row>
    <row r="5" spans="1:15">
      <c r="A5" s="3">
        <v>43497</v>
      </c>
      <c r="D5" s="4"/>
      <c r="G5" s="3">
        <v>43497</v>
      </c>
      <c r="L5" s="3">
        <v>43497</v>
      </c>
    </row>
    <row r="6" spans="1:15">
      <c r="A6" s="3">
        <v>43525</v>
      </c>
      <c r="D6" s="4"/>
      <c r="G6" s="3">
        <v>43525</v>
      </c>
      <c r="L6" s="3">
        <v>43525</v>
      </c>
    </row>
    <row r="7" spans="1:15">
      <c r="A7" s="3">
        <v>43556</v>
      </c>
      <c r="D7" s="4"/>
      <c r="G7" s="3">
        <v>43556</v>
      </c>
      <c r="L7" s="3">
        <v>43556</v>
      </c>
    </row>
    <row r="8" spans="1:15">
      <c r="A8" s="3">
        <v>43586</v>
      </c>
      <c r="D8" s="4"/>
      <c r="G8" s="3">
        <v>43586</v>
      </c>
      <c r="L8" s="3">
        <v>43586</v>
      </c>
    </row>
    <row r="9" spans="1:15">
      <c r="A9" s="3">
        <v>43617</v>
      </c>
      <c r="D9" s="4"/>
      <c r="G9" s="3">
        <v>43617</v>
      </c>
      <c r="L9" s="3">
        <v>43617</v>
      </c>
    </row>
    <row r="10" spans="1:15">
      <c r="A10" s="3">
        <v>43647</v>
      </c>
      <c r="D10" s="4"/>
      <c r="G10" s="3">
        <v>43647</v>
      </c>
      <c r="L10" s="3">
        <v>43647</v>
      </c>
    </row>
    <row r="11" spans="1:15">
      <c r="A11" s="3">
        <v>43678</v>
      </c>
      <c r="D11" s="4"/>
      <c r="G11" s="3">
        <v>43678</v>
      </c>
      <c r="L11" s="3">
        <v>43678</v>
      </c>
    </row>
    <row r="12" spans="1:15">
      <c r="A12" s="3">
        <v>43709</v>
      </c>
      <c r="D12" s="4"/>
      <c r="G12" s="3">
        <v>43709</v>
      </c>
      <c r="L12" s="3">
        <v>43709</v>
      </c>
    </row>
    <row r="13" spans="1:15">
      <c r="A13" s="3">
        <v>43739</v>
      </c>
      <c r="D13" s="4"/>
      <c r="G13" s="3">
        <v>43739</v>
      </c>
      <c r="L13" s="3">
        <v>43739</v>
      </c>
    </row>
    <row r="14" spans="1:15">
      <c r="A14" s="3">
        <v>43770</v>
      </c>
      <c r="D14" s="4"/>
      <c r="G14" s="3">
        <v>43770</v>
      </c>
      <c r="L14" s="3">
        <v>43770</v>
      </c>
    </row>
    <row r="15" spans="1:15">
      <c r="A15" s="3">
        <v>43800</v>
      </c>
      <c r="D15" s="4"/>
      <c r="G15" s="3">
        <v>43800</v>
      </c>
      <c r="L15" s="3">
        <v>43800</v>
      </c>
    </row>
    <row r="16" spans="1:15">
      <c r="A16" s="3">
        <v>43831</v>
      </c>
      <c r="D16" s="4"/>
      <c r="G16" s="3">
        <v>43831</v>
      </c>
      <c r="L16" s="3">
        <v>43831</v>
      </c>
    </row>
    <row r="17" spans="1:12">
      <c r="A17" s="3">
        <v>43862</v>
      </c>
      <c r="D17" s="4"/>
      <c r="G17" s="3">
        <v>43862</v>
      </c>
      <c r="L17" s="3">
        <v>43862</v>
      </c>
    </row>
    <row r="18" spans="1:12">
      <c r="A18" s="3">
        <v>43891</v>
      </c>
      <c r="D18" s="4"/>
      <c r="G18" s="3">
        <v>43891</v>
      </c>
      <c r="L18" s="3">
        <v>43891</v>
      </c>
    </row>
    <row r="19" spans="1:12">
      <c r="A19" s="3">
        <v>43922</v>
      </c>
      <c r="D19" s="4"/>
      <c r="G19" s="3">
        <v>43922</v>
      </c>
      <c r="L19" s="3">
        <v>43922</v>
      </c>
    </row>
    <row r="20" spans="1:12">
      <c r="A20" s="3">
        <v>43952</v>
      </c>
      <c r="D20" s="4"/>
      <c r="G20" s="3">
        <v>43952</v>
      </c>
      <c r="L20" s="3">
        <v>43952</v>
      </c>
    </row>
    <row r="21" spans="1:12">
      <c r="A21" s="3">
        <v>43983</v>
      </c>
      <c r="D21" s="4"/>
      <c r="G21" s="3">
        <v>43983</v>
      </c>
      <c r="L21" s="3">
        <v>43983</v>
      </c>
    </row>
    <row r="22" spans="1:12">
      <c r="A22" s="3">
        <v>44013</v>
      </c>
      <c r="D22" s="4"/>
      <c r="G22" s="3">
        <v>44013</v>
      </c>
      <c r="L22" s="3">
        <v>44013</v>
      </c>
    </row>
    <row r="23" spans="1:12">
      <c r="A23" s="3">
        <v>44044</v>
      </c>
      <c r="D23" s="4"/>
      <c r="G23" s="3">
        <v>44044</v>
      </c>
      <c r="L23" s="3">
        <v>44044</v>
      </c>
    </row>
    <row r="24" spans="1:12">
      <c r="A24" s="3">
        <v>44075</v>
      </c>
      <c r="D24" s="4"/>
      <c r="G24" s="3">
        <v>44075</v>
      </c>
      <c r="L24" s="3">
        <v>44075</v>
      </c>
    </row>
    <row r="25" spans="1:12">
      <c r="A25" s="3">
        <v>44105</v>
      </c>
      <c r="D25" s="4"/>
      <c r="G25" s="3">
        <v>44105</v>
      </c>
      <c r="L25" s="3">
        <v>44105</v>
      </c>
    </row>
    <row r="26" spans="1:12">
      <c r="A26" s="3">
        <v>44136</v>
      </c>
      <c r="D26" s="4"/>
      <c r="G26" s="3">
        <v>44136</v>
      </c>
      <c r="L26" s="3">
        <v>44136</v>
      </c>
    </row>
    <row r="27" spans="1:12">
      <c r="A27" s="3">
        <v>44166</v>
      </c>
      <c r="D27" s="4"/>
      <c r="G27" s="3">
        <v>44166</v>
      </c>
      <c r="L27" s="3">
        <v>44166</v>
      </c>
    </row>
    <row r="28" spans="1:12">
      <c r="A28" s="3">
        <v>44197</v>
      </c>
      <c r="D28" s="4"/>
      <c r="G28" s="3">
        <v>44197</v>
      </c>
      <c r="L28" s="3">
        <v>44197</v>
      </c>
    </row>
    <row r="29" spans="1:12">
      <c r="A29" s="3">
        <v>44228</v>
      </c>
      <c r="D29" s="4"/>
      <c r="G29" s="3">
        <v>44228</v>
      </c>
      <c r="L29" s="3">
        <v>44228</v>
      </c>
    </row>
    <row r="30" spans="1:12">
      <c r="A30" s="3">
        <v>44256</v>
      </c>
      <c r="D30" s="4"/>
      <c r="G30" s="3">
        <v>44256</v>
      </c>
      <c r="L30" s="3">
        <v>44256</v>
      </c>
    </row>
    <row r="31" spans="1:12">
      <c r="A31" s="3">
        <v>44287</v>
      </c>
      <c r="D31" s="4"/>
      <c r="G31" s="3">
        <v>44287</v>
      </c>
      <c r="L31" s="3">
        <v>44287</v>
      </c>
    </row>
    <row r="32" spans="1:12">
      <c r="A32" s="3">
        <v>44317</v>
      </c>
      <c r="D32" s="4"/>
      <c r="G32" s="3">
        <v>44317</v>
      </c>
      <c r="L32" s="3">
        <v>44317</v>
      </c>
    </row>
    <row r="33" spans="1:12">
      <c r="A33" s="3">
        <v>44348</v>
      </c>
      <c r="D33" s="4"/>
      <c r="G33" s="3">
        <v>44348</v>
      </c>
      <c r="L33" s="3">
        <v>44348</v>
      </c>
    </row>
    <row r="34" spans="1:12">
      <c r="A34" s="3">
        <v>44378</v>
      </c>
      <c r="D34" s="4"/>
      <c r="G34" s="3">
        <v>44378</v>
      </c>
      <c r="L34" s="3">
        <v>44378</v>
      </c>
    </row>
    <row r="35" spans="1:12">
      <c r="A35" s="3">
        <v>44409</v>
      </c>
      <c r="D35" s="4"/>
      <c r="G35" s="3">
        <v>44409</v>
      </c>
      <c r="L35" s="3">
        <v>44409</v>
      </c>
    </row>
    <row r="36" spans="1:12">
      <c r="A36" s="3">
        <v>44440</v>
      </c>
      <c r="D36" s="4"/>
      <c r="G36" s="3">
        <v>44440</v>
      </c>
      <c r="L36" s="3">
        <v>44440</v>
      </c>
    </row>
    <row r="37" spans="1:12">
      <c r="A37" s="3">
        <v>44470</v>
      </c>
      <c r="D37" s="4"/>
      <c r="G37" s="3">
        <v>44470</v>
      </c>
      <c r="L37" s="3">
        <v>44470</v>
      </c>
    </row>
    <row r="38" spans="1:12">
      <c r="A38" s="3">
        <v>44501</v>
      </c>
      <c r="D38" s="4"/>
      <c r="G38" s="3">
        <v>44501</v>
      </c>
      <c r="L38" s="3">
        <v>44501</v>
      </c>
    </row>
    <row r="39" spans="1:12">
      <c r="A39" s="3">
        <v>44531</v>
      </c>
      <c r="D39" s="4"/>
      <c r="G39" s="3">
        <v>44531</v>
      </c>
      <c r="L39" s="3">
        <v>44531</v>
      </c>
    </row>
    <row r="40" spans="1:12">
      <c r="A40" s="3">
        <v>44562</v>
      </c>
      <c r="D40" s="4"/>
      <c r="G40" s="3">
        <v>44562</v>
      </c>
      <c r="L40" s="3">
        <v>44562</v>
      </c>
    </row>
    <row r="41" spans="1:12">
      <c r="A41" s="3">
        <v>44593</v>
      </c>
      <c r="D41" s="4"/>
      <c r="G41" s="3">
        <v>44593</v>
      </c>
      <c r="L41" s="3">
        <v>44593</v>
      </c>
    </row>
    <row r="42" spans="1:12">
      <c r="A42" s="3">
        <v>44621</v>
      </c>
      <c r="D42" s="4"/>
      <c r="G42" s="3">
        <v>44621</v>
      </c>
      <c r="L42" s="3">
        <v>44621</v>
      </c>
    </row>
    <row r="43" spans="1:12">
      <c r="A43" s="3">
        <v>44652</v>
      </c>
      <c r="D43" s="4"/>
      <c r="G43" s="3">
        <v>44652</v>
      </c>
      <c r="L43" s="3">
        <v>44652</v>
      </c>
    </row>
    <row r="44" spans="1:12">
      <c r="A44" s="3">
        <v>44682</v>
      </c>
      <c r="D44" s="4"/>
      <c r="G44" s="3">
        <v>44682</v>
      </c>
      <c r="L44" s="3">
        <v>44682</v>
      </c>
    </row>
    <row r="45" spans="1:12">
      <c r="A45" s="3">
        <v>44713</v>
      </c>
      <c r="D45" s="4"/>
      <c r="G45" s="3">
        <v>44713</v>
      </c>
      <c r="L45" s="3">
        <v>44713</v>
      </c>
    </row>
    <row r="46" spans="1:12">
      <c r="A46" s="3">
        <v>44743</v>
      </c>
      <c r="B46" s="4">
        <v>503.9</v>
      </c>
      <c r="C46" s="4">
        <v>1449.1</v>
      </c>
      <c r="D46" s="4">
        <v>13.6</v>
      </c>
      <c r="E46" s="4">
        <v>1967.8</v>
      </c>
      <c r="G46" s="3">
        <v>44743</v>
      </c>
      <c r="L46" s="3">
        <v>44743</v>
      </c>
    </row>
    <row r="47" spans="1:12">
      <c r="A47" s="3">
        <v>44774</v>
      </c>
      <c r="B47" s="4">
        <v>767.9</v>
      </c>
      <c r="C47" s="4">
        <v>1116.5999999999999</v>
      </c>
      <c r="D47" s="4">
        <v>11.9</v>
      </c>
      <c r="E47" s="4">
        <v>1898.9</v>
      </c>
      <c r="G47" s="3">
        <v>44774</v>
      </c>
      <c r="L47" s="3">
        <v>44774</v>
      </c>
    </row>
    <row r="48" spans="1:12">
      <c r="A48" s="3">
        <v>44805</v>
      </c>
      <c r="B48" s="4">
        <v>4585.7</v>
      </c>
      <c r="C48" s="4">
        <v>2166.3000000000002</v>
      </c>
      <c r="D48" s="4">
        <v>1.5</v>
      </c>
      <c r="E48" s="4">
        <v>6754.3</v>
      </c>
      <c r="G48" s="3">
        <v>44805</v>
      </c>
      <c r="L48" s="3">
        <v>44805</v>
      </c>
    </row>
    <row r="49" spans="1:15">
      <c r="A49" s="3">
        <v>44835</v>
      </c>
      <c r="B49" s="4">
        <v>4315.3</v>
      </c>
      <c r="C49" s="4">
        <v>10347.6</v>
      </c>
      <c r="D49" s="4">
        <v>9.8000000000000007</v>
      </c>
      <c r="E49" s="4">
        <v>14672.8</v>
      </c>
      <c r="G49" s="3">
        <v>44835</v>
      </c>
      <c r="L49" s="3">
        <v>44835</v>
      </c>
    </row>
    <row r="50" spans="1:15">
      <c r="A50" s="3">
        <v>44866</v>
      </c>
      <c r="B50" s="4">
        <v>5733.3</v>
      </c>
      <c r="C50" s="4">
        <v>16825.2</v>
      </c>
      <c r="D50" s="4">
        <v>1.1000000000000001</v>
      </c>
      <c r="E50" s="4">
        <v>22562.6</v>
      </c>
      <c r="G50" s="3">
        <v>44866</v>
      </c>
      <c r="L50" s="3">
        <v>44866</v>
      </c>
    </row>
    <row r="51" spans="1:15">
      <c r="A51" s="3">
        <v>44896</v>
      </c>
      <c r="B51" s="4">
        <v>6138.7</v>
      </c>
      <c r="C51" s="4">
        <v>3216.9</v>
      </c>
      <c r="D51" s="4">
        <v>20.100000000000001</v>
      </c>
      <c r="E51" s="4">
        <v>9375.7000000000007</v>
      </c>
      <c r="G51" s="3">
        <v>44896</v>
      </c>
      <c r="L51" s="3">
        <v>44896</v>
      </c>
    </row>
    <row r="52" spans="1:15">
      <c r="A52" s="3">
        <v>44927</v>
      </c>
      <c r="B52" s="4">
        <v>5378.3</v>
      </c>
      <c r="C52" s="4">
        <v>2553.1</v>
      </c>
      <c r="D52" s="4">
        <v>16.3</v>
      </c>
      <c r="E52" s="4">
        <v>7947.7</v>
      </c>
      <c r="G52" s="3">
        <v>44927</v>
      </c>
      <c r="L52" s="3">
        <v>44927</v>
      </c>
    </row>
    <row r="53" spans="1:15">
      <c r="A53" s="3">
        <v>44958</v>
      </c>
      <c r="B53" s="4">
        <v>6556.2</v>
      </c>
      <c r="C53" s="4">
        <v>2840.8</v>
      </c>
      <c r="D53" s="4">
        <v>28.6</v>
      </c>
      <c r="E53" s="4">
        <v>9425.6</v>
      </c>
      <c r="G53" s="3">
        <v>44958</v>
      </c>
      <c r="L53" s="3">
        <v>44958</v>
      </c>
    </row>
    <row r="54" spans="1:15">
      <c r="A54" s="5">
        <v>44986</v>
      </c>
      <c r="B54" s="4">
        <v>6794</v>
      </c>
      <c r="C54" s="4">
        <v>1993</v>
      </c>
      <c r="D54" s="4">
        <v>8787</v>
      </c>
      <c r="E54" s="4">
        <v>8790</v>
      </c>
      <c r="G54" s="5">
        <v>44986</v>
      </c>
      <c r="L54" s="5">
        <v>44986</v>
      </c>
    </row>
    <row r="55" spans="1:15">
      <c r="A55" s="3">
        <v>45017</v>
      </c>
      <c r="B55" s="4">
        <v>6490.6</v>
      </c>
      <c r="C55" s="4">
        <v>2340.4</v>
      </c>
      <c r="D55" s="4">
        <v>3.5</v>
      </c>
      <c r="E55" s="4">
        <v>8834.5</v>
      </c>
      <c r="G55" s="3">
        <v>45017</v>
      </c>
      <c r="L55" s="3">
        <v>45017</v>
      </c>
    </row>
    <row r="56" spans="1:15">
      <c r="A56" s="3">
        <v>45047</v>
      </c>
      <c r="B56" s="4">
        <v>7568.1</v>
      </c>
      <c r="C56" s="4">
        <v>3669.7</v>
      </c>
      <c r="D56" s="4">
        <v>25.1</v>
      </c>
      <c r="E56" s="4">
        <v>11262.9</v>
      </c>
      <c r="G56" s="3">
        <v>45047</v>
      </c>
      <c r="L56" s="3">
        <v>45047</v>
      </c>
    </row>
    <row r="57" spans="1:15">
      <c r="A57" s="5">
        <v>45078</v>
      </c>
      <c r="B57" s="4">
        <v>6636.9</v>
      </c>
      <c r="C57" s="4">
        <v>3254.9</v>
      </c>
      <c r="D57" s="4">
        <v>116.7</v>
      </c>
      <c r="E57" s="4">
        <v>10008.4</v>
      </c>
      <c r="G57" s="5">
        <v>45078</v>
      </c>
      <c r="H57" s="4">
        <v>35.200000000000003</v>
      </c>
      <c r="I57" s="4">
        <v>8678.4</v>
      </c>
      <c r="J57" s="4">
        <v>8713.6</v>
      </c>
      <c r="L57" s="5">
        <v>45078</v>
      </c>
      <c r="M57" s="4">
        <v>0</v>
      </c>
      <c r="N57" s="4">
        <v>1012.6</v>
      </c>
      <c r="O57" s="4">
        <v>1012.6</v>
      </c>
    </row>
    <row r="58" spans="1:15">
      <c r="A58" s="3">
        <v>45108</v>
      </c>
      <c r="B58" s="4">
        <v>7242.7</v>
      </c>
      <c r="C58" s="4">
        <v>3895.9</v>
      </c>
      <c r="D58" s="4">
        <v>59.6</v>
      </c>
      <c r="E58" s="4">
        <v>11198.2</v>
      </c>
      <c r="G58" s="3">
        <v>45108</v>
      </c>
      <c r="H58" s="4">
        <v>8.25</v>
      </c>
      <c r="I58" s="4">
        <v>4281.72</v>
      </c>
      <c r="J58" s="4">
        <v>4289.97</v>
      </c>
      <c r="L58" s="3">
        <v>45108</v>
      </c>
      <c r="M58" s="4">
        <v>0</v>
      </c>
      <c r="N58" s="4">
        <v>1047.08</v>
      </c>
      <c r="O58" s="4">
        <v>1047.08</v>
      </c>
    </row>
    <row r="59" spans="1:15">
      <c r="A59" s="5">
        <v>45139</v>
      </c>
      <c r="B59" s="4">
        <f>6834.3+9.6</f>
        <v>6843.9000000000005</v>
      </c>
      <c r="C59" s="4">
        <f>3709.1+1833.6</f>
        <v>5542.7</v>
      </c>
      <c r="D59" s="4">
        <f>E59-B59-C59</f>
        <v>86.899999999999636</v>
      </c>
      <c r="E59" s="4">
        <v>12473.5</v>
      </c>
      <c r="G59" s="5">
        <v>45139</v>
      </c>
      <c r="H59" s="4">
        <v>107</v>
      </c>
      <c r="I59" s="4">
        <v>9832.5</v>
      </c>
      <c r="J59" s="4">
        <f>H59+I59</f>
        <v>9939.5</v>
      </c>
      <c r="L59" s="5">
        <v>45139</v>
      </c>
      <c r="M59" s="4">
        <v>9.6</v>
      </c>
      <c r="N59" s="4">
        <v>1833.6</v>
      </c>
      <c r="O59" s="4">
        <f>M59+N59</f>
        <v>1843.1999999999998</v>
      </c>
    </row>
    <row r="60" spans="1:15">
      <c r="A60" s="3">
        <v>45170</v>
      </c>
      <c r="B60" s="4">
        <v>8300</v>
      </c>
      <c r="C60" s="4">
        <v>4800</v>
      </c>
      <c r="D60" s="4">
        <f>E60-B60-C60</f>
        <v>200</v>
      </c>
      <c r="E60" s="4">
        <v>13300</v>
      </c>
      <c r="G60" s="3">
        <v>45170</v>
      </c>
      <c r="H60" s="4">
        <v>0</v>
      </c>
      <c r="I60" s="4">
        <v>11400</v>
      </c>
      <c r="J60" s="4">
        <v>11500</v>
      </c>
      <c r="L60" s="3">
        <v>45170</v>
      </c>
      <c r="M60" s="4">
        <v>0</v>
      </c>
      <c r="N60" s="4">
        <v>2300</v>
      </c>
      <c r="O60" s="4">
        <v>2300</v>
      </c>
    </row>
    <row r="61" spans="1:15">
      <c r="A61" s="5">
        <v>45200</v>
      </c>
      <c r="B61" s="4">
        <v>7400</v>
      </c>
      <c r="C61" s="4">
        <v>4000</v>
      </c>
      <c r="D61" s="4">
        <v>100</v>
      </c>
      <c r="E61" s="4">
        <v>11500</v>
      </c>
      <c r="G61" s="5">
        <v>45200</v>
      </c>
      <c r="H61" s="4">
        <v>0</v>
      </c>
      <c r="I61" s="4">
        <v>13900</v>
      </c>
      <c r="J61" s="4">
        <v>13900</v>
      </c>
      <c r="L61" s="5">
        <v>45200</v>
      </c>
      <c r="M61" s="4">
        <v>0</v>
      </c>
      <c r="N61" s="4">
        <v>3100</v>
      </c>
      <c r="O61" s="4">
        <v>3100</v>
      </c>
    </row>
    <row r="62" spans="1:15">
      <c r="A62" s="3">
        <v>45231</v>
      </c>
      <c r="B62" s="4">
        <v>8200</v>
      </c>
      <c r="C62" s="4">
        <v>4700</v>
      </c>
      <c r="D62" s="4">
        <v>100</v>
      </c>
      <c r="E62" s="4">
        <v>13000</v>
      </c>
      <c r="G62" s="3">
        <v>45231</v>
      </c>
      <c r="H62" s="4">
        <v>100</v>
      </c>
      <c r="I62" s="4">
        <v>16000</v>
      </c>
      <c r="J62" s="4">
        <v>16000</v>
      </c>
      <c r="L62" s="3">
        <v>45231</v>
      </c>
      <c r="M62" s="4">
        <v>0</v>
      </c>
      <c r="N62" s="4">
        <v>4900</v>
      </c>
      <c r="O62" s="4">
        <v>4900</v>
      </c>
    </row>
    <row r="63" spans="1:15">
      <c r="A63" s="5">
        <v>45261</v>
      </c>
      <c r="B63" s="4">
        <v>9600</v>
      </c>
      <c r="C63" s="4">
        <v>4300</v>
      </c>
      <c r="D63" s="4">
        <v>100</v>
      </c>
      <c r="E63" s="4">
        <v>14000</v>
      </c>
      <c r="G63" s="5">
        <v>45261</v>
      </c>
      <c r="H63" s="4">
        <v>100</v>
      </c>
      <c r="I63" s="4">
        <v>18000</v>
      </c>
      <c r="J63" s="4">
        <v>18100</v>
      </c>
      <c r="L63" s="5">
        <v>45261</v>
      </c>
      <c r="M63" s="4">
        <v>0</v>
      </c>
      <c r="N63" s="4">
        <v>5500</v>
      </c>
      <c r="O63" s="4">
        <v>5500</v>
      </c>
    </row>
    <row r="64" spans="1:15">
      <c r="A64" s="5">
        <v>45292</v>
      </c>
      <c r="B64" s="4">
        <v>3900</v>
      </c>
      <c r="C64" s="4">
        <v>4400</v>
      </c>
      <c r="D64" s="4">
        <v>0</v>
      </c>
      <c r="E64" s="4">
        <v>8400</v>
      </c>
      <c r="G64" s="5">
        <v>45292</v>
      </c>
      <c r="H64" s="4">
        <v>100</v>
      </c>
      <c r="I64" s="4">
        <v>6700</v>
      </c>
      <c r="J64" s="4">
        <v>6700</v>
      </c>
      <c r="K64" s="1" t="s">
        <v>568</v>
      </c>
      <c r="L64" s="5">
        <v>45292</v>
      </c>
      <c r="M64" s="4">
        <v>0</v>
      </c>
      <c r="N64" s="4">
        <v>200</v>
      </c>
      <c r="O64" s="4">
        <v>200</v>
      </c>
    </row>
    <row r="65" spans="1:15">
      <c r="A65" s="5">
        <v>45323</v>
      </c>
      <c r="B65" s="4">
        <v>4700</v>
      </c>
      <c r="C65" s="4">
        <v>3400</v>
      </c>
      <c r="D65" s="4">
        <v>100</v>
      </c>
      <c r="E65" s="4">
        <v>8200</v>
      </c>
      <c r="G65" s="5">
        <v>45323</v>
      </c>
      <c r="H65" s="2">
        <v>0</v>
      </c>
      <c r="I65" s="2">
        <v>3800</v>
      </c>
      <c r="J65" s="2">
        <v>3800</v>
      </c>
      <c r="K65" s="2"/>
      <c r="L65" s="5">
        <v>45323</v>
      </c>
      <c r="M65" s="2">
        <v>0</v>
      </c>
      <c r="N65" s="2">
        <v>100</v>
      </c>
      <c r="O65" s="2">
        <v>100</v>
      </c>
    </row>
    <row r="66" spans="1:15">
      <c r="A66" s="5">
        <v>45352</v>
      </c>
      <c r="B66" s="4">
        <v>6100</v>
      </c>
      <c r="C66" s="4">
        <v>5600</v>
      </c>
      <c r="D66" s="4">
        <v>100</v>
      </c>
      <c r="E66" s="4">
        <v>11900</v>
      </c>
      <c r="G66" s="5">
        <v>45352</v>
      </c>
      <c r="H66" s="2">
        <v>0</v>
      </c>
      <c r="I66" s="2">
        <v>10900</v>
      </c>
      <c r="J66" s="2">
        <v>11000</v>
      </c>
      <c r="L66" s="5">
        <v>45352</v>
      </c>
      <c r="M66" s="2">
        <v>0</v>
      </c>
      <c r="N66" s="2">
        <v>400</v>
      </c>
      <c r="O66" s="2">
        <v>400</v>
      </c>
    </row>
    <row r="67" spans="1:15">
      <c r="B67" s="4"/>
      <c r="C67" s="4"/>
      <c r="D67" s="4"/>
      <c r="E67" s="4"/>
    </row>
  </sheetData>
  <phoneticPr fontId="45" type="noConversion"/>
  <pageMargins left="0.7" right="0.7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35"/>
  <sheetViews>
    <sheetView zoomScale="245" workbookViewId="0">
      <selection activeCell="H6" sqref="H6"/>
    </sheetView>
  </sheetViews>
  <sheetFormatPr baseColWidth="10" defaultColWidth="9" defaultRowHeight="14"/>
  <cols>
    <col min="2" max="2" width="21.6640625" customWidth="1"/>
    <col min="3" max="13" width="9.1640625" customWidth="1"/>
  </cols>
  <sheetData>
    <row r="2" spans="2:15">
      <c r="B2" s="56" t="s">
        <v>17</v>
      </c>
      <c r="C2" s="56">
        <v>2015</v>
      </c>
      <c r="D2" s="56">
        <v>2016</v>
      </c>
      <c r="E2" s="56">
        <v>2017</v>
      </c>
      <c r="F2" s="56">
        <v>2018</v>
      </c>
      <c r="G2" s="56">
        <v>2019</v>
      </c>
      <c r="H2" s="56">
        <v>2020</v>
      </c>
      <c r="I2" s="56">
        <v>2021</v>
      </c>
      <c r="J2" s="59">
        <v>2022</v>
      </c>
      <c r="K2" s="59">
        <v>2023</v>
      </c>
      <c r="L2" s="59"/>
      <c r="M2" s="59"/>
    </row>
    <row r="3" spans="2:15">
      <c r="B3" s="56" t="s">
        <v>2</v>
      </c>
      <c r="C3" s="257">
        <v>15</v>
      </c>
      <c r="D3" s="257">
        <v>42</v>
      </c>
      <c r="E3" s="257">
        <v>59.1</v>
      </c>
      <c r="F3" s="257">
        <v>100</v>
      </c>
      <c r="G3" s="257">
        <v>117.9</v>
      </c>
      <c r="H3" s="257">
        <v>146.80000000000001</v>
      </c>
      <c r="I3" s="257">
        <v>296.8</v>
      </c>
      <c r="J3" s="257">
        <v>517.9</v>
      </c>
      <c r="K3" s="257">
        <v>705.5</v>
      </c>
      <c r="L3" s="258"/>
      <c r="M3" s="260"/>
    </row>
    <row r="4" spans="2:15">
      <c r="B4" s="56" t="s">
        <v>18</v>
      </c>
      <c r="C4" s="60"/>
      <c r="D4" s="60">
        <f>D3/C3-1</f>
        <v>1.7999999999999998</v>
      </c>
      <c r="E4" s="60">
        <f t="shared" ref="E4:I4" si="0">E3/D3-1</f>
        <v>0.40714285714285725</v>
      </c>
      <c r="F4" s="60">
        <f t="shared" si="0"/>
        <v>0.69204737732656518</v>
      </c>
      <c r="G4" s="60">
        <f t="shared" si="0"/>
        <v>0.17900000000000005</v>
      </c>
      <c r="H4" s="60">
        <f t="shared" si="0"/>
        <v>0.24512298558100087</v>
      </c>
      <c r="I4" s="60">
        <f t="shared" si="0"/>
        <v>1.0217983651226157</v>
      </c>
      <c r="J4" s="60">
        <v>0.71799999999999997</v>
      </c>
      <c r="K4" s="60">
        <v>0.36199999999999999</v>
      </c>
      <c r="L4" s="65"/>
      <c r="M4" s="65"/>
    </row>
    <row r="5" spans="2:15">
      <c r="E5">
        <v>36</v>
      </c>
      <c r="F5">
        <v>57</v>
      </c>
      <c r="G5">
        <v>62</v>
      </c>
      <c r="H5">
        <v>63</v>
      </c>
      <c r="I5">
        <v>154</v>
      </c>
      <c r="J5">
        <v>294</v>
      </c>
      <c r="K5">
        <v>387</v>
      </c>
    </row>
    <row r="8" spans="2:15">
      <c r="B8" s="34"/>
      <c r="C8" s="34" t="s">
        <v>19</v>
      </c>
      <c r="D8" s="34" t="s">
        <v>20</v>
      </c>
      <c r="E8" s="34" t="s">
        <v>21</v>
      </c>
      <c r="F8" s="34" t="s">
        <v>22</v>
      </c>
      <c r="G8" s="34" t="s">
        <v>23</v>
      </c>
      <c r="H8" s="34" t="s">
        <v>24</v>
      </c>
      <c r="I8" s="34" t="s">
        <v>25</v>
      </c>
      <c r="J8" s="34" t="s">
        <v>26</v>
      </c>
      <c r="K8" s="34" t="s">
        <v>27</v>
      </c>
      <c r="L8" s="34" t="s">
        <v>28</v>
      </c>
      <c r="M8" s="34" t="s">
        <v>29</v>
      </c>
      <c r="N8" s="34" t="s">
        <v>30</v>
      </c>
      <c r="O8" s="34" t="s">
        <v>31</v>
      </c>
    </row>
    <row r="9" spans="2:15">
      <c r="B9" s="22">
        <v>2020</v>
      </c>
      <c r="C9" s="203">
        <v>7</v>
      </c>
      <c r="D9" s="22">
        <v>5.4</v>
      </c>
      <c r="E9" s="22">
        <v>8.6</v>
      </c>
      <c r="F9" s="22">
        <v>5.7</v>
      </c>
      <c r="G9" s="227">
        <v>6.7</v>
      </c>
      <c r="H9" s="22">
        <v>11.3</v>
      </c>
      <c r="I9" s="22">
        <v>11.2</v>
      </c>
      <c r="J9" s="22">
        <v>11.4</v>
      </c>
      <c r="K9" s="22">
        <v>16.899999999999999</v>
      </c>
      <c r="L9" s="22">
        <v>15.4</v>
      </c>
      <c r="M9" s="22">
        <v>16.100000000000001</v>
      </c>
      <c r="N9" s="22">
        <v>28.5</v>
      </c>
      <c r="O9" s="66">
        <f>SUM(C9:N9)</f>
        <v>144.20000000000002</v>
      </c>
    </row>
    <row r="10" spans="2:15">
      <c r="B10" s="22">
        <v>2021</v>
      </c>
      <c r="C10" s="22">
        <v>13.7</v>
      </c>
      <c r="D10" s="22">
        <v>11.2</v>
      </c>
      <c r="E10" s="22">
        <v>23.4</v>
      </c>
      <c r="F10" s="22">
        <v>17.8</v>
      </c>
      <c r="G10" s="227">
        <v>21.2</v>
      </c>
      <c r="H10" s="22">
        <v>26.3</v>
      </c>
      <c r="I10" s="22">
        <v>22.6</v>
      </c>
      <c r="J10" s="22">
        <v>25.2</v>
      </c>
      <c r="K10" s="22">
        <v>32.9</v>
      </c>
      <c r="L10" s="22">
        <v>26.2</v>
      </c>
      <c r="M10" s="22">
        <v>30.8</v>
      </c>
      <c r="N10" s="22">
        <v>43.7</v>
      </c>
      <c r="O10" s="44">
        <f>SUM(C10:N10)</f>
        <v>295</v>
      </c>
    </row>
    <row r="11" spans="2:15">
      <c r="B11" s="29" t="s">
        <v>32</v>
      </c>
      <c r="C11" s="30">
        <f t="shared" ref="C11:O11" si="1">C10/C9-1</f>
        <v>0.95714285714285707</v>
      </c>
      <c r="D11" s="30">
        <f t="shared" si="1"/>
        <v>1.074074074074074</v>
      </c>
      <c r="E11" s="30">
        <f t="shared" si="1"/>
        <v>1.7209302325581395</v>
      </c>
      <c r="F11" s="30">
        <f t="shared" si="1"/>
        <v>2.1228070175438596</v>
      </c>
      <c r="G11" s="30">
        <f t="shared" si="1"/>
        <v>2.1641791044776117</v>
      </c>
      <c r="H11" s="30">
        <f t="shared" si="1"/>
        <v>1.3274336283185839</v>
      </c>
      <c r="I11" s="30">
        <f t="shared" si="1"/>
        <v>1.0178571428571432</v>
      </c>
      <c r="J11" s="30">
        <f t="shared" si="1"/>
        <v>1.2105263157894735</v>
      </c>
      <c r="K11" s="30">
        <f t="shared" si="1"/>
        <v>0.94674556213017769</v>
      </c>
      <c r="L11" s="30">
        <f t="shared" si="1"/>
        <v>0.70129870129870131</v>
      </c>
      <c r="M11" s="30">
        <f t="shared" si="1"/>
        <v>0.9130434782608694</v>
      </c>
      <c r="N11" s="30">
        <f t="shared" si="1"/>
        <v>0.53333333333333344</v>
      </c>
      <c r="O11" s="42">
        <f t="shared" si="1"/>
        <v>1.0457697642163661</v>
      </c>
    </row>
    <row r="12" spans="2:15">
      <c r="B12" s="29" t="s">
        <v>33</v>
      </c>
      <c r="C12" s="31">
        <f>C10/N9-1</f>
        <v>-0.51929824561403515</v>
      </c>
      <c r="D12" s="30">
        <f t="shared" ref="D12:N12" si="2">D10/C10-1</f>
        <v>-0.18248175182481752</v>
      </c>
      <c r="E12" s="30">
        <f t="shared" si="2"/>
        <v>1.0892857142857144</v>
      </c>
      <c r="F12" s="30">
        <f t="shared" si="2"/>
        <v>-0.23931623931623924</v>
      </c>
      <c r="G12" s="30">
        <f t="shared" si="2"/>
        <v>0.1910112359550562</v>
      </c>
      <c r="H12" s="30">
        <f t="shared" si="2"/>
        <v>0.24056603773584917</v>
      </c>
      <c r="I12" s="30">
        <f t="shared" si="2"/>
        <v>-0.14068441064638781</v>
      </c>
      <c r="J12" s="30">
        <f t="shared" si="2"/>
        <v>0.11504424778761058</v>
      </c>
      <c r="K12" s="30">
        <f t="shared" si="2"/>
        <v>0.30555555555555558</v>
      </c>
      <c r="L12" s="30">
        <f t="shared" si="2"/>
        <v>-0.20364741641337381</v>
      </c>
      <c r="M12" s="30">
        <f t="shared" si="2"/>
        <v>0.17557251908396942</v>
      </c>
      <c r="N12" s="30">
        <f t="shared" si="2"/>
        <v>0.418831168831169</v>
      </c>
      <c r="O12" s="44"/>
    </row>
    <row r="13" spans="2:15">
      <c r="B13" s="22">
        <v>2022</v>
      </c>
      <c r="C13" s="59">
        <v>27.6</v>
      </c>
      <c r="D13" s="59">
        <v>25.9</v>
      </c>
      <c r="E13" s="59">
        <v>41.4</v>
      </c>
      <c r="F13" s="59">
        <v>27.1</v>
      </c>
      <c r="G13" s="259">
        <v>33.700000000000003</v>
      </c>
      <c r="H13" s="59">
        <v>45.2</v>
      </c>
      <c r="I13" s="59">
        <v>39.700000000000003</v>
      </c>
      <c r="J13" s="44">
        <v>45.7</v>
      </c>
      <c r="K13" s="44">
        <v>54.7</v>
      </c>
      <c r="L13" s="66">
        <v>48</v>
      </c>
      <c r="M13" s="44">
        <v>57.2</v>
      </c>
      <c r="N13" s="44">
        <v>71.7</v>
      </c>
      <c r="O13" s="44">
        <f>SUM(C13:N13)</f>
        <v>517.9</v>
      </c>
    </row>
    <row r="14" spans="2:15">
      <c r="B14" s="29" t="s">
        <v>32</v>
      </c>
      <c r="C14" s="30">
        <f t="shared" ref="C14:O14" si="3">C13/C10-1</f>
        <v>1.0145985401459856</v>
      </c>
      <c r="D14" s="30">
        <f t="shared" si="3"/>
        <v>1.3125</v>
      </c>
      <c r="E14" s="30">
        <f t="shared" si="3"/>
        <v>0.76923076923076938</v>
      </c>
      <c r="F14" s="30">
        <f t="shared" si="3"/>
        <v>0.52247191011235961</v>
      </c>
      <c r="G14" s="30">
        <f t="shared" si="3"/>
        <v>0.58962264150943411</v>
      </c>
      <c r="H14" s="30">
        <f t="shared" si="3"/>
        <v>0.71863117870722437</v>
      </c>
      <c r="I14" s="30">
        <f t="shared" si="3"/>
        <v>0.75663716814159288</v>
      </c>
      <c r="J14" s="30">
        <f t="shared" si="3"/>
        <v>0.81349206349206371</v>
      </c>
      <c r="K14" s="30">
        <f t="shared" si="3"/>
        <v>0.66261398176291819</v>
      </c>
      <c r="L14" s="30">
        <f t="shared" si="3"/>
        <v>0.83206106870229002</v>
      </c>
      <c r="M14" s="30">
        <f t="shared" si="3"/>
        <v>0.85714285714285721</v>
      </c>
      <c r="N14" s="30">
        <f t="shared" si="3"/>
        <v>0.64073226544622419</v>
      </c>
      <c r="O14" s="42">
        <f t="shared" si="3"/>
        <v>0.75559322033898302</v>
      </c>
    </row>
    <row r="15" spans="2:15">
      <c r="B15" s="29" t="s">
        <v>33</v>
      </c>
      <c r="C15" s="31">
        <f>C13/N10-1</f>
        <v>-0.36842105263157898</v>
      </c>
      <c r="D15" s="30">
        <f t="shared" ref="D15:N15" si="4">D13/C13-1</f>
        <v>-6.1594202898550776E-2</v>
      </c>
      <c r="E15" s="30">
        <f t="shared" si="4"/>
        <v>0.59845559845559859</v>
      </c>
      <c r="F15" s="30">
        <f t="shared" si="4"/>
        <v>-0.34541062801932365</v>
      </c>
      <c r="G15" s="30">
        <f t="shared" si="4"/>
        <v>0.24354243542435428</v>
      </c>
      <c r="H15" s="30">
        <f t="shared" si="4"/>
        <v>0.34124629080118685</v>
      </c>
      <c r="I15" s="30">
        <f t="shared" si="4"/>
        <v>-0.12168141592920356</v>
      </c>
      <c r="J15" s="30">
        <f t="shared" si="4"/>
        <v>0.15113350125944591</v>
      </c>
      <c r="K15" s="30">
        <f t="shared" si="4"/>
        <v>0.19693654266958416</v>
      </c>
      <c r="L15" s="30">
        <f t="shared" si="4"/>
        <v>-0.12248628884826329</v>
      </c>
      <c r="M15" s="30">
        <f t="shared" si="4"/>
        <v>0.19166666666666665</v>
      </c>
      <c r="N15" s="30">
        <f t="shared" si="4"/>
        <v>0.25349650349650354</v>
      </c>
      <c r="O15" s="43"/>
    </row>
    <row r="16" spans="2:15">
      <c r="B16" s="22">
        <v>2023</v>
      </c>
      <c r="C16" s="59">
        <v>33</v>
      </c>
      <c r="D16" s="59">
        <v>42.2</v>
      </c>
      <c r="E16" s="59">
        <v>57.8</v>
      </c>
      <c r="F16" s="59">
        <v>49.5</v>
      </c>
      <c r="G16" s="259">
        <v>55.1</v>
      </c>
      <c r="H16" s="59">
        <v>66.7</v>
      </c>
      <c r="I16" s="59">
        <v>58.6</v>
      </c>
      <c r="J16" s="44">
        <v>66.099999999999994</v>
      </c>
      <c r="K16" s="44">
        <v>56.9</v>
      </c>
      <c r="L16" s="66">
        <v>66.3</v>
      </c>
      <c r="M16" s="44">
        <v>62.4</v>
      </c>
      <c r="N16" s="44">
        <f>O16-SUM(C16:M16)</f>
        <v>90.900000000000091</v>
      </c>
      <c r="O16" s="44">
        <v>705.5</v>
      </c>
    </row>
    <row r="17" spans="1:15">
      <c r="B17" s="29" t="s">
        <v>32</v>
      </c>
      <c r="C17" s="31">
        <f t="shared" ref="C17:K17" si="5">C16/C13-1</f>
        <v>0.19565217391304346</v>
      </c>
      <c r="D17" s="31">
        <f t="shared" si="5"/>
        <v>0.62934362934362964</v>
      </c>
      <c r="E17" s="31">
        <f t="shared" si="5"/>
        <v>0.39613526570048307</v>
      </c>
      <c r="F17" s="31">
        <f t="shared" si="5"/>
        <v>0.82656826568265673</v>
      </c>
      <c r="G17" s="31">
        <f t="shared" si="5"/>
        <v>0.63501483679525217</v>
      </c>
      <c r="H17" s="31">
        <f t="shared" si="5"/>
        <v>0.47566371681415931</v>
      </c>
      <c r="I17" s="31">
        <f t="shared" si="5"/>
        <v>0.47607052896725444</v>
      </c>
      <c r="J17" s="31">
        <f t="shared" si="5"/>
        <v>0.44638949671772399</v>
      </c>
      <c r="K17" s="31">
        <f t="shared" si="5"/>
        <v>4.0219378427787777E-2</v>
      </c>
      <c r="L17" s="30">
        <v>0.38100000000000001</v>
      </c>
      <c r="M17" s="30">
        <v>0.41799999999999998</v>
      </c>
      <c r="N17" s="30">
        <f>N16/N13-1</f>
        <v>0.26778242677824382</v>
      </c>
      <c r="O17" s="42">
        <f>O16/O13-1</f>
        <v>0.36223209113728516</v>
      </c>
    </row>
    <row r="18" spans="1:15">
      <c r="B18" s="29" t="s">
        <v>33</v>
      </c>
      <c r="C18" s="31">
        <f>C16/N13-1</f>
        <v>-0.53974895397489542</v>
      </c>
      <c r="D18" s="30">
        <f t="shared" ref="D18:K18" si="6">D16/C16-1</f>
        <v>0.27878787878787881</v>
      </c>
      <c r="E18" s="30">
        <f t="shared" si="6"/>
        <v>0.36966824644549745</v>
      </c>
      <c r="F18" s="30">
        <f t="shared" si="6"/>
        <v>-0.143598615916955</v>
      </c>
      <c r="G18" s="30">
        <f t="shared" si="6"/>
        <v>0.11313131313131319</v>
      </c>
      <c r="H18" s="30">
        <f t="shared" si="6"/>
        <v>0.21052631578947367</v>
      </c>
      <c r="I18" s="30">
        <f t="shared" si="6"/>
        <v>-0.1214392803598201</v>
      </c>
      <c r="J18" s="261">
        <f t="shared" si="6"/>
        <v>0.12798634812286669</v>
      </c>
      <c r="K18" s="261">
        <f t="shared" si="6"/>
        <v>-0.13918305597579417</v>
      </c>
      <c r="L18" s="30">
        <v>0.16500000000000001</v>
      </c>
      <c r="M18" s="30">
        <f>(M16-L16)/L16</f>
        <v>-5.8823529411764684E-2</v>
      </c>
      <c r="N18" s="30">
        <f>N16/M16-1</f>
        <v>0.45673076923077072</v>
      </c>
      <c r="O18" s="43"/>
    </row>
    <row r="19" spans="1:15">
      <c r="B19" s="22">
        <v>2024</v>
      </c>
      <c r="C19" s="59">
        <v>51.5</v>
      </c>
      <c r="D19" s="59">
        <v>92.4</v>
      </c>
    </row>
    <row r="20" spans="1:15">
      <c r="B20" s="29" t="s">
        <v>32</v>
      </c>
      <c r="C20" s="31">
        <f>C19/C16-1</f>
        <v>0.56060606060606055</v>
      </c>
      <c r="D20" s="31">
        <v>0.27</v>
      </c>
    </row>
    <row r="21" spans="1:15">
      <c r="B21" s="29" t="s">
        <v>33</v>
      </c>
      <c r="C21" s="31">
        <f>C19/N16-1</f>
        <v>-0.43344334433443399</v>
      </c>
      <c r="D21" s="31">
        <f>D19/C19-1</f>
        <v>0.7941747572815534</v>
      </c>
    </row>
    <row r="25" spans="1:15">
      <c r="A25" t="s">
        <v>34</v>
      </c>
    </row>
    <row r="27" spans="1:15">
      <c r="O27" s="246"/>
    </row>
    <row r="28" spans="1:15">
      <c r="O28" s="246"/>
    </row>
    <row r="29" spans="1:15">
      <c r="O29" s="246"/>
    </row>
    <row r="30" spans="1:15">
      <c r="O30" s="246"/>
    </row>
    <row r="31" spans="1:15">
      <c r="O31" s="246"/>
    </row>
    <row r="32" spans="1:15">
      <c r="O32" s="246"/>
    </row>
    <row r="33" spans="15:15">
      <c r="O33" s="246"/>
    </row>
    <row r="34" spans="15:15">
      <c r="O34" s="246"/>
    </row>
    <row r="35" spans="15:15">
      <c r="O35" s="246"/>
    </row>
  </sheetData>
  <phoneticPr fontId="45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4"/>
  <sheetViews>
    <sheetView zoomScale="115" zoomScaleNormal="115" workbookViewId="0">
      <selection activeCell="B32" sqref="B32"/>
    </sheetView>
  </sheetViews>
  <sheetFormatPr baseColWidth="10" defaultColWidth="9" defaultRowHeight="14"/>
  <cols>
    <col min="2" max="2" width="30.6640625" customWidth="1"/>
  </cols>
  <sheetData>
    <row r="2" spans="2:7">
      <c r="B2" s="56" t="s">
        <v>17</v>
      </c>
      <c r="C2" s="56">
        <v>2019</v>
      </c>
      <c r="D2" s="56">
        <v>2020</v>
      </c>
      <c r="E2" s="56">
        <v>2021</v>
      </c>
      <c r="F2" s="59">
        <v>2022</v>
      </c>
      <c r="G2" s="59">
        <v>2023</v>
      </c>
    </row>
    <row r="3" spans="2:7">
      <c r="B3" s="56" t="s">
        <v>35</v>
      </c>
      <c r="C3" s="257">
        <v>52</v>
      </c>
      <c r="D3" s="257">
        <v>81.2</v>
      </c>
      <c r="E3" s="257">
        <v>147.80000000000001</v>
      </c>
      <c r="F3" s="257">
        <v>219.3</v>
      </c>
      <c r="G3" s="258">
        <f>705.5-387.6</f>
        <v>317.89999999999998</v>
      </c>
    </row>
    <row r="4" spans="2:7">
      <c r="B4" s="56" t="s">
        <v>18</v>
      </c>
      <c r="C4" s="60"/>
      <c r="D4" s="60">
        <v>0.56200000000000006</v>
      </c>
      <c r="E4" s="60">
        <v>0.79</v>
      </c>
      <c r="F4" s="60">
        <v>0.45200000000000001</v>
      </c>
      <c r="G4" s="65">
        <f>G3/F3-1</f>
        <v>0.4496124031007751</v>
      </c>
    </row>
  </sheetData>
  <phoneticPr fontId="4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F159"/>
  <sheetViews>
    <sheetView zoomScale="85" zoomScaleNormal="85" workbookViewId="0">
      <selection activeCell="C39" sqref="C39:E39"/>
    </sheetView>
  </sheetViews>
  <sheetFormatPr baseColWidth="10" defaultColWidth="9" defaultRowHeight="14"/>
  <cols>
    <col min="2" max="2" width="21.6640625" customWidth="1"/>
    <col min="3" max="15" width="10.83203125" customWidth="1"/>
  </cols>
  <sheetData>
    <row r="2" spans="2:15">
      <c r="B2" s="56" t="s">
        <v>17</v>
      </c>
      <c r="C2" s="56">
        <v>2015</v>
      </c>
      <c r="D2" s="56">
        <v>2016</v>
      </c>
      <c r="E2" s="56">
        <v>2017</v>
      </c>
      <c r="F2" s="56">
        <v>2018</v>
      </c>
      <c r="G2" s="56">
        <v>2019</v>
      </c>
      <c r="H2" s="56">
        <v>2020</v>
      </c>
      <c r="I2" s="56">
        <v>2021</v>
      </c>
      <c r="J2" s="59">
        <v>2022</v>
      </c>
      <c r="K2" s="59">
        <v>2023</v>
      </c>
      <c r="L2" s="59"/>
    </row>
    <row r="3" spans="2:15">
      <c r="B3" s="56" t="s">
        <v>36</v>
      </c>
      <c r="C3" s="247">
        <v>16.5</v>
      </c>
      <c r="D3" s="247">
        <v>28.3</v>
      </c>
      <c r="E3" s="248">
        <v>36.299999999999997</v>
      </c>
      <c r="F3" s="249">
        <v>56.9</v>
      </c>
      <c r="G3" s="249">
        <v>62.2</v>
      </c>
      <c r="H3" s="249">
        <v>63.3</v>
      </c>
      <c r="I3" s="249">
        <v>154.5</v>
      </c>
      <c r="J3" s="254">
        <v>294.60000000000002</v>
      </c>
      <c r="K3" s="255">
        <v>387.6</v>
      </c>
      <c r="L3" s="256"/>
    </row>
    <row r="4" spans="2:15">
      <c r="B4" s="56" t="s">
        <v>18</v>
      </c>
      <c r="C4" s="60"/>
      <c r="D4" s="60">
        <f>D3/C3-1</f>
        <v>0.71515151515151509</v>
      </c>
      <c r="E4" s="60">
        <f t="shared" ref="E4:I4" si="0">E3/D3-1</f>
        <v>0.28268551236749095</v>
      </c>
      <c r="F4" s="60">
        <f t="shared" si="0"/>
        <v>0.56749311294765858</v>
      </c>
      <c r="G4" s="60">
        <f t="shared" si="0"/>
        <v>9.3145869947276028E-2</v>
      </c>
      <c r="H4" s="60">
        <f t="shared" si="0"/>
        <v>1.7684887459807008E-2</v>
      </c>
      <c r="I4" s="60">
        <f t="shared" si="0"/>
        <v>1.4407582938388628</v>
      </c>
      <c r="J4" s="65">
        <v>0.90700000000000003</v>
      </c>
      <c r="K4" s="60">
        <f>(K3-J3)/J3</f>
        <v>0.3156822810590631</v>
      </c>
      <c r="L4" s="65"/>
    </row>
    <row r="5" spans="2:15">
      <c r="B5" s="56" t="s">
        <v>37</v>
      </c>
      <c r="F5" s="250">
        <v>33.061224489795897</v>
      </c>
      <c r="G5" s="250">
        <v>40.5</v>
      </c>
      <c r="H5" s="250">
        <v>38.9</v>
      </c>
      <c r="I5" s="250">
        <v>74.3</v>
      </c>
      <c r="J5" s="250">
        <v>110.4</v>
      </c>
      <c r="K5" s="250">
        <v>126.2</v>
      </c>
      <c r="L5" s="250"/>
    </row>
    <row r="6" spans="2:15">
      <c r="B6" s="56" t="s">
        <v>38</v>
      </c>
      <c r="F6" s="250">
        <v>22.197802197802201</v>
      </c>
      <c r="G6" s="250">
        <v>20.2</v>
      </c>
      <c r="H6" s="250">
        <v>24.4</v>
      </c>
      <c r="I6" s="250">
        <v>79.8</v>
      </c>
      <c r="J6" s="250">
        <v>183.8</v>
      </c>
      <c r="K6" s="250">
        <v>261</v>
      </c>
      <c r="L6" s="250"/>
    </row>
    <row r="7" spans="2:15">
      <c r="B7" s="56" t="s">
        <v>39</v>
      </c>
      <c r="F7" s="250">
        <f>F3-F5-F6</f>
        <v>1.6409733124019006</v>
      </c>
      <c r="G7" s="250">
        <f t="shared" ref="G7:J7" si="1">G3-G5-G6</f>
        <v>1.5000000000000036</v>
      </c>
      <c r="H7" s="250">
        <f t="shared" si="1"/>
        <v>0</v>
      </c>
      <c r="I7" s="250">
        <f t="shared" si="1"/>
        <v>0.40000000000000568</v>
      </c>
      <c r="J7" s="250">
        <f t="shared" si="1"/>
        <v>0.40000000000000568</v>
      </c>
      <c r="K7" s="250">
        <v>0.4</v>
      </c>
      <c r="L7" s="250"/>
    </row>
    <row r="11" spans="2:15">
      <c r="B11" s="34" t="s">
        <v>40</v>
      </c>
      <c r="C11" s="34" t="s">
        <v>19</v>
      </c>
      <c r="D11" s="34" t="s">
        <v>20</v>
      </c>
      <c r="E11" s="34" t="s">
        <v>21</v>
      </c>
      <c r="F11" s="34" t="s">
        <v>22</v>
      </c>
      <c r="G11" s="34" t="s">
        <v>23</v>
      </c>
      <c r="H11" s="34" t="s">
        <v>24</v>
      </c>
      <c r="I11" s="34" t="s">
        <v>25</v>
      </c>
      <c r="J11" s="34" t="s">
        <v>26</v>
      </c>
      <c r="K11" s="34" t="s">
        <v>27</v>
      </c>
      <c r="L11" s="34" t="s">
        <v>28</v>
      </c>
      <c r="M11" s="34" t="s">
        <v>29</v>
      </c>
      <c r="N11" s="34" t="s">
        <v>30</v>
      </c>
      <c r="O11" s="34" t="s">
        <v>31</v>
      </c>
    </row>
    <row r="12" spans="2:15">
      <c r="B12" s="22">
        <v>2019</v>
      </c>
      <c r="C12" s="251">
        <v>4970</v>
      </c>
      <c r="D12" s="251">
        <v>2240</v>
      </c>
      <c r="E12" s="251">
        <v>5090</v>
      </c>
      <c r="F12" s="251">
        <v>5410</v>
      </c>
      <c r="G12" s="251">
        <v>5680</v>
      </c>
      <c r="H12" s="251">
        <v>6620</v>
      </c>
      <c r="I12" s="251">
        <v>4700</v>
      </c>
      <c r="J12" s="251">
        <v>3460</v>
      </c>
      <c r="K12" s="251">
        <v>3953.7</v>
      </c>
      <c r="L12" s="251">
        <v>4074.6</v>
      </c>
      <c r="M12" s="251">
        <v>6289.1</v>
      </c>
      <c r="N12" s="251">
        <v>9709.2999999999993</v>
      </c>
      <c r="O12" s="66">
        <f>SUM(C12:N12)</f>
        <v>62196.7</v>
      </c>
    </row>
    <row r="13" spans="2:15">
      <c r="B13" s="22">
        <v>2020</v>
      </c>
      <c r="C13" s="251">
        <v>2316.6999999999998</v>
      </c>
      <c r="D13" s="251">
        <v>598.1</v>
      </c>
      <c r="E13" s="251">
        <v>2770.1</v>
      </c>
      <c r="F13" s="251">
        <v>3587.3</v>
      </c>
      <c r="G13" s="251">
        <v>3506.2</v>
      </c>
      <c r="H13" s="251">
        <v>4699.3</v>
      </c>
      <c r="I13" s="251">
        <v>5019.1000000000004</v>
      </c>
      <c r="J13" s="251">
        <v>5128.6000000000004</v>
      </c>
      <c r="K13" s="251">
        <v>6578.8</v>
      </c>
      <c r="L13" s="251">
        <v>5867.4</v>
      </c>
      <c r="M13" s="251">
        <v>10614.1</v>
      </c>
      <c r="N13" s="251">
        <v>12952.4</v>
      </c>
      <c r="O13" s="66">
        <f t="shared" ref="O13:O14" si="2">SUM(C13:N13)</f>
        <v>63638.100000000006</v>
      </c>
    </row>
    <row r="14" spans="2:15">
      <c r="B14" s="22">
        <v>2021</v>
      </c>
      <c r="C14" s="251">
        <v>8661.2000000000007</v>
      </c>
      <c r="D14" s="251">
        <v>5579</v>
      </c>
      <c r="E14" s="251">
        <v>8996.5</v>
      </c>
      <c r="F14" s="251">
        <v>8394.7000000000007</v>
      </c>
      <c r="G14" s="251">
        <v>9755</v>
      </c>
      <c r="H14" s="251">
        <v>11099.9</v>
      </c>
      <c r="I14" s="251">
        <v>11292.3</v>
      </c>
      <c r="J14" s="251">
        <v>12560</v>
      </c>
      <c r="K14" s="251">
        <v>15694.7</v>
      </c>
      <c r="L14" s="251">
        <v>15418.9</v>
      </c>
      <c r="M14" s="251">
        <v>20825</v>
      </c>
      <c r="N14" s="251">
        <v>26218.5</v>
      </c>
      <c r="O14" s="66">
        <f t="shared" si="2"/>
        <v>154495.70000000001</v>
      </c>
    </row>
    <row r="15" spans="2:15">
      <c r="B15" s="29" t="s">
        <v>32</v>
      </c>
      <c r="C15" s="30">
        <f>C14/C13-1</f>
        <v>2.7385936892994351</v>
      </c>
      <c r="D15" s="30">
        <f t="shared" ref="D15:O15" si="3">D14/D13-1</f>
        <v>8.327871593379033</v>
      </c>
      <c r="E15" s="30">
        <f t="shared" si="3"/>
        <v>2.2477166889281976</v>
      </c>
      <c r="F15" s="30">
        <f t="shared" si="3"/>
        <v>1.3401165221754523</v>
      </c>
      <c r="G15" s="30">
        <f t="shared" si="3"/>
        <v>1.7822143631281731</v>
      </c>
      <c r="H15" s="30">
        <f t="shared" si="3"/>
        <v>1.3620326431596195</v>
      </c>
      <c r="I15" s="30">
        <f t="shared" si="3"/>
        <v>1.2498655137375225</v>
      </c>
      <c r="J15" s="30">
        <f t="shared" si="3"/>
        <v>1.4490114261201885</v>
      </c>
      <c r="K15" s="30">
        <f t="shared" si="3"/>
        <v>1.3856478385115829</v>
      </c>
      <c r="L15" s="30">
        <f t="shared" si="3"/>
        <v>1.6278931042710569</v>
      </c>
      <c r="M15" s="30">
        <f t="shared" si="3"/>
        <v>0.96201279430191899</v>
      </c>
      <c r="N15" s="30">
        <f t="shared" si="3"/>
        <v>1.0242194496772798</v>
      </c>
      <c r="O15" s="42">
        <f t="shared" si="3"/>
        <v>1.4277233292634444</v>
      </c>
    </row>
    <row r="16" spans="2:15">
      <c r="B16" s="29" t="s">
        <v>33</v>
      </c>
      <c r="C16" s="31">
        <f>C14/N13-1</f>
        <v>-0.33130539513912471</v>
      </c>
      <c r="D16" s="30">
        <f>D14/C14-1</f>
        <v>-0.35586292892439852</v>
      </c>
      <c r="E16" s="30">
        <f t="shared" ref="E16:N16" si="4">E14/D14-1</f>
        <v>0.612564975802115</v>
      </c>
      <c r="F16" s="30">
        <f t="shared" si="4"/>
        <v>-6.6892680486855927E-2</v>
      </c>
      <c r="G16" s="30">
        <f t="shared" si="4"/>
        <v>0.1620427174288539</v>
      </c>
      <c r="H16" s="30">
        <f t="shared" si="4"/>
        <v>0.13786776012301383</v>
      </c>
      <c r="I16" s="30">
        <f t="shared" si="4"/>
        <v>1.7333489490896303E-2</v>
      </c>
      <c r="J16" s="30">
        <f t="shared" si="4"/>
        <v>0.11226233805336383</v>
      </c>
      <c r="K16" s="30">
        <f t="shared" si="4"/>
        <v>0.24957802547770713</v>
      </c>
      <c r="L16" s="30">
        <f t="shared" si="4"/>
        <v>-1.757281120378229E-2</v>
      </c>
      <c r="M16" s="30">
        <f t="shared" si="4"/>
        <v>0.35061515412902344</v>
      </c>
      <c r="N16" s="30">
        <f t="shared" si="4"/>
        <v>0.25899159663865556</v>
      </c>
      <c r="O16" s="44"/>
    </row>
    <row r="17" spans="2:15">
      <c r="B17" s="22">
        <v>2022</v>
      </c>
      <c r="C17" s="252">
        <v>16184</v>
      </c>
      <c r="D17" s="252">
        <v>13676</v>
      </c>
      <c r="E17" s="252">
        <v>21415.3</v>
      </c>
      <c r="F17" s="252">
        <v>13269.1</v>
      </c>
      <c r="G17" s="252">
        <v>18564.099999999999</v>
      </c>
      <c r="H17" s="252">
        <v>27011.200000000001</v>
      </c>
      <c r="I17" s="252">
        <v>24187.200000000001</v>
      </c>
      <c r="J17" s="252">
        <v>27752.2</v>
      </c>
      <c r="K17" s="252">
        <v>31634.2</v>
      </c>
      <c r="L17" s="252">
        <v>30542.5</v>
      </c>
      <c r="M17" s="252">
        <v>34262.300000000003</v>
      </c>
      <c r="N17" s="252">
        <v>36149.4</v>
      </c>
      <c r="O17" s="45">
        <f>SUM(C17:N17)</f>
        <v>294647.50000000006</v>
      </c>
    </row>
    <row r="18" spans="2:15">
      <c r="B18" s="29" t="s">
        <v>32</v>
      </c>
      <c r="C18" s="30">
        <f>C17/C14-1</f>
        <v>0.86856324758693937</v>
      </c>
      <c r="D18" s="30">
        <f>D17/D14-1</f>
        <v>1.4513353647607099</v>
      </c>
      <c r="E18" s="30">
        <f t="shared" ref="E18:O18" si="5">E17/E14-1</f>
        <v>1.3804034902462066</v>
      </c>
      <c r="F18" s="30">
        <f t="shared" si="5"/>
        <v>0.58065207809689445</v>
      </c>
      <c r="G18" s="30">
        <f t="shared" si="5"/>
        <v>0.90303434136340321</v>
      </c>
      <c r="H18" s="30">
        <f t="shared" si="5"/>
        <v>1.4334633645348158</v>
      </c>
      <c r="I18" s="30">
        <f t="shared" si="5"/>
        <v>1.1419197152041658</v>
      </c>
      <c r="J18" s="30">
        <f t="shared" si="5"/>
        <v>1.2095700636942674</v>
      </c>
      <c r="K18" s="30">
        <f t="shared" si="5"/>
        <v>1.0155976221272147</v>
      </c>
      <c r="L18" s="30">
        <f t="shared" si="5"/>
        <v>0.98084817983124606</v>
      </c>
      <c r="M18" s="30">
        <f t="shared" si="5"/>
        <v>0.64524849939976003</v>
      </c>
      <c r="N18" s="30">
        <f t="shared" si="5"/>
        <v>0.37877452943532242</v>
      </c>
      <c r="O18" s="42">
        <f t="shared" si="5"/>
        <v>0.90715663931099733</v>
      </c>
    </row>
    <row r="19" spans="2:15">
      <c r="B19" s="29" t="s">
        <v>33</v>
      </c>
      <c r="C19" s="31">
        <f>C17/N14-1</f>
        <v>-0.38272593779201713</v>
      </c>
      <c r="D19" s="31">
        <f>D17/C17-1</f>
        <v>-0.15496786950074148</v>
      </c>
      <c r="E19" s="31">
        <f t="shared" ref="E19:N19" si="6">E17/D17-1</f>
        <v>0.56590377303305051</v>
      </c>
      <c r="F19" s="31">
        <f t="shared" si="6"/>
        <v>-0.38039158919090554</v>
      </c>
      <c r="G19" s="31">
        <f t="shared" si="6"/>
        <v>0.39904741090202034</v>
      </c>
      <c r="H19" s="31">
        <f t="shared" si="6"/>
        <v>0.45502340538997332</v>
      </c>
      <c r="I19" s="31">
        <f t="shared" si="6"/>
        <v>-0.10454922402558942</v>
      </c>
      <c r="J19" s="31">
        <f t="shared" si="6"/>
        <v>0.14739200899649396</v>
      </c>
      <c r="K19" s="31">
        <f t="shared" si="6"/>
        <v>0.13988080224270516</v>
      </c>
      <c r="L19" s="31">
        <f t="shared" si="6"/>
        <v>-3.4510118795480826E-2</v>
      </c>
      <c r="M19" s="31">
        <f t="shared" si="6"/>
        <v>0.12179094704100857</v>
      </c>
      <c r="N19" s="31">
        <f t="shared" si="6"/>
        <v>5.5078030371574549E-2</v>
      </c>
      <c r="O19" s="43"/>
    </row>
    <row r="20" spans="2:15">
      <c r="B20" s="22">
        <v>2023</v>
      </c>
      <c r="C20" s="252">
        <v>16133.3</v>
      </c>
      <c r="D20" s="252">
        <v>21935.200000000001</v>
      </c>
      <c r="E20" s="253">
        <v>27782.7</v>
      </c>
      <c r="F20" s="252">
        <v>25138.2</v>
      </c>
      <c r="G20" s="252">
        <v>28242.3</v>
      </c>
      <c r="H20" s="252">
        <v>32896.6</v>
      </c>
      <c r="I20" s="252">
        <v>32238</v>
      </c>
      <c r="J20" s="252">
        <v>34880.400000000001</v>
      </c>
      <c r="K20" s="252">
        <v>36400</v>
      </c>
      <c r="L20" s="252">
        <v>39200</v>
      </c>
      <c r="M20" s="252">
        <v>44900</v>
      </c>
      <c r="N20" s="252">
        <v>47900</v>
      </c>
      <c r="O20" s="45">
        <f>SUM(C20:N20)</f>
        <v>387646.69999999995</v>
      </c>
    </row>
    <row r="21" spans="2:15">
      <c r="B21" s="29" t="s">
        <v>32</v>
      </c>
      <c r="C21" s="30">
        <f>C20/C17-1</f>
        <v>-3.1327236777064504E-3</v>
      </c>
      <c r="D21" s="30">
        <f>D20/D17-1</f>
        <v>0.60391927464170814</v>
      </c>
      <c r="E21" s="30">
        <v>0.29699999999999999</v>
      </c>
      <c r="F21" s="30">
        <v>0.89400000000000002</v>
      </c>
      <c r="G21" s="30">
        <v>0.52100000000000002</v>
      </c>
      <c r="H21" s="30">
        <v>0.218</v>
      </c>
      <c r="I21" s="30">
        <v>0.33300000000000002</v>
      </c>
      <c r="J21" s="30">
        <v>0.25700000000000001</v>
      </c>
      <c r="K21" s="30">
        <v>0.151</v>
      </c>
      <c r="L21" s="30">
        <v>0.28299999999999997</v>
      </c>
      <c r="M21" s="30">
        <v>0.31</v>
      </c>
      <c r="N21" s="30">
        <f>(N20-N17)/N17</f>
        <v>0.32505657078679034</v>
      </c>
      <c r="O21" s="42">
        <f>O20/O17-1</f>
        <v>0.31562867494209135</v>
      </c>
    </row>
    <row r="22" spans="2:15">
      <c r="B22" s="29" t="s">
        <v>33</v>
      </c>
      <c r="C22" s="31">
        <f>C20/N17-1</f>
        <v>-0.55370490243268211</v>
      </c>
      <c r="D22" s="31">
        <f>D20/C20-1</f>
        <v>0.35962264384843778</v>
      </c>
      <c r="E22" s="31">
        <v>0.26700000000000002</v>
      </c>
      <c r="F22" s="31">
        <v>-9.5000000000000001E-2</v>
      </c>
      <c r="G22" s="31">
        <v>0.123</v>
      </c>
      <c r="H22" s="31">
        <v>0.16500000000000001</v>
      </c>
      <c r="I22" s="31">
        <v>-0.02</v>
      </c>
      <c r="J22" s="31">
        <v>8.2000000000000003E-2</v>
      </c>
      <c r="K22" s="31">
        <v>4.3999999999999997E-2</v>
      </c>
      <c r="L22" s="31">
        <v>7.5999999999999998E-2</v>
      </c>
      <c r="M22" s="31">
        <v>0.14499999999999999</v>
      </c>
      <c r="N22" s="30">
        <f>(N20-M20)/M20</f>
        <v>6.6815144766147E-2</v>
      </c>
      <c r="O22" s="43"/>
    </row>
    <row r="23" spans="2:15">
      <c r="B23" s="22">
        <v>2024</v>
      </c>
      <c r="C23" s="252">
        <v>32300</v>
      </c>
      <c r="D23" s="252">
        <v>18000</v>
      </c>
      <c r="E23" s="253">
        <v>35000</v>
      </c>
      <c r="F23" s="252"/>
      <c r="G23" s="252"/>
      <c r="H23" s="252"/>
      <c r="I23" s="252"/>
      <c r="J23" s="252"/>
      <c r="K23" s="252"/>
      <c r="L23" s="252"/>
      <c r="M23" s="252"/>
      <c r="N23" s="252"/>
      <c r="O23" s="45">
        <f>SUM(C23:N23)</f>
        <v>85300</v>
      </c>
    </row>
    <row r="24" spans="2:15">
      <c r="B24" s="29" t="s">
        <v>32</v>
      </c>
      <c r="C24" s="30">
        <f>C23/C20-1</f>
        <v>1.002070252211265</v>
      </c>
      <c r="D24" s="30">
        <f>D23/D20-1</f>
        <v>-0.17940114519129069</v>
      </c>
      <c r="E24" s="30">
        <f>E23/E20-1</f>
        <v>0.2597767675567888</v>
      </c>
      <c r="F24" s="30"/>
      <c r="G24" s="30"/>
      <c r="H24" s="30"/>
      <c r="I24" s="30"/>
      <c r="J24" s="30"/>
      <c r="K24" s="30"/>
      <c r="L24" s="30"/>
      <c r="M24" s="30"/>
      <c r="N24" s="30"/>
      <c r="O24" s="42">
        <f>O23/O20-1</f>
        <v>-0.7799542727953056</v>
      </c>
    </row>
    <row r="25" spans="2:15">
      <c r="B25" s="29" t="s">
        <v>33</v>
      </c>
      <c r="C25" s="31">
        <f>C23/N20-1</f>
        <v>-0.32567849686847594</v>
      </c>
      <c r="D25" s="31">
        <f>D23/C23-1</f>
        <v>-0.44272445820433437</v>
      </c>
      <c r="E25" s="31">
        <f>E23/D23-1</f>
        <v>0.94444444444444442</v>
      </c>
      <c r="F25" s="31"/>
      <c r="G25" s="31"/>
      <c r="H25" s="31"/>
      <c r="I25" s="31"/>
      <c r="J25" s="31"/>
      <c r="K25" s="31"/>
      <c r="L25" s="31"/>
      <c r="M25" s="31"/>
      <c r="N25" s="30"/>
      <c r="O25" s="43"/>
    </row>
    <row r="27" spans="2:15">
      <c r="B27" s="34" t="s">
        <v>41</v>
      </c>
      <c r="C27" s="34" t="s">
        <v>19</v>
      </c>
      <c r="D27" s="34" t="s">
        <v>20</v>
      </c>
      <c r="E27" s="34" t="s">
        <v>21</v>
      </c>
      <c r="F27" s="34" t="s">
        <v>22</v>
      </c>
      <c r="G27" s="34" t="s">
        <v>23</v>
      </c>
      <c r="H27" s="34" t="s">
        <v>24</v>
      </c>
      <c r="I27" s="34" t="s">
        <v>25</v>
      </c>
      <c r="J27" s="34" t="s">
        <v>26</v>
      </c>
      <c r="K27" s="34" t="s">
        <v>27</v>
      </c>
      <c r="L27" s="34" t="s">
        <v>28</v>
      </c>
      <c r="M27" s="34" t="s">
        <v>29</v>
      </c>
      <c r="N27" s="34" t="s">
        <v>30</v>
      </c>
      <c r="O27" s="34" t="s">
        <v>31</v>
      </c>
    </row>
    <row r="28" spans="2:15">
      <c r="B28" s="22">
        <v>2019</v>
      </c>
      <c r="C28" s="251">
        <v>3450</v>
      </c>
      <c r="D28" s="251">
        <v>1850</v>
      </c>
      <c r="E28" s="251">
        <v>3890</v>
      </c>
      <c r="F28" s="251">
        <v>3800</v>
      </c>
      <c r="G28" s="251">
        <v>3610</v>
      </c>
      <c r="H28" s="251">
        <v>4700</v>
      </c>
      <c r="I28" s="251">
        <v>2100</v>
      </c>
      <c r="J28" s="251">
        <v>2700</v>
      </c>
      <c r="K28" s="251">
        <v>2906.5</v>
      </c>
      <c r="L28" s="251">
        <v>2949.8</v>
      </c>
      <c r="M28" s="251">
        <v>3750.3</v>
      </c>
      <c r="N28" s="251">
        <v>4791.5</v>
      </c>
      <c r="O28" s="66">
        <f>SUM(C28:N28)</f>
        <v>40498.1</v>
      </c>
    </row>
    <row r="29" spans="2:15">
      <c r="B29" s="22">
        <v>2020</v>
      </c>
      <c r="C29" s="251">
        <v>1579.2</v>
      </c>
      <c r="D29" s="251">
        <v>521.20000000000005</v>
      </c>
      <c r="E29" s="251">
        <v>2224.5</v>
      </c>
      <c r="F29" s="251">
        <v>2620.3000000000002</v>
      </c>
      <c r="G29" s="251">
        <v>2673.4</v>
      </c>
      <c r="H29" s="251">
        <v>2996.6</v>
      </c>
      <c r="I29" s="251">
        <v>3257</v>
      </c>
      <c r="J29" s="251">
        <v>3515.2</v>
      </c>
      <c r="K29" s="251">
        <v>4217</v>
      </c>
      <c r="L29" s="251">
        <v>3411.6</v>
      </c>
      <c r="M29" s="251">
        <v>5855.6</v>
      </c>
      <c r="N29" s="251">
        <v>5986.7</v>
      </c>
      <c r="O29" s="66">
        <f t="shared" ref="O29:O30" si="7">SUM(C29:N29)</f>
        <v>38858.299999999996</v>
      </c>
    </row>
    <row r="30" spans="2:15">
      <c r="B30" s="22">
        <v>2021</v>
      </c>
      <c r="C30" s="251">
        <v>5398.6</v>
      </c>
      <c r="D30" s="251">
        <v>3328.1</v>
      </c>
      <c r="E30" s="251">
        <v>5094.3999999999996</v>
      </c>
      <c r="F30" s="251">
        <v>5168.8</v>
      </c>
      <c r="G30" s="251">
        <v>5221.3999999999996</v>
      </c>
      <c r="H30" s="251">
        <v>5942.3</v>
      </c>
      <c r="I30" s="251">
        <v>5454.7</v>
      </c>
      <c r="J30" s="251">
        <v>5338.1</v>
      </c>
      <c r="K30" s="251">
        <v>6138.6</v>
      </c>
      <c r="L30" s="251">
        <v>6969.2</v>
      </c>
      <c r="M30" s="251">
        <v>9235.2999999999993</v>
      </c>
      <c r="N30" s="251">
        <v>11057.9</v>
      </c>
      <c r="O30" s="66">
        <f t="shared" si="7"/>
        <v>74347.399999999994</v>
      </c>
    </row>
    <row r="31" spans="2:15">
      <c r="B31" s="29" t="s">
        <v>32</v>
      </c>
      <c r="C31" s="30">
        <f>C30/C29-1</f>
        <v>2.4185663627152989</v>
      </c>
      <c r="D31" s="30">
        <f t="shared" ref="D31" si="8">D30/D29-1</f>
        <v>5.3854566385264766</v>
      </c>
      <c r="E31" s="30">
        <f t="shared" ref="E31" si="9">E30/E29-1</f>
        <v>1.2901326140705773</v>
      </c>
      <c r="F31" s="30">
        <f t="shared" ref="F31" si="10">F30/F29-1</f>
        <v>0.97259855741708967</v>
      </c>
      <c r="G31" s="30">
        <f t="shared" ref="G31" si="11">G30/G29-1</f>
        <v>0.95309343906635724</v>
      </c>
      <c r="H31" s="30">
        <f t="shared" ref="H31" si="12">H30/H29-1</f>
        <v>0.98301408262697731</v>
      </c>
      <c r="I31" s="30">
        <f t="shared" ref="I31" si="13">I30/I29-1</f>
        <v>0.6747620509671477</v>
      </c>
      <c r="J31" s="30">
        <f t="shared" ref="J31" si="14">J30/J29-1</f>
        <v>0.5185764679107876</v>
      </c>
      <c r="K31" s="30">
        <f t="shared" ref="K31" si="15">K30/K29-1</f>
        <v>0.45567939293336512</v>
      </c>
      <c r="L31" s="30">
        <f t="shared" ref="L31" si="16">L30/L29-1</f>
        <v>1.0427951694219719</v>
      </c>
      <c r="M31" s="30">
        <f t="shared" ref="M31" si="17">M30/M29-1</f>
        <v>0.57717398729421387</v>
      </c>
      <c r="N31" s="30">
        <f t="shared" ref="N31:O31" si="18">N30/N29-1</f>
        <v>0.84707768887701063</v>
      </c>
      <c r="O31" s="42">
        <f t="shared" si="18"/>
        <v>0.91329522907589888</v>
      </c>
    </row>
    <row r="32" spans="2:15">
      <c r="B32" s="29" t="s">
        <v>33</v>
      </c>
      <c r="C32" s="31">
        <f>C30/N29-1</f>
        <v>-9.8234419630180092E-2</v>
      </c>
      <c r="D32" s="30">
        <f>D30/C30-1</f>
        <v>-0.38352535842625868</v>
      </c>
      <c r="E32" s="30">
        <f t="shared" ref="E32:N32" si="19">E30/D30-1</f>
        <v>0.53072323547970313</v>
      </c>
      <c r="F32" s="30">
        <f t="shared" si="19"/>
        <v>1.4604271356783993E-2</v>
      </c>
      <c r="G32" s="30">
        <f t="shared" si="19"/>
        <v>1.0176443275034641E-2</v>
      </c>
      <c r="H32" s="30">
        <f t="shared" si="19"/>
        <v>0.13806641896809291</v>
      </c>
      <c r="I32" s="30">
        <f t="shared" si="19"/>
        <v>-8.2055769651481758E-2</v>
      </c>
      <c r="J32" s="30">
        <f t="shared" si="19"/>
        <v>-2.1376061011604608E-2</v>
      </c>
      <c r="K32" s="30">
        <f t="shared" si="19"/>
        <v>0.14995972349712439</v>
      </c>
      <c r="L32" s="30">
        <f t="shared" si="19"/>
        <v>0.13530772488841092</v>
      </c>
      <c r="M32" s="30">
        <f t="shared" si="19"/>
        <v>0.32515927222636742</v>
      </c>
      <c r="N32" s="30">
        <f t="shared" si="19"/>
        <v>0.19735146665511683</v>
      </c>
      <c r="O32" s="44"/>
    </row>
    <row r="33" spans="2:15">
      <c r="B33" s="22">
        <v>2022</v>
      </c>
      <c r="C33" s="252">
        <v>7299.9</v>
      </c>
      <c r="D33" s="252">
        <v>5845.3</v>
      </c>
      <c r="E33" s="252">
        <v>8210</v>
      </c>
      <c r="F33" s="252">
        <v>4362.8</v>
      </c>
      <c r="G33" s="252">
        <v>8303.4</v>
      </c>
      <c r="H33" s="252">
        <v>11579</v>
      </c>
      <c r="I33" s="252">
        <v>9838.5</v>
      </c>
      <c r="J33" s="252">
        <v>10522.5</v>
      </c>
      <c r="K33" s="252">
        <v>11209.4</v>
      </c>
      <c r="L33" s="252">
        <v>10816.6</v>
      </c>
      <c r="M33" s="252">
        <v>11035</v>
      </c>
      <c r="N33" s="252">
        <v>11422.1</v>
      </c>
      <c r="O33" s="45">
        <f>SUM(C33:N33)</f>
        <v>110444.5</v>
      </c>
    </row>
    <row r="34" spans="2:15">
      <c r="B34" s="29" t="s">
        <v>32</v>
      </c>
      <c r="C34" s="30">
        <f>C33/C30-1</f>
        <v>0.35218389952950746</v>
      </c>
      <c r="D34" s="30">
        <f>D33/D30-1</f>
        <v>0.75634746552086796</v>
      </c>
      <c r="E34" s="30">
        <f t="shared" ref="E34" si="20">E33/E30-1</f>
        <v>0.61157349246231174</v>
      </c>
      <c r="F34" s="30">
        <f t="shared" ref="F34" si="21">F33/F30-1</f>
        <v>-0.15593561368209252</v>
      </c>
      <c r="G34" s="30">
        <f t="shared" ref="G34" si="22">G33/G30-1</f>
        <v>0.59026314781476241</v>
      </c>
      <c r="H34" s="30">
        <f t="shared" ref="H34" si="23">H33/H30-1</f>
        <v>0.94857210171145856</v>
      </c>
      <c r="I34" s="30">
        <f t="shared" ref="I34" si="24">I33/I30-1</f>
        <v>0.8036738959062828</v>
      </c>
      <c r="J34" s="30">
        <f t="shared" ref="J34" si="25">J33/J30-1</f>
        <v>0.97120698375826597</v>
      </c>
      <c r="K34" s="30">
        <f t="shared" ref="K34" si="26">K33/K30-1</f>
        <v>0.82605154269703163</v>
      </c>
      <c r="L34" s="30">
        <f t="shared" ref="L34" si="27">L33/L30-1</f>
        <v>0.55205762497847677</v>
      </c>
      <c r="M34" s="30">
        <f t="shared" ref="M34:O34" si="28">M33/M30-1</f>
        <v>0.19487185040009547</v>
      </c>
      <c r="N34" s="30">
        <f t="shared" si="28"/>
        <v>3.2935729207173248E-2</v>
      </c>
      <c r="O34" s="42">
        <f t="shared" si="28"/>
        <v>0.48551933221605603</v>
      </c>
    </row>
    <row r="35" spans="2:15">
      <c r="B35" s="29" t="s">
        <v>33</v>
      </c>
      <c r="C35" s="31">
        <f>C33/N30-1</f>
        <v>-0.33984752982030952</v>
      </c>
      <c r="D35" s="31">
        <f>D33/C33-1</f>
        <v>-0.19926300360278904</v>
      </c>
      <c r="E35" s="31">
        <f t="shared" ref="E35:N35" si="29">E33/D33-1</f>
        <v>0.40454724308418721</v>
      </c>
      <c r="F35" s="31">
        <f t="shared" si="29"/>
        <v>-0.46859926918392203</v>
      </c>
      <c r="G35" s="31">
        <f t="shared" si="29"/>
        <v>0.90322728522966877</v>
      </c>
      <c r="H35" s="31">
        <f t="shared" si="29"/>
        <v>0.39448900450417912</v>
      </c>
      <c r="I35" s="31">
        <f t="shared" si="29"/>
        <v>-0.15031522583988255</v>
      </c>
      <c r="J35" s="31">
        <f t="shared" si="29"/>
        <v>6.9522793108705683E-2</v>
      </c>
      <c r="K35" s="31">
        <f t="shared" si="29"/>
        <v>6.527916369684017E-2</v>
      </c>
      <c r="L35" s="31">
        <f t="shared" si="29"/>
        <v>-3.504201830606446E-2</v>
      </c>
      <c r="M35" s="31">
        <f t="shared" si="29"/>
        <v>2.0191187619029938E-2</v>
      </c>
      <c r="N35" s="31">
        <f t="shared" si="29"/>
        <v>3.5079293158133185E-2</v>
      </c>
      <c r="O35" s="43"/>
    </row>
    <row r="36" spans="2:15">
      <c r="B36" s="22">
        <v>2023</v>
      </c>
      <c r="C36" s="252">
        <v>5433</v>
      </c>
      <c r="D36" s="252">
        <v>6720.6</v>
      </c>
      <c r="E36" s="253">
        <v>8725.4</v>
      </c>
      <c r="F36" s="252">
        <v>8004.1</v>
      </c>
      <c r="G36" s="252">
        <v>9028.1</v>
      </c>
      <c r="H36" s="252">
        <v>10078.299999999999</v>
      </c>
      <c r="I36" s="252">
        <v>10562.2</v>
      </c>
      <c r="J36" s="252">
        <v>10807</v>
      </c>
      <c r="K36" s="252">
        <v>12200</v>
      </c>
      <c r="L36" s="252">
        <v>12300</v>
      </c>
      <c r="M36" s="252">
        <v>15700</v>
      </c>
      <c r="N36" s="252">
        <v>16600</v>
      </c>
      <c r="O36" s="45">
        <f>SUM(C36:N36)</f>
        <v>126158.7</v>
      </c>
    </row>
    <row r="37" spans="2:15">
      <c r="B37" s="29" t="s">
        <v>32</v>
      </c>
      <c r="C37" s="30">
        <f>C36/C33-1</f>
        <v>-0.25574322935930627</v>
      </c>
      <c r="D37" s="30">
        <f>D36/D33-1</f>
        <v>0.14974423896121669</v>
      </c>
      <c r="E37" s="30">
        <v>6.3E-2</v>
      </c>
      <c r="F37" s="30">
        <v>0.83499999999999996</v>
      </c>
      <c r="G37" s="30">
        <v>8.6999999999999994E-2</v>
      </c>
      <c r="H37" s="30">
        <v>-0.13</v>
      </c>
      <c r="I37" s="30">
        <v>7.3999999999999996E-2</v>
      </c>
      <c r="J37" s="30">
        <v>2.7E-2</v>
      </c>
      <c r="K37" s="30">
        <v>9.0999999999999998E-2</v>
      </c>
      <c r="L37" s="30">
        <v>0.14000000000000001</v>
      </c>
      <c r="M37" s="30">
        <v>0.42399999999999999</v>
      </c>
      <c r="N37" s="30">
        <v>0.44900000000000001</v>
      </c>
      <c r="O37" s="42">
        <f>O36/O33-1</f>
        <v>0.14228141736347211</v>
      </c>
    </row>
    <row r="38" spans="2:15">
      <c r="B38" s="29" t="s">
        <v>33</v>
      </c>
      <c r="C38" s="31">
        <f>C36/N33-1</f>
        <v>-0.52434315931396158</v>
      </c>
      <c r="D38" s="31">
        <f>D36/C36-1</f>
        <v>0.23699613473219228</v>
      </c>
      <c r="E38" s="31">
        <v>0.29799999999999999</v>
      </c>
      <c r="F38" s="31">
        <v>-8.3000000000000004E-2</v>
      </c>
      <c r="G38" s="31">
        <v>0.128</v>
      </c>
      <c r="H38" s="31">
        <v>0.11600000000000001</v>
      </c>
      <c r="I38" s="31">
        <v>4.8000000000000001E-2</v>
      </c>
      <c r="J38" s="31">
        <v>2.3E-2</v>
      </c>
      <c r="K38" s="31">
        <v>0.13200000000000001</v>
      </c>
      <c r="L38" s="31">
        <v>8.0000000000000002E-3</v>
      </c>
      <c r="M38" s="31">
        <v>0.27500000000000002</v>
      </c>
      <c r="N38" s="31">
        <v>5.2999999999999999E-2</v>
      </c>
      <c r="O38" s="43"/>
    </row>
    <row r="39" spans="2:15">
      <c r="B39" s="22">
        <v>2024</v>
      </c>
      <c r="C39" s="252">
        <v>12600</v>
      </c>
      <c r="D39" s="252">
        <v>6900</v>
      </c>
      <c r="E39" s="253">
        <v>11300</v>
      </c>
      <c r="F39" s="252"/>
      <c r="G39" s="252"/>
      <c r="H39" s="252"/>
      <c r="I39" s="252"/>
      <c r="J39" s="252"/>
      <c r="K39" s="252"/>
      <c r="L39" s="252"/>
      <c r="M39" s="252"/>
      <c r="N39" s="252"/>
      <c r="O39" s="45">
        <f>SUM(C39:N39)</f>
        <v>30800</v>
      </c>
    </row>
    <row r="40" spans="2:15">
      <c r="B40" s="29" t="s">
        <v>32</v>
      </c>
      <c r="C40" s="30">
        <f>C39/C36-1</f>
        <v>1.3191606847045829</v>
      </c>
      <c r="D40" s="30">
        <f>D39/D36-1</f>
        <v>2.6694045174537884E-2</v>
      </c>
      <c r="E40" s="30">
        <f>E39/E36-1</f>
        <v>0.29506956701125464</v>
      </c>
      <c r="F40" s="30"/>
      <c r="G40" s="30"/>
      <c r="H40" s="30"/>
      <c r="I40" s="30"/>
      <c r="J40" s="30"/>
      <c r="K40" s="30"/>
      <c r="L40" s="30"/>
      <c r="M40" s="30"/>
      <c r="N40" s="30"/>
      <c r="O40" s="42">
        <f>O39/O36-1</f>
        <v>-0.75586305185452929</v>
      </c>
    </row>
    <row r="41" spans="2:15">
      <c r="B41" s="29" t="s">
        <v>33</v>
      </c>
      <c r="C41" s="31">
        <f>C39/N36-1</f>
        <v>-0.24096385542168675</v>
      </c>
      <c r="D41" s="31">
        <f>D39/C39-1</f>
        <v>-0.45238095238095233</v>
      </c>
      <c r="E41" s="31">
        <f>E39/D39-1</f>
        <v>0.6376811594202898</v>
      </c>
      <c r="F41" s="31"/>
      <c r="G41" s="31"/>
      <c r="H41" s="31"/>
      <c r="I41" s="31"/>
      <c r="J41" s="31"/>
      <c r="K41" s="31"/>
      <c r="L41" s="31"/>
      <c r="M41" s="31"/>
      <c r="N41" s="31"/>
      <c r="O41" s="43"/>
    </row>
    <row r="43" spans="2:15">
      <c r="B43" s="34" t="s">
        <v>42</v>
      </c>
      <c r="C43" s="34" t="s">
        <v>19</v>
      </c>
      <c r="D43" s="34" t="s">
        <v>20</v>
      </c>
      <c r="E43" s="34" t="s">
        <v>21</v>
      </c>
      <c r="F43" s="34" t="s">
        <v>22</v>
      </c>
      <c r="G43" s="34" t="s">
        <v>23</v>
      </c>
      <c r="H43" s="34" t="s">
        <v>24</v>
      </c>
      <c r="I43" s="34" t="s">
        <v>25</v>
      </c>
      <c r="J43" s="34" t="s">
        <v>26</v>
      </c>
      <c r="K43" s="34" t="s">
        <v>27</v>
      </c>
      <c r="L43" s="34" t="s">
        <v>28</v>
      </c>
      <c r="M43" s="34" t="s">
        <v>29</v>
      </c>
      <c r="N43" s="34" t="s">
        <v>30</v>
      </c>
      <c r="O43" s="34" t="s">
        <v>31</v>
      </c>
    </row>
    <row r="44" spans="2:15">
      <c r="B44" s="22">
        <v>2019</v>
      </c>
      <c r="C44" s="251">
        <v>1420</v>
      </c>
      <c r="D44" s="251">
        <v>320</v>
      </c>
      <c r="E44" s="251">
        <v>1050</v>
      </c>
      <c r="F44" s="251">
        <v>1500</v>
      </c>
      <c r="G44" s="251">
        <v>1910</v>
      </c>
      <c r="H44" s="251">
        <v>1700</v>
      </c>
      <c r="I44" s="251">
        <v>2500</v>
      </c>
      <c r="J44" s="251">
        <v>600</v>
      </c>
      <c r="K44" s="251">
        <v>947.2</v>
      </c>
      <c r="L44" s="251">
        <v>1060.8</v>
      </c>
      <c r="M44" s="251">
        <v>2464.8000000000002</v>
      </c>
      <c r="N44" s="251">
        <v>4732.1000000000004</v>
      </c>
      <c r="O44" s="66">
        <f>SUM(C44:N44)</f>
        <v>20204.900000000001</v>
      </c>
    </row>
    <row r="45" spans="2:15">
      <c r="B45" s="22">
        <v>2020</v>
      </c>
      <c r="C45" s="251">
        <v>723.4</v>
      </c>
      <c r="D45" s="251">
        <v>76.599999999999994</v>
      </c>
      <c r="E45" s="251">
        <v>534.5</v>
      </c>
      <c r="F45" s="251">
        <v>930.8</v>
      </c>
      <c r="G45" s="251">
        <v>808.6</v>
      </c>
      <c r="H45" s="251">
        <v>1669.3</v>
      </c>
      <c r="I45" s="251">
        <v>1728.4</v>
      </c>
      <c r="J45" s="251">
        <v>1562.1</v>
      </c>
      <c r="K45" s="251">
        <v>2331.3000000000002</v>
      </c>
      <c r="L45" s="251">
        <v>2412.9</v>
      </c>
      <c r="M45" s="251">
        <v>4717.7</v>
      </c>
      <c r="N45" s="251">
        <v>6887.3</v>
      </c>
      <c r="O45" s="66">
        <f t="shared" ref="O45:O46" si="30">SUM(C45:N45)</f>
        <v>24382.899999999998</v>
      </c>
    </row>
    <row r="46" spans="2:15">
      <c r="B46" s="22">
        <v>2021</v>
      </c>
      <c r="C46" s="251">
        <v>3253.9</v>
      </c>
      <c r="D46" s="251">
        <v>2240.3000000000002</v>
      </c>
      <c r="E46" s="251">
        <v>3890.7</v>
      </c>
      <c r="F46" s="251">
        <v>3206.6</v>
      </c>
      <c r="G46" s="251">
        <v>4517.1000000000004</v>
      </c>
      <c r="H46" s="251">
        <v>5113.8999999999996</v>
      </c>
      <c r="I46" s="251">
        <v>5798.6</v>
      </c>
      <c r="J46" s="251">
        <v>7214.5</v>
      </c>
      <c r="K46" s="251">
        <v>9542</v>
      </c>
      <c r="L46" s="251">
        <v>8434</v>
      </c>
      <c r="M46" s="251">
        <v>11573.6</v>
      </c>
      <c r="N46" s="251">
        <v>15051.7</v>
      </c>
      <c r="O46" s="66">
        <f t="shared" si="30"/>
        <v>79836.899999999994</v>
      </c>
    </row>
    <row r="47" spans="2:15">
      <c r="B47" s="29" t="s">
        <v>32</v>
      </c>
      <c r="C47" s="30">
        <f>C46/C45-1</f>
        <v>3.4980646944982032</v>
      </c>
      <c r="D47" s="30">
        <f t="shared" ref="D47" si="31">D46/D45-1</f>
        <v>28.246736292428203</v>
      </c>
      <c r="E47" s="30">
        <f t="shared" ref="E47" si="32">E46/E45-1</f>
        <v>6.2791393826005608</v>
      </c>
      <c r="F47" s="30">
        <f t="shared" ref="F47" si="33">F46/F45-1</f>
        <v>2.4449935539321013</v>
      </c>
      <c r="G47" s="30">
        <f t="shared" ref="G47" si="34">G46/G45-1</f>
        <v>4.5863220380905272</v>
      </c>
      <c r="H47" s="30">
        <f t="shared" ref="H47" si="35">H46/H45-1</f>
        <v>2.0634996705205775</v>
      </c>
      <c r="I47" s="30">
        <f t="shared" ref="I47" si="36">I46/I45-1</f>
        <v>2.3548947003008562</v>
      </c>
      <c r="J47" s="30">
        <f t="shared" ref="J47" si="37">J46/J45-1</f>
        <v>3.6184623263555471</v>
      </c>
      <c r="K47" s="30">
        <f t="shared" ref="K47" si="38">K46/K45-1</f>
        <v>3.0929953244970614</v>
      </c>
      <c r="L47" s="30">
        <f t="shared" ref="L47" si="39">L46/L45-1</f>
        <v>2.4953790045173854</v>
      </c>
      <c r="M47" s="30">
        <f t="shared" ref="M47" si="40">M46/M45-1</f>
        <v>1.4532293278504356</v>
      </c>
      <c r="N47" s="30">
        <f t="shared" ref="N47:O47" si="41">N46/N45-1</f>
        <v>1.1854282520000581</v>
      </c>
      <c r="O47" s="42">
        <f t="shared" si="41"/>
        <v>2.2742987913660806</v>
      </c>
    </row>
    <row r="48" spans="2:15">
      <c r="B48" s="29" t="s">
        <v>33</v>
      </c>
      <c r="C48" s="31">
        <f>C46/N45-1</f>
        <v>-0.52755070927649439</v>
      </c>
      <c r="D48" s="30">
        <f>D46/C46-1</f>
        <v>-0.31150311933372254</v>
      </c>
      <c r="E48" s="30">
        <f t="shared" ref="E48:N48" si="42">E46/D46-1</f>
        <v>0.73668705084140496</v>
      </c>
      <c r="F48" s="30">
        <f t="shared" si="42"/>
        <v>-0.17582954224175595</v>
      </c>
      <c r="G48" s="30">
        <f t="shared" si="42"/>
        <v>0.40868833031871787</v>
      </c>
      <c r="H48" s="30">
        <f t="shared" si="42"/>
        <v>0.13212016559296869</v>
      </c>
      <c r="I48" s="30">
        <f t="shared" si="42"/>
        <v>0.13388998611627145</v>
      </c>
      <c r="J48" s="30">
        <f t="shared" si="42"/>
        <v>0.24417962956575723</v>
      </c>
      <c r="K48" s="30">
        <f t="shared" si="42"/>
        <v>0.32261417977683826</v>
      </c>
      <c r="L48" s="30">
        <f t="shared" si="42"/>
        <v>-0.11611821421085722</v>
      </c>
      <c r="M48" s="30">
        <f t="shared" si="42"/>
        <v>0.37225515769504391</v>
      </c>
      <c r="N48" s="30">
        <f t="shared" si="42"/>
        <v>0.30052014930531556</v>
      </c>
      <c r="O48" s="44"/>
    </row>
    <row r="49" spans="2:20">
      <c r="B49" s="22">
        <v>2022</v>
      </c>
      <c r="C49" s="252">
        <v>8873.9</v>
      </c>
      <c r="D49" s="252">
        <v>7780.1</v>
      </c>
      <c r="E49" s="252">
        <v>13181.3</v>
      </c>
      <c r="F49" s="252">
        <v>8888</v>
      </c>
      <c r="G49" s="252">
        <v>10232.299999999999</v>
      </c>
      <c r="H49" s="252">
        <v>15416.3</v>
      </c>
      <c r="I49" s="252">
        <v>14336.9</v>
      </c>
      <c r="J49" s="252">
        <v>17210.5</v>
      </c>
      <c r="K49" s="252">
        <v>20400.3</v>
      </c>
      <c r="L49" s="252">
        <v>19665.3</v>
      </c>
      <c r="M49" s="252">
        <v>23090.799999999999</v>
      </c>
      <c r="N49" s="252">
        <v>24677.4</v>
      </c>
      <c r="O49" s="45">
        <f>SUM(C49:N49)</f>
        <v>183753.09999999998</v>
      </c>
    </row>
    <row r="50" spans="2:20">
      <c r="B50" s="29" t="s">
        <v>32</v>
      </c>
      <c r="C50" s="30">
        <f>C49/C46-1</f>
        <v>1.7271581794154707</v>
      </c>
      <c r="D50" s="30">
        <f>D49/D46-1</f>
        <v>2.4727938222559476</v>
      </c>
      <c r="E50" s="30">
        <f t="shared" ref="E50" si="43">E49/E46-1</f>
        <v>2.3878993497314109</v>
      </c>
      <c r="F50" s="30">
        <f t="shared" ref="F50" si="44">F49/F46-1</f>
        <v>1.771783197155866</v>
      </c>
      <c r="G50" s="30">
        <f t="shared" ref="G50" si="45">G49/G46-1</f>
        <v>1.2652365455712733</v>
      </c>
      <c r="H50" s="30">
        <f t="shared" ref="H50" si="46">H49/H46-1</f>
        <v>2.0145876923678601</v>
      </c>
      <c r="I50" s="30">
        <f t="shared" ref="I50" si="47">I49/I46-1</f>
        <v>1.4724761149242918</v>
      </c>
      <c r="J50" s="30">
        <f t="shared" ref="J50" si="48">J49/J46-1</f>
        <v>1.3855430036731584</v>
      </c>
      <c r="K50" s="30">
        <f t="shared" ref="K50" si="49">K49/K46-1</f>
        <v>1.137948019283169</v>
      </c>
      <c r="L50" s="30">
        <f t="shared" ref="L50" si="50">L49/L46-1</f>
        <v>1.3316694332463834</v>
      </c>
      <c r="M50" s="30">
        <f t="shared" ref="M50:O50" si="51">M49/M46-1</f>
        <v>0.99512684039538257</v>
      </c>
      <c r="N50" s="30">
        <f t="shared" si="51"/>
        <v>0.63950915843393097</v>
      </c>
      <c r="O50" s="42">
        <f t="shared" si="51"/>
        <v>1.3016061495373692</v>
      </c>
    </row>
    <row r="51" spans="2:20">
      <c r="B51" s="29" t="s">
        <v>33</v>
      </c>
      <c r="C51" s="31">
        <f>C49/N46-1</f>
        <v>-0.41043868798873218</v>
      </c>
      <c r="D51" s="31">
        <f>D49/C49-1</f>
        <v>-0.12326034776141259</v>
      </c>
      <c r="E51" s="31">
        <f t="shared" ref="E51:N51" si="52">E49/D49-1</f>
        <v>0.69423272194444774</v>
      </c>
      <c r="F51" s="31">
        <f t="shared" si="52"/>
        <v>-0.32571142451806723</v>
      </c>
      <c r="G51" s="31">
        <f t="shared" si="52"/>
        <v>0.15124887488748873</v>
      </c>
      <c r="H51" s="31">
        <f t="shared" si="52"/>
        <v>0.50663096273565089</v>
      </c>
      <c r="I51" s="31">
        <f t="shared" si="52"/>
        <v>-7.0016800399577028E-2</v>
      </c>
      <c r="J51" s="31">
        <f t="shared" si="52"/>
        <v>0.20043384553146071</v>
      </c>
      <c r="K51" s="31">
        <f t="shared" si="52"/>
        <v>0.1853403445571018</v>
      </c>
      <c r="L51" s="31">
        <f t="shared" si="52"/>
        <v>-3.6028881928206968E-2</v>
      </c>
      <c r="M51" s="31">
        <f t="shared" si="52"/>
        <v>0.17419007083543092</v>
      </c>
      <c r="N51" s="31">
        <f t="shared" si="52"/>
        <v>6.8711348242590287E-2</v>
      </c>
      <c r="O51" s="43"/>
    </row>
    <row r="52" spans="2:20">
      <c r="B52" s="22">
        <v>2023</v>
      </c>
      <c r="C52" s="252">
        <v>10683.2</v>
      </c>
      <c r="D52" s="252">
        <v>15193.1</v>
      </c>
      <c r="E52" s="253">
        <v>19039.5</v>
      </c>
      <c r="F52" s="252">
        <v>17126.599999999999</v>
      </c>
      <c r="G52" s="252">
        <v>19153.3</v>
      </c>
      <c r="H52" s="252">
        <v>22738.400000000001</v>
      </c>
      <c r="I52" s="252">
        <v>21660.2</v>
      </c>
      <c r="J52" s="252">
        <v>24051.1</v>
      </c>
      <c r="K52" s="252">
        <v>24200</v>
      </c>
      <c r="L52" s="252">
        <v>26800</v>
      </c>
      <c r="M52" s="252">
        <v>29100</v>
      </c>
      <c r="N52" s="252">
        <v>31300</v>
      </c>
      <c r="O52" s="45">
        <f>SUM(C52:N52)</f>
        <v>261045.4</v>
      </c>
    </row>
    <row r="53" spans="2:20">
      <c r="B53" s="29" t="s">
        <v>32</v>
      </c>
      <c r="C53" s="30">
        <f>C52/C49-1</f>
        <v>0.20389005961302265</v>
      </c>
      <c r="D53" s="30">
        <f>D52/D49-1</f>
        <v>0.95281551651007046</v>
      </c>
      <c r="E53" s="30">
        <v>0.44400000000000001</v>
      </c>
      <c r="F53" s="30">
        <v>0.92700000000000005</v>
      </c>
      <c r="G53" s="30">
        <v>0.872</v>
      </c>
      <c r="H53" s="30">
        <v>0.47499999999999998</v>
      </c>
      <c r="I53" s="30">
        <v>0.51100000000000001</v>
      </c>
      <c r="J53" s="30">
        <v>0.39700000000000002</v>
      </c>
      <c r="K53" s="30">
        <v>0.186</v>
      </c>
      <c r="L53" s="30">
        <v>0.36399999999999999</v>
      </c>
      <c r="M53" s="30">
        <v>0.26</v>
      </c>
      <c r="N53" s="30">
        <v>0.26800000000000002</v>
      </c>
      <c r="O53" s="42">
        <f>O52/O49-1</f>
        <v>0.42063127098263942</v>
      </c>
    </row>
    <row r="54" spans="2:20">
      <c r="B54" s="29" t="s">
        <v>33</v>
      </c>
      <c r="C54" s="31">
        <f>C52/N49-1</f>
        <v>-0.56708567353124728</v>
      </c>
      <c r="D54" s="31">
        <f>D52/C52-1</f>
        <v>0.42214879436872832</v>
      </c>
      <c r="E54" s="31">
        <v>0.253</v>
      </c>
      <c r="F54" s="31">
        <v>-0.1</v>
      </c>
      <c r="G54" s="31">
        <v>0.11799999999999999</v>
      </c>
      <c r="H54" s="31">
        <v>0.187</v>
      </c>
      <c r="I54" s="31">
        <v>-4.7E-2</v>
      </c>
      <c r="J54" s="31">
        <v>0.11</v>
      </c>
      <c r="K54" s="31">
        <v>6.0000000000000001E-3</v>
      </c>
      <c r="L54" s="31">
        <v>0.109</v>
      </c>
      <c r="M54" s="31">
        <v>8.5000000000000006E-2</v>
      </c>
      <c r="N54" s="31">
        <v>7.4999999999999997E-2</v>
      </c>
      <c r="O54" s="43"/>
    </row>
    <row r="55" spans="2:20">
      <c r="B55" s="22">
        <v>2024</v>
      </c>
      <c r="C55" s="252">
        <v>19700</v>
      </c>
      <c r="D55" s="252">
        <v>11000</v>
      </c>
      <c r="E55" s="253">
        <v>23600</v>
      </c>
      <c r="F55" s="252"/>
      <c r="G55" s="252"/>
      <c r="H55" s="252"/>
      <c r="I55" s="252"/>
      <c r="J55" s="252"/>
      <c r="K55" s="252"/>
      <c r="L55" s="252"/>
      <c r="M55" s="252"/>
      <c r="N55" s="252"/>
      <c r="O55" s="45">
        <f>SUM(C55:N55)</f>
        <v>54300</v>
      </c>
    </row>
    <row r="56" spans="2:20">
      <c r="B56" s="29" t="s">
        <v>32</v>
      </c>
      <c r="C56" s="30">
        <f>C55/C52-1</f>
        <v>0.84401677400029951</v>
      </c>
      <c r="D56" s="30">
        <f>D55/D52-1</f>
        <v>-0.27598712573470852</v>
      </c>
      <c r="E56" s="30">
        <f>E55/E52-1</f>
        <v>0.23952834895874364</v>
      </c>
      <c r="F56" s="30"/>
      <c r="G56" s="30"/>
      <c r="H56" s="30"/>
      <c r="I56" s="30"/>
      <c r="J56" s="30"/>
      <c r="K56" s="30"/>
      <c r="L56" s="30"/>
      <c r="M56" s="30"/>
      <c r="N56" s="30"/>
      <c r="O56" s="42">
        <f>O55/O52-1</f>
        <v>-0.79199020553512911</v>
      </c>
    </row>
    <row r="57" spans="2:20">
      <c r="B57" s="29" t="s">
        <v>33</v>
      </c>
      <c r="C57" s="31">
        <f>C55/N52-1</f>
        <v>-0.37060702875399365</v>
      </c>
      <c r="D57" s="31">
        <f>D55/C55-1</f>
        <v>-0.44162436548223349</v>
      </c>
      <c r="E57" s="31">
        <f>E55/D55-1</f>
        <v>1.1454545454545455</v>
      </c>
      <c r="F57" s="31"/>
      <c r="G57" s="31"/>
      <c r="H57" s="31"/>
      <c r="I57" s="31"/>
      <c r="J57" s="31"/>
      <c r="K57" s="31"/>
      <c r="L57" s="31"/>
      <c r="M57" s="31"/>
      <c r="N57" s="31"/>
      <c r="O57" s="43"/>
    </row>
    <row r="58" spans="2:20">
      <c r="C58" s="41"/>
      <c r="D58" s="41"/>
      <c r="E58" s="41"/>
      <c r="F58" s="41"/>
      <c r="G58" s="41"/>
      <c r="H58" s="41"/>
      <c r="Q58" s="23"/>
      <c r="R58" s="23"/>
      <c r="S58" s="23"/>
      <c r="T58" s="23"/>
    </row>
    <row r="59" spans="2:20">
      <c r="C59" s="41"/>
      <c r="D59" s="41"/>
      <c r="E59" s="41"/>
      <c r="F59" s="41"/>
      <c r="G59" s="41"/>
      <c r="H59" s="41"/>
      <c r="Q59" s="23"/>
      <c r="R59" s="23"/>
      <c r="S59" s="23"/>
      <c r="T59" s="23"/>
    </row>
    <row r="60" spans="2:20">
      <c r="C60" s="41"/>
      <c r="D60" s="41"/>
      <c r="E60" s="41"/>
      <c r="F60" s="41"/>
      <c r="G60" s="41"/>
      <c r="H60" s="41"/>
      <c r="Q60" s="23"/>
      <c r="R60" s="23"/>
      <c r="S60" s="23"/>
      <c r="T60" s="23"/>
    </row>
    <row r="61" spans="2:20">
      <c r="C61" s="41"/>
      <c r="D61" s="41"/>
      <c r="E61" s="41"/>
      <c r="F61" s="41"/>
      <c r="G61" s="41"/>
      <c r="H61" s="41"/>
      <c r="Q61" s="23"/>
      <c r="R61" s="23"/>
      <c r="S61" s="23"/>
      <c r="T61" s="23"/>
    </row>
    <row r="62" spans="2:20">
      <c r="C62" s="41"/>
      <c r="D62" s="41"/>
      <c r="E62" s="41"/>
      <c r="F62" s="41"/>
      <c r="G62" s="41"/>
      <c r="H62" s="41"/>
      <c r="Q62" s="23"/>
      <c r="R62" s="23"/>
      <c r="S62" s="23"/>
      <c r="T62" s="23"/>
    </row>
    <row r="63" spans="2:20">
      <c r="C63" s="41"/>
      <c r="D63" s="41"/>
      <c r="E63" s="41"/>
      <c r="F63" s="41"/>
      <c r="G63" s="41"/>
      <c r="H63" s="41"/>
      <c r="Q63" s="23"/>
      <c r="R63" s="23"/>
      <c r="S63" s="23"/>
      <c r="T63" s="23"/>
    </row>
    <row r="64" spans="2:20">
      <c r="C64" s="41"/>
      <c r="D64" s="41"/>
      <c r="E64" s="41"/>
      <c r="F64" s="41"/>
      <c r="G64" s="41"/>
      <c r="H64" s="41"/>
      <c r="Q64" s="23"/>
      <c r="R64" s="23"/>
      <c r="S64" s="23"/>
      <c r="T64" s="23"/>
    </row>
    <row r="65" spans="3:32">
      <c r="C65" s="41"/>
      <c r="D65" s="41"/>
      <c r="E65" s="41"/>
      <c r="F65" s="41"/>
      <c r="G65" s="41"/>
      <c r="H65" s="41"/>
      <c r="Q65" s="23"/>
      <c r="R65" s="23"/>
      <c r="S65" s="23"/>
      <c r="T65" s="23"/>
    </row>
    <row r="66" spans="3:32">
      <c r="C66" s="41"/>
      <c r="D66" s="41"/>
      <c r="E66" s="41"/>
      <c r="F66" s="41"/>
      <c r="G66" s="41"/>
      <c r="H66" s="41"/>
      <c r="Q66" s="23"/>
      <c r="R66" s="23"/>
      <c r="S66" s="23"/>
      <c r="T66" s="23"/>
    </row>
    <row r="67" spans="3:32">
      <c r="C67" s="41"/>
      <c r="D67" s="41"/>
      <c r="E67" s="41"/>
      <c r="F67" s="41"/>
      <c r="G67" s="41"/>
      <c r="H67" s="41"/>
      <c r="Q67" s="23"/>
      <c r="R67" s="23"/>
      <c r="S67" s="23"/>
    </row>
    <row r="68" spans="3:32">
      <c r="C68" s="41"/>
      <c r="D68" s="41"/>
      <c r="E68" s="41"/>
      <c r="F68" s="41"/>
      <c r="G68" s="41"/>
      <c r="H68" s="41"/>
      <c r="Q68" s="23"/>
      <c r="R68" s="23"/>
      <c r="S68" s="23"/>
      <c r="T68" s="24"/>
    </row>
    <row r="69" spans="3:32">
      <c r="C69" s="41"/>
      <c r="D69" s="41"/>
      <c r="E69" s="41"/>
      <c r="F69" s="41"/>
      <c r="G69" s="41"/>
      <c r="H69" s="41"/>
      <c r="Q69" s="23"/>
      <c r="R69" s="23"/>
      <c r="S69" s="23"/>
    </row>
    <row r="70" spans="3:32">
      <c r="Q70" s="23"/>
      <c r="R70" s="23"/>
      <c r="S70" s="23"/>
    </row>
    <row r="71" spans="3:32">
      <c r="Q71" s="23"/>
      <c r="R71" s="23"/>
      <c r="S71" s="23"/>
    </row>
    <row r="75" spans="3:32">
      <c r="K75" s="39"/>
    </row>
    <row r="76" spans="3:32">
      <c r="C76" s="276"/>
      <c r="D76" s="276"/>
      <c r="E76" s="276"/>
      <c r="F76" s="276"/>
      <c r="G76" s="276"/>
      <c r="H76" s="276"/>
      <c r="I76" s="276"/>
      <c r="J76" s="276"/>
      <c r="K76" s="276"/>
      <c r="L76" s="276"/>
      <c r="M76" s="276"/>
      <c r="N76" s="276"/>
      <c r="O76" s="276"/>
      <c r="P76" s="276"/>
      <c r="Q76" s="276"/>
      <c r="R76" s="276"/>
      <c r="S76" s="276"/>
      <c r="T76" s="276"/>
      <c r="U76" s="276"/>
      <c r="V76" s="276"/>
      <c r="W76" s="276"/>
      <c r="X76" s="276"/>
      <c r="Y76" s="276"/>
      <c r="Z76" s="276"/>
      <c r="AA76" s="276"/>
      <c r="AB76" s="276"/>
      <c r="AC76" s="276"/>
      <c r="AD76" s="276"/>
      <c r="AE76" s="276"/>
      <c r="AF76" s="276"/>
    </row>
    <row r="77" spans="3:32"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</row>
    <row r="78" spans="3:32">
      <c r="C78" s="237"/>
      <c r="D78" s="237"/>
      <c r="E78" s="237"/>
      <c r="F78" s="237"/>
      <c r="G78" s="25"/>
      <c r="H78" s="237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</row>
    <row r="79" spans="3:32">
      <c r="C79" s="237"/>
      <c r="D79" s="237"/>
      <c r="E79" s="237"/>
      <c r="F79" s="237"/>
      <c r="G79" s="237"/>
      <c r="H79" s="237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3:32"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3:32"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3:32"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3:32"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3:32"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3:32"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3:32"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3:32"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3:32"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3:32"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3:32"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3:32">
      <c r="O91" s="23"/>
      <c r="P91" s="23"/>
    </row>
    <row r="93" spans="3:32">
      <c r="C93" s="276"/>
      <c r="D93" s="276"/>
      <c r="E93" s="276"/>
      <c r="F93" s="276"/>
      <c r="G93" s="276"/>
      <c r="H93" s="276"/>
      <c r="I93" s="276"/>
      <c r="J93" s="276"/>
      <c r="K93" s="276"/>
      <c r="L93" s="276"/>
      <c r="M93" s="276"/>
      <c r="N93" s="276"/>
      <c r="O93" s="276"/>
      <c r="P93" s="276"/>
      <c r="Q93" s="276"/>
      <c r="R93" s="276"/>
      <c r="S93" s="276"/>
      <c r="T93" s="276"/>
      <c r="U93" s="276"/>
      <c r="V93" s="276"/>
      <c r="W93" s="276"/>
      <c r="X93" s="276"/>
      <c r="Y93" s="276"/>
      <c r="Z93" s="276"/>
      <c r="AA93" s="276"/>
      <c r="AB93" s="276"/>
      <c r="AC93" s="276"/>
      <c r="AD93" s="276"/>
      <c r="AE93" s="276"/>
      <c r="AF93" s="276"/>
    </row>
    <row r="94" spans="3:32"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</row>
    <row r="95" spans="3:32">
      <c r="C95" s="238"/>
      <c r="D95" s="238"/>
      <c r="E95" s="238"/>
      <c r="F95" s="238"/>
      <c r="G95" s="238"/>
      <c r="H95" s="238"/>
      <c r="I95" s="238"/>
      <c r="J95" s="238"/>
      <c r="K95" s="238"/>
      <c r="L95" s="238"/>
      <c r="M95" s="238"/>
      <c r="N95" s="238"/>
      <c r="O95" s="238"/>
      <c r="P95" s="238"/>
      <c r="Q95" s="238"/>
      <c r="R95" s="238"/>
      <c r="S95" s="238"/>
      <c r="T95" s="238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</row>
    <row r="96" spans="3:32">
      <c r="C96" s="238"/>
      <c r="D96" s="238"/>
      <c r="E96" s="238"/>
      <c r="F96" s="238"/>
      <c r="G96" s="238"/>
      <c r="H96" s="238"/>
      <c r="I96" s="238"/>
      <c r="J96" s="238"/>
      <c r="K96" s="238"/>
      <c r="L96" s="238"/>
      <c r="M96" s="238"/>
      <c r="N96" s="238"/>
      <c r="O96" s="238"/>
      <c r="P96" s="238"/>
      <c r="Q96" s="238"/>
      <c r="R96" s="238"/>
      <c r="S96" s="238"/>
      <c r="T96" s="238"/>
      <c r="U96" s="51"/>
      <c r="V96" s="51"/>
      <c r="W96" s="51"/>
      <c r="X96" s="51"/>
      <c r="Y96" s="51"/>
      <c r="Z96" s="51"/>
    </row>
    <row r="97" spans="2:26">
      <c r="C97" s="238"/>
      <c r="D97" s="238"/>
      <c r="E97" s="238"/>
      <c r="F97" s="238"/>
      <c r="G97" s="238"/>
      <c r="H97" s="238"/>
      <c r="I97" s="238"/>
      <c r="J97" s="238"/>
      <c r="K97" s="238"/>
      <c r="L97" s="238"/>
      <c r="M97" s="238"/>
      <c r="N97" s="238"/>
      <c r="O97" s="238"/>
      <c r="P97" s="238"/>
      <c r="Q97" s="238"/>
      <c r="R97" s="238"/>
      <c r="S97" s="238"/>
      <c r="T97" s="238"/>
      <c r="U97" s="51"/>
      <c r="V97" s="51"/>
      <c r="W97" s="51"/>
      <c r="X97" s="51"/>
      <c r="Y97" s="51"/>
      <c r="Z97" s="51"/>
    </row>
    <row r="98" spans="2:26">
      <c r="C98" s="238"/>
      <c r="D98" s="238"/>
      <c r="E98" s="238"/>
      <c r="F98" s="238"/>
      <c r="G98" s="238"/>
      <c r="H98" s="238"/>
      <c r="I98" s="238"/>
      <c r="J98" s="238"/>
      <c r="K98" s="238"/>
      <c r="L98" s="238"/>
      <c r="M98" s="238"/>
      <c r="N98" s="238"/>
      <c r="O98" s="238"/>
      <c r="P98" s="238"/>
      <c r="Q98" s="238"/>
      <c r="R98" s="238"/>
      <c r="S98" s="238"/>
      <c r="T98" s="238"/>
      <c r="U98" s="51"/>
      <c r="V98" s="51"/>
      <c r="W98" s="51"/>
      <c r="X98" s="51"/>
      <c r="Y98" s="51"/>
      <c r="Z98" s="51"/>
    </row>
    <row r="99" spans="2:26">
      <c r="C99" s="238"/>
      <c r="D99" s="238"/>
      <c r="E99" s="238"/>
      <c r="F99" s="238"/>
      <c r="G99" s="238"/>
      <c r="H99" s="238"/>
      <c r="I99" s="238"/>
      <c r="J99" s="238"/>
      <c r="K99" s="238"/>
      <c r="L99" s="238"/>
      <c r="M99" s="238"/>
      <c r="N99" s="238"/>
      <c r="O99" s="238"/>
      <c r="P99" s="238"/>
      <c r="Q99" s="238"/>
      <c r="R99" s="238"/>
      <c r="S99" s="238"/>
      <c r="T99" s="238"/>
      <c r="U99" s="51"/>
      <c r="V99" s="51"/>
      <c r="W99" s="51"/>
      <c r="X99" s="51"/>
      <c r="Y99" s="51"/>
      <c r="Z99" s="51"/>
    </row>
    <row r="100" spans="2:26">
      <c r="C100" s="238"/>
      <c r="D100" s="238"/>
      <c r="E100" s="238"/>
      <c r="F100" s="238"/>
      <c r="G100" s="238"/>
      <c r="H100" s="238"/>
      <c r="I100" s="238"/>
      <c r="J100" s="238"/>
      <c r="K100" s="238"/>
      <c r="L100" s="238"/>
      <c r="M100" s="238"/>
      <c r="N100" s="238"/>
      <c r="O100" s="238"/>
      <c r="P100" s="238"/>
      <c r="Q100" s="238"/>
      <c r="R100" s="238"/>
      <c r="S100" s="238"/>
      <c r="T100" s="238"/>
      <c r="U100" s="51"/>
      <c r="V100" s="51"/>
      <c r="W100" s="51"/>
      <c r="X100" s="51"/>
      <c r="Y100" s="51"/>
      <c r="Z100" s="51"/>
    </row>
    <row r="101" spans="2:26">
      <c r="C101" s="238"/>
      <c r="D101" s="238"/>
      <c r="E101" s="238"/>
      <c r="F101" s="238"/>
      <c r="G101" s="238"/>
      <c r="H101" s="238"/>
      <c r="I101" s="238"/>
      <c r="J101" s="238"/>
      <c r="K101" s="238"/>
      <c r="L101" s="238"/>
      <c r="M101" s="238"/>
      <c r="N101" s="238"/>
      <c r="O101" s="238"/>
      <c r="P101" s="238"/>
      <c r="Q101" s="238"/>
      <c r="R101" s="238"/>
      <c r="S101" s="238"/>
      <c r="T101" s="238"/>
      <c r="U101" s="51"/>
      <c r="V101" s="51"/>
      <c r="W101" s="51"/>
      <c r="X101" s="51"/>
      <c r="Y101" s="51"/>
      <c r="Z101" s="51"/>
    </row>
    <row r="102" spans="2:26">
      <c r="C102" s="238"/>
      <c r="D102" s="238"/>
      <c r="E102" s="238"/>
      <c r="F102" s="238"/>
      <c r="G102" s="238"/>
      <c r="H102" s="238"/>
      <c r="I102" s="238"/>
      <c r="J102" s="238"/>
      <c r="K102" s="238"/>
      <c r="L102" s="238"/>
      <c r="M102" s="238"/>
      <c r="N102" s="238"/>
      <c r="O102" s="238"/>
      <c r="P102" s="238"/>
      <c r="Q102" s="238"/>
      <c r="R102" s="238"/>
      <c r="S102" s="238"/>
      <c r="T102" s="238"/>
      <c r="U102" s="51"/>
      <c r="V102" s="51"/>
      <c r="W102" s="51"/>
      <c r="X102" s="51"/>
      <c r="Y102" s="51"/>
      <c r="Z102" s="51"/>
    </row>
    <row r="103" spans="2:26"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  <c r="S103" s="238"/>
      <c r="T103" s="238"/>
      <c r="U103" s="51"/>
      <c r="V103" s="51"/>
      <c r="W103" s="51"/>
      <c r="X103" s="51"/>
      <c r="Y103" s="51"/>
      <c r="Z103" s="51"/>
    </row>
    <row r="104" spans="2:26">
      <c r="C104" s="238"/>
      <c r="D104" s="238"/>
      <c r="E104" s="238"/>
      <c r="F104" s="238"/>
      <c r="G104" s="238"/>
      <c r="H104" s="238"/>
      <c r="I104" s="238"/>
      <c r="J104" s="238"/>
      <c r="K104" s="238"/>
      <c r="L104" s="238"/>
      <c r="M104" s="238"/>
      <c r="N104" s="238"/>
      <c r="O104" s="238"/>
      <c r="P104" s="238"/>
      <c r="Q104" s="238"/>
      <c r="R104" s="238"/>
      <c r="S104" s="238"/>
      <c r="T104" s="238"/>
      <c r="U104" s="51"/>
      <c r="V104" s="51"/>
      <c r="W104" s="51"/>
      <c r="X104" s="51"/>
      <c r="Y104" s="51"/>
      <c r="Z104" s="51"/>
    </row>
    <row r="105" spans="2:26">
      <c r="C105" s="238"/>
      <c r="D105" s="238"/>
      <c r="E105" s="238"/>
      <c r="F105" s="238"/>
      <c r="G105" s="238"/>
      <c r="H105" s="238"/>
      <c r="I105" s="238"/>
      <c r="J105" s="238"/>
      <c r="K105" s="238"/>
      <c r="L105" s="238"/>
      <c r="M105" s="238"/>
      <c r="N105" s="238"/>
      <c r="O105" s="238"/>
      <c r="P105" s="238"/>
      <c r="Q105" s="238"/>
      <c r="R105" s="238"/>
      <c r="S105" s="238"/>
      <c r="T105" s="238"/>
      <c r="U105" s="51"/>
      <c r="V105" s="51"/>
      <c r="W105" s="51"/>
      <c r="X105" s="51"/>
      <c r="Y105" s="51"/>
      <c r="Z105" s="51"/>
    </row>
    <row r="106" spans="2:26">
      <c r="C106" s="238"/>
      <c r="D106" s="238"/>
      <c r="E106" s="238"/>
      <c r="F106" s="238"/>
      <c r="G106" s="238"/>
      <c r="H106" s="238"/>
      <c r="I106" s="238"/>
      <c r="J106" s="238"/>
      <c r="K106" s="238"/>
      <c r="L106" s="238"/>
      <c r="M106" s="238"/>
      <c r="N106" s="238"/>
      <c r="O106" s="238"/>
      <c r="P106" s="238"/>
      <c r="Q106" s="238"/>
      <c r="R106" s="238"/>
      <c r="S106" s="238"/>
      <c r="T106" s="238"/>
      <c r="U106" s="51"/>
      <c r="V106" s="51"/>
      <c r="W106" s="51"/>
      <c r="X106" s="51"/>
      <c r="Y106" s="51"/>
      <c r="Z106" s="51"/>
    </row>
    <row r="110" spans="2:26">
      <c r="C110" s="41"/>
      <c r="D110" s="41"/>
      <c r="E110" s="41"/>
      <c r="F110" s="41"/>
      <c r="P110" s="41"/>
      <c r="Q110" s="41"/>
      <c r="R110" s="41"/>
    </row>
    <row r="111" spans="2:26">
      <c r="B111" s="41"/>
      <c r="C111" s="237"/>
      <c r="D111" s="237"/>
      <c r="E111" s="23"/>
      <c r="F111" s="23"/>
      <c r="O111" s="41"/>
      <c r="P111" s="238"/>
      <c r="Q111" s="238"/>
      <c r="R111" s="51"/>
    </row>
    <row r="112" spans="2:26">
      <c r="B112" s="41"/>
      <c r="C112" s="237"/>
      <c r="D112" s="237"/>
      <c r="E112" s="23"/>
      <c r="F112" s="23"/>
      <c r="O112" s="41"/>
      <c r="P112" s="238"/>
      <c r="Q112" s="238"/>
      <c r="R112" s="51"/>
    </row>
    <row r="113" spans="2:18">
      <c r="B113" s="41"/>
      <c r="C113" s="23"/>
      <c r="D113" s="23"/>
      <c r="E113" s="23"/>
      <c r="F113" s="23"/>
      <c r="O113" s="41"/>
      <c r="P113" s="238"/>
      <c r="Q113" s="238"/>
      <c r="R113" s="51"/>
    </row>
    <row r="114" spans="2:18">
      <c r="B114" s="41"/>
      <c r="C114" s="23"/>
      <c r="D114" s="23"/>
      <c r="E114" s="23"/>
      <c r="F114" s="23"/>
      <c r="O114" s="41"/>
      <c r="P114" s="238"/>
      <c r="Q114" s="238"/>
      <c r="R114" s="51"/>
    </row>
    <row r="115" spans="2:18">
      <c r="B115" s="41"/>
      <c r="C115" s="23"/>
      <c r="D115" s="23"/>
      <c r="E115" s="23"/>
      <c r="F115" s="23"/>
      <c r="O115" s="41"/>
      <c r="P115" s="238"/>
      <c r="Q115" s="238"/>
      <c r="R115" s="51"/>
    </row>
    <row r="116" spans="2:18">
      <c r="B116" s="41"/>
      <c r="C116" s="23"/>
      <c r="D116" s="23"/>
      <c r="E116" s="23"/>
      <c r="F116" s="23"/>
      <c r="O116" s="41"/>
      <c r="P116" s="238"/>
      <c r="Q116" s="238"/>
      <c r="R116" s="51"/>
    </row>
    <row r="117" spans="2:18">
      <c r="B117" s="41"/>
      <c r="C117" s="23"/>
      <c r="D117" s="23"/>
      <c r="E117" s="23"/>
      <c r="F117" s="23"/>
      <c r="O117" s="41"/>
      <c r="P117" s="238"/>
      <c r="Q117" s="238"/>
      <c r="R117" s="51"/>
    </row>
    <row r="118" spans="2:18">
      <c r="B118" s="41"/>
      <c r="C118" s="23"/>
      <c r="D118" s="23"/>
      <c r="E118" s="23"/>
      <c r="F118" s="23"/>
      <c r="O118" s="41"/>
      <c r="P118" s="238"/>
      <c r="Q118" s="238"/>
      <c r="R118" s="51"/>
    </row>
    <row r="119" spans="2:18">
      <c r="B119" s="41"/>
      <c r="C119" s="23"/>
      <c r="D119" s="23"/>
      <c r="E119" s="23"/>
      <c r="F119" s="23"/>
      <c r="O119" s="41"/>
      <c r="P119" s="238"/>
      <c r="Q119" s="238"/>
      <c r="R119" s="51"/>
    </row>
    <row r="120" spans="2:18">
      <c r="B120" s="41"/>
      <c r="C120" s="23"/>
      <c r="D120" s="23"/>
      <c r="E120" s="23"/>
      <c r="F120" s="23"/>
      <c r="O120" s="41"/>
      <c r="P120" s="238"/>
      <c r="Q120" s="238"/>
      <c r="R120" s="51"/>
    </row>
    <row r="121" spans="2:18">
      <c r="B121" s="41"/>
      <c r="C121" s="23"/>
      <c r="D121" s="23"/>
      <c r="E121" s="23"/>
      <c r="F121" s="23"/>
      <c r="O121" s="41"/>
      <c r="P121" s="238"/>
      <c r="Q121" s="238"/>
      <c r="R121" s="51"/>
    </row>
    <row r="122" spans="2:18">
      <c r="B122" s="41"/>
      <c r="C122" s="23"/>
      <c r="D122" s="23"/>
      <c r="E122" s="23"/>
      <c r="F122" s="23"/>
      <c r="O122" s="41"/>
      <c r="P122" s="238"/>
      <c r="Q122" s="238"/>
      <c r="R122" s="51"/>
    </row>
    <row r="123" spans="2:18">
      <c r="B123" s="41"/>
      <c r="C123" s="23"/>
      <c r="D123" s="23"/>
      <c r="E123" s="23"/>
      <c r="F123" s="23"/>
      <c r="O123" s="41"/>
      <c r="P123" s="238"/>
      <c r="Q123" s="238"/>
      <c r="R123" s="51"/>
    </row>
    <row r="124" spans="2:18">
      <c r="B124" s="41"/>
      <c r="C124" s="23"/>
      <c r="D124" s="23"/>
      <c r="E124" s="23"/>
      <c r="F124" s="23"/>
      <c r="O124" s="41"/>
      <c r="P124" s="238"/>
      <c r="Q124" s="238"/>
      <c r="R124" s="51"/>
    </row>
    <row r="125" spans="2:18">
      <c r="B125" s="41"/>
      <c r="C125" s="23"/>
      <c r="D125" s="23"/>
      <c r="E125" s="23"/>
      <c r="F125" s="23"/>
      <c r="O125" s="41"/>
      <c r="P125" s="238"/>
      <c r="Q125" s="238"/>
      <c r="R125" s="51"/>
    </row>
    <row r="126" spans="2:18">
      <c r="B126" s="41"/>
      <c r="C126" s="23"/>
      <c r="D126" s="23"/>
      <c r="E126" s="23"/>
      <c r="F126" s="23"/>
      <c r="O126" s="41"/>
      <c r="P126" s="238"/>
      <c r="Q126" s="238"/>
      <c r="R126" s="51"/>
    </row>
    <row r="127" spans="2:18">
      <c r="B127" s="41"/>
      <c r="C127" s="23"/>
      <c r="D127" s="23"/>
      <c r="E127" s="23"/>
      <c r="F127" s="23"/>
      <c r="O127" s="41"/>
      <c r="P127" s="238"/>
      <c r="Q127" s="238"/>
      <c r="R127" s="51"/>
    </row>
    <row r="128" spans="2:18">
      <c r="B128" s="41"/>
      <c r="C128" s="23"/>
      <c r="D128" s="23"/>
      <c r="E128" s="23"/>
      <c r="F128" s="23"/>
      <c r="O128" s="41"/>
      <c r="P128" s="238"/>
      <c r="Q128" s="238"/>
      <c r="R128" s="51"/>
    </row>
    <row r="129" spans="2:18">
      <c r="B129" s="41"/>
      <c r="C129" s="23"/>
      <c r="D129" s="23"/>
      <c r="E129" s="23"/>
      <c r="F129" s="23"/>
      <c r="O129" s="41"/>
      <c r="P129" s="238"/>
      <c r="Q129" s="238"/>
      <c r="R129" s="51"/>
    </row>
    <row r="130" spans="2:18">
      <c r="B130" s="41"/>
      <c r="C130" s="23"/>
      <c r="D130" s="23"/>
      <c r="E130" s="23"/>
      <c r="F130" s="24"/>
      <c r="O130" s="41"/>
      <c r="P130" s="238"/>
      <c r="Q130" s="238"/>
      <c r="R130" s="51"/>
    </row>
    <row r="131" spans="2:18">
      <c r="B131" s="41"/>
      <c r="C131" s="23"/>
      <c r="D131" s="23"/>
      <c r="E131" s="23"/>
      <c r="F131" s="24"/>
      <c r="O131" s="41"/>
      <c r="P131" s="238"/>
      <c r="Q131" s="238"/>
      <c r="R131" s="51"/>
    </row>
    <row r="132" spans="2:18">
      <c r="B132" s="41"/>
      <c r="C132" s="23"/>
      <c r="D132" s="23"/>
      <c r="E132" s="23"/>
      <c r="F132" s="24"/>
      <c r="O132" s="41"/>
      <c r="P132" s="238"/>
      <c r="Q132" s="238"/>
      <c r="R132" s="51"/>
    </row>
    <row r="133" spans="2:18">
      <c r="B133" s="41"/>
      <c r="C133" s="23"/>
      <c r="D133" s="23"/>
      <c r="E133" s="23"/>
      <c r="F133" s="24"/>
      <c r="O133" s="41"/>
      <c r="P133" s="238"/>
      <c r="Q133" s="238"/>
      <c r="R133" s="51"/>
    </row>
    <row r="134" spans="2:18">
      <c r="B134" s="41"/>
      <c r="C134" s="23"/>
      <c r="D134" s="23"/>
      <c r="E134" s="23"/>
      <c r="F134" s="24"/>
      <c r="O134" s="41"/>
      <c r="P134" s="238"/>
      <c r="Q134" s="238"/>
      <c r="R134" s="51"/>
    </row>
    <row r="135" spans="2:18">
      <c r="B135" s="41"/>
      <c r="C135" s="23"/>
      <c r="D135" s="23"/>
      <c r="E135" s="23"/>
      <c r="F135" s="24"/>
      <c r="O135" s="41"/>
      <c r="P135" s="238"/>
      <c r="Q135" s="238"/>
      <c r="R135" s="51"/>
    </row>
    <row r="136" spans="2:18">
      <c r="B136" s="41"/>
      <c r="C136" s="23"/>
      <c r="D136" s="23"/>
      <c r="E136" s="23"/>
      <c r="F136" s="24"/>
      <c r="O136" s="41"/>
      <c r="P136" s="238"/>
      <c r="Q136" s="238"/>
      <c r="R136" s="51"/>
    </row>
    <row r="137" spans="2:18">
      <c r="B137" s="41"/>
      <c r="C137" s="23"/>
      <c r="D137" s="23"/>
      <c r="E137" s="23"/>
      <c r="F137" s="24"/>
      <c r="O137" s="41"/>
      <c r="P137" s="238"/>
      <c r="Q137" s="238"/>
      <c r="R137" s="51"/>
    </row>
    <row r="138" spans="2:18">
      <c r="B138" s="41"/>
      <c r="C138" s="23"/>
      <c r="D138" s="23"/>
      <c r="E138" s="23"/>
      <c r="F138" s="24"/>
      <c r="O138" s="41"/>
      <c r="P138" s="238"/>
      <c r="Q138" s="238"/>
      <c r="R138" s="51"/>
    </row>
    <row r="139" spans="2:18">
      <c r="B139" s="41"/>
      <c r="C139" s="23"/>
      <c r="D139" s="23"/>
      <c r="E139" s="23"/>
      <c r="F139" s="24"/>
      <c r="O139" s="41"/>
      <c r="P139" s="238"/>
      <c r="Q139" s="238"/>
      <c r="R139" s="51"/>
    </row>
    <row r="140" spans="2:18">
      <c r="B140" s="41"/>
      <c r="C140" s="23"/>
      <c r="D140" s="23"/>
      <c r="E140" s="23"/>
      <c r="F140" s="24"/>
      <c r="G140" s="23"/>
      <c r="H140" s="23"/>
      <c r="O140" s="41"/>
      <c r="P140" s="51"/>
      <c r="Q140" s="51"/>
      <c r="R140" s="51"/>
    </row>
    <row r="141" spans="2:18">
      <c r="B141" s="41"/>
      <c r="C141" s="23"/>
      <c r="D141" s="23"/>
      <c r="E141" s="23"/>
      <c r="F141" s="24"/>
      <c r="G141" s="23"/>
      <c r="H141" s="23"/>
      <c r="O141" s="41"/>
      <c r="P141" s="51"/>
      <c r="Q141" s="51"/>
      <c r="R141" s="51"/>
    </row>
    <row r="142" spans="2:18">
      <c r="B142" s="41"/>
      <c r="C142" s="23"/>
      <c r="D142" s="23"/>
      <c r="E142" s="23"/>
      <c r="F142" s="24"/>
      <c r="O142" s="41"/>
      <c r="P142" s="51"/>
      <c r="Q142" s="51"/>
      <c r="R142" s="51"/>
    </row>
    <row r="143" spans="2:18">
      <c r="B143" s="41"/>
      <c r="C143" s="23"/>
      <c r="D143" s="23"/>
      <c r="E143" s="23"/>
      <c r="F143" s="24"/>
      <c r="O143" s="41"/>
      <c r="P143" s="51"/>
      <c r="Q143" s="51"/>
      <c r="R143" s="51"/>
    </row>
    <row r="144" spans="2:18">
      <c r="B144" s="41"/>
      <c r="C144" s="23"/>
      <c r="D144" s="23"/>
      <c r="E144" s="23"/>
      <c r="F144" s="24"/>
      <c r="O144" s="41"/>
      <c r="P144" s="51"/>
      <c r="Q144" s="51"/>
      <c r="R144" s="51"/>
    </row>
    <row r="145" spans="2:18">
      <c r="B145" s="41"/>
      <c r="C145" s="23"/>
      <c r="D145" s="23"/>
      <c r="E145" s="23"/>
      <c r="F145" s="24"/>
      <c r="O145" s="41"/>
      <c r="P145" s="51"/>
      <c r="Q145" s="51"/>
      <c r="R145" s="51"/>
    </row>
    <row r="146" spans="2:18">
      <c r="B146" s="41"/>
      <c r="C146" s="23"/>
      <c r="D146" s="23"/>
      <c r="E146" s="23"/>
      <c r="F146" s="24"/>
      <c r="O146" s="41"/>
      <c r="P146" s="51"/>
      <c r="Q146" s="51"/>
      <c r="R146" s="51"/>
    </row>
    <row r="147" spans="2:18">
      <c r="B147" s="41"/>
      <c r="C147" s="24"/>
      <c r="D147" s="24"/>
      <c r="E147" s="23"/>
      <c r="F147" s="24"/>
      <c r="O147" s="41"/>
      <c r="P147" s="51"/>
      <c r="Q147" s="51"/>
      <c r="R147" s="51"/>
    </row>
    <row r="148" spans="2:18">
      <c r="B148" s="41"/>
      <c r="C148" s="23"/>
      <c r="D148" s="23"/>
      <c r="E148" s="23"/>
      <c r="F148" s="24"/>
      <c r="G148" s="23"/>
      <c r="H148" s="23"/>
      <c r="O148" s="41"/>
      <c r="P148" s="51"/>
      <c r="Q148" s="51"/>
      <c r="R148" s="51"/>
    </row>
    <row r="149" spans="2:18">
      <c r="B149" s="41"/>
      <c r="C149" s="24"/>
      <c r="D149" s="24"/>
      <c r="E149" s="23"/>
      <c r="O149" s="41"/>
      <c r="P149" s="51"/>
      <c r="Q149" s="51"/>
      <c r="R149" s="51"/>
    </row>
    <row r="150" spans="2:18">
      <c r="B150" s="41"/>
      <c r="C150" s="24"/>
      <c r="D150" s="24"/>
      <c r="E150" s="23"/>
      <c r="O150" s="41"/>
      <c r="P150" s="51"/>
      <c r="Q150" s="51"/>
      <c r="R150" s="51"/>
    </row>
    <row r="151" spans="2:18">
      <c r="B151" s="41"/>
      <c r="C151" s="24"/>
      <c r="D151" s="24"/>
      <c r="E151" s="23"/>
      <c r="O151" s="41"/>
      <c r="P151" s="51"/>
      <c r="Q151" s="51"/>
      <c r="R151" s="51"/>
    </row>
    <row r="152" spans="2:18">
      <c r="B152" s="41"/>
      <c r="C152" s="24"/>
      <c r="D152" s="24"/>
      <c r="E152" s="23"/>
      <c r="O152" s="41"/>
      <c r="P152" s="51"/>
      <c r="Q152" s="51"/>
      <c r="R152" s="51"/>
    </row>
    <row r="153" spans="2:18">
      <c r="B153" s="41"/>
      <c r="C153" s="24"/>
      <c r="D153" s="24"/>
      <c r="E153" s="23"/>
      <c r="O153" s="41"/>
      <c r="P153" s="51"/>
      <c r="Q153" s="51"/>
      <c r="R153" s="51"/>
    </row>
    <row r="154" spans="2:18">
      <c r="B154" s="41"/>
      <c r="C154" s="24"/>
      <c r="D154" s="24"/>
      <c r="E154" s="23"/>
      <c r="O154" s="41"/>
      <c r="P154" s="51"/>
      <c r="Q154" s="51"/>
      <c r="R154" s="51"/>
    </row>
    <row r="155" spans="2:18">
      <c r="B155" s="41"/>
      <c r="C155" s="24"/>
      <c r="D155" s="24"/>
      <c r="E155" s="23"/>
      <c r="O155" s="41"/>
      <c r="P155" s="51"/>
      <c r="Q155" s="51"/>
      <c r="R155" s="51"/>
    </row>
    <row r="156" spans="2:18">
      <c r="B156" s="41"/>
      <c r="C156" s="24"/>
      <c r="D156" s="24"/>
      <c r="E156" s="23"/>
      <c r="O156" s="41"/>
      <c r="P156" s="51"/>
      <c r="Q156" s="51"/>
      <c r="R156" s="51"/>
    </row>
    <row r="157" spans="2:18">
      <c r="B157" s="41"/>
      <c r="C157" s="24"/>
      <c r="D157" s="24"/>
      <c r="E157" s="23"/>
      <c r="O157" s="41"/>
      <c r="P157" s="51"/>
      <c r="Q157" s="51"/>
      <c r="R157" s="51"/>
    </row>
    <row r="158" spans="2:18">
      <c r="B158" s="41"/>
      <c r="C158" s="24"/>
      <c r="D158" s="24"/>
      <c r="E158" s="23"/>
      <c r="O158" s="41"/>
      <c r="P158" s="51"/>
      <c r="Q158" s="51"/>
      <c r="R158" s="51"/>
    </row>
    <row r="159" spans="2:18">
      <c r="B159" s="41"/>
      <c r="C159" s="24"/>
      <c r="D159" s="24"/>
      <c r="O159" s="41"/>
      <c r="P159" s="51"/>
      <c r="Q159" s="51"/>
      <c r="R159" s="51"/>
    </row>
  </sheetData>
  <mergeCells count="10">
    <mergeCell ref="C93:H93"/>
    <mergeCell ref="I93:N93"/>
    <mergeCell ref="O93:T93"/>
    <mergeCell ref="U93:Z93"/>
    <mergeCell ref="AA93:AF93"/>
    <mergeCell ref="C76:H76"/>
    <mergeCell ref="I76:N76"/>
    <mergeCell ref="O76:T76"/>
    <mergeCell ref="U76:Z76"/>
    <mergeCell ref="AA76:AF76"/>
  </mergeCells>
  <phoneticPr fontId="45" type="noConversion"/>
  <pageMargins left="0.7" right="0.7" top="0.75" bottom="0.75" header="0.3" footer="0.3"/>
  <pageSetup paperSize="9" orientation="portrait" horizontalDpi="1200" verticalDpi="12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162"/>
  <sheetViews>
    <sheetView tabSelected="1" topLeftCell="I1" zoomScale="288" workbookViewId="0">
      <selection activeCell="M1" sqref="M1"/>
    </sheetView>
  </sheetViews>
  <sheetFormatPr baseColWidth="10" defaultColWidth="9" defaultRowHeight="14"/>
  <cols>
    <col min="1" max="1" width="10.6640625" customWidth="1"/>
    <col min="2" max="2" width="15" customWidth="1"/>
    <col min="3" max="3" width="19.1640625" customWidth="1"/>
    <col min="4" max="31" width="10.6640625" customWidth="1"/>
    <col min="32" max="33" width="10" bestFit="1" customWidth="1"/>
    <col min="34" max="36" width="9.1640625" bestFit="1" customWidth="1"/>
    <col min="37" max="37" width="10" bestFit="1" customWidth="1"/>
  </cols>
  <sheetData>
    <row r="1" spans="1:30">
      <c r="A1" t="s">
        <v>43</v>
      </c>
      <c r="C1" t="s">
        <v>44</v>
      </c>
      <c r="D1" t="s">
        <v>45</v>
      </c>
      <c r="P1" s="41" t="s">
        <v>46</v>
      </c>
      <c r="Q1" s="41" t="s">
        <v>47</v>
      </c>
      <c r="R1" s="41" t="s">
        <v>39</v>
      </c>
      <c r="S1" s="41" t="s">
        <v>48</v>
      </c>
      <c r="Y1" s="276" t="s">
        <v>49</v>
      </c>
      <c r="Z1" s="276"/>
      <c r="AA1" s="276"/>
      <c r="AB1" s="276"/>
      <c r="AC1" s="276"/>
      <c r="AD1" s="276"/>
    </row>
    <row r="2" spans="1:30"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t="s">
        <v>49</v>
      </c>
      <c r="I2" t="s">
        <v>56</v>
      </c>
      <c r="O2" t="s">
        <v>57</v>
      </c>
    </row>
    <row r="3" spans="1:30">
      <c r="A3" t="s">
        <v>19</v>
      </c>
      <c r="B3" s="41">
        <v>0.11</v>
      </c>
      <c r="C3" s="41">
        <v>1.31</v>
      </c>
      <c r="D3" s="41">
        <v>4.97</v>
      </c>
      <c r="E3" s="41">
        <v>2.3199999999999998</v>
      </c>
      <c r="F3" s="41">
        <v>8.66</v>
      </c>
      <c r="G3" s="41">
        <v>16.18</v>
      </c>
      <c r="H3" s="41">
        <v>16.100000000000001</v>
      </c>
      <c r="I3" s="41">
        <v>32.299999999999997</v>
      </c>
      <c r="O3" t="s">
        <v>58</v>
      </c>
      <c r="P3" s="23">
        <f>SUM('中国动力电池装车量-动力电池联盟'!B60:B62)</f>
        <v>12.153500000000001</v>
      </c>
      <c r="Q3" s="23">
        <f>SUM('中国动力电池装车量-动力电池联盟'!C60:C62)</f>
        <v>5.0528999999999993</v>
      </c>
      <c r="R3" s="23">
        <f>S3-P3-Q3</f>
        <v>0.47710000000000186</v>
      </c>
      <c r="S3" s="23">
        <f>SUM(E60:E62)</f>
        <v>17.683500000000002</v>
      </c>
    </row>
    <row r="4" spans="1:30">
      <c r="A4" t="s">
        <v>20</v>
      </c>
      <c r="B4" s="41">
        <v>0.23</v>
      </c>
      <c r="C4" s="41">
        <v>1.03</v>
      </c>
      <c r="D4" s="41">
        <v>2.2400000000000002</v>
      </c>
      <c r="E4" s="41">
        <v>0.6</v>
      </c>
      <c r="F4" s="41">
        <v>5.58</v>
      </c>
      <c r="G4" s="41">
        <v>13.68</v>
      </c>
      <c r="H4" s="41">
        <v>21.9</v>
      </c>
      <c r="I4" s="41">
        <v>18</v>
      </c>
      <c r="O4" t="s">
        <v>59</v>
      </c>
      <c r="P4" s="23">
        <f>SUM(B63:B65)</f>
        <v>7.6841999999999988</v>
      </c>
      <c r="Q4" s="23">
        <f>SUM(C63:C65)</f>
        <v>4.1058000000000003</v>
      </c>
      <c r="R4" s="23">
        <f t="shared" ref="R4:R10" si="0">S4-P4-Q4</f>
        <v>0.32060000000000066</v>
      </c>
      <c r="S4" s="23">
        <f>SUM(E63:E65)</f>
        <v>12.1106</v>
      </c>
    </row>
    <row r="5" spans="1:30">
      <c r="A5" t="s">
        <v>21</v>
      </c>
      <c r="B5" s="41">
        <v>0.94</v>
      </c>
      <c r="C5" s="41">
        <v>2.08</v>
      </c>
      <c r="D5" s="41">
        <v>5.09</v>
      </c>
      <c r="E5" s="41">
        <v>2.77</v>
      </c>
      <c r="F5" s="41">
        <v>9</v>
      </c>
      <c r="G5" s="41">
        <v>21.42</v>
      </c>
      <c r="H5" s="41">
        <v>27.8</v>
      </c>
      <c r="I5" s="41">
        <v>35</v>
      </c>
      <c r="O5" t="s">
        <v>60</v>
      </c>
      <c r="P5" s="23">
        <f>SUM(B66:B68)</f>
        <v>11.491600000000002</v>
      </c>
      <c r="Q5" s="23">
        <f>SUM(C66:C68)</f>
        <v>8.2576999999999998</v>
      </c>
      <c r="R5" s="23">
        <f t="shared" si="0"/>
        <v>0.32360000000000255</v>
      </c>
      <c r="S5" s="23">
        <f>SUM(E66:E68)</f>
        <v>20.072900000000004</v>
      </c>
    </row>
    <row r="6" spans="1:30">
      <c r="A6" t="s">
        <v>22</v>
      </c>
      <c r="B6" s="41">
        <v>0.93</v>
      </c>
      <c r="C6" s="41">
        <v>3.76</v>
      </c>
      <c r="D6" s="41">
        <v>5.41</v>
      </c>
      <c r="E6" s="41">
        <v>3.59</v>
      </c>
      <c r="F6" s="41">
        <v>8.39</v>
      </c>
      <c r="G6" s="41">
        <v>13.27</v>
      </c>
      <c r="H6" s="41">
        <v>25.1</v>
      </c>
      <c r="I6" s="41"/>
      <c r="O6" t="s">
        <v>61</v>
      </c>
      <c r="P6" s="23">
        <f>SUM(B69:B71)</f>
        <v>4.3248999999999995</v>
      </c>
      <c r="Q6" s="23">
        <f>SUM(C69:C71)</f>
        <v>1.3344999999999998</v>
      </c>
      <c r="R6" s="23">
        <f t="shared" si="0"/>
        <v>2.5600000000001177E-2</v>
      </c>
      <c r="S6" s="23">
        <f>SUM(E69:E71)</f>
        <v>5.6850000000000005</v>
      </c>
    </row>
    <row r="7" spans="1:30">
      <c r="A7" t="s">
        <v>23</v>
      </c>
      <c r="B7" s="41">
        <v>1.44</v>
      </c>
      <c r="C7" s="41">
        <v>4.5</v>
      </c>
      <c r="D7" s="41">
        <v>5.68</v>
      </c>
      <c r="E7" s="41">
        <v>3.51</v>
      </c>
      <c r="F7" s="41">
        <v>9.76</v>
      </c>
      <c r="G7" s="41">
        <v>18.559999999999999</v>
      </c>
      <c r="H7" s="41">
        <v>28.2</v>
      </c>
      <c r="I7" s="41"/>
      <c r="O7" t="s">
        <v>62</v>
      </c>
      <c r="P7" s="23">
        <f>SUM(B72:B74)</f>
        <v>8.2903000000000002</v>
      </c>
      <c r="Q7" s="23">
        <f>SUM(C72:C74)</f>
        <v>3.4086999999999996</v>
      </c>
      <c r="R7" s="23">
        <f t="shared" si="0"/>
        <v>9.389999999999965E-2</v>
      </c>
      <c r="S7" s="23">
        <f>SUM(E72:E74)</f>
        <v>11.792899999999999</v>
      </c>
    </row>
    <row r="8" spans="1:30">
      <c r="A8" t="s">
        <v>24</v>
      </c>
      <c r="B8" s="41">
        <v>2.17</v>
      </c>
      <c r="C8" s="41">
        <v>2.87</v>
      </c>
      <c r="D8" s="41">
        <v>6.62</v>
      </c>
      <c r="E8" s="41">
        <v>4.7</v>
      </c>
      <c r="F8" s="41">
        <v>11.1</v>
      </c>
      <c r="G8" s="41">
        <v>27.01</v>
      </c>
      <c r="H8" s="41">
        <v>32.9</v>
      </c>
      <c r="I8" s="41"/>
      <c r="O8" t="s">
        <v>63</v>
      </c>
      <c r="P8" s="23">
        <f>SUM(B75:B77)</f>
        <v>10.9892</v>
      </c>
      <c r="Q8" s="23">
        <f>SUM(C75:C77)</f>
        <v>5.6218000000000004</v>
      </c>
      <c r="R8" s="23">
        <f t="shared" si="0"/>
        <v>0.11580000000000013</v>
      </c>
      <c r="S8" s="23">
        <f>SUM(E75:E77)</f>
        <v>16.726800000000001</v>
      </c>
    </row>
    <row r="9" spans="1:30">
      <c r="A9" t="s">
        <v>25</v>
      </c>
      <c r="B9" s="41">
        <v>2.6</v>
      </c>
      <c r="C9" s="41">
        <v>3.34</v>
      </c>
      <c r="D9" s="41">
        <v>4.7</v>
      </c>
      <c r="E9" s="41">
        <v>5.0199999999999996</v>
      </c>
      <c r="F9" s="41">
        <v>11.29</v>
      </c>
      <c r="G9" s="41">
        <v>24.19</v>
      </c>
      <c r="H9" s="41">
        <v>32.200000000000003</v>
      </c>
      <c r="I9" s="41"/>
      <c r="O9" t="s">
        <v>64</v>
      </c>
      <c r="P9" s="23">
        <f>SUM(B78:B80)</f>
        <v>15.253900000000002</v>
      </c>
      <c r="Q9" s="23">
        <f>SUM(C78:C80)</f>
        <v>14.017899999999999</v>
      </c>
      <c r="R9" s="23">
        <f t="shared" si="0"/>
        <v>0.16199999999999726</v>
      </c>
      <c r="S9" s="23">
        <f>SUM(E78:E80)</f>
        <v>29.433799999999998</v>
      </c>
    </row>
    <row r="10" spans="1:30">
      <c r="A10" t="s">
        <v>26</v>
      </c>
      <c r="B10" s="41">
        <v>2.9</v>
      </c>
      <c r="C10" s="41">
        <v>4.18</v>
      </c>
      <c r="D10" s="41">
        <v>3.46</v>
      </c>
      <c r="E10" s="41">
        <v>5.13</v>
      </c>
      <c r="F10" s="41">
        <v>12.56</v>
      </c>
      <c r="G10" s="41">
        <v>27.75</v>
      </c>
      <c r="H10" s="41">
        <v>34.9</v>
      </c>
      <c r="I10" s="41"/>
      <c r="O10" t="s">
        <v>65</v>
      </c>
      <c r="P10" s="23">
        <f>SUM(B81:B83)</f>
        <v>13.821100000000001</v>
      </c>
      <c r="Q10" s="23">
        <f>SUM(C81:C83)</f>
        <v>9.3849000000000018</v>
      </c>
      <c r="R10" s="23">
        <f t="shared" si="0"/>
        <v>3.0499999999996419E-2</v>
      </c>
      <c r="S10" s="23">
        <f>SUM(E81:E83)</f>
        <v>23.236499999999999</v>
      </c>
    </row>
    <row r="11" spans="1:30">
      <c r="A11" t="s">
        <v>27</v>
      </c>
      <c r="B11" s="41">
        <v>3.43</v>
      </c>
      <c r="C11" s="41">
        <v>5.72</v>
      </c>
      <c r="D11" s="41">
        <v>3.95</v>
      </c>
      <c r="E11" s="41">
        <v>6.58</v>
      </c>
      <c r="F11" s="41">
        <v>15.69</v>
      </c>
      <c r="G11" s="41">
        <v>31.63</v>
      </c>
      <c r="H11" s="41">
        <v>36.4</v>
      </c>
      <c r="I11" s="41"/>
      <c r="O11" t="s">
        <v>66</v>
      </c>
      <c r="P11" s="23">
        <f>SUM(B84:B86)</f>
        <v>16.3325</v>
      </c>
      <c r="Q11" s="23">
        <f>SUM(C84:C86)</f>
        <v>12.837599999999998</v>
      </c>
      <c r="R11" s="23">
        <f>SUM(D84:D86)</f>
        <v>7.9500000000001236E-2</v>
      </c>
      <c r="S11" s="23">
        <f>SUM(E84:E86)</f>
        <v>29.249600000000001</v>
      </c>
    </row>
    <row r="12" spans="1:30">
      <c r="A12" t="s">
        <v>28</v>
      </c>
      <c r="B12" s="41">
        <v>2.92</v>
      </c>
      <c r="C12" s="41">
        <v>5.94</v>
      </c>
      <c r="D12" s="41">
        <v>4.07</v>
      </c>
      <c r="E12" s="41">
        <v>5.87</v>
      </c>
      <c r="F12" s="41">
        <v>15.42</v>
      </c>
      <c r="G12" s="41">
        <v>30.54</v>
      </c>
      <c r="H12" s="41">
        <v>39.200000000000003</v>
      </c>
      <c r="I12" s="41"/>
      <c r="O12" t="s">
        <v>67</v>
      </c>
      <c r="P12" s="23">
        <f>SUM(B87:B89)</f>
        <v>16.9314</v>
      </c>
      <c r="Q12" s="23">
        <f>SUM(C87:C89)</f>
        <v>22.555100000000003</v>
      </c>
      <c r="R12" s="23">
        <f>SUM(D87:D89)</f>
        <v>6.0500000000001108E-2</v>
      </c>
      <c r="S12" s="23">
        <f>SUM(E87:E89)</f>
        <v>39.546999999999997</v>
      </c>
    </row>
    <row r="13" spans="1:30">
      <c r="A13" t="s">
        <v>29</v>
      </c>
      <c r="B13" s="41">
        <v>7.16</v>
      </c>
      <c r="C13" s="41">
        <v>8.92</v>
      </c>
      <c r="D13" s="41">
        <v>6.29</v>
      </c>
      <c r="E13" s="41">
        <v>10.61</v>
      </c>
      <c r="F13" s="41">
        <v>20.82</v>
      </c>
      <c r="G13" s="41">
        <v>34.26</v>
      </c>
      <c r="H13" s="41">
        <v>44.9</v>
      </c>
      <c r="I13" s="41"/>
      <c r="O13" t="s">
        <v>68</v>
      </c>
      <c r="P13" s="23">
        <f>SUM(B90:B92)</f>
        <v>27.2624</v>
      </c>
      <c r="Q13" s="23">
        <f>SUM(C90:C92)</f>
        <v>35.0593</v>
      </c>
      <c r="R13" s="23">
        <f>SUM(D90:D92)</f>
        <v>0.14050000000000651</v>
      </c>
      <c r="S13">
        <f>SUM(E90:E92)</f>
        <v>62.462200000000003</v>
      </c>
    </row>
    <row r="14" spans="1:30">
      <c r="A14" t="s">
        <v>30</v>
      </c>
      <c r="B14" s="41">
        <v>11.6</v>
      </c>
      <c r="C14" s="41">
        <v>13.37</v>
      </c>
      <c r="D14" s="41">
        <v>9.7100000000000009</v>
      </c>
      <c r="E14" s="41">
        <v>12.95</v>
      </c>
      <c r="F14" s="41">
        <v>26.22</v>
      </c>
      <c r="G14" s="41">
        <v>36.15</v>
      </c>
      <c r="H14" s="41">
        <v>47.9</v>
      </c>
      <c r="I14" s="41"/>
      <c r="O14" t="s">
        <v>69</v>
      </c>
      <c r="P14" s="23">
        <f>SUM(T24:T26)</f>
        <v>21355.200000000001</v>
      </c>
      <c r="Q14" s="23">
        <f>SUM(U24:U26)</f>
        <v>29835.3</v>
      </c>
      <c r="R14" s="23">
        <f>SUM(D93:D95)</f>
        <v>8.490000000000375E-2</v>
      </c>
      <c r="S14" s="24">
        <f>SUM(E93:E95)</f>
        <v>51.275400000000005</v>
      </c>
    </row>
    <row r="15" spans="1:30">
      <c r="A15" t="s">
        <v>48</v>
      </c>
      <c r="B15" s="41">
        <f t="shared" ref="B15:I15" si="1">SUM(B3:B14)</f>
        <v>36.43</v>
      </c>
      <c r="C15" s="41">
        <f t="shared" si="1"/>
        <v>57.019999999999996</v>
      </c>
      <c r="D15" s="41">
        <f t="shared" si="1"/>
        <v>62.190000000000005</v>
      </c>
      <c r="E15" s="41">
        <f t="shared" si="1"/>
        <v>63.649999999999991</v>
      </c>
      <c r="F15" s="41">
        <f t="shared" si="1"/>
        <v>154.49</v>
      </c>
      <c r="G15" s="41">
        <f t="shared" si="1"/>
        <v>294.64</v>
      </c>
      <c r="H15" s="41">
        <f t="shared" si="1"/>
        <v>387.49999999999994</v>
      </c>
      <c r="I15" s="41">
        <f t="shared" si="1"/>
        <v>85.3</v>
      </c>
      <c r="O15" t="s">
        <v>70</v>
      </c>
      <c r="P15" s="23">
        <f>SUM(T27:T29)</f>
        <v>24245.200000000001</v>
      </c>
      <c r="Q15" s="23">
        <f>SUM(U27:U29)</f>
        <v>34536.6</v>
      </c>
      <c r="R15" s="23">
        <f>SUM(D96:D98)</f>
        <v>6.1700000000001864E-2</v>
      </c>
      <c r="S15">
        <f>SUM(E96:E98)</f>
        <v>58.843499999999999</v>
      </c>
    </row>
    <row r="16" spans="1:30">
      <c r="O16" t="s">
        <v>71</v>
      </c>
      <c r="P16" s="23">
        <f>SUM(T30:T32)</f>
        <v>31570.400000000001</v>
      </c>
      <c r="Q16" s="23">
        <f>SUM(U30:U32)</f>
        <v>51947.7</v>
      </c>
      <c r="R16" s="23">
        <f>SUM(D99:D101)</f>
        <v>5.5500000000002103E-2</v>
      </c>
      <c r="S16">
        <f>SUM(E99:E101)</f>
        <v>83.573599999999999</v>
      </c>
    </row>
    <row r="17" spans="1:37">
      <c r="O17" t="s">
        <v>72</v>
      </c>
      <c r="P17" s="23">
        <f>SUM(T33:T35)</f>
        <v>33273.699999999997</v>
      </c>
      <c r="Q17" s="23">
        <f>SUM(U33:U35)</f>
        <v>67433.5</v>
      </c>
      <c r="R17" s="23">
        <f>SUM(D102:D104)</f>
        <v>0.24699999999999989</v>
      </c>
      <c r="S17">
        <f>SUM(E102:E104)</f>
        <v>100.9542</v>
      </c>
    </row>
    <row r="18" spans="1:37">
      <c r="O18" t="s">
        <v>73</v>
      </c>
      <c r="P18">
        <v>20879</v>
      </c>
      <c r="Q18">
        <v>44915.8</v>
      </c>
      <c r="R18">
        <v>56.3</v>
      </c>
      <c r="S18">
        <v>65851.100000000006</v>
      </c>
    </row>
    <row r="19" spans="1:37">
      <c r="O19" t="s">
        <v>74</v>
      </c>
      <c r="P19" s="23">
        <f>SUM(Z27:Z29)</f>
        <v>27110.5</v>
      </c>
      <c r="Q19" s="23">
        <f>SUM(AA27:AA29)</f>
        <v>59018.299999999996</v>
      </c>
      <c r="R19" s="23">
        <f>SUM(AB27:AD29)</f>
        <v>148.20000000000002</v>
      </c>
      <c r="S19" s="23">
        <f>SUM(AE27:AE29)</f>
        <v>86277.1</v>
      </c>
    </row>
    <row r="20" spans="1:37">
      <c r="O20" t="s">
        <v>75</v>
      </c>
      <c r="P20" s="23">
        <f>SUM(Z30:Z32)</f>
        <v>33569.199999999997</v>
      </c>
      <c r="Q20" s="23">
        <f>SUM(AA30:AA32)</f>
        <v>69911.3</v>
      </c>
      <c r="R20" s="23">
        <f>SUM(AB30:AD32)</f>
        <v>44</v>
      </c>
      <c r="S20" s="23">
        <f>SUM(AE30:AE32)</f>
        <v>103518.39999999999</v>
      </c>
    </row>
    <row r="21" spans="1:37">
      <c r="A21" t="s">
        <v>76</v>
      </c>
      <c r="E21" t="s">
        <v>77</v>
      </c>
      <c r="F21" t="s">
        <v>45</v>
      </c>
      <c r="J21" s="39"/>
    </row>
    <row r="22" spans="1:37">
      <c r="B22" s="276" t="s">
        <v>52</v>
      </c>
      <c r="C22" s="276"/>
      <c r="D22" s="276"/>
      <c r="E22" s="276"/>
      <c r="F22" s="276"/>
      <c r="G22" s="276"/>
      <c r="H22" s="276" t="s">
        <v>53</v>
      </c>
      <c r="I22" s="276"/>
      <c r="J22" s="276"/>
      <c r="K22" s="276"/>
      <c r="L22" s="276"/>
      <c r="M22" s="276"/>
      <c r="N22" s="276" t="s">
        <v>54</v>
      </c>
      <c r="O22" s="276"/>
      <c r="P22" s="276"/>
      <c r="Q22" s="276"/>
      <c r="R22" s="276"/>
      <c r="S22" s="276"/>
      <c r="T22" s="276" t="s">
        <v>55</v>
      </c>
      <c r="U22" s="276"/>
      <c r="V22" s="276"/>
      <c r="W22" s="276"/>
      <c r="X22" s="276"/>
      <c r="Y22" s="276"/>
      <c r="Z22" s="276" t="s">
        <v>78</v>
      </c>
      <c r="AA22" s="276"/>
      <c r="AB22" s="276"/>
      <c r="AC22" s="276"/>
      <c r="AD22" s="276"/>
      <c r="AE22" s="276"/>
      <c r="AF22" s="276" t="s">
        <v>56</v>
      </c>
      <c r="AG22" s="276"/>
      <c r="AH22" s="276"/>
      <c r="AI22" s="276"/>
      <c r="AJ22" s="276"/>
      <c r="AK22" s="276"/>
    </row>
    <row r="23" spans="1:37">
      <c r="B23" s="41" t="s">
        <v>46</v>
      </c>
      <c r="C23" s="41" t="s">
        <v>47</v>
      </c>
      <c r="D23" s="41" t="s">
        <v>79</v>
      </c>
      <c r="E23" s="41" t="s">
        <v>80</v>
      </c>
      <c r="F23" s="41" t="s">
        <v>39</v>
      </c>
      <c r="G23" s="41" t="s">
        <v>48</v>
      </c>
      <c r="H23" s="41" t="s">
        <v>46</v>
      </c>
      <c r="I23" s="41" t="s">
        <v>47</v>
      </c>
      <c r="J23" s="41" t="s">
        <v>79</v>
      </c>
      <c r="K23" s="41" t="s">
        <v>80</v>
      </c>
      <c r="L23" s="41" t="s">
        <v>39</v>
      </c>
      <c r="M23" s="41" t="s">
        <v>48</v>
      </c>
      <c r="N23" s="41" t="s">
        <v>46</v>
      </c>
      <c r="O23" s="41" t="s">
        <v>47</v>
      </c>
      <c r="P23" s="41" t="s">
        <v>79</v>
      </c>
      <c r="Q23" s="41" t="s">
        <v>80</v>
      </c>
      <c r="R23" s="41" t="s">
        <v>39</v>
      </c>
      <c r="S23" s="41" t="s">
        <v>48</v>
      </c>
      <c r="T23" s="41" t="s">
        <v>46</v>
      </c>
      <c r="U23" s="41" t="s">
        <v>47</v>
      </c>
      <c r="V23" s="41" t="s">
        <v>79</v>
      </c>
      <c r="W23" s="41" t="s">
        <v>80</v>
      </c>
      <c r="X23" s="41" t="s">
        <v>39</v>
      </c>
      <c r="Y23" s="41" t="s">
        <v>48</v>
      </c>
      <c r="Z23" s="41" t="s">
        <v>46</v>
      </c>
      <c r="AA23" s="41" t="s">
        <v>47</v>
      </c>
      <c r="AB23" s="41" t="s">
        <v>79</v>
      </c>
      <c r="AC23" s="41" t="s">
        <v>80</v>
      </c>
      <c r="AD23" s="41" t="s">
        <v>39</v>
      </c>
      <c r="AE23" s="41" t="s">
        <v>48</v>
      </c>
      <c r="AF23" s="41" t="s">
        <v>46</v>
      </c>
      <c r="AG23" s="41" t="s">
        <v>47</v>
      </c>
      <c r="AH23" s="41" t="s">
        <v>79</v>
      </c>
      <c r="AI23" s="41" t="s">
        <v>80</v>
      </c>
      <c r="AJ23" s="41" t="s">
        <v>39</v>
      </c>
      <c r="AK23" s="41" t="s">
        <v>48</v>
      </c>
    </row>
    <row r="24" spans="1:37">
      <c r="A24" t="s">
        <v>19</v>
      </c>
      <c r="B24" s="237">
        <v>3470</v>
      </c>
      <c r="C24" s="237">
        <v>1420</v>
      </c>
      <c r="D24" s="237">
        <v>40</v>
      </c>
      <c r="E24" s="237">
        <v>50</v>
      </c>
      <c r="F24" s="25">
        <v>0</v>
      </c>
      <c r="G24" s="237">
        <f>SUM(B24:F24)</f>
        <v>4980</v>
      </c>
      <c r="H24" s="23">
        <v>1579.2</v>
      </c>
      <c r="I24" s="23">
        <v>723.4</v>
      </c>
      <c r="J24" s="23">
        <v>11.5</v>
      </c>
      <c r="K24" s="23">
        <v>0.3</v>
      </c>
      <c r="L24" s="23">
        <v>2.4</v>
      </c>
      <c r="M24" s="23">
        <f>SUM(H24:L24)</f>
        <v>2316.8000000000002</v>
      </c>
      <c r="N24" s="23">
        <v>5398.6</v>
      </c>
      <c r="O24" s="23">
        <v>3253.9</v>
      </c>
      <c r="P24" s="23">
        <v>8.1</v>
      </c>
      <c r="Q24" s="23">
        <v>0.5</v>
      </c>
      <c r="R24" s="23">
        <v>0</v>
      </c>
      <c r="S24" s="23">
        <f>SUM(N24:R24)</f>
        <v>8661.1</v>
      </c>
      <c r="T24" s="23">
        <v>7299.9</v>
      </c>
      <c r="U24" s="23">
        <v>8873.9</v>
      </c>
      <c r="V24" s="23">
        <v>0.3</v>
      </c>
      <c r="W24" s="23">
        <v>9.9</v>
      </c>
      <c r="X24" s="23">
        <v>0</v>
      </c>
      <c r="Y24" s="23">
        <f t="shared" ref="Y24:Y35" si="2">SUM(T24:X24)</f>
        <v>16183.999999999998</v>
      </c>
      <c r="Z24" s="23">
        <v>5433</v>
      </c>
      <c r="AA24" s="23">
        <v>10683.2</v>
      </c>
      <c r="AB24" s="23">
        <v>4.3</v>
      </c>
      <c r="AC24" s="23">
        <v>12.8</v>
      </c>
      <c r="AD24" s="23">
        <v>0</v>
      </c>
      <c r="AE24" s="23">
        <f>SUM(Z24:AD24)</f>
        <v>16133.3</v>
      </c>
      <c r="AF24" s="23">
        <v>12600</v>
      </c>
      <c r="AG24" s="23">
        <v>19700</v>
      </c>
      <c r="AH24" s="23"/>
      <c r="AI24" s="23"/>
      <c r="AJ24" s="23"/>
      <c r="AK24" s="23">
        <v>32300</v>
      </c>
    </row>
    <row r="25" spans="1:37">
      <c r="A25" t="s">
        <v>20</v>
      </c>
      <c r="B25" s="237">
        <v>1848.4</v>
      </c>
      <c r="C25" s="237">
        <v>321.5</v>
      </c>
      <c r="D25" s="237">
        <v>8.1999999999999993</v>
      </c>
      <c r="E25" s="237">
        <v>63.8</v>
      </c>
      <c r="F25" s="237">
        <v>0</v>
      </c>
      <c r="G25" s="237">
        <f t="shared" ref="G25:G35" si="3">SUM(B25:F25)</f>
        <v>2241.9</v>
      </c>
      <c r="H25" s="23">
        <v>521.20000000000005</v>
      </c>
      <c r="I25" s="23">
        <v>76.599999999999994</v>
      </c>
      <c r="J25" s="23">
        <v>0.3</v>
      </c>
      <c r="K25" s="23">
        <v>0</v>
      </c>
      <c r="L25" s="23">
        <v>0</v>
      </c>
      <c r="M25" s="23">
        <f t="shared" ref="M25:M35" si="4">SUM(H25:L25)</f>
        <v>598.1</v>
      </c>
      <c r="N25" s="23">
        <v>3328.1</v>
      </c>
      <c r="O25" s="23">
        <v>2240.3000000000002</v>
      </c>
      <c r="P25" s="23">
        <v>6</v>
      </c>
      <c r="Q25" s="23">
        <v>4.5999999999999996</v>
      </c>
      <c r="R25" s="23">
        <v>0</v>
      </c>
      <c r="S25" s="23">
        <f t="shared" ref="S25:S35" si="5">SUM(N25:R25)</f>
        <v>5579</v>
      </c>
      <c r="T25" s="23">
        <v>5845.3</v>
      </c>
      <c r="U25" s="23">
        <v>7780.1</v>
      </c>
      <c r="V25" s="23">
        <v>46.7</v>
      </c>
      <c r="W25" s="23">
        <v>3.9</v>
      </c>
      <c r="X25" s="23">
        <v>0</v>
      </c>
      <c r="Y25" s="23">
        <f t="shared" si="2"/>
        <v>13676.000000000002</v>
      </c>
      <c r="Z25" s="23">
        <v>6720.6</v>
      </c>
      <c r="AA25" s="23">
        <v>15193.1</v>
      </c>
      <c r="AB25" s="23">
        <v>6.8</v>
      </c>
      <c r="AC25" s="23">
        <v>12.2</v>
      </c>
      <c r="AD25" s="23">
        <v>2.4</v>
      </c>
      <c r="AE25" s="23">
        <v>21935.200000000001</v>
      </c>
      <c r="AF25" s="23">
        <v>6900</v>
      </c>
      <c r="AG25" s="23">
        <v>11000</v>
      </c>
      <c r="AH25" s="23"/>
      <c r="AI25" s="23"/>
      <c r="AJ25" s="23"/>
      <c r="AK25" s="23">
        <v>18000</v>
      </c>
    </row>
    <row r="26" spans="1:37">
      <c r="A26" t="s">
        <v>21</v>
      </c>
      <c r="B26" s="23">
        <v>3892.7</v>
      </c>
      <c r="C26" s="23">
        <v>1052.7</v>
      </c>
      <c r="D26" s="23">
        <v>15.5</v>
      </c>
      <c r="E26" s="23">
        <v>73.400000000000006</v>
      </c>
      <c r="F26" s="23">
        <v>53.6</v>
      </c>
      <c r="G26" s="23">
        <f t="shared" si="3"/>
        <v>5087.8999999999996</v>
      </c>
      <c r="H26" s="23">
        <v>2224.5</v>
      </c>
      <c r="I26" s="23">
        <v>534.5</v>
      </c>
      <c r="J26" s="23">
        <v>10.8</v>
      </c>
      <c r="K26" s="23">
        <v>0</v>
      </c>
      <c r="L26" s="23">
        <v>0.3</v>
      </c>
      <c r="M26" s="23">
        <f t="shared" si="4"/>
        <v>2770.1000000000004</v>
      </c>
      <c r="N26" s="23">
        <v>5094.3999999999996</v>
      </c>
      <c r="O26" s="23">
        <v>3890.7</v>
      </c>
      <c r="P26" s="23">
        <v>10</v>
      </c>
      <c r="Q26" s="23">
        <v>1.3</v>
      </c>
      <c r="R26" s="23">
        <v>0</v>
      </c>
      <c r="S26" s="23">
        <f t="shared" si="5"/>
        <v>8996.3999999999978</v>
      </c>
      <c r="T26" s="23">
        <v>8210</v>
      </c>
      <c r="U26" s="23">
        <v>13181.3</v>
      </c>
      <c r="V26" s="23">
        <v>13.6</v>
      </c>
      <c r="W26" s="23">
        <v>10.5</v>
      </c>
      <c r="X26" s="23">
        <v>0</v>
      </c>
      <c r="Y26" s="23">
        <f t="shared" si="2"/>
        <v>21415.399999999998</v>
      </c>
      <c r="Z26" s="23">
        <v>8725.4</v>
      </c>
      <c r="AA26" s="23">
        <v>19039.5</v>
      </c>
      <c r="AB26" s="23">
        <v>5.9</v>
      </c>
      <c r="AC26" s="23">
        <v>6.6</v>
      </c>
      <c r="AD26" s="23">
        <v>5.2</v>
      </c>
      <c r="AE26" s="23">
        <v>27782.7</v>
      </c>
      <c r="AF26" s="23">
        <v>11300</v>
      </c>
      <c r="AG26" s="23">
        <v>23600</v>
      </c>
      <c r="AH26" s="23"/>
      <c r="AI26" s="23"/>
      <c r="AJ26" s="23"/>
      <c r="AK26" s="23">
        <v>35000</v>
      </c>
    </row>
    <row r="27" spans="1:37">
      <c r="A27" t="s">
        <v>22</v>
      </c>
      <c r="B27" s="23">
        <v>3762.8</v>
      </c>
      <c r="C27" s="23">
        <v>1531.3</v>
      </c>
      <c r="D27" s="23">
        <v>26.9</v>
      </c>
      <c r="E27" s="23">
        <v>5.2</v>
      </c>
      <c r="F27" s="23">
        <v>80.5</v>
      </c>
      <c r="G27" s="23">
        <f t="shared" si="3"/>
        <v>5406.7</v>
      </c>
      <c r="H27" s="23">
        <v>2620.3000000000002</v>
      </c>
      <c r="I27" s="23">
        <v>930.8</v>
      </c>
      <c r="J27" s="23">
        <v>10.5</v>
      </c>
      <c r="K27" s="23">
        <v>0.6</v>
      </c>
      <c r="L27" s="23">
        <v>25.2</v>
      </c>
      <c r="M27" s="23">
        <f t="shared" si="4"/>
        <v>3587.4</v>
      </c>
      <c r="N27" s="23">
        <v>5168.8</v>
      </c>
      <c r="O27" s="23">
        <v>3206.6</v>
      </c>
      <c r="P27" s="23">
        <v>8.1999999999999993</v>
      </c>
      <c r="Q27" s="23">
        <v>11.1</v>
      </c>
      <c r="R27" s="23">
        <v>0</v>
      </c>
      <c r="S27" s="23">
        <f t="shared" si="5"/>
        <v>8394.7000000000007</v>
      </c>
      <c r="T27" s="23">
        <v>4362.8</v>
      </c>
      <c r="U27" s="23">
        <v>8888</v>
      </c>
      <c r="V27" s="23">
        <v>8.1</v>
      </c>
      <c r="W27" s="23">
        <v>10.199999999999999</v>
      </c>
      <c r="X27" s="23">
        <v>0</v>
      </c>
      <c r="Y27" s="23">
        <f t="shared" si="2"/>
        <v>13269.1</v>
      </c>
      <c r="Z27" s="23">
        <v>8004.1</v>
      </c>
      <c r="AA27" s="23">
        <v>17126.599999999999</v>
      </c>
      <c r="AB27" s="23">
        <v>5.9</v>
      </c>
      <c r="AC27" s="23">
        <v>0</v>
      </c>
      <c r="AD27" s="23">
        <v>1.6</v>
      </c>
      <c r="AE27" s="23">
        <v>25138.2</v>
      </c>
      <c r="AF27" s="23"/>
      <c r="AG27" s="23"/>
      <c r="AH27" s="23"/>
      <c r="AI27" s="23"/>
      <c r="AJ27" s="23"/>
      <c r="AK27" s="23"/>
    </row>
    <row r="28" spans="1:37">
      <c r="A28" t="s">
        <v>23</v>
      </c>
      <c r="B28" s="23">
        <v>3697</v>
      </c>
      <c r="C28" s="23">
        <v>1786.7</v>
      </c>
      <c r="D28" s="23">
        <v>110.9</v>
      </c>
      <c r="E28" s="23">
        <v>9.6</v>
      </c>
      <c r="F28" s="23">
        <v>64.400000000000006</v>
      </c>
      <c r="G28" s="23">
        <f t="shared" si="3"/>
        <v>5668.5999999999995</v>
      </c>
      <c r="H28" s="23">
        <v>2673.4</v>
      </c>
      <c r="I28" s="23">
        <v>808.6</v>
      </c>
      <c r="J28" s="23">
        <v>13.7</v>
      </c>
      <c r="K28" s="23">
        <v>0</v>
      </c>
      <c r="L28" s="23">
        <v>10.4</v>
      </c>
      <c r="M28" s="23">
        <f t="shared" si="4"/>
        <v>3506.1</v>
      </c>
      <c r="N28" s="23">
        <v>5221.3999999999996</v>
      </c>
      <c r="O28" s="23">
        <v>4517.1000000000004</v>
      </c>
      <c r="P28" s="23">
        <v>8</v>
      </c>
      <c r="Q28" s="23">
        <v>8.6</v>
      </c>
      <c r="R28" s="23">
        <v>0</v>
      </c>
      <c r="S28" s="23">
        <f t="shared" si="5"/>
        <v>9755.1</v>
      </c>
      <c r="T28" s="23">
        <v>8303.4</v>
      </c>
      <c r="U28" s="23">
        <v>10232.299999999999</v>
      </c>
      <c r="V28" s="23">
        <v>2.9</v>
      </c>
      <c r="W28" s="23">
        <v>25.5</v>
      </c>
      <c r="X28" s="23">
        <v>0</v>
      </c>
      <c r="Y28" s="23">
        <f t="shared" si="2"/>
        <v>18564.099999999999</v>
      </c>
      <c r="Z28" s="23">
        <v>9028.1</v>
      </c>
      <c r="AA28" s="23">
        <v>19153.3</v>
      </c>
      <c r="AB28" s="23">
        <v>42.8</v>
      </c>
      <c r="AC28" s="23">
        <v>15.8</v>
      </c>
      <c r="AD28" s="23">
        <v>2.2999999999999998</v>
      </c>
      <c r="AE28" s="23">
        <v>28242.3</v>
      </c>
      <c r="AF28" s="23"/>
      <c r="AG28" s="23"/>
      <c r="AH28" s="23"/>
      <c r="AI28" s="23"/>
      <c r="AJ28" s="23"/>
      <c r="AK28" s="23"/>
    </row>
    <row r="29" spans="1:37">
      <c r="A29" t="s">
        <v>24</v>
      </c>
      <c r="B29" s="23">
        <v>4693.7</v>
      </c>
      <c r="C29" s="23">
        <v>1734.9</v>
      </c>
      <c r="D29" s="23">
        <v>55.6</v>
      </c>
      <c r="E29" s="23">
        <v>78.2</v>
      </c>
      <c r="F29" s="23">
        <v>45.8</v>
      </c>
      <c r="G29" s="23">
        <f t="shared" si="3"/>
        <v>6608.2000000000007</v>
      </c>
      <c r="H29" s="23">
        <v>2996.6</v>
      </c>
      <c r="I29" s="23">
        <v>1669.3</v>
      </c>
      <c r="J29" s="23">
        <v>17.2</v>
      </c>
      <c r="K29" s="23">
        <v>2.7</v>
      </c>
      <c r="L29" s="23">
        <v>13.6</v>
      </c>
      <c r="M29" s="23">
        <f t="shared" si="4"/>
        <v>4699.3999999999996</v>
      </c>
      <c r="N29" s="23">
        <v>5942.3</v>
      </c>
      <c r="O29" s="23">
        <v>5113.8999999999996</v>
      </c>
      <c r="P29" s="23">
        <v>26.5</v>
      </c>
      <c r="Q29" s="23">
        <v>17.100000000000001</v>
      </c>
      <c r="R29" s="23">
        <v>0</v>
      </c>
      <c r="S29" s="23">
        <f t="shared" si="5"/>
        <v>11099.800000000001</v>
      </c>
      <c r="T29" s="23">
        <v>11579</v>
      </c>
      <c r="U29" s="23">
        <v>15416.3</v>
      </c>
      <c r="V29" s="23">
        <v>15</v>
      </c>
      <c r="W29" s="23">
        <v>0</v>
      </c>
      <c r="X29" s="23">
        <v>0</v>
      </c>
      <c r="Y29" s="23">
        <f t="shared" si="2"/>
        <v>27010.3</v>
      </c>
      <c r="Z29" s="23">
        <v>10078.299999999999</v>
      </c>
      <c r="AA29" s="23">
        <v>22738.400000000001</v>
      </c>
      <c r="AB29" s="23">
        <v>57.7</v>
      </c>
      <c r="AC29" s="23">
        <v>16.3</v>
      </c>
      <c r="AD29" s="23">
        <v>5.8</v>
      </c>
      <c r="AE29" s="23">
        <v>32896.6</v>
      </c>
      <c r="AF29" s="23"/>
      <c r="AG29" s="23"/>
      <c r="AH29" s="23"/>
      <c r="AI29" s="23"/>
      <c r="AJ29" s="23"/>
      <c r="AK29" s="23"/>
    </row>
    <row r="30" spans="1:37">
      <c r="A30" t="s">
        <v>25</v>
      </c>
      <c r="B30" s="23">
        <v>2073</v>
      </c>
      <c r="C30" s="23">
        <v>2518.4</v>
      </c>
      <c r="D30" s="23">
        <v>35.9</v>
      </c>
      <c r="E30" s="23">
        <v>0.5</v>
      </c>
      <c r="F30" s="23">
        <v>69.7</v>
      </c>
      <c r="G30" s="23">
        <f t="shared" si="3"/>
        <v>4697.4999999999991</v>
      </c>
      <c r="H30" s="23">
        <v>3257</v>
      </c>
      <c r="I30" s="23">
        <v>1728.4</v>
      </c>
      <c r="J30" s="23">
        <v>20.6</v>
      </c>
      <c r="K30" s="23">
        <v>13</v>
      </c>
      <c r="L30" s="23">
        <v>0.2</v>
      </c>
      <c r="M30" s="23">
        <f t="shared" si="4"/>
        <v>5019.2</v>
      </c>
      <c r="N30" s="23">
        <v>5454.7</v>
      </c>
      <c r="O30" s="23">
        <v>5798.6</v>
      </c>
      <c r="P30" s="23">
        <v>15.4</v>
      </c>
      <c r="Q30" s="23">
        <v>23.5</v>
      </c>
      <c r="R30" s="23">
        <v>0</v>
      </c>
      <c r="S30" s="23">
        <f t="shared" si="5"/>
        <v>11292.199999999999</v>
      </c>
      <c r="T30" s="23">
        <v>9838.5</v>
      </c>
      <c r="U30" s="23">
        <v>14336.9</v>
      </c>
      <c r="V30" s="23">
        <v>10.199999999999999</v>
      </c>
      <c r="W30" s="23">
        <v>0.8</v>
      </c>
      <c r="X30" s="23">
        <v>0.8</v>
      </c>
      <c r="Y30" s="23">
        <f t="shared" si="2"/>
        <v>24187.200000000001</v>
      </c>
      <c r="Z30" s="23">
        <v>10562.2</v>
      </c>
      <c r="AA30" s="23">
        <v>21660.2</v>
      </c>
      <c r="AB30" s="23">
        <v>15.2</v>
      </c>
      <c r="AC30" s="23">
        <v>0</v>
      </c>
      <c r="AD30" s="23">
        <v>0.4</v>
      </c>
      <c r="AE30" s="23">
        <v>32238</v>
      </c>
      <c r="AF30" s="23"/>
      <c r="AG30" s="23"/>
      <c r="AH30" s="23"/>
      <c r="AI30" s="23"/>
      <c r="AJ30" s="23"/>
      <c r="AK30" s="23"/>
    </row>
    <row r="31" spans="1:37">
      <c r="A31" t="s">
        <v>26</v>
      </c>
      <c r="B31" s="23">
        <v>2704.7</v>
      </c>
      <c r="C31" s="23">
        <v>640.20000000000005</v>
      </c>
      <c r="D31" s="23">
        <v>3.2</v>
      </c>
      <c r="E31" s="23">
        <v>5.0999999999999996</v>
      </c>
      <c r="F31" s="23">
        <v>106.2</v>
      </c>
      <c r="G31" s="23">
        <f t="shared" si="3"/>
        <v>3459.3999999999992</v>
      </c>
      <c r="H31" s="23">
        <v>3515.2</v>
      </c>
      <c r="I31" s="23">
        <v>1562.1</v>
      </c>
      <c r="J31" s="23">
        <v>19.399999999999999</v>
      </c>
      <c r="K31" s="23">
        <v>31.9</v>
      </c>
      <c r="L31" s="23">
        <v>0.1</v>
      </c>
      <c r="M31" s="23">
        <f t="shared" si="4"/>
        <v>5128.6999999999989</v>
      </c>
      <c r="N31" s="23">
        <v>5338.1</v>
      </c>
      <c r="O31" s="23">
        <v>7214.5</v>
      </c>
      <c r="P31" s="23">
        <v>7.3</v>
      </c>
      <c r="Q31" s="23">
        <v>0.2</v>
      </c>
      <c r="R31" s="23">
        <v>0</v>
      </c>
      <c r="S31" s="23">
        <f t="shared" si="5"/>
        <v>12560.1</v>
      </c>
      <c r="T31" s="23">
        <v>10522.5</v>
      </c>
      <c r="U31" s="23">
        <v>17210.5</v>
      </c>
      <c r="V31" s="23">
        <v>17.399999999999999</v>
      </c>
      <c r="W31" s="23">
        <v>1</v>
      </c>
      <c r="X31" s="23">
        <v>0.8</v>
      </c>
      <c r="Y31" s="23">
        <f t="shared" si="2"/>
        <v>27752.2</v>
      </c>
      <c r="Z31" s="23">
        <v>10807</v>
      </c>
      <c r="AA31" s="23">
        <v>24051.1</v>
      </c>
      <c r="AB31" s="23">
        <v>22.2</v>
      </c>
      <c r="AC31" s="23">
        <v>0</v>
      </c>
      <c r="AD31" s="23">
        <v>0.2</v>
      </c>
      <c r="AE31" s="23">
        <v>34880.400000000001</v>
      </c>
      <c r="AF31" s="23"/>
      <c r="AG31" s="23"/>
      <c r="AH31" s="23"/>
      <c r="AI31" s="23"/>
      <c r="AJ31" s="23"/>
      <c r="AK31" s="23"/>
    </row>
    <row r="32" spans="1:37">
      <c r="A32" t="s">
        <v>27</v>
      </c>
      <c r="B32" s="23">
        <v>2906.5</v>
      </c>
      <c r="C32" s="23">
        <v>947.2</v>
      </c>
      <c r="D32" s="23">
        <v>33.5</v>
      </c>
      <c r="E32" s="23">
        <v>0</v>
      </c>
      <c r="F32" s="23">
        <v>66.5</v>
      </c>
      <c r="G32" s="23">
        <f t="shared" si="3"/>
        <v>3953.7</v>
      </c>
      <c r="H32" s="23">
        <v>4217</v>
      </c>
      <c r="I32" s="23">
        <v>2331.3000000000002</v>
      </c>
      <c r="J32" s="23">
        <v>23.4</v>
      </c>
      <c r="K32" s="23">
        <v>1.5</v>
      </c>
      <c r="L32" s="23">
        <v>5.7</v>
      </c>
      <c r="M32" s="23">
        <f t="shared" si="4"/>
        <v>6578.9</v>
      </c>
      <c r="N32" s="23">
        <v>6138.6</v>
      </c>
      <c r="O32" s="23">
        <v>9542</v>
      </c>
      <c r="P32" s="23">
        <v>10.199999999999999</v>
      </c>
      <c r="Q32" s="23">
        <v>3.9</v>
      </c>
      <c r="R32" s="23">
        <v>0</v>
      </c>
      <c r="S32" s="23">
        <f t="shared" si="5"/>
        <v>15694.7</v>
      </c>
      <c r="T32" s="23">
        <v>11209.4</v>
      </c>
      <c r="U32" s="23">
        <v>20400.3</v>
      </c>
      <c r="V32" s="23">
        <v>23.6</v>
      </c>
      <c r="W32" s="23">
        <v>0</v>
      </c>
      <c r="X32" s="23">
        <v>0.9</v>
      </c>
      <c r="Y32" s="23">
        <f t="shared" si="2"/>
        <v>31634.199999999997</v>
      </c>
      <c r="Z32" s="23">
        <v>12200</v>
      </c>
      <c r="AA32" s="23">
        <v>24200</v>
      </c>
      <c r="AB32" s="23"/>
      <c r="AC32" s="23"/>
      <c r="AD32" s="23">
        <v>6</v>
      </c>
      <c r="AE32" s="23">
        <v>36400</v>
      </c>
      <c r="AF32" s="23"/>
      <c r="AG32" s="23"/>
      <c r="AH32" s="23"/>
      <c r="AI32" s="23"/>
      <c r="AJ32" s="23"/>
      <c r="AK32" s="23"/>
    </row>
    <row r="33" spans="1:37">
      <c r="A33" t="s">
        <v>28</v>
      </c>
      <c r="B33" s="23">
        <v>2949.8</v>
      </c>
      <c r="C33" s="23">
        <v>1060.8</v>
      </c>
      <c r="D33" s="23">
        <v>10.1</v>
      </c>
      <c r="E33" s="23">
        <v>0</v>
      </c>
      <c r="F33" s="23">
        <v>53.9</v>
      </c>
      <c r="G33" s="23">
        <f t="shared" si="3"/>
        <v>4074.6000000000004</v>
      </c>
      <c r="H33" s="23">
        <v>3411.6</v>
      </c>
      <c r="I33" s="23">
        <v>2412.9</v>
      </c>
      <c r="J33" s="23">
        <v>42.9</v>
      </c>
      <c r="K33" s="23">
        <v>0</v>
      </c>
      <c r="L33" s="23">
        <v>0</v>
      </c>
      <c r="M33" s="23">
        <f t="shared" si="4"/>
        <v>5867.4</v>
      </c>
      <c r="N33" s="23">
        <v>6969.2</v>
      </c>
      <c r="O33" s="23">
        <v>8434</v>
      </c>
      <c r="P33" s="23">
        <v>15.5</v>
      </c>
      <c r="Q33" s="23">
        <v>0.2</v>
      </c>
      <c r="R33" s="23">
        <v>0</v>
      </c>
      <c r="S33" s="23">
        <f t="shared" si="5"/>
        <v>15418.900000000001</v>
      </c>
      <c r="T33" s="23">
        <v>10816.6</v>
      </c>
      <c r="U33" s="23">
        <v>19665.3</v>
      </c>
      <c r="V33" s="23">
        <v>60.7</v>
      </c>
      <c r="W33" s="23">
        <v>0</v>
      </c>
      <c r="X33" s="23">
        <v>0</v>
      </c>
      <c r="Y33" s="23">
        <f t="shared" si="2"/>
        <v>30542.600000000002</v>
      </c>
      <c r="Z33" s="23">
        <v>12300</v>
      </c>
      <c r="AA33" s="23">
        <v>26800</v>
      </c>
      <c r="AB33" s="23"/>
      <c r="AC33" s="23"/>
      <c r="AD33" s="23">
        <v>0</v>
      </c>
      <c r="AE33" s="23">
        <v>39200</v>
      </c>
      <c r="AF33" s="23"/>
      <c r="AG33" s="23"/>
      <c r="AH33" s="23"/>
      <c r="AI33" s="23"/>
      <c r="AJ33" s="23"/>
      <c r="AK33" s="23"/>
    </row>
    <row r="34" spans="1:37">
      <c r="A34" t="s">
        <v>29</v>
      </c>
      <c r="B34" s="23">
        <v>3750.3</v>
      </c>
      <c r="C34" s="23">
        <v>2464.8000000000002</v>
      </c>
      <c r="D34" s="23">
        <v>57.8</v>
      </c>
      <c r="E34" s="23">
        <v>0</v>
      </c>
      <c r="F34" s="23">
        <v>16.2</v>
      </c>
      <c r="G34" s="23">
        <f t="shared" si="3"/>
        <v>6289.1</v>
      </c>
      <c r="H34" s="23">
        <v>5855.6</v>
      </c>
      <c r="I34" s="23">
        <v>4717.7</v>
      </c>
      <c r="J34" s="23">
        <v>38.700000000000003</v>
      </c>
      <c r="K34" s="23">
        <v>2.1</v>
      </c>
      <c r="L34" s="23">
        <v>0</v>
      </c>
      <c r="M34" s="23">
        <f t="shared" si="4"/>
        <v>10614.1</v>
      </c>
      <c r="N34" s="23">
        <v>9235.2999999999993</v>
      </c>
      <c r="O34" s="23">
        <v>11573.6</v>
      </c>
      <c r="P34" s="23">
        <v>14.9</v>
      </c>
      <c r="Q34" s="23">
        <v>0.9</v>
      </c>
      <c r="R34" s="23">
        <v>0.2</v>
      </c>
      <c r="S34" s="23">
        <f t="shared" si="5"/>
        <v>20824.900000000005</v>
      </c>
      <c r="T34" s="23">
        <v>11035</v>
      </c>
      <c r="U34" s="23">
        <v>23090.799999999999</v>
      </c>
      <c r="V34" s="23">
        <v>80.5</v>
      </c>
      <c r="W34" s="23">
        <v>49.4</v>
      </c>
      <c r="X34" s="23">
        <v>6.5</v>
      </c>
      <c r="Y34" s="23">
        <f t="shared" si="2"/>
        <v>34262.200000000004</v>
      </c>
      <c r="Z34" s="23">
        <v>15700</v>
      </c>
      <c r="AA34" s="23">
        <v>29100</v>
      </c>
      <c r="AB34" s="23"/>
      <c r="AC34" s="23"/>
      <c r="AD34" s="23">
        <v>0</v>
      </c>
      <c r="AE34" s="23">
        <v>44900</v>
      </c>
      <c r="AF34" s="23"/>
      <c r="AG34" s="23"/>
      <c r="AH34" s="23"/>
      <c r="AI34" s="23"/>
      <c r="AJ34" s="23"/>
      <c r="AK34" s="23"/>
    </row>
    <row r="35" spans="1:37">
      <c r="A35" t="s">
        <v>30</v>
      </c>
      <c r="B35" s="23">
        <v>4791.5</v>
      </c>
      <c r="C35" s="23">
        <v>4732.1000000000004</v>
      </c>
      <c r="D35" s="23">
        <v>79.900000000000006</v>
      </c>
      <c r="E35" s="23">
        <v>92.8</v>
      </c>
      <c r="F35" s="23">
        <v>12.9</v>
      </c>
      <c r="G35" s="23">
        <f t="shared" si="3"/>
        <v>9709.1999999999989</v>
      </c>
      <c r="H35" s="23">
        <v>5986.7</v>
      </c>
      <c r="I35" s="23">
        <v>6887.3</v>
      </c>
      <c r="J35" s="23">
        <v>13.9</v>
      </c>
      <c r="K35" s="23">
        <v>64.2</v>
      </c>
      <c r="L35" s="23">
        <v>0.2</v>
      </c>
      <c r="M35" s="23">
        <f t="shared" si="4"/>
        <v>12952.300000000001</v>
      </c>
      <c r="N35" s="23">
        <v>11057.9</v>
      </c>
      <c r="O35" s="23">
        <v>15051.7</v>
      </c>
      <c r="P35" s="23">
        <v>108.4</v>
      </c>
      <c r="Q35" s="23">
        <v>0.4</v>
      </c>
      <c r="R35" s="23">
        <v>0</v>
      </c>
      <c r="S35" s="23">
        <f t="shared" si="5"/>
        <v>26218.400000000001</v>
      </c>
      <c r="T35" s="23">
        <v>11422.1</v>
      </c>
      <c r="U35" s="23">
        <v>24677.4</v>
      </c>
      <c r="V35" s="23">
        <v>35.4</v>
      </c>
      <c r="W35" s="23">
        <v>4.0999999999999996</v>
      </c>
      <c r="X35" s="23">
        <v>10.4</v>
      </c>
      <c r="Y35" s="23">
        <f t="shared" si="2"/>
        <v>36149.4</v>
      </c>
      <c r="Z35" s="23">
        <v>16600</v>
      </c>
      <c r="AA35" s="23">
        <v>31300</v>
      </c>
      <c r="AB35" s="23"/>
      <c r="AC35" s="23"/>
      <c r="AD35" s="23">
        <v>0.1</v>
      </c>
      <c r="AE35" s="23">
        <v>47900</v>
      </c>
      <c r="AF35" s="23"/>
      <c r="AG35" s="23"/>
      <c r="AH35" s="23"/>
      <c r="AI35" s="23"/>
      <c r="AJ35" s="23"/>
      <c r="AK35" s="23"/>
    </row>
    <row r="36" spans="1:37">
      <c r="A36" t="s">
        <v>48</v>
      </c>
      <c r="B36" s="23">
        <f>SUM(B24:B35)</f>
        <v>40540.400000000001</v>
      </c>
      <c r="C36" s="23">
        <f t="shared" ref="C36:Y36" si="6">SUM(C24:C35)</f>
        <v>20210.599999999999</v>
      </c>
      <c r="D36" s="23">
        <f t="shared" si="6"/>
        <v>477.5</v>
      </c>
      <c r="E36" s="23">
        <f t="shared" si="6"/>
        <v>378.6</v>
      </c>
      <c r="F36" s="23">
        <f t="shared" si="6"/>
        <v>569.70000000000005</v>
      </c>
      <c r="G36" s="23">
        <f t="shared" si="6"/>
        <v>62176.799999999988</v>
      </c>
      <c r="H36" s="23">
        <f t="shared" si="6"/>
        <v>38858.299999999996</v>
      </c>
      <c r="I36" s="23">
        <f t="shared" si="6"/>
        <v>24382.899999999998</v>
      </c>
      <c r="J36" s="23">
        <f t="shared" si="6"/>
        <v>222.9</v>
      </c>
      <c r="K36" s="23">
        <f t="shared" si="6"/>
        <v>116.30000000000001</v>
      </c>
      <c r="L36" s="23">
        <f t="shared" si="6"/>
        <v>58.100000000000009</v>
      </c>
      <c r="M36" s="23">
        <f t="shared" si="6"/>
        <v>63638.500000000007</v>
      </c>
      <c r="N36" s="23">
        <f t="shared" si="6"/>
        <v>74347.399999999994</v>
      </c>
      <c r="O36" s="23">
        <f t="shared" si="6"/>
        <v>79836.899999999994</v>
      </c>
      <c r="P36" s="23">
        <f t="shared" si="6"/>
        <v>238.5</v>
      </c>
      <c r="Q36" s="23">
        <f t="shared" si="6"/>
        <v>72.300000000000026</v>
      </c>
      <c r="R36" s="23">
        <f t="shared" si="6"/>
        <v>0.2</v>
      </c>
      <c r="S36" s="23">
        <f t="shared" si="6"/>
        <v>154495.30000000002</v>
      </c>
      <c r="T36" s="23">
        <f t="shared" si="6"/>
        <v>110444.5</v>
      </c>
      <c r="U36" s="23">
        <f t="shared" si="6"/>
        <v>183753.09999999998</v>
      </c>
      <c r="V36" s="23">
        <f t="shared" si="6"/>
        <v>314.39999999999998</v>
      </c>
      <c r="W36" s="23">
        <f t="shared" si="6"/>
        <v>115.29999999999998</v>
      </c>
      <c r="X36" s="23">
        <f t="shared" si="6"/>
        <v>19.399999999999999</v>
      </c>
      <c r="Y36" s="23">
        <f t="shared" si="6"/>
        <v>294646.7</v>
      </c>
      <c r="Z36" s="23">
        <f t="shared" ref="Z36:AK36" si="7">SUM(Z24:Z35)</f>
        <v>126158.7</v>
      </c>
      <c r="AA36" s="23">
        <f t="shared" si="7"/>
        <v>261045.4</v>
      </c>
      <c r="AB36" s="23">
        <f t="shared" si="7"/>
        <v>160.79999999999998</v>
      </c>
      <c r="AC36" s="23">
        <f t="shared" si="7"/>
        <v>63.7</v>
      </c>
      <c r="AD36" s="23">
        <f t="shared" si="7"/>
        <v>24</v>
      </c>
      <c r="AE36" s="23">
        <f t="shared" si="7"/>
        <v>387646.69999999995</v>
      </c>
      <c r="AF36" s="23">
        <f t="shared" si="7"/>
        <v>30800</v>
      </c>
      <c r="AG36" s="23">
        <f t="shared" si="7"/>
        <v>54300</v>
      </c>
      <c r="AH36" s="23">
        <f t="shared" si="7"/>
        <v>0</v>
      </c>
      <c r="AI36" s="23">
        <f t="shared" si="7"/>
        <v>0</v>
      </c>
      <c r="AJ36" s="23">
        <f t="shared" si="7"/>
        <v>0</v>
      </c>
      <c r="AK36" s="23">
        <f t="shared" si="7"/>
        <v>85300</v>
      </c>
    </row>
    <row r="37" spans="1:37">
      <c r="N37" s="23"/>
      <c r="O37" s="240">
        <f>O36/S36</f>
        <v>0.51675940950954491</v>
      </c>
    </row>
    <row r="39" spans="1:37">
      <c r="B39" s="276" t="s">
        <v>52</v>
      </c>
      <c r="C39" s="276"/>
      <c r="D39" s="276"/>
      <c r="E39" s="276"/>
      <c r="F39" s="276"/>
      <c r="G39" s="276"/>
      <c r="H39" s="276" t="s">
        <v>53</v>
      </c>
      <c r="I39" s="276"/>
      <c r="J39" s="276"/>
      <c r="K39" s="276"/>
      <c r="L39" s="276"/>
      <c r="M39" s="276"/>
      <c r="N39" s="276" t="s">
        <v>54</v>
      </c>
      <c r="O39" s="276"/>
      <c r="P39" s="276"/>
      <c r="Q39" s="276"/>
      <c r="R39" s="276"/>
      <c r="S39" s="276"/>
      <c r="T39" s="276" t="s">
        <v>55</v>
      </c>
      <c r="U39" s="276"/>
      <c r="V39" s="276"/>
      <c r="W39" s="276"/>
      <c r="X39" s="276"/>
      <c r="Y39" s="276"/>
      <c r="Z39" s="276" t="s">
        <v>49</v>
      </c>
      <c r="AA39" s="276"/>
      <c r="AB39" s="276"/>
      <c r="AC39" s="276"/>
      <c r="AD39" s="276"/>
      <c r="AE39" s="276"/>
      <c r="AF39" s="276" t="s">
        <v>56</v>
      </c>
      <c r="AG39" s="276"/>
      <c r="AH39" s="276"/>
      <c r="AI39" s="276"/>
      <c r="AJ39" s="276"/>
      <c r="AK39" s="276"/>
    </row>
    <row r="40" spans="1:37">
      <c r="B40" s="41" t="s">
        <v>46</v>
      </c>
      <c r="C40" s="41" t="s">
        <v>47</v>
      </c>
      <c r="D40" s="41" t="s">
        <v>79</v>
      </c>
      <c r="E40" s="41" t="s">
        <v>80</v>
      </c>
      <c r="F40" s="41" t="s">
        <v>39</v>
      </c>
      <c r="G40" s="41" t="s">
        <v>48</v>
      </c>
      <c r="H40" s="41" t="s">
        <v>46</v>
      </c>
      <c r="I40" s="41" t="s">
        <v>47</v>
      </c>
      <c r="J40" s="41" t="s">
        <v>79</v>
      </c>
      <c r="K40" s="41" t="s">
        <v>80</v>
      </c>
      <c r="L40" s="41" t="s">
        <v>39</v>
      </c>
      <c r="M40" s="41" t="s">
        <v>48</v>
      </c>
      <c r="N40" s="41" t="s">
        <v>46</v>
      </c>
      <c r="O40" s="41" t="s">
        <v>47</v>
      </c>
      <c r="P40" s="41" t="s">
        <v>79</v>
      </c>
      <c r="Q40" s="41" t="s">
        <v>80</v>
      </c>
      <c r="R40" s="41" t="s">
        <v>39</v>
      </c>
      <c r="S40" s="41" t="s">
        <v>48</v>
      </c>
      <c r="T40" s="41" t="s">
        <v>46</v>
      </c>
      <c r="U40" s="41" t="s">
        <v>47</v>
      </c>
      <c r="V40" s="41" t="s">
        <v>79</v>
      </c>
      <c r="W40" s="41" t="s">
        <v>80</v>
      </c>
      <c r="X40" s="41" t="s">
        <v>39</v>
      </c>
      <c r="Y40" s="41" t="s">
        <v>48</v>
      </c>
      <c r="Z40" s="41" t="s">
        <v>46</v>
      </c>
      <c r="AA40" s="41" t="s">
        <v>47</v>
      </c>
      <c r="AB40" s="41" t="s">
        <v>79</v>
      </c>
      <c r="AC40" s="41" t="s">
        <v>80</v>
      </c>
      <c r="AD40" s="41" t="s">
        <v>39</v>
      </c>
      <c r="AE40" s="41" t="s">
        <v>48</v>
      </c>
      <c r="AF40" s="41" t="s">
        <v>46</v>
      </c>
      <c r="AG40" s="41" t="s">
        <v>47</v>
      </c>
      <c r="AH40" s="41" t="s">
        <v>79</v>
      </c>
      <c r="AI40" s="41" t="s">
        <v>80</v>
      </c>
      <c r="AJ40" s="41" t="s">
        <v>39</v>
      </c>
      <c r="AK40" s="41" t="s">
        <v>48</v>
      </c>
    </row>
    <row r="41" spans="1:37">
      <c r="A41" t="s">
        <v>19</v>
      </c>
      <c r="B41" s="238">
        <f>B24/G24</f>
        <v>0.69678714859437751</v>
      </c>
      <c r="C41" s="238">
        <f>C24/G24</f>
        <v>0.28514056224899598</v>
      </c>
      <c r="D41" s="238">
        <f>D24/G24</f>
        <v>8.0321285140562242E-3</v>
      </c>
      <c r="E41" s="238">
        <f>E24/G24</f>
        <v>1.0040160642570281E-2</v>
      </c>
      <c r="F41" s="238">
        <f>F24/G24</f>
        <v>0</v>
      </c>
      <c r="G41" s="238">
        <f>SUM(B41:F41)</f>
        <v>1</v>
      </c>
      <c r="H41" s="238">
        <f>H24/M24</f>
        <v>0.68162983425414359</v>
      </c>
      <c r="I41" s="238">
        <f>I24/M24</f>
        <v>0.31224102209944748</v>
      </c>
      <c r="J41" s="238">
        <f>J24/M24</f>
        <v>4.9637430939226514E-3</v>
      </c>
      <c r="K41" s="238">
        <f>K24/M24</f>
        <v>1.2948895027624309E-4</v>
      </c>
      <c r="L41" s="238">
        <f>L24/M24</f>
        <v>1.0359116022099447E-3</v>
      </c>
      <c r="M41" s="238">
        <f>SUM(H41:L41)</f>
        <v>0.99999999999999989</v>
      </c>
      <c r="N41" s="238">
        <f>N24/S24</f>
        <v>0.62331574511320731</v>
      </c>
      <c r="O41" s="238">
        <f>O24/S24</f>
        <v>0.3756913094179723</v>
      </c>
      <c r="P41" s="238">
        <f>P24/S24</f>
        <v>9.3521608109824379E-4</v>
      </c>
      <c r="Q41" s="238">
        <f>Q24/S24</f>
        <v>5.7729387722113817E-5</v>
      </c>
      <c r="R41" s="238">
        <f>R24/S24</f>
        <v>0</v>
      </c>
      <c r="S41" s="238">
        <f>SUM(N41:R41)</f>
        <v>0.99999999999999989</v>
      </c>
      <c r="T41" s="51">
        <f t="shared" ref="T41:T52" si="8">SUM(T24/Y24)</f>
        <v>0.45105659911023238</v>
      </c>
      <c r="U41" s="51">
        <f t="shared" ref="U41:U52" si="9">U24/Y24</f>
        <v>0.54831314878892734</v>
      </c>
      <c r="V41" s="51">
        <f t="shared" ref="V41:V52" si="10">V24/Y24</f>
        <v>1.8536826495304006E-5</v>
      </c>
      <c r="W41" s="51">
        <f t="shared" ref="W41:W52" si="11">W24/Y24</f>
        <v>6.1171527434503224E-4</v>
      </c>
      <c r="X41" s="51">
        <f t="shared" ref="X41:X52" si="12">X24/Y24</f>
        <v>0</v>
      </c>
      <c r="Y41" s="51">
        <f t="shared" ref="Y41:Y52" si="13">SUM(T41:X41)</f>
        <v>1</v>
      </c>
      <c r="Z41" s="51">
        <f>Z24/AE24</f>
        <v>0.33675689412581433</v>
      </c>
      <c r="AA41" s="51">
        <f>AA24/AE24</f>
        <v>0.6621831863288975</v>
      </c>
      <c r="AB41" s="51">
        <f>AB24/AE24</f>
        <v>2.6652947630057087E-4</v>
      </c>
      <c r="AC41" s="51">
        <f>AC24/AE24</f>
        <v>7.933900689877459E-4</v>
      </c>
      <c r="AD41" s="51">
        <f>AD24/AE24</f>
        <v>0</v>
      </c>
      <c r="AE41" s="51">
        <f>SUM(Z41:AD41)</f>
        <v>1.0000000000000002</v>
      </c>
      <c r="AF41" s="241">
        <v>0.39</v>
      </c>
      <c r="AG41" s="241">
        <v>0.60899999999999999</v>
      </c>
      <c r="AH41" s="241"/>
      <c r="AI41" s="241"/>
      <c r="AJ41" s="241">
        <v>1E-3</v>
      </c>
      <c r="AK41" s="241">
        <v>1</v>
      </c>
    </row>
    <row r="42" spans="1:37">
      <c r="A42" t="s">
        <v>20</v>
      </c>
      <c r="B42" s="238">
        <f t="shared" ref="B42:B52" si="14">B25/G25</f>
        <v>0.82447923636201437</v>
      </c>
      <c r="C42" s="238">
        <f t="shared" ref="C42:C52" si="15">C25/G25</f>
        <v>0.14340514741959945</v>
      </c>
      <c r="D42" s="238">
        <f t="shared" ref="D42:D52" si="16">D25/G25</f>
        <v>3.6576118470939825E-3</v>
      </c>
      <c r="E42" s="238">
        <f t="shared" ref="E42:E52" si="17">E25/G25</f>
        <v>2.8458004371292204E-2</v>
      </c>
      <c r="F42" s="238">
        <f t="shared" ref="F42:F52" si="18">F25/G25</f>
        <v>0</v>
      </c>
      <c r="G42" s="238">
        <f t="shared" ref="G42:G52" si="19">SUM(B42:F42)</f>
        <v>1</v>
      </c>
      <c r="H42" s="238">
        <f t="shared" ref="H42:H52" si="20">H25/M25</f>
        <v>0.87142618291255647</v>
      </c>
      <c r="I42" s="238">
        <f t="shared" ref="I42:I52" si="21">I25/M25</f>
        <v>0.12807222872429358</v>
      </c>
      <c r="J42" s="238">
        <f t="shared" ref="J42:J52" si="22">J25/M25</f>
        <v>5.015883631499749E-4</v>
      </c>
      <c r="K42" s="238">
        <f t="shared" ref="K42:K52" si="23">K25/M25</f>
        <v>0</v>
      </c>
      <c r="L42" s="238">
        <f t="shared" ref="L42:L52" si="24">L25/M25</f>
        <v>0</v>
      </c>
      <c r="M42" s="238">
        <f t="shared" ref="M42:M52" si="25">SUM(H42:L42)</f>
        <v>1</v>
      </c>
      <c r="N42" s="238">
        <f t="shared" ref="N42:N52" si="26">N25/S25</f>
        <v>0.59654059867359743</v>
      </c>
      <c r="O42" s="238">
        <f t="shared" ref="O42:O52" si="27">O25/S25</f>
        <v>0.40155941925076183</v>
      </c>
      <c r="P42" s="238">
        <f t="shared" ref="P42:P52" si="28">P25/S25</f>
        <v>1.0754615522495072E-3</v>
      </c>
      <c r="Q42" s="238">
        <f t="shared" ref="Q42:Q52" si="29">Q25/S25</f>
        <v>8.2452052339128867E-4</v>
      </c>
      <c r="R42" s="238">
        <f t="shared" ref="R42:R52" si="30">R25/S25</f>
        <v>0</v>
      </c>
      <c r="S42" s="238">
        <f t="shared" ref="S42:S52" si="31">SUM(N42:R42)</f>
        <v>1</v>
      </c>
      <c r="T42" s="51">
        <f t="shared" si="8"/>
        <v>0.42741298625329038</v>
      </c>
      <c r="U42" s="51">
        <f t="shared" si="9"/>
        <v>0.56888710149166422</v>
      </c>
      <c r="V42" s="51">
        <f t="shared" si="10"/>
        <v>3.4147411523837378E-3</v>
      </c>
      <c r="W42" s="51">
        <f t="shared" si="11"/>
        <v>2.8517110266159691E-4</v>
      </c>
      <c r="X42" s="51">
        <f t="shared" si="12"/>
        <v>0</v>
      </c>
      <c r="Y42" s="51">
        <f t="shared" si="13"/>
        <v>0.99999999999999989</v>
      </c>
      <c r="Z42" s="51">
        <f>Z25/AE25</f>
        <v>0.30638425909041178</v>
      </c>
      <c r="AA42" s="51">
        <f>AA25/AE25</f>
        <v>0.69263558116634449</v>
      </c>
      <c r="AB42" s="51">
        <f>AB25/AE25</f>
        <v>3.1000401181662348E-4</v>
      </c>
      <c r="AC42" s="51">
        <f>AC25/AE25</f>
        <v>5.5618366825923627E-4</v>
      </c>
      <c r="AD42" s="51">
        <f>AD25/AE25</f>
        <v>1.0941318064116123E-4</v>
      </c>
      <c r="AE42" s="51">
        <f>SUM(Z42:AD42)</f>
        <v>0.99999544111747329</v>
      </c>
      <c r="AF42" s="241">
        <f>AF25/AK25</f>
        <v>0.38333333333333336</v>
      </c>
      <c r="AG42" s="241">
        <f>AG25/AK25</f>
        <v>0.61111111111111116</v>
      </c>
      <c r="AH42" s="241"/>
      <c r="AI42" s="241"/>
      <c r="AJ42" s="241">
        <f>AK42-SUM(AF42:AG42)</f>
        <v>5.5555555555555358E-3</v>
      </c>
      <c r="AK42" s="241">
        <f>AK25/AK25</f>
        <v>1</v>
      </c>
    </row>
    <row r="43" spans="1:37">
      <c r="A43" t="s">
        <v>21</v>
      </c>
      <c r="B43" s="238">
        <f t="shared" si="14"/>
        <v>0.76508972267536701</v>
      </c>
      <c r="C43" s="238">
        <f t="shared" si="15"/>
        <v>0.20690265138858863</v>
      </c>
      <c r="D43" s="238">
        <f t="shared" si="16"/>
        <v>3.0464435228679809E-3</v>
      </c>
      <c r="E43" s="238">
        <f t="shared" si="17"/>
        <v>1.4426384166355473E-2</v>
      </c>
      <c r="F43" s="238">
        <f t="shared" si="18"/>
        <v>1.053479824682089E-2</v>
      </c>
      <c r="G43" s="238">
        <f t="shared" si="19"/>
        <v>1</v>
      </c>
      <c r="H43" s="238">
        <f t="shared" si="20"/>
        <v>0.80303960145843101</v>
      </c>
      <c r="I43" s="238">
        <f t="shared" si="21"/>
        <v>0.19295332298472978</v>
      </c>
      <c r="J43" s="238">
        <f t="shared" si="22"/>
        <v>3.8987762174650734E-3</v>
      </c>
      <c r="K43" s="238">
        <f t="shared" si="23"/>
        <v>0</v>
      </c>
      <c r="L43" s="238">
        <f t="shared" si="24"/>
        <v>1.082993393740298E-4</v>
      </c>
      <c r="M43" s="238">
        <f t="shared" si="25"/>
        <v>0.99999999999999989</v>
      </c>
      <c r="N43" s="238">
        <f t="shared" si="26"/>
        <v>0.56627095282557482</v>
      </c>
      <c r="O43" s="238">
        <f t="shared" si="27"/>
        <v>0.43247298919567834</v>
      </c>
      <c r="P43" s="238">
        <f t="shared" si="28"/>
        <v>1.1115557334044732E-3</v>
      </c>
      <c r="Q43" s="238">
        <f t="shared" si="29"/>
        <v>1.4450224534258153E-4</v>
      </c>
      <c r="R43" s="238">
        <f t="shared" si="30"/>
        <v>0</v>
      </c>
      <c r="S43" s="238">
        <f t="shared" si="31"/>
        <v>1.0000000000000002</v>
      </c>
      <c r="T43" s="51">
        <f t="shared" si="8"/>
        <v>0.38336897746481507</v>
      </c>
      <c r="U43" s="51">
        <f t="shared" si="9"/>
        <v>0.61550566414822983</v>
      </c>
      <c r="V43" s="51">
        <f t="shared" si="10"/>
        <v>6.3505701504524789E-4</v>
      </c>
      <c r="W43" s="51">
        <f t="shared" si="11"/>
        <v>4.9030137190993401E-4</v>
      </c>
      <c r="X43" s="51">
        <f t="shared" si="12"/>
        <v>0</v>
      </c>
      <c r="Y43" s="51">
        <f t="shared" si="13"/>
        <v>1.0000000000000002</v>
      </c>
      <c r="Z43" s="51">
        <f>Z26/AE26</f>
        <v>0.31405874878971446</v>
      </c>
      <c r="AA43" s="51">
        <f>AA26/AE26</f>
        <v>0.68530056473992806</v>
      </c>
      <c r="AB43" s="51">
        <f>AB26/AE26</f>
        <v>2.1236236938814443E-4</v>
      </c>
      <c r="AC43" s="51">
        <f>AC26/AE26</f>
        <v>2.3755790473928019E-4</v>
      </c>
      <c r="AD43" s="51">
        <f>AD26/AE26</f>
        <v>1.8716683403700865E-4</v>
      </c>
      <c r="AE43" s="51">
        <v>1</v>
      </c>
      <c r="AF43" s="241">
        <f>AF26/AK26</f>
        <v>0.32285714285714284</v>
      </c>
      <c r="AG43" s="241">
        <f>AG26/AK26</f>
        <v>0.67428571428571427</v>
      </c>
      <c r="AH43" s="241"/>
      <c r="AI43" s="241"/>
      <c r="AJ43" s="241">
        <f>AK43-SUM(AF43:AG43)</f>
        <v>2.8571428571428914E-3</v>
      </c>
      <c r="AK43" s="241">
        <f>AK26/AK26</f>
        <v>1</v>
      </c>
    </row>
    <row r="44" spans="1:37">
      <c r="A44" t="s">
        <v>22</v>
      </c>
      <c r="B44" s="238">
        <f t="shared" si="14"/>
        <v>0.69595131965894175</v>
      </c>
      <c r="C44" s="238">
        <f t="shared" si="15"/>
        <v>0.28322266817097308</v>
      </c>
      <c r="D44" s="238">
        <f t="shared" si="16"/>
        <v>4.9753084136349339E-3</v>
      </c>
      <c r="E44" s="238">
        <f t="shared" si="17"/>
        <v>9.6176965616734801E-4</v>
      </c>
      <c r="F44" s="238">
        <f t="shared" si="18"/>
        <v>1.4888934100282983E-2</v>
      </c>
      <c r="G44" s="238">
        <f t="shared" si="19"/>
        <v>1</v>
      </c>
      <c r="H44" s="238">
        <f t="shared" si="20"/>
        <v>0.73041757261526452</v>
      </c>
      <c r="I44" s="238">
        <f t="shared" si="21"/>
        <v>0.25946367843006074</v>
      </c>
      <c r="J44" s="238">
        <f t="shared" si="22"/>
        <v>2.9269108546579694E-3</v>
      </c>
      <c r="K44" s="238">
        <f t="shared" si="23"/>
        <v>1.6725204883759825E-4</v>
      </c>
      <c r="L44" s="238">
        <f t="shared" si="24"/>
        <v>7.0245860511791262E-3</v>
      </c>
      <c r="M44" s="238">
        <f t="shared" si="25"/>
        <v>1</v>
      </c>
      <c r="N44" s="238">
        <f t="shared" si="26"/>
        <v>0.61572182448449608</v>
      </c>
      <c r="O44" s="238">
        <f t="shared" si="27"/>
        <v>0.38197910586441441</v>
      </c>
      <c r="P44" s="238">
        <f t="shared" si="28"/>
        <v>9.7680679476336253E-4</v>
      </c>
      <c r="Q44" s="238">
        <f t="shared" si="29"/>
        <v>1.3222628563260151E-3</v>
      </c>
      <c r="R44" s="238">
        <f t="shared" si="30"/>
        <v>0</v>
      </c>
      <c r="S44" s="238">
        <f t="shared" si="31"/>
        <v>0.99999999999999978</v>
      </c>
      <c r="T44" s="51">
        <f t="shared" si="8"/>
        <v>0.32879396492603113</v>
      </c>
      <c r="U44" s="51">
        <f t="shared" si="9"/>
        <v>0.66982689104762194</v>
      </c>
      <c r="V44" s="51">
        <f t="shared" si="10"/>
        <v>6.1044079854700008E-4</v>
      </c>
      <c r="W44" s="51">
        <f t="shared" si="11"/>
        <v>7.6870322779992609E-4</v>
      </c>
      <c r="X44" s="51">
        <f t="shared" si="12"/>
        <v>0</v>
      </c>
      <c r="Y44" s="51">
        <f t="shared" si="13"/>
        <v>1</v>
      </c>
      <c r="Z44" s="51">
        <f>Z27/AE27</f>
        <v>0.31840386344288774</v>
      </c>
      <c r="AA44" s="51">
        <f>AA27/AE27</f>
        <v>0.6812977858398771</v>
      </c>
      <c r="AB44" s="51">
        <f>AB27/AE27</f>
        <v>2.347025642249644E-4</v>
      </c>
      <c r="AC44" s="51">
        <f>AC27/AE27</f>
        <v>0</v>
      </c>
      <c r="AD44" s="51">
        <f>AD27/AE27</f>
        <v>6.3648153010159838E-5</v>
      </c>
      <c r="AE44" s="51">
        <v>1</v>
      </c>
      <c r="AF44" s="241"/>
      <c r="AG44" s="241"/>
      <c r="AH44" s="241"/>
      <c r="AI44" s="241"/>
      <c r="AJ44" s="241"/>
      <c r="AK44" s="241"/>
    </row>
    <row r="45" spans="1:37">
      <c r="A45" t="s">
        <v>23</v>
      </c>
      <c r="B45" s="238">
        <f t="shared" si="14"/>
        <v>0.65218925307836151</v>
      </c>
      <c r="C45" s="238">
        <f t="shared" si="15"/>
        <v>0.31519246374766258</v>
      </c>
      <c r="D45" s="238">
        <f t="shared" si="16"/>
        <v>1.9563913488339274E-2</v>
      </c>
      <c r="E45" s="238">
        <f t="shared" si="17"/>
        <v>1.6935398511096216E-3</v>
      </c>
      <c r="F45" s="238">
        <f t="shared" si="18"/>
        <v>1.1360829834527046E-2</v>
      </c>
      <c r="G45" s="238">
        <f t="shared" si="19"/>
        <v>1.0000000000000002</v>
      </c>
      <c r="H45" s="238">
        <f t="shared" si="20"/>
        <v>0.76249964347850896</v>
      </c>
      <c r="I45" s="238">
        <f t="shared" si="21"/>
        <v>0.2306266221727846</v>
      </c>
      <c r="J45" s="238">
        <f t="shared" si="22"/>
        <v>3.9074755426257097E-3</v>
      </c>
      <c r="K45" s="238">
        <f t="shared" si="23"/>
        <v>0</v>
      </c>
      <c r="L45" s="238">
        <f t="shared" si="24"/>
        <v>2.9662588060808308E-3</v>
      </c>
      <c r="M45" s="238">
        <f t="shared" si="25"/>
        <v>1.0000000000000002</v>
      </c>
      <c r="N45" s="238">
        <f t="shared" si="26"/>
        <v>0.53524822913142867</v>
      </c>
      <c r="O45" s="238">
        <f t="shared" si="27"/>
        <v>0.46305009687240523</v>
      </c>
      <c r="P45" s="238">
        <f t="shared" si="28"/>
        <v>8.2008385357402796E-4</v>
      </c>
      <c r="Q45" s="238">
        <f t="shared" si="29"/>
        <v>8.8159014259207998E-4</v>
      </c>
      <c r="R45" s="238">
        <f t="shared" si="30"/>
        <v>0</v>
      </c>
      <c r="S45" s="238">
        <f t="shared" si="31"/>
        <v>0.99999999999999989</v>
      </c>
      <c r="T45" s="51">
        <f t="shared" si="8"/>
        <v>0.44728265846445558</v>
      </c>
      <c r="U45" s="51">
        <f t="shared" si="9"/>
        <v>0.55118750707009767</v>
      </c>
      <c r="V45" s="51">
        <f t="shared" si="10"/>
        <v>1.5621549118998497E-4</v>
      </c>
      <c r="W45" s="51">
        <f t="shared" si="11"/>
        <v>1.3736189742567645E-3</v>
      </c>
      <c r="X45" s="51">
        <f t="shared" si="12"/>
        <v>0</v>
      </c>
      <c r="Y45" s="51">
        <f t="shared" si="13"/>
        <v>1</v>
      </c>
      <c r="Z45" s="51">
        <f>Z28/$AE$28</f>
        <v>0.31966589123407091</v>
      </c>
      <c r="AA45" s="51">
        <f t="shared" ref="AA45:AD45" si="32">AA28/$AE$28</f>
        <v>0.67817776880778124</v>
      </c>
      <c r="AB45" s="51">
        <f t="shared" si="32"/>
        <v>1.5154573104881684E-3</v>
      </c>
      <c r="AC45" s="51">
        <f t="shared" si="32"/>
        <v>5.5944452116152017E-4</v>
      </c>
      <c r="AD45" s="51">
        <f t="shared" si="32"/>
        <v>8.1438126498195967E-5</v>
      </c>
      <c r="AE45" s="51">
        <f>SUM(Z45:AD45)</f>
        <v>1</v>
      </c>
      <c r="AF45" s="241"/>
      <c r="AG45" s="241"/>
      <c r="AH45" s="241"/>
      <c r="AI45" s="241"/>
      <c r="AJ45" s="241"/>
      <c r="AK45" s="241"/>
    </row>
    <row r="46" spans="1:37">
      <c r="A46" t="s">
        <v>24</v>
      </c>
      <c r="B46" s="238">
        <f t="shared" si="14"/>
        <v>0.71028419236705898</v>
      </c>
      <c r="C46" s="238">
        <f t="shared" si="15"/>
        <v>0.26253745346690471</v>
      </c>
      <c r="D46" s="238">
        <f t="shared" si="16"/>
        <v>8.4137889289065092E-3</v>
      </c>
      <c r="E46" s="238">
        <f t="shared" si="17"/>
        <v>1.1833782270512393E-2</v>
      </c>
      <c r="F46" s="238">
        <f t="shared" si="18"/>
        <v>6.9307829666172324E-3</v>
      </c>
      <c r="G46" s="238">
        <f t="shared" si="19"/>
        <v>0.99999999999999978</v>
      </c>
      <c r="H46" s="238">
        <f t="shared" si="20"/>
        <v>0.63765587096225051</v>
      </c>
      <c r="I46" s="238">
        <f t="shared" si="21"/>
        <v>0.35521555943311917</v>
      </c>
      <c r="J46" s="238">
        <f t="shared" si="22"/>
        <v>3.6600417074520151E-3</v>
      </c>
      <c r="K46" s="238">
        <f t="shared" si="23"/>
        <v>5.7454143082095598E-4</v>
      </c>
      <c r="L46" s="238">
        <f t="shared" si="24"/>
        <v>2.8939864663574074E-3</v>
      </c>
      <c r="M46" s="238">
        <f t="shared" si="25"/>
        <v>1</v>
      </c>
      <c r="N46" s="238">
        <f t="shared" si="26"/>
        <v>0.5353519883241139</v>
      </c>
      <c r="O46" s="238">
        <f t="shared" si="27"/>
        <v>0.46072001297320664</v>
      </c>
      <c r="P46" s="238">
        <f t="shared" si="28"/>
        <v>2.3874304041514257E-3</v>
      </c>
      <c r="Q46" s="238">
        <f t="shared" si="29"/>
        <v>1.5405682985279014E-3</v>
      </c>
      <c r="R46" s="238">
        <f t="shared" si="30"/>
        <v>0</v>
      </c>
      <c r="S46" s="238">
        <f t="shared" si="31"/>
        <v>0.99999999999999989</v>
      </c>
      <c r="T46" s="51">
        <f t="shared" si="8"/>
        <v>0.42868831519827622</v>
      </c>
      <c r="U46" s="51">
        <f t="shared" si="9"/>
        <v>0.57075634109950646</v>
      </c>
      <c r="V46" s="51">
        <f t="shared" si="10"/>
        <v>5.5534370221730234E-4</v>
      </c>
      <c r="W46" s="51">
        <f t="shared" si="11"/>
        <v>0</v>
      </c>
      <c r="X46" s="51">
        <f t="shared" si="12"/>
        <v>0</v>
      </c>
      <c r="Y46" s="51">
        <f t="shared" si="13"/>
        <v>1</v>
      </c>
      <c r="Z46" s="51">
        <f>Z29/$AE$29</f>
        <v>0.30636296760151505</v>
      </c>
      <c r="AA46" s="51">
        <f t="shared" ref="AA46:AE46" si="33">AA29/$AE$29</f>
        <v>0.69120820996698751</v>
      </c>
      <c r="AB46" s="51">
        <f t="shared" si="33"/>
        <v>1.7539806545357273E-3</v>
      </c>
      <c r="AC46" s="51">
        <f t="shared" si="33"/>
        <v>4.9549193533678256E-4</v>
      </c>
      <c r="AD46" s="51">
        <f t="shared" si="33"/>
        <v>1.7631001380081831E-4</v>
      </c>
      <c r="AE46" s="51">
        <f t="shared" si="33"/>
        <v>1</v>
      </c>
      <c r="AF46" s="51"/>
      <c r="AG46" s="51"/>
      <c r="AH46" s="51"/>
      <c r="AI46" s="51"/>
      <c r="AJ46" s="51"/>
      <c r="AK46" s="51"/>
    </row>
    <row r="47" spans="1:37">
      <c r="A47" t="s">
        <v>25</v>
      </c>
      <c r="B47" s="238">
        <f t="shared" si="14"/>
        <v>0.44129856306546045</v>
      </c>
      <c r="C47" s="238">
        <f t="shared" si="15"/>
        <v>0.53611495476317206</v>
      </c>
      <c r="D47" s="238">
        <f t="shared" si="16"/>
        <v>7.6423629590207567E-3</v>
      </c>
      <c r="E47" s="238">
        <f t="shared" si="17"/>
        <v>1.0643959552953701E-4</v>
      </c>
      <c r="F47" s="238">
        <f t="shared" si="18"/>
        <v>1.4837679616817459E-2</v>
      </c>
      <c r="G47" s="238">
        <f t="shared" si="19"/>
        <v>1.0000000000000002</v>
      </c>
      <c r="H47" s="238">
        <f t="shared" si="20"/>
        <v>0.64890819254064391</v>
      </c>
      <c r="I47" s="238">
        <f t="shared" si="21"/>
        <v>0.34435766656040806</v>
      </c>
      <c r="J47" s="238">
        <f t="shared" si="22"/>
        <v>4.1042397194772078E-3</v>
      </c>
      <c r="K47" s="238">
        <f t="shared" si="23"/>
        <v>2.5900541919030924E-3</v>
      </c>
      <c r="L47" s="238">
        <f t="shared" si="24"/>
        <v>3.9846987567739883E-5</v>
      </c>
      <c r="M47" s="238">
        <f t="shared" si="25"/>
        <v>0.99999999999999989</v>
      </c>
      <c r="N47" s="238">
        <f t="shared" si="26"/>
        <v>0.48305024707320099</v>
      </c>
      <c r="O47" s="238">
        <f t="shared" si="27"/>
        <v>0.51350489718566805</v>
      </c>
      <c r="P47" s="238">
        <f t="shared" si="28"/>
        <v>1.3637732239953244E-3</v>
      </c>
      <c r="Q47" s="238">
        <f t="shared" si="29"/>
        <v>2.081082517135722E-3</v>
      </c>
      <c r="R47" s="238">
        <f t="shared" si="30"/>
        <v>0</v>
      </c>
      <c r="S47" s="238">
        <f t="shared" si="31"/>
        <v>1</v>
      </c>
      <c r="T47" s="51">
        <f t="shared" si="8"/>
        <v>0.40676473506648142</v>
      </c>
      <c r="U47" s="51">
        <f t="shared" si="9"/>
        <v>0.59274740358536748</v>
      </c>
      <c r="V47" s="51">
        <f t="shared" si="10"/>
        <v>4.2171065687636434E-4</v>
      </c>
      <c r="W47" s="51">
        <f t="shared" si="11"/>
        <v>3.3075345637361909E-5</v>
      </c>
      <c r="X47" s="51">
        <f t="shared" si="12"/>
        <v>3.3075345637361909E-5</v>
      </c>
      <c r="Y47" s="51">
        <f t="shared" si="13"/>
        <v>0.99999999999999989</v>
      </c>
      <c r="Z47" s="51">
        <f>Z30/$AE$30</f>
        <v>0.32763198709597374</v>
      </c>
      <c r="AA47" s="51">
        <f t="shared" ref="AA47:AE47" si="34">AA30/$AE$30</f>
        <v>0.67188411191761277</v>
      </c>
      <c r="AB47" s="51">
        <f t="shared" si="34"/>
        <v>4.7149326881320181E-4</v>
      </c>
      <c r="AC47" s="51">
        <f t="shared" si="34"/>
        <v>0</v>
      </c>
      <c r="AD47" s="51">
        <f t="shared" si="34"/>
        <v>1.2407717600347417E-5</v>
      </c>
      <c r="AE47" s="51">
        <f t="shared" si="34"/>
        <v>1</v>
      </c>
      <c r="AF47" s="51"/>
      <c r="AG47" s="51"/>
      <c r="AH47" s="51"/>
      <c r="AI47" s="51"/>
      <c r="AJ47" s="51"/>
      <c r="AK47" s="51"/>
    </row>
    <row r="48" spans="1:37">
      <c r="A48" t="s">
        <v>26</v>
      </c>
      <c r="B48" s="238">
        <f t="shared" si="14"/>
        <v>0.78184078163843451</v>
      </c>
      <c r="C48" s="238">
        <f t="shared" si="15"/>
        <v>0.18506099323582129</v>
      </c>
      <c r="D48" s="238">
        <f t="shared" si="16"/>
        <v>9.2501589871075941E-4</v>
      </c>
      <c r="E48" s="238">
        <f t="shared" si="17"/>
        <v>1.4742440885702726E-3</v>
      </c>
      <c r="F48" s="238">
        <f t="shared" si="18"/>
        <v>3.0698965138463326E-2</v>
      </c>
      <c r="G48" s="238">
        <f t="shared" si="19"/>
        <v>1</v>
      </c>
      <c r="H48" s="238">
        <f t="shared" si="20"/>
        <v>0.68539785910659634</v>
      </c>
      <c r="I48" s="238">
        <f t="shared" si="21"/>
        <v>0.30458010801957613</v>
      </c>
      <c r="J48" s="238">
        <f t="shared" si="22"/>
        <v>3.7826349757248429E-3</v>
      </c>
      <c r="K48" s="238">
        <f t="shared" si="23"/>
        <v>6.2198997796712625E-3</v>
      </c>
      <c r="L48" s="238">
        <f t="shared" si="24"/>
        <v>1.9498118431571359E-5</v>
      </c>
      <c r="M48" s="238">
        <f t="shared" si="25"/>
        <v>1.0000000000000002</v>
      </c>
      <c r="N48" s="238">
        <f t="shared" si="26"/>
        <v>0.42500457798902874</v>
      </c>
      <c r="O48" s="238">
        <f t="shared" si="27"/>
        <v>0.57439829300722123</v>
      </c>
      <c r="P48" s="238">
        <f t="shared" si="28"/>
        <v>5.8120556364997088E-4</v>
      </c>
      <c r="Q48" s="238">
        <f t="shared" si="29"/>
        <v>1.5923440099999206E-5</v>
      </c>
      <c r="R48" s="238">
        <f t="shared" si="30"/>
        <v>0</v>
      </c>
      <c r="S48" s="238">
        <f t="shared" si="31"/>
        <v>0.99999999999999989</v>
      </c>
      <c r="T48" s="51">
        <f t="shared" si="8"/>
        <v>0.37915912972665228</v>
      </c>
      <c r="U48" s="51">
        <f t="shared" si="9"/>
        <v>0.62014903322979797</v>
      </c>
      <c r="V48" s="51">
        <f t="shared" si="10"/>
        <v>6.2697732071691605E-4</v>
      </c>
      <c r="W48" s="51">
        <f t="shared" si="11"/>
        <v>3.6033179351546905E-5</v>
      </c>
      <c r="X48" s="51">
        <f t="shared" si="12"/>
        <v>2.8826543481237524E-5</v>
      </c>
      <c r="Y48" s="51">
        <f t="shared" si="13"/>
        <v>0.99999999999999989</v>
      </c>
      <c r="Z48" s="51">
        <v>0.30980000000000002</v>
      </c>
      <c r="AA48" s="51">
        <v>0.6895</v>
      </c>
      <c r="AB48" s="51">
        <v>5.9999999999999995E-4</v>
      </c>
      <c r="AC48" s="51">
        <f>AC31/$AE$30</f>
        <v>0</v>
      </c>
      <c r="AD48" s="51">
        <f>AD31/$AE$30</f>
        <v>6.2038588001737083E-6</v>
      </c>
      <c r="AE48" s="51">
        <v>1</v>
      </c>
      <c r="AF48" s="51"/>
      <c r="AG48" s="51"/>
      <c r="AH48" s="51"/>
      <c r="AI48" s="51"/>
      <c r="AJ48" s="51"/>
      <c r="AK48" s="51"/>
    </row>
    <row r="49" spans="1:37">
      <c r="A49" t="s">
        <v>27</v>
      </c>
      <c r="B49" s="238">
        <f t="shared" si="14"/>
        <v>0.73513417811164228</v>
      </c>
      <c r="C49" s="238">
        <f t="shared" si="15"/>
        <v>0.23957305814806387</v>
      </c>
      <c r="D49" s="238">
        <f t="shared" si="16"/>
        <v>8.4730758529984584E-3</v>
      </c>
      <c r="E49" s="238">
        <f t="shared" si="17"/>
        <v>0</v>
      </c>
      <c r="F49" s="238">
        <f t="shared" si="18"/>
        <v>1.6819687887295445E-2</v>
      </c>
      <c r="G49" s="238">
        <f t="shared" si="19"/>
        <v>1</v>
      </c>
      <c r="H49" s="238">
        <f t="shared" si="20"/>
        <v>0.64098861511802885</v>
      </c>
      <c r="I49" s="238">
        <f t="shared" si="21"/>
        <v>0.35436015139309007</v>
      </c>
      <c r="J49" s="238">
        <f t="shared" si="22"/>
        <v>3.556825609144386E-3</v>
      </c>
      <c r="K49" s="238">
        <f t="shared" si="23"/>
        <v>2.2800164161181961E-4</v>
      </c>
      <c r="L49" s="238">
        <f t="shared" si="24"/>
        <v>8.6640623812491455E-4</v>
      </c>
      <c r="M49" s="238">
        <f t="shared" si="25"/>
        <v>1</v>
      </c>
      <c r="N49" s="238">
        <f t="shared" si="26"/>
        <v>0.39112566662631337</v>
      </c>
      <c r="O49" s="238">
        <f t="shared" si="27"/>
        <v>0.60797594092273188</v>
      </c>
      <c r="P49" s="238">
        <f t="shared" si="28"/>
        <v>6.4990092196728824E-4</v>
      </c>
      <c r="Q49" s="238">
        <f t="shared" si="29"/>
        <v>2.4849152898749258E-4</v>
      </c>
      <c r="R49" s="238">
        <f t="shared" si="30"/>
        <v>0</v>
      </c>
      <c r="S49" s="238">
        <f t="shared" si="31"/>
        <v>1</v>
      </c>
      <c r="T49" s="51">
        <f t="shared" si="8"/>
        <v>0.35434434883765042</v>
      </c>
      <c r="U49" s="51">
        <f t="shared" si="9"/>
        <v>0.64488117290780234</v>
      </c>
      <c r="V49" s="51">
        <f t="shared" si="10"/>
        <v>7.4602803295167896E-4</v>
      </c>
      <c r="W49" s="51">
        <f t="shared" si="11"/>
        <v>0</v>
      </c>
      <c r="X49" s="51">
        <f t="shared" si="12"/>
        <v>2.8450221595614874E-5</v>
      </c>
      <c r="Y49" s="51">
        <f t="shared" si="13"/>
        <v>1</v>
      </c>
      <c r="Z49" s="51">
        <v>0.33600000000000002</v>
      </c>
      <c r="AA49" s="51">
        <v>0.66400000000000003</v>
      </c>
      <c r="AB49" s="51"/>
      <c r="AD49" s="51">
        <v>0</v>
      </c>
      <c r="AE49" s="51">
        <v>1</v>
      </c>
      <c r="AF49" s="51"/>
      <c r="AG49" s="51"/>
      <c r="AH49" s="51"/>
      <c r="AJ49" s="51"/>
      <c r="AK49" s="51"/>
    </row>
    <row r="50" spans="1:37">
      <c r="A50" t="s">
        <v>28</v>
      </c>
      <c r="B50" s="238">
        <f t="shared" si="14"/>
        <v>0.72394836302949983</v>
      </c>
      <c r="C50" s="238">
        <f t="shared" si="15"/>
        <v>0.26034457370048592</v>
      </c>
      <c r="D50" s="238">
        <f t="shared" si="16"/>
        <v>2.4787709222991211E-3</v>
      </c>
      <c r="E50" s="238">
        <f t="shared" si="17"/>
        <v>0</v>
      </c>
      <c r="F50" s="238">
        <f t="shared" si="18"/>
        <v>1.3228292347715111E-2</v>
      </c>
      <c r="G50" s="238">
        <f t="shared" si="19"/>
        <v>1</v>
      </c>
      <c r="H50" s="238">
        <f t="shared" si="20"/>
        <v>0.58145004601697514</v>
      </c>
      <c r="I50" s="238">
        <f t="shared" si="21"/>
        <v>0.41123836793128138</v>
      </c>
      <c r="J50" s="238">
        <f t="shared" si="22"/>
        <v>7.3115860517435323E-3</v>
      </c>
      <c r="K50" s="238">
        <f t="shared" si="23"/>
        <v>0</v>
      </c>
      <c r="L50" s="238">
        <f t="shared" si="24"/>
        <v>0</v>
      </c>
      <c r="M50" s="238">
        <f t="shared" si="25"/>
        <v>1</v>
      </c>
      <c r="N50" s="238">
        <f t="shared" si="26"/>
        <v>0.45199073863894307</v>
      </c>
      <c r="O50" s="238">
        <f t="shared" si="27"/>
        <v>0.54699103048855624</v>
      </c>
      <c r="P50" s="238">
        <f t="shared" si="28"/>
        <v>1.0052597785834268E-3</v>
      </c>
      <c r="Q50" s="238">
        <f t="shared" si="29"/>
        <v>1.2971093917205506E-5</v>
      </c>
      <c r="R50" s="238">
        <f t="shared" si="30"/>
        <v>0</v>
      </c>
      <c r="S50" s="238">
        <f t="shared" si="31"/>
        <v>1</v>
      </c>
      <c r="T50" s="51">
        <f t="shared" si="8"/>
        <v>0.35414797692403394</v>
      </c>
      <c r="U50" s="51">
        <f t="shared" si="9"/>
        <v>0.64386463496886304</v>
      </c>
      <c r="V50" s="51">
        <f t="shared" si="10"/>
        <v>1.9873881071028662E-3</v>
      </c>
      <c r="W50" s="51">
        <f t="shared" si="11"/>
        <v>0</v>
      </c>
      <c r="X50" s="51">
        <f t="shared" si="12"/>
        <v>0</v>
      </c>
      <c r="Y50" s="51">
        <f t="shared" si="13"/>
        <v>0.99999999999999978</v>
      </c>
      <c r="Z50" s="51">
        <v>0.314</v>
      </c>
      <c r="AA50" s="51">
        <v>0.68500000000000005</v>
      </c>
      <c r="AD50" s="51">
        <v>1E-3</v>
      </c>
      <c r="AE50" s="51">
        <v>1</v>
      </c>
      <c r="AF50" s="51"/>
      <c r="AG50" s="51"/>
      <c r="AJ50" s="51"/>
      <c r="AK50" s="51"/>
    </row>
    <row r="51" spans="1:37">
      <c r="A51" t="s">
        <v>29</v>
      </c>
      <c r="B51" s="238">
        <f t="shared" si="14"/>
        <v>0.59631743810720139</v>
      </c>
      <c r="C51" s="238">
        <f t="shared" si="15"/>
        <v>0.3919161724253073</v>
      </c>
      <c r="D51" s="238">
        <f t="shared" si="16"/>
        <v>9.1905042056892074E-3</v>
      </c>
      <c r="E51" s="238">
        <f t="shared" si="17"/>
        <v>0</v>
      </c>
      <c r="F51" s="238">
        <f t="shared" si="18"/>
        <v>2.5758852618021654E-3</v>
      </c>
      <c r="G51" s="238">
        <f t="shared" si="19"/>
        <v>1</v>
      </c>
      <c r="H51" s="238">
        <f t="shared" si="20"/>
        <v>0.55168125418075953</v>
      </c>
      <c r="I51" s="238">
        <f t="shared" si="21"/>
        <v>0.44447480238550602</v>
      </c>
      <c r="J51" s="238">
        <f t="shared" si="22"/>
        <v>3.6460934040568678E-3</v>
      </c>
      <c r="K51" s="238">
        <f t="shared" si="23"/>
        <v>1.9785002967750444E-4</v>
      </c>
      <c r="L51" s="238">
        <f t="shared" si="24"/>
        <v>0</v>
      </c>
      <c r="M51" s="238">
        <f t="shared" si="25"/>
        <v>0.99999999999999989</v>
      </c>
      <c r="N51" s="238">
        <f t="shared" si="26"/>
        <v>0.44347391824210425</v>
      </c>
      <c r="O51" s="238">
        <f t="shared" si="27"/>
        <v>0.55575777074559773</v>
      </c>
      <c r="P51" s="238">
        <f t="shared" si="28"/>
        <v>7.1548963020230574E-4</v>
      </c>
      <c r="Q51" s="238">
        <f t="shared" si="29"/>
        <v>4.3217494441750011E-5</v>
      </c>
      <c r="R51" s="238">
        <f t="shared" si="30"/>
        <v>9.6038876537222248E-6</v>
      </c>
      <c r="S51" s="238">
        <f t="shared" si="31"/>
        <v>0.99999999999999978</v>
      </c>
      <c r="T51" s="51">
        <f t="shared" si="8"/>
        <v>0.32207505647623325</v>
      </c>
      <c r="U51" s="51">
        <f t="shared" si="9"/>
        <v>0.67394387984425974</v>
      </c>
      <c r="V51" s="51">
        <f t="shared" si="10"/>
        <v>2.3495280513218648E-3</v>
      </c>
      <c r="W51" s="51">
        <f t="shared" si="11"/>
        <v>1.4418221830472062E-3</v>
      </c>
      <c r="X51" s="51">
        <f t="shared" si="12"/>
        <v>1.8971344513779031E-4</v>
      </c>
      <c r="Y51" s="51">
        <f t="shared" si="13"/>
        <v>0.99999999999999978</v>
      </c>
      <c r="Z51" s="51">
        <v>0.35</v>
      </c>
      <c r="AA51" s="51">
        <v>0.64900000000000002</v>
      </c>
      <c r="AD51" s="51">
        <v>1E-3</v>
      </c>
      <c r="AE51" s="51">
        <v>1</v>
      </c>
      <c r="AF51" s="51"/>
      <c r="AG51" s="51"/>
      <c r="AJ51" s="51"/>
      <c r="AK51" s="51"/>
    </row>
    <row r="52" spans="1:37">
      <c r="A52" t="s">
        <v>30</v>
      </c>
      <c r="B52" s="238">
        <f t="shared" si="14"/>
        <v>0.4935010093519549</v>
      </c>
      <c r="C52" s="238">
        <f t="shared" si="15"/>
        <v>0.48738310056441325</v>
      </c>
      <c r="D52" s="238">
        <f t="shared" si="16"/>
        <v>8.2293082849256398E-3</v>
      </c>
      <c r="E52" s="238">
        <f t="shared" si="17"/>
        <v>9.5579450418160107E-3</v>
      </c>
      <c r="F52" s="238">
        <f t="shared" si="18"/>
        <v>1.3286367568903722E-3</v>
      </c>
      <c r="G52" s="238">
        <f t="shared" si="19"/>
        <v>1.0000000000000002</v>
      </c>
      <c r="H52" s="238">
        <f t="shared" si="20"/>
        <v>0.46221134470325731</v>
      </c>
      <c r="I52" s="238">
        <f t="shared" si="21"/>
        <v>0.53174339692564254</v>
      </c>
      <c r="J52" s="238">
        <f t="shared" si="22"/>
        <v>1.0731684720088324E-3</v>
      </c>
      <c r="K52" s="238">
        <f t="shared" si="23"/>
        <v>4.9566486261127364E-3</v>
      </c>
      <c r="L52" s="238">
        <f t="shared" si="24"/>
        <v>1.5441272978544351E-5</v>
      </c>
      <c r="M52" s="238">
        <f t="shared" si="25"/>
        <v>1</v>
      </c>
      <c r="N52" s="238">
        <f t="shared" si="26"/>
        <v>0.42176105330607511</v>
      </c>
      <c r="O52" s="238">
        <f t="shared" si="27"/>
        <v>0.57408918927165653</v>
      </c>
      <c r="P52" s="238">
        <f t="shared" si="28"/>
        <v>4.1345009611570499E-3</v>
      </c>
      <c r="Q52" s="238">
        <f t="shared" si="29"/>
        <v>1.5256461111280628E-5</v>
      </c>
      <c r="R52" s="238">
        <f t="shared" si="30"/>
        <v>0</v>
      </c>
      <c r="S52" s="238">
        <f t="shared" si="31"/>
        <v>1</v>
      </c>
      <c r="T52" s="51">
        <f t="shared" si="8"/>
        <v>0.31596928303097699</v>
      </c>
      <c r="U52" s="51">
        <f t="shared" si="9"/>
        <v>0.68265033444538503</v>
      </c>
      <c r="V52" s="51">
        <f t="shared" si="10"/>
        <v>9.7926936546664659E-4</v>
      </c>
      <c r="W52" s="51">
        <f t="shared" si="11"/>
        <v>1.134182033450071E-4</v>
      </c>
      <c r="X52" s="51">
        <f t="shared" si="12"/>
        <v>2.8769495482635949E-4</v>
      </c>
      <c r="Y52" s="51">
        <f t="shared" si="13"/>
        <v>1</v>
      </c>
      <c r="Z52" s="51">
        <v>0.34499999999999997</v>
      </c>
      <c r="AA52" s="51">
        <v>0.65300000000000002</v>
      </c>
      <c r="AD52" s="51">
        <v>2E-3</v>
      </c>
      <c r="AE52" s="242">
        <v>1</v>
      </c>
      <c r="AG52" s="51"/>
      <c r="AJ52" s="51"/>
      <c r="AK52" s="242"/>
    </row>
    <row r="53" spans="1:37">
      <c r="AK53" s="51"/>
    </row>
    <row r="56" spans="1:37">
      <c r="B56" s="41" t="s">
        <v>81</v>
      </c>
      <c r="C56" s="41" t="s">
        <v>82</v>
      </c>
      <c r="D56" s="41" t="s">
        <v>39</v>
      </c>
      <c r="E56" s="41" t="s">
        <v>48</v>
      </c>
      <c r="O56" s="41" t="s">
        <v>83</v>
      </c>
      <c r="P56" s="41" t="s">
        <v>84</v>
      </c>
      <c r="Q56" s="41" t="s">
        <v>39</v>
      </c>
      <c r="Y56">
        <v>4.9800000000000004</v>
      </c>
    </row>
    <row r="57" spans="1:37">
      <c r="A57" s="239">
        <v>43466</v>
      </c>
      <c r="B57">
        <v>3.47</v>
      </c>
      <c r="C57">
        <v>1.42</v>
      </c>
      <c r="D57" s="23">
        <f>E57-B57-C57</f>
        <v>9.0000000000000302E-2</v>
      </c>
      <c r="E57">
        <v>4.9800000000000004</v>
      </c>
      <c r="M57">
        <f>E57/1000</f>
        <v>4.9800000000000001E-3</v>
      </c>
      <c r="N57" s="239">
        <v>43496</v>
      </c>
      <c r="O57" s="238">
        <v>0.69678714859437796</v>
      </c>
      <c r="P57" s="238">
        <v>0.28514056224899598</v>
      </c>
      <c r="Q57" s="51">
        <f t="shared" ref="Q57:Q107" si="35">1-O57-P57</f>
        <v>1.8072289156626065E-2</v>
      </c>
      <c r="Y57">
        <v>2.2419000000000002</v>
      </c>
    </row>
    <row r="58" spans="1:37">
      <c r="A58" s="239">
        <v>43497</v>
      </c>
      <c r="B58">
        <v>1.8484</v>
      </c>
      <c r="C58">
        <v>0.32150000000000001</v>
      </c>
      <c r="D58" s="23">
        <f t="shared" ref="D58:D119" si="36">E58-B58-C58</f>
        <v>7.2000000000000175E-2</v>
      </c>
      <c r="E58">
        <v>2.2419000000000002</v>
      </c>
      <c r="M58">
        <f t="shared" ref="M58:M119" si="37">E58/1000</f>
        <v>2.2419000000000002E-3</v>
      </c>
      <c r="N58" s="239">
        <v>43524</v>
      </c>
      <c r="O58" s="238">
        <v>0.82447923636201403</v>
      </c>
      <c r="P58" s="238">
        <v>0.14340514741959901</v>
      </c>
      <c r="Q58" s="51">
        <f t="shared" si="35"/>
        <v>3.2115616218386961E-2</v>
      </c>
      <c r="Y58">
        <v>5.0878999999999994</v>
      </c>
    </row>
    <row r="59" spans="1:37">
      <c r="A59" s="239">
        <v>43525</v>
      </c>
      <c r="B59">
        <v>3.8926999999999996</v>
      </c>
      <c r="C59">
        <v>1.0527</v>
      </c>
      <c r="D59" s="23">
        <f t="shared" si="36"/>
        <v>0.14249999999999985</v>
      </c>
      <c r="E59">
        <v>5.0878999999999994</v>
      </c>
      <c r="M59">
        <f t="shared" si="37"/>
        <v>5.0878999999999994E-3</v>
      </c>
      <c r="N59" s="239">
        <v>43555</v>
      </c>
      <c r="O59" s="238">
        <v>0.76508972267536701</v>
      </c>
      <c r="P59" s="238">
        <v>0.20690265138858899</v>
      </c>
      <c r="Q59" s="51">
        <f t="shared" si="35"/>
        <v>2.8007625936044001E-2</v>
      </c>
      <c r="Y59">
        <v>5.4066999999999998</v>
      </c>
    </row>
    <row r="60" spans="1:37">
      <c r="A60" s="239">
        <v>43556</v>
      </c>
      <c r="B60">
        <v>3.7628000000000004</v>
      </c>
      <c r="C60">
        <v>1.5312999999999999</v>
      </c>
      <c r="D60" s="23">
        <f t="shared" si="36"/>
        <v>0.11259999999999959</v>
      </c>
      <c r="E60">
        <v>5.4066999999999998</v>
      </c>
      <c r="M60">
        <f t="shared" si="37"/>
        <v>5.4066999999999995E-3</v>
      </c>
      <c r="N60" s="239">
        <v>43585</v>
      </c>
      <c r="O60" s="238">
        <v>0.69595131965894197</v>
      </c>
      <c r="P60" s="238">
        <v>0.28322266817097302</v>
      </c>
      <c r="Q60" s="51">
        <f t="shared" si="35"/>
        <v>2.0826012170085006E-2</v>
      </c>
      <c r="Y60">
        <v>5.6686000000000005</v>
      </c>
    </row>
    <row r="61" spans="1:37">
      <c r="A61" s="239">
        <v>43586</v>
      </c>
      <c r="B61">
        <v>3.6970000000000001</v>
      </c>
      <c r="C61">
        <v>1.7867</v>
      </c>
      <c r="D61" s="23">
        <f t="shared" si="36"/>
        <v>0.18490000000000051</v>
      </c>
      <c r="E61">
        <v>5.6686000000000005</v>
      </c>
      <c r="M61">
        <f t="shared" si="37"/>
        <v>5.6686000000000002E-3</v>
      </c>
      <c r="N61" s="239">
        <v>43616</v>
      </c>
      <c r="O61" s="238">
        <v>0.65218925307836195</v>
      </c>
      <c r="P61" s="238">
        <v>0.31519246374766302</v>
      </c>
      <c r="Q61" s="51">
        <f t="shared" si="35"/>
        <v>3.2618283173975027E-2</v>
      </c>
      <c r="Y61">
        <v>6.6082000000000001</v>
      </c>
    </row>
    <row r="62" spans="1:37">
      <c r="A62" s="239">
        <v>43617</v>
      </c>
      <c r="B62">
        <v>4.6936999999999998</v>
      </c>
      <c r="C62">
        <v>1.7349000000000001</v>
      </c>
      <c r="D62" s="23">
        <f t="shared" si="36"/>
        <v>0.1796000000000002</v>
      </c>
      <c r="E62">
        <v>6.6082000000000001</v>
      </c>
      <c r="M62">
        <f t="shared" si="37"/>
        <v>6.6081999999999998E-3</v>
      </c>
      <c r="N62" s="239">
        <v>43646</v>
      </c>
      <c r="O62" s="238">
        <v>0.71028419236705898</v>
      </c>
      <c r="P62" s="238">
        <v>0.26253745346690499</v>
      </c>
      <c r="Q62" s="51">
        <f t="shared" si="35"/>
        <v>2.7178354166036034E-2</v>
      </c>
      <c r="Y62">
        <v>4.6974999999999998</v>
      </c>
    </row>
    <row r="63" spans="1:37">
      <c r="A63" s="239">
        <v>43647</v>
      </c>
      <c r="B63">
        <v>2.073</v>
      </c>
      <c r="C63">
        <v>2.5184000000000002</v>
      </c>
      <c r="D63" s="23">
        <f t="shared" si="36"/>
        <v>0.10609999999999964</v>
      </c>
      <c r="E63">
        <v>4.6974999999999998</v>
      </c>
      <c r="M63">
        <f t="shared" si="37"/>
        <v>4.6974999999999994E-3</v>
      </c>
      <c r="N63" s="239">
        <v>43677</v>
      </c>
      <c r="O63" s="238">
        <v>0.44129856306546</v>
      </c>
      <c r="P63" s="238">
        <v>0.53611495476317195</v>
      </c>
      <c r="Q63" s="51">
        <f t="shared" si="35"/>
        <v>2.258648217136805E-2</v>
      </c>
      <c r="Y63">
        <v>3.4594</v>
      </c>
    </row>
    <row r="64" spans="1:37">
      <c r="A64" s="239">
        <v>43678</v>
      </c>
      <c r="B64">
        <v>2.7046999999999999</v>
      </c>
      <c r="C64">
        <v>0.64019999999999999</v>
      </c>
      <c r="D64" s="23">
        <f t="shared" si="36"/>
        <v>0.11450000000000016</v>
      </c>
      <c r="E64">
        <v>3.4594</v>
      </c>
      <c r="M64">
        <f t="shared" si="37"/>
        <v>3.4594000000000001E-3</v>
      </c>
      <c r="N64" s="239">
        <v>43708</v>
      </c>
      <c r="O64" s="238">
        <v>0.78184078163843496</v>
      </c>
      <c r="P64" s="238">
        <v>0.18506099323582101</v>
      </c>
      <c r="Q64" s="51">
        <f t="shared" si="35"/>
        <v>3.3098225125744035E-2</v>
      </c>
      <c r="Y64">
        <v>3.9537</v>
      </c>
    </row>
    <row r="65" spans="1:25">
      <c r="A65" s="239">
        <v>43709</v>
      </c>
      <c r="B65">
        <v>2.9064999999999999</v>
      </c>
      <c r="C65">
        <v>0.94720000000000004</v>
      </c>
      <c r="D65" s="23">
        <f t="shared" si="36"/>
        <v>0.10000000000000009</v>
      </c>
      <c r="E65">
        <v>3.9537</v>
      </c>
      <c r="M65">
        <f t="shared" si="37"/>
        <v>3.9537000000000001E-3</v>
      </c>
      <c r="N65" s="239">
        <v>43738</v>
      </c>
      <c r="O65" s="238">
        <v>0.73513417811164194</v>
      </c>
      <c r="P65" s="238">
        <v>0.23957305814806401</v>
      </c>
      <c r="Q65" s="51">
        <f t="shared" si="35"/>
        <v>2.5292763740294044E-2</v>
      </c>
      <c r="Y65">
        <v>4.0746000000000002</v>
      </c>
    </row>
    <row r="66" spans="1:25">
      <c r="A66" s="239">
        <v>43739</v>
      </c>
      <c r="B66">
        <v>2.9498000000000002</v>
      </c>
      <c r="C66">
        <v>1.0608</v>
      </c>
      <c r="D66" s="23">
        <f t="shared" si="36"/>
        <v>6.4000000000000057E-2</v>
      </c>
      <c r="E66">
        <v>4.0746000000000002</v>
      </c>
      <c r="M66">
        <f t="shared" si="37"/>
        <v>4.0746000000000003E-3</v>
      </c>
      <c r="N66" s="239">
        <v>43769</v>
      </c>
      <c r="O66" s="238">
        <v>0.72394836302950005</v>
      </c>
      <c r="P66" s="238">
        <v>0.26034457370048603</v>
      </c>
      <c r="Q66" s="51">
        <f t="shared" si="35"/>
        <v>1.5707063270013921E-2</v>
      </c>
      <c r="Y66">
        <v>6.2891000000000004</v>
      </c>
    </row>
    <row r="67" spans="1:25">
      <c r="A67" s="239">
        <v>43770</v>
      </c>
      <c r="B67">
        <v>3.7503000000000002</v>
      </c>
      <c r="C67">
        <v>2.4648000000000003</v>
      </c>
      <c r="D67" s="23">
        <f t="shared" si="36"/>
        <v>7.3999999999999844E-2</v>
      </c>
      <c r="E67">
        <v>6.2891000000000004</v>
      </c>
      <c r="M67">
        <f t="shared" si="37"/>
        <v>6.2891000000000006E-3</v>
      </c>
      <c r="N67" s="239">
        <v>43799</v>
      </c>
      <c r="O67" s="238">
        <v>0.59631743810720095</v>
      </c>
      <c r="P67" s="238">
        <v>0.39191617242530702</v>
      </c>
      <c r="Q67" s="51">
        <f t="shared" si="35"/>
        <v>1.1766389467492033E-2</v>
      </c>
      <c r="Y67">
        <v>9.7092000000000009</v>
      </c>
    </row>
    <row r="68" spans="1:25">
      <c r="A68" s="239">
        <v>43800</v>
      </c>
      <c r="B68">
        <v>4.7915000000000001</v>
      </c>
      <c r="C68">
        <v>4.7321</v>
      </c>
      <c r="D68" s="23">
        <f t="shared" si="36"/>
        <v>0.18560000000000088</v>
      </c>
      <c r="E68">
        <v>9.7092000000000009</v>
      </c>
      <c r="M68">
        <f t="shared" si="37"/>
        <v>9.7092000000000012E-3</v>
      </c>
      <c r="N68" s="239">
        <v>43830</v>
      </c>
      <c r="O68" s="238">
        <v>0.49350100935195501</v>
      </c>
      <c r="P68" s="238">
        <v>0.48738310056441297</v>
      </c>
      <c r="Q68" s="51">
        <f t="shared" si="35"/>
        <v>1.911589008363207E-2</v>
      </c>
      <c r="Y68">
        <v>2.3168000000000002</v>
      </c>
    </row>
    <row r="69" spans="1:25">
      <c r="A69" s="239">
        <v>43831</v>
      </c>
      <c r="B69">
        <v>1.5791999999999999</v>
      </c>
      <c r="C69">
        <v>0.72339999999999993</v>
      </c>
      <c r="D69" s="23">
        <f t="shared" si="36"/>
        <v>1.4200000000000323E-2</v>
      </c>
      <c r="E69">
        <v>2.3168000000000002</v>
      </c>
      <c r="M69">
        <f t="shared" si="37"/>
        <v>2.3168000000000004E-3</v>
      </c>
      <c r="N69" s="239">
        <v>43861</v>
      </c>
      <c r="O69" s="238">
        <v>0.68162983425414403</v>
      </c>
      <c r="P69" s="238">
        <v>0.31224102209944699</v>
      </c>
      <c r="Q69" s="51">
        <f t="shared" si="35"/>
        <v>6.1291436464089855E-3</v>
      </c>
      <c r="Y69">
        <v>0.59810000000000008</v>
      </c>
    </row>
    <row r="70" spans="1:25">
      <c r="A70" s="239">
        <v>43862</v>
      </c>
      <c r="B70">
        <v>0.5212</v>
      </c>
      <c r="C70">
        <v>7.6599999999999988E-2</v>
      </c>
      <c r="D70" s="23">
        <f t="shared" si="36"/>
        <v>3.0000000000009186E-4</v>
      </c>
      <c r="E70">
        <v>0.59810000000000008</v>
      </c>
      <c r="M70">
        <f t="shared" si="37"/>
        <v>5.9810000000000006E-4</v>
      </c>
      <c r="N70" s="239">
        <v>43890</v>
      </c>
      <c r="O70" s="238">
        <v>0.87142618291255602</v>
      </c>
      <c r="P70" s="238">
        <v>0.128072228724294</v>
      </c>
      <c r="Q70" s="51">
        <f t="shared" si="35"/>
        <v>5.0158836314997957E-4</v>
      </c>
      <c r="Y70">
        <v>2.7700999999999998</v>
      </c>
    </row>
    <row r="71" spans="1:25">
      <c r="A71" s="239">
        <v>43891</v>
      </c>
      <c r="B71">
        <v>2.2244999999999999</v>
      </c>
      <c r="C71">
        <v>0.53449999999999998</v>
      </c>
      <c r="D71" s="23">
        <f t="shared" si="36"/>
        <v>1.1099999999999888E-2</v>
      </c>
      <c r="E71">
        <v>2.7700999999999998</v>
      </c>
      <c r="M71">
        <f t="shared" si="37"/>
        <v>2.7700999999999997E-3</v>
      </c>
      <c r="N71" s="239">
        <v>43921</v>
      </c>
      <c r="O71" s="238">
        <v>0.80303960145843101</v>
      </c>
      <c r="P71" s="238">
        <v>0.19295332298473</v>
      </c>
      <c r="Q71" s="51">
        <f t="shared" si="35"/>
        <v>4.0070755568389904E-3</v>
      </c>
      <c r="Y71">
        <v>3.5874000000000001</v>
      </c>
    </row>
    <row r="72" spans="1:25">
      <c r="A72" s="239">
        <v>43922</v>
      </c>
      <c r="B72">
        <v>2.6203000000000003</v>
      </c>
      <c r="C72">
        <v>0.93079999999999996</v>
      </c>
      <c r="D72" s="23">
        <f t="shared" si="36"/>
        <v>3.6299999999999888E-2</v>
      </c>
      <c r="E72">
        <v>3.5874000000000001</v>
      </c>
      <c r="M72">
        <f t="shared" si="37"/>
        <v>3.5874000000000001E-3</v>
      </c>
      <c r="N72" s="239">
        <v>43951</v>
      </c>
      <c r="O72" s="238">
        <v>0.73041757261526497</v>
      </c>
      <c r="P72" s="238">
        <v>0.25946367843006102</v>
      </c>
      <c r="Q72" s="51">
        <f t="shared" si="35"/>
        <v>1.0118748954674017E-2</v>
      </c>
      <c r="Y72">
        <v>3.5061</v>
      </c>
    </row>
    <row r="73" spans="1:25">
      <c r="A73" s="239">
        <v>43952</v>
      </c>
      <c r="B73">
        <v>2.6734</v>
      </c>
      <c r="C73">
        <v>0.80859999999999999</v>
      </c>
      <c r="D73" s="23">
        <f t="shared" si="36"/>
        <v>2.410000000000001E-2</v>
      </c>
      <c r="E73">
        <v>3.5061</v>
      </c>
      <c r="M73">
        <f t="shared" si="37"/>
        <v>3.5060999999999998E-3</v>
      </c>
      <c r="N73" s="239">
        <v>43982</v>
      </c>
      <c r="O73" s="238">
        <v>0.76249964347850896</v>
      </c>
      <c r="P73" s="238">
        <v>0.23062662217278501</v>
      </c>
      <c r="Q73" s="51">
        <f t="shared" si="35"/>
        <v>6.8737343487060287E-3</v>
      </c>
      <c r="Y73">
        <v>4.6993999999999998</v>
      </c>
    </row>
    <row r="74" spans="1:25">
      <c r="A74" s="239">
        <v>43983</v>
      </c>
      <c r="B74">
        <v>2.9965999999999999</v>
      </c>
      <c r="C74">
        <v>1.6693</v>
      </c>
      <c r="D74" s="23">
        <f t="shared" si="36"/>
        <v>3.3499999999999863E-2</v>
      </c>
      <c r="E74">
        <v>4.6993999999999998</v>
      </c>
      <c r="M74">
        <f t="shared" si="37"/>
        <v>4.6993999999999994E-3</v>
      </c>
      <c r="N74" s="239">
        <v>44012</v>
      </c>
      <c r="O74" s="238">
        <v>0.63765587096225096</v>
      </c>
      <c r="P74" s="238">
        <v>0.355215559433119</v>
      </c>
      <c r="Q74" s="51">
        <f t="shared" si="35"/>
        <v>7.1285696046300417E-3</v>
      </c>
      <c r="Y74">
        <v>5.0191999999999997</v>
      </c>
    </row>
    <row r="75" spans="1:25">
      <c r="A75" s="239">
        <v>44013</v>
      </c>
      <c r="B75">
        <v>3.2570000000000001</v>
      </c>
      <c r="C75">
        <v>1.7284000000000002</v>
      </c>
      <c r="D75" s="23">
        <f t="shared" si="36"/>
        <v>3.3799999999999386E-2</v>
      </c>
      <c r="E75">
        <v>5.0191999999999997</v>
      </c>
      <c r="M75">
        <f t="shared" si="37"/>
        <v>5.0191999999999997E-3</v>
      </c>
      <c r="N75" s="239">
        <v>44043</v>
      </c>
      <c r="O75" s="238">
        <v>0.64890819254064402</v>
      </c>
      <c r="P75" s="238">
        <v>0.344357666560408</v>
      </c>
      <c r="Q75" s="51">
        <f t="shared" si="35"/>
        <v>6.7341408989479712E-3</v>
      </c>
      <c r="Y75">
        <v>5.1287000000000003</v>
      </c>
    </row>
    <row r="76" spans="1:25">
      <c r="A76" s="239">
        <v>44044</v>
      </c>
      <c r="B76">
        <v>3.5151999999999997</v>
      </c>
      <c r="C76">
        <v>1.5620999999999998</v>
      </c>
      <c r="D76" s="23">
        <f t="shared" si="36"/>
        <v>5.1400000000000778E-2</v>
      </c>
      <c r="E76">
        <v>5.1287000000000003</v>
      </c>
      <c r="M76">
        <f t="shared" si="37"/>
        <v>5.1286999999999999E-3</v>
      </c>
      <c r="N76" s="239">
        <v>44074</v>
      </c>
      <c r="O76" s="238">
        <v>0.68539785910659601</v>
      </c>
      <c r="P76" s="238">
        <v>0.30458010801957602</v>
      </c>
      <c r="Q76" s="51">
        <f t="shared" si="35"/>
        <v>1.0022032873827968E-2</v>
      </c>
      <c r="Y76">
        <v>6.5789</v>
      </c>
    </row>
    <row r="77" spans="1:25">
      <c r="A77" s="239">
        <v>44075</v>
      </c>
      <c r="B77">
        <v>4.2169999999999996</v>
      </c>
      <c r="C77">
        <v>2.3313000000000001</v>
      </c>
      <c r="D77" s="23">
        <f t="shared" si="36"/>
        <v>3.0600000000000183E-2</v>
      </c>
      <c r="E77">
        <v>6.5789</v>
      </c>
      <c r="M77">
        <f t="shared" si="37"/>
        <v>6.5789000000000004E-3</v>
      </c>
      <c r="N77" s="239">
        <v>44104</v>
      </c>
      <c r="O77" s="238">
        <v>0.64098861511802896</v>
      </c>
      <c r="P77" s="238">
        <v>0.35436015139309002</v>
      </c>
      <c r="Q77" s="51">
        <f t="shared" si="35"/>
        <v>4.6512334888810236E-3</v>
      </c>
      <c r="Y77">
        <v>5.8673999999999999</v>
      </c>
    </row>
    <row r="78" spans="1:25">
      <c r="A78" s="239">
        <v>44105</v>
      </c>
      <c r="B78">
        <v>3.4116</v>
      </c>
      <c r="C78">
        <v>2.4129</v>
      </c>
      <c r="D78" s="23">
        <f t="shared" si="36"/>
        <v>4.2899999999999938E-2</v>
      </c>
      <c r="E78">
        <v>5.8673999999999999</v>
      </c>
      <c r="M78">
        <f t="shared" si="37"/>
        <v>5.8674E-3</v>
      </c>
      <c r="N78" s="239">
        <v>44135</v>
      </c>
      <c r="O78" s="238">
        <v>0.58145004601697503</v>
      </c>
      <c r="P78" s="238">
        <v>0.41123836793128099</v>
      </c>
      <c r="Q78" s="51">
        <f t="shared" si="35"/>
        <v>7.311586051743979E-3</v>
      </c>
      <c r="Y78">
        <v>10.614100000000001</v>
      </c>
    </row>
    <row r="79" spans="1:25">
      <c r="A79" s="239">
        <v>44136</v>
      </c>
      <c r="B79">
        <v>5.8556000000000008</v>
      </c>
      <c r="C79">
        <v>4.7176999999999998</v>
      </c>
      <c r="D79" s="23">
        <f t="shared" si="36"/>
        <v>4.0799999999999947E-2</v>
      </c>
      <c r="E79">
        <v>10.614100000000001</v>
      </c>
      <c r="M79">
        <f t="shared" si="37"/>
        <v>1.0614100000000001E-2</v>
      </c>
      <c r="N79" s="239">
        <v>44165</v>
      </c>
      <c r="O79" s="238">
        <v>0.55168125418075997</v>
      </c>
      <c r="P79" s="238">
        <v>0.44447480238550602</v>
      </c>
      <c r="Q79" s="51">
        <f t="shared" si="35"/>
        <v>3.8439434337340095E-3</v>
      </c>
      <c r="Y79">
        <v>12.952299999999999</v>
      </c>
    </row>
    <row r="80" spans="1:25">
      <c r="A80" s="239">
        <v>44166</v>
      </c>
      <c r="B80">
        <v>5.9866999999999999</v>
      </c>
      <c r="C80">
        <v>6.8872999999999998</v>
      </c>
      <c r="D80" s="23">
        <f t="shared" si="36"/>
        <v>7.8299999999999592E-2</v>
      </c>
      <c r="E80">
        <v>12.952299999999999</v>
      </c>
      <c r="M80">
        <f t="shared" si="37"/>
        <v>1.29523E-2</v>
      </c>
      <c r="N80" s="239">
        <v>44196</v>
      </c>
      <c r="O80" s="238">
        <v>0.46221134470325698</v>
      </c>
      <c r="P80" s="238">
        <v>0.53174339692564299</v>
      </c>
      <c r="Q80" s="51">
        <f t="shared" si="35"/>
        <v>6.0452583711000374E-3</v>
      </c>
      <c r="Y80">
        <v>8.6611000000000011</v>
      </c>
    </row>
    <row r="81" spans="1:25">
      <c r="A81" s="239">
        <v>44197</v>
      </c>
      <c r="B81">
        <v>5.3986000000000001</v>
      </c>
      <c r="C81">
        <v>3.2539000000000002</v>
      </c>
      <c r="D81" s="23">
        <f t="shared" si="36"/>
        <v>8.6000000000008292E-3</v>
      </c>
      <c r="E81">
        <v>8.6611000000000011</v>
      </c>
      <c r="F81" s="51">
        <f t="shared" ref="F81:F93" si="38">E81/E69-1</f>
        <v>2.7383891574585637</v>
      </c>
      <c r="M81">
        <f t="shared" si="37"/>
        <v>8.6611000000000014E-3</v>
      </c>
      <c r="N81" s="239">
        <v>44227</v>
      </c>
      <c r="O81" s="238">
        <v>0.62331574511320698</v>
      </c>
      <c r="P81" s="238">
        <v>0.37569130941797202</v>
      </c>
      <c r="Q81" s="51">
        <f t="shared" si="35"/>
        <v>9.9294546882100487E-4</v>
      </c>
      <c r="Y81">
        <v>5.5789999999999997</v>
      </c>
    </row>
    <row r="82" spans="1:25">
      <c r="A82" s="239">
        <v>44228</v>
      </c>
      <c r="B82">
        <v>3.3281000000000001</v>
      </c>
      <c r="C82">
        <v>2.2403000000000004</v>
      </c>
      <c r="D82" s="23">
        <f t="shared" si="36"/>
        <v>1.0599999999999277E-2</v>
      </c>
      <c r="E82">
        <v>5.5789999999999997</v>
      </c>
      <c r="F82" s="51">
        <f t="shared" si="38"/>
        <v>8.3278715933790313</v>
      </c>
      <c r="M82">
        <f t="shared" si="37"/>
        <v>5.5789999999999998E-3</v>
      </c>
      <c r="N82" s="239">
        <v>44255</v>
      </c>
      <c r="O82" s="238">
        <v>0.59654059867359699</v>
      </c>
      <c r="P82" s="238">
        <v>0.401559419250762</v>
      </c>
      <c r="Q82" s="51">
        <f t="shared" si="35"/>
        <v>1.8999820756410157E-3</v>
      </c>
      <c r="Y82">
        <v>8.9963999999999995</v>
      </c>
    </row>
    <row r="83" spans="1:25">
      <c r="A83" s="239">
        <v>44256</v>
      </c>
      <c r="B83">
        <v>5.0943999999999994</v>
      </c>
      <c r="C83">
        <v>3.8906999999999998</v>
      </c>
      <c r="D83" s="23">
        <f t="shared" si="36"/>
        <v>1.130000000000031E-2</v>
      </c>
      <c r="E83">
        <v>8.9963999999999995</v>
      </c>
      <c r="F83" s="51">
        <f t="shared" si="38"/>
        <v>2.2476805891484064</v>
      </c>
      <c r="M83">
        <f t="shared" si="37"/>
        <v>8.9963999999999999E-3</v>
      </c>
      <c r="N83" s="239">
        <v>44286</v>
      </c>
      <c r="O83" s="238">
        <v>0.56627095282557505</v>
      </c>
      <c r="P83" s="238">
        <v>0.432472989195678</v>
      </c>
      <c r="Q83" s="51">
        <f t="shared" si="35"/>
        <v>1.2560579787469495E-3</v>
      </c>
      <c r="Y83">
        <v>8.3947000000000003</v>
      </c>
    </row>
    <row r="84" spans="1:25">
      <c r="A84" s="239">
        <v>44287</v>
      </c>
      <c r="B84">
        <v>5.1688000000000001</v>
      </c>
      <c r="C84">
        <v>3.2065999999999999</v>
      </c>
      <c r="D84" s="23">
        <f t="shared" si="36"/>
        <v>1.9300000000000317E-2</v>
      </c>
      <c r="E84">
        <v>8.3947000000000003</v>
      </c>
      <c r="F84" s="51">
        <f t="shared" si="38"/>
        <v>1.3400512906283102</v>
      </c>
      <c r="M84">
        <f t="shared" si="37"/>
        <v>8.3946999999999997E-3</v>
      </c>
      <c r="N84" s="239">
        <v>44316</v>
      </c>
      <c r="O84" s="238">
        <v>0.61572182448449597</v>
      </c>
      <c r="P84" s="238">
        <v>0.38197910586441403</v>
      </c>
      <c r="Q84" s="51">
        <f t="shared" si="35"/>
        <v>2.2990696510900022E-3</v>
      </c>
      <c r="Y84">
        <v>9.7551000000000005</v>
      </c>
    </row>
    <row r="85" spans="1:25">
      <c r="A85" s="239">
        <v>44317</v>
      </c>
      <c r="B85">
        <v>5.2214</v>
      </c>
      <c r="C85">
        <v>4.5171000000000001</v>
      </c>
      <c r="D85" s="23">
        <f t="shared" si="36"/>
        <v>1.6600000000000392E-2</v>
      </c>
      <c r="E85">
        <v>9.7551000000000005</v>
      </c>
      <c r="F85" s="51">
        <f t="shared" si="38"/>
        <v>1.7823222383845301</v>
      </c>
      <c r="M85">
        <f t="shared" si="37"/>
        <v>9.7551000000000009E-3</v>
      </c>
      <c r="N85" s="239">
        <v>44347</v>
      </c>
      <c r="O85" s="238">
        <v>0.535248229131429</v>
      </c>
      <c r="P85" s="238">
        <v>0.463050096872405</v>
      </c>
      <c r="Q85" s="51">
        <f t="shared" si="35"/>
        <v>1.7016739961659977E-3</v>
      </c>
      <c r="Y85">
        <v>11.0998</v>
      </c>
    </row>
    <row r="86" spans="1:25">
      <c r="A86" s="239">
        <v>44348</v>
      </c>
      <c r="B86">
        <v>5.9423000000000004</v>
      </c>
      <c r="C86">
        <v>5.1138999999999992</v>
      </c>
      <c r="D86" s="23">
        <f t="shared" si="36"/>
        <v>4.3600000000000527E-2</v>
      </c>
      <c r="E86">
        <v>11.0998</v>
      </c>
      <c r="F86" s="51">
        <f t="shared" si="38"/>
        <v>1.3619611014172022</v>
      </c>
      <c r="G86" s="23"/>
      <c r="M86">
        <f t="shared" si="37"/>
        <v>1.10998E-2</v>
      </c>
      <c r="N86" s="239">
        <v>44377</v>
      </c>
      <c r="O86" s="51">
        <v>0.53535198832411401</v>
      </c>
      <c r="P86" s="51">
        <v>0.46072001297320703</v>
      </c>
      <c r="Q86" s="51">
        <f t="shared" si="35"/>
        <v>3.9279987026789587E-3</v>
      </c>
      <c r="Y86">
        <v>11.292200000000001</v>
      </c>
    </row>
    <row r="87" spans="1:25">
      <c r="A87" s="239">
        <v>44378</v>
      </c>
      <c r="B87">
        <v>5.4546999999999999</v>
      </c>
      <c r="C87">
        <v>5.7986000000000004</v>
      </c>
      <c r="D87" s="23">
        <f t="shared" si="36"/>
        <v>3.8900000000000823E-2</v>
      </c>
      <c r="E87">
        <v>11.292200000000001</v>
      </c>
      <c r="F87" s="51">
        <f t="shared" si="38"/>
        <v>1.2498007650621616</v>
      </c>
      <c r="G87" s="23"/>
      <c r="M87">
        <f t="shared" si="37"/>
        <v>1.1292200000000001E-2</v>
      </c>
      <c r="N87" s="239">
        <v>44408</v>
      </c>
      <c r="O87" s="51">
        <v>0.48305024707320099</v>
      </c>
      <c r="P87" s="51">
        <v>0.51350489718566805</v>
      </c>
      <c r="Q87" s="51">
        <f t="shared" si="35"/>
        <v>3.4448557411309588E-3</v>
      </c>
      <c r="Y87">
        <v>12.5601</v>
      </c>
    </row>
    <row r="88" spans="1:25">
      <c r="A88" s="239">
        <v>44409</v>
      </c>
      <c r="B88">
        <v>5.3381000000000007</v>
      </c>
      <c r="C88">
        <v>7.2145000000000001</v>
      </c>
      <c r="D88" s="23">
        <f t="shared" si="36"/>
        <v>7.499999999999396E-3</v>
      </c>
      <c r="E88">
        <v>12.5601</v>
      </c>
      <c r="F88" s="51">
        <f t="shared" si="38"/>
        <v>1.4489831731237937</v>
      </c>
      <c r="M88">
        <f t="shared" si="37"/>
        <v>1.2560100000000001E-2</v>
      </c>
      <c r="N88" s="239">
        <v>44439</v>
      </c>
      <c r="O88" s="51">
        <v>0.42500457798902902</v>
      </c>
      <c r="P88" s="51">
        <v>0.57439829300722101</v>
      </c>
      <c r="Q88" s="51">
        <f t="shared" si="35"/>
        <v>5.9712900374997435E-4</v>
      </c>
      <c r="Y88">
        <v>15.694700000000001</v>
      </c>
    </row>
    <row r="89" spans="1:25">
      <c r="A89" s="239">
        <v>44440</v>
      </c>
      <c r="B89">
        <v>6.1386000000000003</v>
      </c>
      <c r="C89">
        <v>9.5419999999999998</v>
      </c>
      <c r="D89" s="23">
        <f t="shared" si="36"/>
        <v>1.410000000000089E-2</v>
      </c>
      <c r="E89">
        <v>15.694700000000001</v>
      </c>
      <c r="F89" s="51">
        <f t="shared" si="38"/>
        <v>1.3856115764033503</v>
      </c>
      <c r="M89">
        <f t="shared" si="37"/>
        <v>1.5694700000000002E-2</v>
      </c>
      <c r="N89" s="239">
        <v>44469</v>
      </c>
      <c r="O89" s="51">
        <v>0.39112566662631298</v>
      </c>
      <c r="P89" s="51">
        <v>0.60797594092273199</v>
      </c>
      <c r="Q89" s="51">
        <f t="shared" si="35"/>
        <v>8.9839245095502118E-4</v>
      </c>
      <c r="Y89">
        <v>15.418899999999999</v>
      </c>
    </row>
    <row r="90" spans="1:25">
      <c r="A90" s="239">
        <v>44470</v>
      </c>
      <c r="B90">
        <v>6.9691999999999998</v>
      </c>
      <c r="C90">
        <v>8.4339999999999993</v>
      </c>
      <c r="D90" s="23">
        <f t="shared" si="36"/>
        <v>1.5700000000000713E-2</v>
      </c>
      <c r="E90">
        <v>15.418899999999999</v>
      </c>
      <c r="F90" s="51">
        <f t="shared" si="38"/>
        <v>1.6278931042710569</v>
      </c>
      <c r="M90">
        <f t="shared" si="37"/>
        <v>1.5418899999999999E-2</v>
      </c>
      <c r="N90" s="239">
        <v>44500</v>
      </c>
      <c r="O90" s="51">
        <v>0.45199073863894301</v>
      </c>
      <c r="P90" s="51">
        <v>0.54699103048855602</v>
      </c>
      <c r="Q90" s="51">
        <f t="shared" si="35"/>
        <v>1.0182308725009692E-3</v>
      </c>
      <c r="Y90">
        <v>20.824900000000003</v>
      </c>
    </row>
    <row r="91" spans="1:25">
      <c r="A91" s="239">
        <v>44501</v>
      </c>
      <c r="B91">
        <v>9.2352999999999987</v>
      </c>
      <c r="C91">
        <v>11.573600000000001</v>
      </c>
      <c r="D91" s="23">
        <f t="shared" si="36"/>
        <v>1.6000000000003567E-2</v>
      </c>
      <c r="E91">
        <v>20.824900000000003</v>
      </c>
      <c r="F91" s="51">
        <f t="shared" si="38"/>
        <v>0.9620033728719346</v>
      </c>
      <c r="M91">
        <f t="shared" si="37"/>
        <v>2.0824900000000004E-2</v>
      </c>
      <c r="N91" s="239">
        <v>44530</v>
      </c>
      <c r="O91" s="51">
        <v>0.44347391824210403</v>
      </c>
      <c r="P91" s="51">
        <v>0.55575777074559796</v>
      </c>
      <c r="Q91" s="51">
        <f t="shared" si="35"/>
        <v>7.6831101229801746E-4</v>
      </c>
      <c r="Y91">
        <v>26.218400000000003</v>
      </c>
    </row>
    <row r="92" spans="1:25">
      <c r="A92" s="239">
        <v>44531</v>
      </c>
      <c r="B92">
        <v>11.0579</v>
      </c>
      <c r="C92">
        <v>15.0517</v>
      </c>
      <c r="D92" s="23">
        <f t="shared" si="36"/>
        <v>0.10880000000000223</v>
      </c>
      <c r="E92">
        <v>26.218400000000003</v>
      </c>
      <c r="F92" s="51">
        <f t="shared" si="38"/>
        <v>1.0242273573033365</v>
      </c>
      <c r="M92">
        <f t="shared" si="37"/>
        <v>2.6218400000000003E-2</v>
      </c>
      <c r="N92" s="239">
        <v>44561</v>
      </c>
      <c r="O92" s="51">
        <v>0.421761053306075</v>
      </c>
      <c r="P92" s="51">
        <v>0.57408918927165697</v>
      </c>
      <c r="Q92" s="51">
        <f t="shared" si="35"/>
        <v>4.1497574222680855E-3</v>
      </c>
      <c r="Y92">
        <v>16.184000000000001</v>
      </c>
    </row>
    <row r="93" spans="1:25">
      <c r="A93" s="239">
        <v>44562</v>
      </c>
      <c r="B93">
        <v>7.2999000000000001</v>
      </c>
      <c r="C93">
        <v>8.873899999999999</v>
      </c>
      <c r="D93" s="23">
        <f t="shared" si="36"/>
        <v>1.0200000000001097E-2</v>
      </c>
      <c r="E93">
        <v>16.184000000000001</v>
      </c>
      <c r="F93" s="51">
        <f t="shared" si="38"/>
        <v>0.8685848217893799</v>
      </c>
      <c r="M93">
        <f t="shared" si="37"/>
        <v>1.6184E-2</v>
      </c>
      <c r="N93" s="239">
        <v>44562</v>
      </c>
      <c r="O93" s="51">
        <v>0.45105659911023199</v>
      </c>
      <c r="P93" s="51">
        <v>0.54831314878892701</v>
      </c>
      <c r="Q93" s="51">
        <f t="shared" si="35"/>
        <v>6.3025210084100003E-4</v>
      </c>
      <c r="Y93">
        <v>13.676</v>
      </c>
    </row>
    <row r="94" spans="1:25">
      <c r="A94" s="239">
        <v>44593</v>
      </c>
      <c r="B94">
        <v>5.8452999999999999</v>
      </c>
      <c r="C94">
        <v>7.7801</v>
      </c>
      <c r="D94" s="23">
        <f t="shared" si="36"/>
        <v>5.06000000000002E-2</v>
      </c>
      <c r="E94">
        <v>13.676</v>
      </c>
      <c r="F94" s="51">
        <f t="shared" ref="F94:F113" si="39">E94/E82-1</f>
        <v>1.4513353647607099</v>
      </c>
      <c r="G94" s="23"/>
      <c r="M94">
        <f t="shared" si="37"/>
        <v>1.3676000000000001E-2</v>
      </c>
      <c r="N94" s="239">
        <v>44593</v>
      </c>
      <c r="O94" s="51">
        <v>0.42741298625328999</v>
      </c>
      <c r="P94" s="51">
        <v>0.56888710149166399</v>
      </c>
      <c r="Q94" s="51">
        <f t="shared" si="35"/>
        <v>3.6999122550459562E-3</v>
      </c>
      <c r="Y94">
        <v>21.415400000000002</v>
      </c>
    </row>
    <row r="95" spans="1:25">
      <c r="A95" s="239">
        <v>44621</v>
      </c>
      <c r="B95">
        <v>8.2100000000000009</v>
      </c>
      <c r="C95">
        <v>13.181299999999998</v>
      </c>
      <c r="D95" s="23">
        <f t="shared" si="36"/>
        <v>2.4100000000002453E-2</v>
      </c>
      <c r="E95">
        <v>21.415400000000002</v>
      </c>
      <c r="F95" s="51">
        <f t="shared" si="39"/>
        <v>1.3804410653150154</v>
      </c>
      <c r="M95">
        <f t="shared" si="37"/>
        <v>2.1415400000000001E-2</v>
      </c>
      <c r="N95" s="239">
        <v>44621</v>
      </c>
      <c r="O95" s="51">
        <v>0.38336897746481502</v>
      </c>
      <c r="P95" s="51">
        <v>0.61550566414823005</v>
      </c>
      <c r="Q95" s="51">
        <f t="shared" si="35"/>
        <v>1.1253583869549333E-3</v>
      </c>
      <c r="Y95">
        <v>13.2691</v>
      </c>
    </row>
    <row r="96" spans="1:25">
      <c r="A96" s="239">
        <v>44652</v>
      </c>
      <c r="B96">
        <v>4.3628</v>
      </c>
      <c r="C96">
        <v>8.8879999999999999</v>
      </c>
      <c r="D96" s="23">
        <f t="shared" si="36"/>
        <v>1.8299999999999983E-2</v>
      </c>
      <c r="E96">
        <v>13.2691</v>
      </c>
      <c r="F96" s="51">
        <f t="shared" si="39"/>
        <v>0.58065207809689445</v>
      </c>
      <c r="M96">
        <f t="shared" si="37"/>
        <v>1.3269100000000001E-2</v>
      </c>
      <c r="N96" s="239">
        <v>44652</v>
      </c>
      <c r="O96" s="51">
        <v>0.32879396492603102</v>
      </c>
      <c r="P96" s="51">
        <v>0.66982689104762205</v>
      </c>
      <c r="Q96" s="51">
        <f t="shared" si="35"/>
        <v>1.379144026346979E-3</v>
      </c>
      <c r="Y96">
        <v>18.5641</v>
      </c>
    </row>
    <row r="97" spans="1:25">
      <c r="A97" s="239">
        <v>44682</v>
      </c>
      <c r="B97">
        <v>8.3033999999999999</v>
      </c>
      <c r="C97">
        <v>10.232299999999999</v>
      </c>
      <c r="D97" s="23">
        <f t="shared" si="36"/>
        <v>2.8400000000001313E-2</v>
      </c>
      <c r="E97">
        <v>18.5641</v>
      </c>
      <c r="F97" s="51">
        <f t="shared" si="39"/>
        <v>0.9030148332667014</v>
      </c>
      <c r="M97">
        <f t="shared" si="37"/>
        <v>1.85641E-2</v>
      </c>
      <c r="N97" s="239">
        <v>44682</v>
      </c>
      <c r="O97" s="51">
        <v>0.44728265846445597</v>
      </c>
      <c r="P97" s="51">
        <v>0.551187507070098</v>
      </c>
      <c r="Q97" s="51">
        <f t="shared" si="35"/>
        <v>1.5298344654459672E-3</v>
      </c>
      <c r="Y97">
        <v>27.010300000000001</v>
      </c>
    </row>
    <row r="98" spans="1:25">
      <c r="A98" s="239">
        <v>44713</v>
      </c>
      <c r="B98">
        <v>11.579000000000001</v>
      </c>
      <c r="C98">
        <v>15.4163</v>
      </c>
      <c r="D98" s="23">
        <f t="shared" si="36"/>
        <v>1.5000000000000568E-2</v>
      </c>
      <c r="E98">
        <v>27.010300000000001</v>
      </c>
      <c r="F98" s="51">
        <f t="shared" si="39"/>
        <v>1.43340420548118</v>
      </c>
      <c r="M98">
        <f t="shared" si="37"/>
        <v>2.7010300000000001E-2</v>
      </c>
      <c r="N98" s="239">
        <v>44713</v>
      </c>
      <c r="O98" s="51">
        <v>0.42868831519827599</v>
      </c>
      <c r="P98" s="51">
        <v>0.57075634109950601</v>
      </c>
      <c r="Q98" s="51">
        <f t="shared" si="35"/>
        <v>5.553437022179919E-4</v>
      </c>
      <c r="Y98">
        <v>24.187200000000001</v>
      </c>
    </row>
    <row r="99" spans="1:25">
      <c r="A99" s="239">
        <v>44743</v>
      </c>
      <c r="B99">
        <v>9.8384999999999998</v>
      </c>
      <c r="C99">
        <v>14.3369</v>
      </c>
      <c r="D99" s="23">
        <f t="shared" si="36"/>
        <v>1.1800000000000921E-2</v>
      </c>
      <c r="E99">
        <v>24.187200000000001</v>
      </c>
      <c r="F99" s="51">
        <f t="shared" si="39"/>
        <v>1.1419386833389416</v>
      </c>
      <c r="M99">
        <f t="shared" si="37"/>
        <v>2.4187199999999999E-2</v>
      </c>
      <c r="N99" s="239">
        <v>44743</v>
      </c>
      <c r="O99" s="51">
        <v>0.40676473506648098</v>
      </c>
      <c r="P99" s="51">
        <v>0.59274740358536704</v>
      </c>
      <c r="Q99" s="51">
        <f t="shared" si="35"/>
        <v>4.8786134815204107E-4</v>
      </c>
      <c r="Y99">
        <v>27.752200000000002</v>
      </c>
    </row>
    <row r="100" spans="1:25">
      <c r="A100" s="239">
        <v>44774</v>
      </c>
      <c r="B100">
        <v>10.522500000000001</v>
      </c>
      <c r="C100">
        <v>17.2105</v>
      </c>
      <c r="D100" s="23">
        <f t="shared" si="36"/>
        <v>1.9200000000001438E-2</v>
      </c>
      <c r="E100">
        <v>27.752200000000002</v>
      </c>
      <c r="F100" s="51">
        <f t="shared" si="39"/>
        <v>1.2095524717159898</v>
      </c>
      <c r="M100">
        <f t="shared" si="37"/>
        <v>2.7752200000000001E-2</v>
      </c>
      <c r="N100" s="239">
        <v>44774</v>
      </c>
      <c r="O100" s="51">
        <v>0.379159129726652</v>
      </c>
      <c r="P100" s="51">
        <v>0.62014903322979797</v>
      </c>
      <c r="Q100" s="51">
        <f t="shared" si="35"/>
        <v>6.918370435500254E-4</v>
      </c>
      <c r="Y100">
        <v>31.6342</v>
      </c>
    </row>
    <row r="101" spans="1:25">
      <c r="A101" s="239">
        <v>44805</v>
      </c>
      <c r="B101">
        <v>11.2094</v>
      </c>
      <c r="C101">
        <v>20.400299999999998</v>
      </c>
      <c r="D101" s="23">
        <f t="shared" si="36"/>
        <v>2.4499999999999744E-2</v>
      </c>
      <c r="E101">
        <v>31.6342</v>
      </c>
      <c r="F101" s="51">
        <f t="shared" si="39"/>
        <v>1.0155976221272147</v>
      </c>
      <c r="M101">
        <f t="shared" si="37"/>
        <v>3.1634200000000001E-2</v>
      </c>
      <c r="N101" s="239">
        <v>44805</v>
      </c>
      <c r="O101" s="51">
        <v>0.35434434883764998</v>
      </c>
      <c r="P101" s="51">
        <v>0.644881172907802</v>
      </c>
      <c r="Q101" s="51">
        <f t="shared" si="35"/>
        <v>7.7447825454801666E-4</v>
      </c>
      <c r="Y101">
        <v>30.5426</v>
      </c>
    </row>
    <row r="102" spans="1:25">
      <c r="A102" s="239">
        <v>44835</v>
      </c>
      <c r="B102">
        <v>10.816600000000001</v>
      </c>
      <c r="C102">
        <v>19.665299999999998</v>
      </c>
      <c r="D102" s="23">
        <f t="shared" si="36"/>
        <v>6.0700000000000642E-2</v>
      </c>
      <c r="E102">
        <v>30.5426</v>
      </c>
      <c r="F102" s="51">
        <f t="shared" si="39"/>
        <v>0.98085466537820487</v>
      </c>
      <c r="M102">
        <f t="shared" si="37"/>
        <v>3.05426E-2</v>
      </c>
      <c r="N102" s="239">
        <v>44835</v>
      </c>
      <c r="O102" s="51">
        <v>0.35414797692403399</v>
      </c>
      <c r="P102" s="51">
        <v>0.64386463496886304</v>
      </c>
      <c r="Q102" s="51">
        <f t="shared" si="35"/>
        <v>1.987388107102972E-3</v>
      </c>
      <c r="Y102">
        <v>34.2622</v>
      </c>
    </row>
    <row r="103" spans="1:25">
      <c r="A103" s="239">
        <v>44866</v>
      </c>
      <c r="B103">
        <v>11.035</v>
      </c>
      <c r="C103">
        <v>23.090799999999998</v>
      </c>
      <c r="D103" s="23">
        <f t="shared" si="36"/>
        <v>0.13640000000000185</v>
      </c>
      <c r="E103">
        <v>34.2622</v>
      </c>
      <c r="F103" s="51">
        <f t="shared" si="39"/>
        <v>0.64525159784680808</v>
      </c>
      <c r="M103">
        <f t="shared" si="37"/>
        <v>3.42622E-2</v>
      </c>
      <c r="N103" s="239">
        <v>44866</v>
      </c>
      <c r="O103" s="51">
        <v>0.32207505647623302</v>
      </c>
      <c r="P103" s="51">
        <v>0.67394387984425996</v>
      </c>
      <c r="Q103" s="51">
        <f t="shared" si="35"/>
        <v>3.9810636795070131E-3</v>
      </c>
      <c r="Y103">
        <v>36.1494</v>
      </c>
    </row>
    <row r="104" spans="1:25">
      <c r="A104" s="239">
        <v>44896</v>
      </c>
      <c r="B104">
        <v>11.4221</v>
      </c>
      <c r="C104">
        <v>24.677400000000002</v>
      </c>
      <c r="D104" s="23">
        <f t="shared" si="36"/>
        <v>4.9899999999997391E-2</v>
      </c>
      <c r="E104">
        <v>36.1494</v>
      </c>
      <c r="F104" s="51">
        <f t="shared" si="39"/>
        <v>0.37877978824031966</v>
      </c>
      <c r="I104" s="23"/>
      <c r="M104">
        <f t="shared" si="37"/>
        <v>3.6149399999999998E-2</v>
      </c>
      <c r="N104" s="239">
        <v>44896</v>
      </c>
      <c r="O104" s="51">
        <v>0.31596928303097699</v>
      </c>
      <c r="P104" s="51">
        <v>0.68265033444538503</v>
      </c>
      <c r="Q104" s="51">
        <f t="shared" si="35"/>
        <v>1.3803825236379241E-3</v>
      </c>
      <c r="Y104">
        <v>16.133299999999998</v>
      </c>
    </row>
    <row r="105" spans="1:25">
      <c r="A105" s="239">
        <v>44927</v>
      </c>
      <c r="B105">
        <v>5.4329999999999998</v>
      </c>
      <c r="C105">
        <v>10.683200000000001</v>
      </c>
      <c r="D105" s="23">
        <f t="shared" si="36"/>
        <v>1.7099999999997451E-2</v>
      </c>
      <c r="E105">
        <v>16.133299999999998</v>
      </c>
      <c r="F105" s="51">
        <f t="shared" si="39"/>
        <v>-3.1327236777065615E-3</v>
      </c>
      <c r="I105" s="24"/>
      <c r="M105">
        <f t="shared" si="37"/>
        <v>1.61333E-2</v>
      </c>
      <c r="N105" s="239">
        <v>44927</v>
      </c>
      <c r="O105" s="51">
        <v>0.336756894125814</v>
      </c>
      <c r="P105" s="51">
        <v>0.66218318632889706</v>
      </c>
      <c r="Q105" s="51">
        <f t="shared" si="35"/>
        <v>1.0599195452889454E-3</v>
      </c>
      <c r="Y105">
        <v>21.935200000000002</v>
      </c>
    </row>
    <row r="106" spans="1:25">
      <c r="A106" s="239">
        <v>44958</v>
      </c>
      <c r="B106">
        <v>6.7206000000000001</v>
      </c>
      <c r="C106">
        <v>15.193100000000001</v>
      </c>
      <c r="D106" s="23">
        <f t="shared" si="36"/>
        <v>2.1499999999999631E-2</v>
      </c>
      <c r="E106">
        <v>21.935200000000002</v>
      </c>
      <c r="F106" s="51">
        <f t="shared" si="39"/>
        <v>0.60391927464170814</v>
      </c>
      <c r="I106" s="24"/>
      <c r="M106">
        <f t="shared" si="37"/>
        <v>2.1935200000000002E-2</v>
      </c>
      <c r="N106" s="239">
        <v>44958</v>
      </c>
      <c r="O106" s="51">
        <v>0.306384259090412</v>
      </c>
      <c r="P106" s="51">
        <v>0.69263558116634405</v>
      </c>
      <c r="Q106" s="51">
        <f t="shared" si="35"/>
        <v>9.8015974324394683E-4</v>
      </c>
      <c r="Y106">
        <v>27.782700000000002</v>
      </c>
    </row>
    <row r="107" spans="1:25">
      <c r="A107" s="239">
        <v>44986</v>
      </c>
      <c r="B107">
        <v>8.7254000000000005</v>
      </c>
      <c r="C107">
        <v>19.0395</v>
      </c>
      <c r="D107" s="23">
        <f t="shared" si="36"/>
        <v>1.7800000000001148E-2</v>
      </c>
      <c r="E107">
        <v>27.782700000000002</v>
      </c>
      <c r="F107" s="51">
        <f t="shared" si="39"/>
        <v>0.29732342146305935</v>
      </c>
      <c r="G107" s="23"/>
      <c r="I107" s="24"/>
      <c r="M107">
        <f t="shared" si="37"/>
        <v>2.77827E-2</v>
      </c>
      <c r="N107" s="239">
        <v>44986</v>
      </c>
      <c r="O107" s="51">
        <v>0.31405874878971402</v>
      </c>
      <c r="P107" s="51">
        <v>0.68530056473992795</v>
      </c>
      <c r="Q107" s="51">
        <f t="shared" si="35"/>
        <v>6.4068647035808723E-4</v>
      </c>
      <c r="Y107">
        <v>25.138200000000001</v>
      </c>
    </row>
    <row r="108" spans="1:25">
      <c r="A108" s="239">
        <v>45017</v>
      </c>
      <c r="B108">
        <v>8.0041000000000011</v>
      </c>
      <c r="C108">
        <v>17.1266</v>
      </c>
      <c r="D108" s="23">
        <f t="shared" si="36"/>
        <v>7.5000000000002842E-3</v>
      </c>
      <c r="E108">
        <v>25.138200000000001</v>
      </c>
      <c r="F108" s="51">
        <f t="shared" si="39"/>
        <v>0.89449171383138282</v>
      </c>
      <c r="M108">
        <f t="shared" si="37"/>
        <v>2.5138200000000003E-2</v>
      </c>
      <c r="N108" s="239">
        <v>45017</v>
      </c>
      <c r="O108" s="51">
        <v>0.31840386344288801</v>
      </c>
      <c r="P108" s="51">
        <v>0.68129778583987699</v>
      </c>
      <c r="Q108" s="51">
        <v>2.9999999999999997E-4</v>
      </c>
      <c r="Y108">
        <v>28.242300000000004</v>
      </c>
    </row>
    <row r="109" spans="1:25">
      <c r="A109" s="239">
        <v>45047</v>
      </c>
      <c r="B109">
        <v>9.0281000000000002</v>
      </c>
      <c r="C109">
        <v>19.153299999999998</v>
      </c>
      <c r="D109" s="23">
        <f t="shared" si="36"/>
        <v>6.0900000000007282E-2</v>
      </c>
      <c r="E109">
        <v>28.242300000000004</v>
      </c>
      <c r="F109" s="51">
        <f t="shared" si="39"/>
        <v>0.52133957477065973</v>
      </c>
      <c r="M109">
        <f t="shared" si="37"/>
        <v>2.8242300000000005E-2</v>
      </c>
      <c r="N109" s="239">
        <v>45047</v>
      </c>
      <c r="O109" s="51">
        <f t="shared" ref="O109:P111" si="40">Z45</f>
        <v>0.31966589123407091</v>
      </c>
      <c r="P109" s="51">
        <f t="shared" si="40"/>
        <v>0.67817776880778124</v>
      </c>
      <c r="Q109" s="51">
        <f>SUM(AB45:AD45)</f>
        <v>2.1563399581478846E-3</v>
      </c>
      <c r="Y109">
        <v>32.896599999999999</v>
      </c>
    </row>
    <row r="110" spans="1:25">
      <c r="A110" s="239">
        <v>45078</v>
      </c>
      <c r="B110">
        <v>10.078299999999999</v>
      </c>
      <c r="C110">
        <v>22.738400000000002</v>
      </c>
      <c r="D110" s="23">
        <f t="shared" si="36"/>
        <v>7.9899999999998528E-2</v>
      </c>
      <c r="E110">
        <v>32.896599999999999</v>
      </c>
      <c r="F110" s="51">
        <f t="shared" si="39"/>
        <v>0.2179279756241137</v>
      </c>
      <c r="M110">
        <f t="shared" si="37"/>
        <v>3.2896599999999998E-2</v>
      </c>
      <c r="N110" s="239">
        <v>45078</v>
      </c>
      <c r="O110" s="51">
        <f t="shared" si="40"/>
        <v>0.30636296760151505</v>
      </c>
      <c r="P110" s="51">
        <f t="shared" si="40"/>
        <v>0.69120820996698751</v>
      </c>
      <c r="Q110" s="51">
        <f>SUM(AB46:AD46)</f>
        <v>2.4257826036733284E-3</v>
      </c>
      <c r="Y110">
        <v>32.238</v>
      </c>
    </row>
    <row r="111" spans="1:25">
      <c r="A111" s="239">
        <v>45108</v>
      </c>
      <c r="B111">
        <v>10.562200000000001</v>
      </c>
      <c r="C111">
        <v>21.6602</v>
      </c>
      <c r="D111" s="23">
        <f t="shared" si="36"/>
        <v>1.559999999999917E-2</v>
      </c>
      <c r="E111">
        <v>32.238</v>
      </c>
      <c r="F111" s="51">
        <f t="shared" si="39"/>
        <v>0.33285374082159147</v>
      </c>
      <c r="M111">
        <f t="shared" si="37"/>
        <v>3.2238000000000003E-2</v>
      </c>
      <c r="N111" s="239">
        <v>45108</v>
      </c>
      <c r="O111" s="51">
        <f t="shared" si="40"/>
        <v>0.32763198709597374</v>
      </c>
      <c r="P111" s="51">
        <f t="shared" si="40"/>
        <v>0.67188411191761277</v>
      </c>
      <c r="Q111" s="51">
        <f>SUM(AB47:AD47)</f>
        <v>4.839009864135492E-4</v>
      </c>
      <c r="Y111">
        <v>34.880400000000002</v>
      </c>
    </row>
    <row r="112" spans="1:25">
      <c r="A112" s="239">
        <v>45139</v>
      </c>
      <c r="B112">
        <v>10.807</v>
      </c>
      <c r="C112">
        <v>24.051099999999998</v>
      </c>
      <c r="D112" s="23">
        <f t="shared" si="36"/>
        <v>2.2300000000001319E-2</v>
      </c>
      <c r="E112">
        <v>34.880400000000002</v>
      </c>
      <c r="F112" s="51">
        <f t="shared" si="39"/>
        <v>0.25685170905369659</v>
      </c>
      <c r="M112">
        <f t="shared" si="37"/>
        <v>3.4880399999999999E-2</v>
      </c>
      <c r="N112" s="239">
        <v>45139</v>
      </c>
      <c r="O112" s="51">
        <v>0.30980000000000002</v>
      </c>
      <c r="P112" s="51">
        <v>0.6895</v>
      </c>
      <c r="Q112" s="51">
        <v>5.9999999999999995E-4</v>
      </c>
      <c r="Y112">
        <v>36.4</v>
      </c>
    </row>
    <row r="113" spans="1:25">
      <c r="A113" s="239">
        <v>45170</v>
      </c>
      <c r="B113">
        <v>12.2</v>
      </c>
      <c r="C113">
        <v>24.2</v>
      </c>
      <c r="D113" s="23">
        <f t="shared" si="36"/>
        <v>0</v>
      </c>
      <c r="E113">
        <v>36.4</v>
      </c>
      <c r="F113" s="51">
        <f t="shared" si="39"/>
        <v>0.15065340675597927</v>
      </c>
      <c r="M113">
        <f t="shared" si="37"/>
        <v>3.6400000000000002E-2</v>
      </c>
      <c r="N113" s="239">
        <v>45170</v>
      </c>
      <c r="O113" s="51">
        <v>0.33600000000000002</v>
      </c>
      <c r="P113" s="51">
        <v>0.66400000000000003</v>
      </c>
      <c r="Q113" s="51">
        <v>2.0000000000000001E-4</v>
      </c>
      <c r="Y113">
        <v>39.200000000000003</v>
      </c>
    </row>
    <row r="114" spans="1:25">
      <c r="A114" s="239">
        <v>45200</v>
      </c>
      <c r="B114">
        <v>12.3</v>
      </c>
      <c r="C114">
        <v>26.8</v>
      </c>
      <c r="D114" s="23">
        <f t="shared" si="36"/>
        <v>0.10000000000000142</v>
      </c>
      <c r="E114">
        <v>39.200000000000003</v>
      </c>
      <c r="F114" s="51">
        <f>E114/E101-1</f>
        <v>0.23916520727567003</v>
      </c>
      <c r="M114">
        <f t="shared" si="37"/>
        <v>3.9200000000000006E-2</v>
      </c>
      <c r="N114" s="239">
        <v>45200</v>
      </c>
      <c r="O114" s="51">
        <v>0.314</v>
      </c>
      <c r="P114" s="51">
        <v>0.68500000000000005</v>
      </c>
      <c r="Q114" s="51">
        <v>1E-3</v>
      </c>
      <c r="Y114">
        <v>44.9</v>
      </c>
    </row>
    <row r="115" spans="1:25">
      <c r="A115" s="239">
        <v>45231</v>
      </c>
      <c r="B115">
        <v>15.7</v>
      </c>
      <c r="C115">
        <v>29.1</v>
      </c>
      <c r="D115" s="23">
        <f t="shared" si="36"/>
        <v>9.9999999999997868E-2</v>
      </c>
      <c r="E115">
        <v>44.9</v>
      </c>
      <c r="F115" s="51">
        <v>0.31</v>
      </c>
      <c r="M115">
        <f t="shared" si="37"/>
        <v>4.4899999999999995E-2</v>
      </c>
      <c r="N115" s="239">
        <v>45231</v>
      </c>
      <c r="O115" s="51">
        <v>0.35</v>
      </c>
      <c r="P115" s="51">
        <v>0.64900000000000002</v>
      </c>
      <c r="Q115" s="51">
        <v>1E-3</v>
      </c>
      <c r="Y115">
        <v>47.9</v>
      </c>
    </row>
    <row r="116" spans="1:25">
      <c r="A116" s="239">
        <v>45261</v>
      </c>
      <c r="B116">
        <v>16.600000000000001</v>
      </c>
      <c r="C116">
        <v>31.3</v>
      </c>
      <c r="D116" s="23">
        <f t="shared" si="36"/>
        <v>0</v>
      </c>
      <c r="E116">
        <v>47.9</v>
      </c>
      <c r="F116" s="51">
        <v>0.32600000000000001</v>
      </c>
      <c r="M116">
        <f t="shared" si="37"/>
        <v>4.7899999999999998E-2</v>
      </c>
      <c r="N116" s="239">
        <v>45261</v>
      </c>
      <c r="O116" s="51">
        <v>0.34499999999999997</v>
      </c>
      <c r="P116" s="51">
        <v>0.65300000000000002</v>
      </c>
      <c r="Q116" s="51">
        <v>2E-3</v>
      </c>
      <c r="Y116">
        <v>32.299999999999997</v>
      </c>
    </row>
    <row r="117" spans="1:25">
      <c r="A117" s="239">
        <v>45292</v>
      </c>
      <c r="B117">
        <v>12.6</v>
      </c>
      <c r="C117">
        <v>19.7</v>
      </c>
      <c r="D117" s="23">
        <f t="shared" si="36"/>
        <v>0</v>
      </c>
      <c r="E117">
        <v>32.299999999999997</v>
      </c>
      <c r="F117" s="51">
        <f t="shared" ref="F117:F119" si="41">E117/E105-1</f>
        <v>1.002070252211265</v>
      </c>
      <c r="M117">
        <f t="shared" si="37"/>
        <v>3.2299999999999995E-2</v>
      </c>
      <c r="N117" s="239">
        <v>45292</v>
      </c>
      <c r="O117" s="51">
        <v>0.39</v>
      </c>
      <c r="P117" s="51">
        <v>0.60899999999999999</v>
      </c>
      <c r="Q117" s="51">
        <v>0</v>
      </c>
      <c r="Y117">
        <v>18</v>
      </c>
    </row>
    <row r="118" spans="1:25">
      <c r="A118" s="239">
        <v>45323</v>
      </c>
      <c r="B118">
        <v>6.9</v>
      </c>
      <c r="C118">
        <v>11</v>
      </c>
      <c r="D118" s="23">
        <f t="shared" si="36"/>
        <v>9.9999999999999645E-2</v>
      </c>
      <c r="E118">
        <v>18</v>
      </c>
      <c r="F118" s="51">
        <f t="shared" si="41"/>
        <v>-0.1794011451912908</v>
      </c>
      <c r="M118">
        <f t="shared" si="37"/>
        <v>1.7999999999999999E-2</v>
      </c>
      <c r="N118" s="239">
        <v>45323</v>
      </c>
      <c r="O118" s="51">
        <v>0.38329999999999997</v>
      </c>
      <c r="P118" s="51">
        <v>0.61109999999999998</v>
      </c>
      <c r="Q118" s="51">
        <v>5.5999999999999999E-3</v>
      </c>
      <c r="Y118">
        <v>35</v>
      </c>
    </row>
    <row r="119" spans="1:25">
      <c r="A119" s="239">
        <v>45352</v>
      </c>
      <c r="B119">
        <v>11.3</v>
      </c>
      <c r="C119">
        <v>23.6</v>
      </c>
      <c r="D119" s="23">
        <f t="shared" si="36"/>
        <v>9.9999999999997868E-2</v>
      </c>
      <c r="E119">
        <v>35</v>
      </c>
      <c r="F119" s="51">
        <f t="shared" si="41"/>
        <v>0.2597767675567888</v>
      </c>
      <c r="M119">
        <f t="shared" si="37"/>
        <v>3.5000000000000003E-2</v>
      </c>
      <c r="N119" s="239">
        <v>45352</v>
      </c>
      <c r="O119" s="51">
        <v>0.32285714285714301</v>
      </c>
      <c r="P119" s="51">
        <v>0.67428571428571404</v>
      </c>
      <c r="Q119" s="51">
        <v>2.8571428571428901E-3</v>
      </c>
    </row>
    <row r="120" spans="1:25">
      <c r="A120" s="243"/>
      <c r="N120" s="245"/>
    </row>
    <row r="121" spans="1:25">
      <c r="A121" s="243"/>
      <c r="N121" s="245"/>
    </row>
    <row r="122" spans="1:25">
      <c r="A122" s="244"/>
      <c r="N122" s="245"/>
    </row>
    <row r="123" spans="1:25">
      <c r="A123" s="244"/>
      <c r="B123" s="41" t="s">
        <v>81</v>
      </c>
      <c r="C123" s="41" t="s">
        <v>82</v>
      </c>
      <c r="D123" s="41" t="s">
        <v>48</v>
      </c>
      <c r="E123" s="41" t="s">
        <v>85</v>
      </c>
      <c r="N123" s="245"/>
    </row>
    <row r="124" spans="1:25">
      <c r="A124" s="239">
        <v>44227</v>
      </c>
      <c r="B124" s="23">
        <v>5.3986000000000001</v>
      </c>
      <c r="C124" s="23">
        <v>3.2538999999999998</v>
      </c>
      <c r="D124" s="23">
        <v>8.6610999999999994</v>
      </c>
      <c r="N124" s="244"/>
    </row>
    <row r="125" spans="1:25">
      <c r="A125" s="239">
        <v>44255</v>
      </c>
      <c r="B125" s="23">
        <v>3.3281000000000001</v>
      </c>
      <c r="C125" s="23">
        <v>2.2403</v>
      </c>
      <c r="D125" s="23">
        <v>5.5789999999999997</v>
      </c>
      <c r="N125" s="245"/>
    </row>
    <row r="126" spans="1:25">
      <c r="A126" s="239">
        <v>44286</v>
      </c>
      <c r="B126" s="23">
        <v>5.0944000000000003</v>
      </c>
      <c r="C126" s="23">
        <v>3.8906999999999998</v>
      </c>
      <c r="D126" s="23">
        <v>8.9963999999999995</v>
      </c>
    </row>
    <row r="127" spans="1:25">
      <c r="A127" s="239">
        <v>44316</v>
      </c>
      <c r="B127" s="23">
        <v>5.1688000000000001</v>
      </c>
      <c r="C127" s="23">
        <v>3.2065999999999999</v>
      </c>
      <c r="D127" s="23">
        <v>8.3947000000000003</v>
      </c>
    </row>
    <row r="128" spans="1:25">
      <c r="A128" s="239">
        <v>44347</v>
      </c>
      <c r="B128" s="23">
        <v>5.2214</v>
      </c>
      <c r="C128" s="23">
        <v>4.5171000000000001</v>
      </c>
      <c r="D128" s="23">
        <v>9.7551000000000005</v>
      </c>
    </row>
    <row r="129" spans="1:5">
      <c r="A129" s="239">
        <v>44377</v>
      </c>
      <c r="B129" s="23">
        <v>5.9423000000000004</v>
      </c>
      <c r="C129" s="23">
        <v>5.1139000000000001</v>
      </c>
      <c r="D129" s="23">
        <v>11.0998</v>
      </c>
    </row>
    <row r="130" spans="1:5">
      <c r="A130" s="239">
        <v>44408</v>
      </c>
      <c r="B130" s="23">
        <v>5.4546999999999999</v>
      </c>
      <c r="C130" s="23">
        <v>5.7986000000000004</v>
      </c>
      <c r="D130" s="23">
        <v>11.292199999999999</v>
      </c>
    </row>
    <row r="131" spans="1:5">
      <c r="A131" s="239">
        <v>44439</v>
      </c>
      <c r="B131" s="23">
        <v>5.3380999999999998</v>
      </c>
      <c r="C131" s="23">
        <v>7.2145000000000001</v>
      </c>
      <c r="D131" s="23">
        <v>12.5601</v>
      </c>
    </row>
    <row r="132" spans="1:5">
      <c r="A132" s="239">
        <v>44469</v>
      </c>
      <c r="B132" s="23">
        <v>6.1386000000000003</v>
      </c>
      <c r="C132" s="23">
        <v>9.5419999999999998</v>
      </c>
      <c r="D132" s="23">
        <v>15.694699999999999</v>
      </c>
    </row>
    <row r="133" spans="1:5">
      <c r="A133" s="239">
        <v>44500</v>
      </c>
      <c r="B133" s="23">
        <v>6.9691999999999998</v>
      </c>
      <c r="C133" s="23">
        <v>8.4339999999999993</v>
      </c>
      <c r="D133" s="23">
        <v>15.418900000000001</v>
      </c>
    </row>
    <row r="134" spans="1:5">
      <c r="A134" s="239">
        <v>44530</v>
      </c>
      <c r="B134" s="23">
        <v>9.2353000000000005</v>
      </c>
      <c r="C134" s="23">
        <v>11.573600000000001</v>
      </c>
      <c r="D134" s="23">
        <v>20.8249</v>
      </c>
    </row>
    <row r="135" spans="1:5">
      <c r="A135" s="239">
        <v>44561</v>
      </c>
      <c r="B135" s="23">
        <v>11.0579</v>
      </c>
      <c r="C135" s="23">
        <v>15.0517</v>
      </c>
      <c r="D135" s="23">
        <v>26.218399999999999</v>
      </c>
    </row>
    <row r="136" spans="1:5">
      <c r="A136" s="239">
        <v>44562</v>
      </c>
      <c r="B136" s="23">
        <v>7.2999000000000001</v>
      </c>
      <c r="C136" s="23">
        <v>8.8739000000000008</v>
      </c>
      <c r="D136" s="23">
        <v>16.184000000000001</v>
      </c>
      <c r="E136" s="246">
        <f>D136/D124-1</f>
        <v>0.86858482178938035</v>
      </c>
    </row>
    <row r="137" spans="1:5">
      <c r="A137" s="239">
        <v>44593</v>
      </c>
      <c r="B137" s="23">
        <v>5.8452999999999999</v>
      </c>
      <c r="C137" s="23">
        <v>7.7801</v>
      </c>
      <c r="D137" s="23">
        <v>13.676</v>
      </c>
      <c r="E137" s="246">
        <f t="shared" ref="E137:E154" si="42">D137/D125-1</f>
        <v>1.4513353647607099</v>
      </c>
    </row>
    <row r="138" spans="1:5">
      <c r="A138" s="239">
        <v>44621</v>
      </c>
      <c r="B138" s="23">
        <v>8.2100000000000009</v>
      </c>
      <c r="C138" s="23">
        <v>13.1813</v>
      </c>
      <c r="D138" s="23">
        <v>21.415400000000002</v>
      </c>
      <c r="E138" s="246">
        <f t="shared" si="42"/>
        <v>1.3804410653150154</v>
      </c>
    </row>
    <row r="139" spans="1:5">
      <c r="A139" s="239">
        <v>44652</v>
      </c>
      <c r="B139" s="23">
        <v>4.3628</v>
      </c>
      <c r="C139" s="23">
        <v>8.8879999999999999</v>
      </c>
      <c r="D139" s="23">
        <v>13.2691</v>
      </c>
      <c r="E139" s="246">
        <f t="shared" si="42"/>
        <v>0.58065207809689445</v>
      </c>
    </row>
    <row r="140" spans="1:5">
      <c r="A140" s="239">
        <v>44682</v>
      </c>
      <c r="B140" s="23">
        <v>8.3033999999999999</v>
      </c>
      <c r="C140" s="23">
        <v>10.2323</v>
      </c>
      <c r="D140" s="23">
        <v>18.5641</v>
      </c>
      <c r="E140" s="246">
        <f t="shared" si="42"/>
        <v>0.9030148332667014</v>
      </c>
    </row>
    <row r="141" spans="1:5">
      <c r="A141" s="239">
        <v>44713</v>
      </c>
      <c r="B141" s="23">
        <v>11.579000000000001</v>
      </c>
      <c r="C141" s="23">
        <v>15.4163</v>
      </c>
      <c r="D141" s="23">
        <v>27.010300000000001</v>
      </c>
      <c r="E141" s="246">
        <f t="shared" si="42"/>
        <v>1.43340420548118</v>
      </c>
    </row>
    <row r="142" spans="1:5">
      <c r="A142" s="239">
        <v>44743</v>
      </c>
      <c r="B142" s="23">
        <v>9.8384999999999998</v>
      </c>
      <c r="C142" s="23">
        <v>14.3369</v>
      </c>
      <c r="D142" s="23">
        <v>24.187200000000001</v>
      </c>
      <c r="E142" s="246">
        <f t="shared" si="42"/>
        <v>1.141938683338942</v>
      </c>
    </row>
    <row r="143" spans="1:5">
      <c r="A143" s="239">
        <v>44774</v>
      </c>
      <c r="B143" s="23">
        <v>10.522500000000001</v>
      </c>
      <c r="C143" s="23">
        <v>17.2105</v>
      </c>
      <c r="D143" s="23">
        <v>27.752199999999998</v>
      </c>
      <c r="E143" s="246">
        <f t="shared" si="42"/>
        <v>1.2095524717159893</v>
      </c>
    </row>
    <row r="144" spans="1:5">
      <c r="A144" s="239">
        <v>44805</v>
      </c>
      <c r="B144" s="23">
        <v>11.2094</v>
      </c>
      <c r="C144" s="23">
        <v>20.400300000000001</v>
      </c>
      <c r="D144" s="23">
        <v>31.6342</v>
      </c>
      <c r="E144" s="246">
        <f t="shared" si="42"/>
        <v>1.0155976221272152</v>
      </c>
    </row>
    <row r="145" spans="1:5">
      <c r="A145" s="239">
        <v>44835</v>
      </c>
      <c r="B145" s="23">
        <v>10.816599999999999</v>
      </c>
      <c r="C145" s="23">
        <v>19.665299999999998</v>
      </c>
      <c r="D145" s="23">
        <v>30.5426</v>
      </c>
      <c r="E145" s="246">
        <f t="shared" si="42"/>
        <v>0.98085466537820465</v>
      </c>
    </row>
    <row r="146" spans="1:5">
      <c r="A146" s="239">
        <v>44866</v>
      </c>
      <c r="B146" s="23">
        <v>11.035</v>
      </c>
      <c r="C146" s="23">
        <v>23.090800000000002</v>
      </c>
      <c r="D146" s="23">
        <v>34.2622</v>
      </c>
      <c r="E146" s="246">
        <f t="shared" si="42"/>
        <v>0.64525159784680852</v>
      </c>
    </row>
    <row r="147" spans="1:5">
      <c r="A147" s="239">
        <v>44896</v>
      </c>
      <c r="B147" s="23">
        <v>11.4221</v>
      </c>
      <c r="C147" s="23">
        <v>24.677399999999999</v>
      </c>
      <c r="D147" s="23">
        <v>36.1494</v>
      </c>
      <c r="E147" s="246">
        <f t="shared" si="42"/>
        <v>0.37877978824031988</v>
      </c>
    </row>
    <row r="148" spans="1:5">
      <c r="A148" s="239">
        <v>44927</v>
      </c>
      <c r="B148" s="23">
        <v>5.4329999999999998</v>
      </c>
      <c r="C148" s="23">
        <v>10.683199999999999</v>
      </c>
      <c r="D148" s="23">
        <v>16.133299999999998</v>
      </c>
      <c r="E148" s="246">
        <f t="shared" si="42"/>
        <v>-3.1327236777065615E-3</v>
      </c>
    </row>
    <row r="149" spans="1:5">
      <c r="A149" s="239">
        <v>44958</v>
      </c>
      <c r="B149" s="23">
        <v>6.7206000000000001</v>
      </c>
      <c r="C149" s="23">
        <v>15.193099999999999</v>
      </c>
      <c r="D149" s="23">
        <v>21.935199999999998</v>
      </c>
      <c r="E149" s="246">
        <f t="shared" si="42"/>
        <v>0.60391927464170791</v>
      </c>
    </row>
    <row r="150" spans="1:5">
      <c r="A150" s="239">
        <v>44986</v>
      </c>
      <c r="B150" s="23">
        <v>8.7254000000000005</v>
      </c>
      <c r="C150" s="23">
        <v>19.0395</v>
      </c>
      <c r="D150" s="23">
        <v>27.782699999999998</v>
      </c>
      <c r="E150" s="246">
        <f t="shared" si="42"/>
        <v>0.29732342146305912</v>
      </c>
    </row>
    <row r="151" spans="1:5">
      <c r="A151" s="239">
        <v>45017</v>
      </c>
      <c r="B151" s="23">
        <v>8.0040999999999993</v>
      </c>
      <c r="C151" s="23">
        <v>17.1266</v>
      </c>
      <c r="D151" s="23">
        <v>25.138200000000001</v>
      </c>
      <c r="E151" s="246">
        <f t="shared" si="42"/>
        <v>0.89449171383138282</v>
      </c>
    </row>
    <row r="152" spans="1:5">
      <c r="A152" s="239">
        <v>45047</v>
      </c>
      <c r="B152" s="23">
        <v>9.0281000000000002</v>
      </c>
      <c r="C152" s="23">
        <v>19.153300000000002</v>
      </c>
      <c r="D152" s="23">
        <v>28.2423</v>
      </c>
      <c r="E152" s="246">
        <f t="shared" si="42"/>
        <v>0.52133957477065951</v>
      </c>
    </row>
    <row r="153" spans="1:5">
      <c r="A153" s="239">
        <v>45078</v>
      </c>
      <c r="B153" s="23">
        <v>10.0783</v>
      </c>
      <c r="C153" s="23">
        <v>22.738399999999999</v>
      </c>
      <c r="D153" s="23">
        <v>32.896599999999999</v>
      </c>
      <c r="E153" s="246">
        <f t="shared" si="42"/>
        <v>0.2179279756241137</v>
      </c>
    </row>
    <row r="154" spans="1:5">
      <c r="A154" s="239">
        <v>45108</v>
      </c>
      <c r="B154" s="23">
        <v>10.562200000000001</v>
      </c>
      <c r="C154" s="23">
        <v>21.6602</v>
      </c>
      <c r="D154" s="23">
        <v>32.238</v>
      </c>
      <c r="E154" s="246">
        <f t="shared" si="42"/>
        <v>0.33285374082159147</v>
      </c>
    </row>
    <row r="155" spans="1:5">
      <c r="A155" s="239">
        <v>45139</v>
      </c>
      <c r="B155">
        <v>10.8</v>
      </c>
      <c r="C155">
        <v>24.1</v>
      </c>
      <c r="D155">
        <v>22.4</v>
      </c>
      <c r="E155" s="246">
        <v>0.35299999999999998</v>
      </c>
    </row>
    <row r="156" spans="1:5">
      <c r="A156" s="239">
        <v>45171</v>
      </c>
      <c r="B156">
        <v>12.2</v>
      </c>
      <c r="C156">
        <v>24.2</v>
      </c>
      <c r="D156">
        <v>36.4</v>
      </c>
      <c r="E156" s="246">
        <v>0.151</v>
      </c>
    </row>
    <row r="157" spans="1:5">
      <c r="A157" s="239">
        <v>45203</v>
      </c>
      <c r="B157">
        <v>12.3</v>
      </c>
      <c r="C157">
        <v>26.8</v>
      </c>
      <c r="D157">
        <v>39.200000000000003</v>
      </c>
      <c r="E157" s="246">
        <v>0.28349999999999997</v>
      </c>
    </row>
    <row r="158" spans="1:5">
      <c r="A158" s="239">
        <v>45231</v>
      </c>
      <c r="B158">
        <v>15.7</v>
      </c>
      <c r="C158">
        <v>29.1</v>
      </c>
      <c r="D158">
        <v>44.9</v>
      </c>
      <c r="E158" s="246">
        <v>0.31</v>
      </c>
    </row>
    <row r="159" spans="1:5">
      <c r="A159" s="239">
        <v>45261</v>
      </c>
      <c r="B159">
        <v>16.600000000000001</v>
      </c>
      <c r="C159">
        <v>31.3</v>
      </c>
      <c r="D159">
        <v>47.9</v>
      </c>
      <c r="E159" s="51">
        <v>0.32600000000000001</v>
      </c>
    </row>
    <row r="160" spans="1:5">
      <c r="A160" s="239">
        <v>45292</v>
      </c>
      <c r="B160">
        <v>12.6</v>
      </c>
      <c r="C160">
        <v>19.7</v>
      </c>
      <c r="D160">
        <v>32.299999999999997</v>
      </c>
      <c r="E160" s="51">
        <f t="shared" ref="E160:E162" si="43">D160/D148-1</f>
        <v>1.002070252211265</v>
      </c>
    </row>
    <row r="161" spans="1:5">
      <c r="A161" s="239">
        <v>45323</v>
      </c>
      <c r="B161">
        <v>6.9</v>
      </c>
      <c r="C161" s="24">
        <v>11</v>
      </c>
      <c r="D161" s="24">
        <v>18</v>
      </c>
      <c r="E161" s="51">
        <f t="shared" si="43"/>
        <v>-0.17940114519129069</v>
      </c>
    </row>
    <row r="162" spans="1:5">
      <c r="A162" s="239">
        <v>45352</v>
      </c>
      <c r="B162">
        <v>11.3</v>
      </c>
      <c r="C162" s="24">
        <v>23.6</v>
      </c>
      <c r="D162" s="24">
        <v>35</v>
      </c>
      <c r="E162" s="51">
        <f t="shared" si="43"/>
        <v>0.25977676755678902</v>
      </c>
    </row>
  </sheetData>
  <mergeCells count="13">
    <mergeCell ref="AF22:AK22"/>
    <mergeCell ref="B39:G39"/>
    <mergeCell ref="H39:M39"/>
    <mergeCell ref="N39:S39"/>
    <mergeCell ref="T39:Y39"/>
    <mergeCell ref="Z39:AE39"/>
    <mergeCell ref="AF39:AK39"/>
    <mergeCell ref="Y1:AD1"/>
    <mergeCell ref="B22:G22"/>
    <mergeCell ref="H22:M22"/>
    <mergeCell ref="N22:S22"/>
    <mergeCell ref="T22:Y22"/>
    <mergeCell ref="Z22:AE22"/>
  </mergeCells>
  <phoneticPr fontId="45" type="noConversion"/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P649"/>
  <sheetViews>
    <sheetView topLeftCell="A618" workbookViewId="0">
      <selection activeCell="I31" sqref="I31"/>
    </sheetView>
  </sheetViews>
  <sheetFormatPr baseColWidth="10" defaultColWidth="8.6640625" defaultRowHeight="13"/>
  <cols>
    <col min="1" max="1" width="8.6640625" style="191"/>
    <col min="2" max="11" width="10.6640625" style="191" customWidth="1"/>
    <col min="12" max="13" width="13.83203125" style="191" customWidth="1"/>
    <col min="14" max="16" width="10.6640625" style="191" customWidth="1"/>
    <col min="17" max="17" width="8.83203125" style="191" customWidth="1"/>
    <col min="18" max="18" width="8.6640625" style="191"/>
    <col min="19" max="20" width="8.83203125" style="191" customWidth="1"/>
    <col min="21" max="21" width="8.6640625" style="191"/>
    <col min="22" max="22" width="8.83203125" style="191" customWidth="1"/>
    <col min="23" max="23" width="8.6640625" style="191"/>
    <col min="24" max="25" width="8.83203125" style="191" customWidth="1"/>
    <col min="26" max="26" width="8.6640625" style="191"/>
    <col min="27" max="27" width="8.83203125" style="191" customWidth="1"/>
    <col min="28" max="28" width="8.6640625" style="191"/>
    <col min="29" max="30" width="8.83203125" style="191" customWidth="1"/>
    <col min="31" max="33" width="8.6640625" style="191"/>
    <col min="34" max="34" width="11.83203125" style="191" customWidth="1"/>
    <col min="35" max="39" width="8.6640625" style="191"/>
    <col min="40" max="40" width="11.83203125" style="191" customWidth="1"/>
    <col min="41" max="16384" width="8.6640625" style="191"/>
  </cols>
  <sheetData>
    <row r="2" spans="1:42" ht="14">
      <c r="B2" s="69"/>
      <c r="C2" s="69"/>
      <c r="D2" s="69" t="s">
        <v>86</v>
      </c>
      <c r="E2" s="69" t="s">
        <v>87</v>
      </c>
      <c r="F2" s="69"/>
      <c r="G2" s="69"/>
      <c r="H2" s="69"/>
      <c r="I2" s="69" t="s">
        <v>88</v>
      </c>
      <c r="J2" s="69" t="s">
        <v>87</v>
      </c>
      <c r="K2" s="69"/>
      <c r="L2" s="69"/>
      <c r="M2" s="69"/>
      <c r="N2" s="69" t="s">
        <v>89</v>
      </c>
      <c r="O2" s="69" t="s">
        <v>87</v>
      </c>
      <c r="P2" s="69"/>
      <c r="Q2" s="69"/>
      <c r="R2" s="69"/>
      <c r="S2" s="69" t="s">
        <v>90</v>
      </c>
      <c r="T2" s="69" t="s">
        <v>87</v>
      </c>
      <c r="U2" s="69"/>
      <c r="V2" s="69"/>
      <c r="W2" s="69"/>
      <c r="X2" s="69" t="s">
        <v>91</v>
      </c>
      <c r="Y2" s="69" t="s">
        <v>87</v>
      </c>
      <c r="Z2" s="69"/>
      <c r="AA2" s="69" t="s">
        <v>92</v>
      </c>
      <c r="AC2" s="69" t="s">
        <v>93</v>
      </c>
      <c r="AD2" s="69" t="s">
        <v>87</v>
      </c>
      <c r="AF2" s="69" t="s">
        <v>92</v>
      </c>
      <c r="AH2" s="69" t="s">
        <v>94</v>
      </c>
      <c r="AI2" s="69" t="s">
        <v>87</v>
      </c>
      <c r="AJ2" s="69" t="s">
        <v>32</v>
      </c>
      <c r="AL2" s="69" t="s">
        <v>92</v>
      </c>
      <c r="AN2" s="69" t="s">
        <v>95</v>
      </c>
      <c r="AO2" s="69" t="s">
        <v>87</v>
      </c>
      <c r="AP2" s="69" t="s">
        <v>32</v>
      </c>
    </row>
    <row r="3" spans="1:42" ht="14">
      <c r="B3" s="69">
        <v>1</v>
      </c>
      <c r="C3" s="69" t="s">
        <v>96</v>
      </c>
      <c r="D3" s="69">
        <v>7.91</v>
      </c>
      <c r="E3" s="71">
        <v>0.187</v>
      </c>
      <c r="F3" s="69"/>
      <c r="G3" s="69">
        <v>1</v>
      </c>
      <c r="H3" s="69" t="s">
        <v>97</v>
      </c>
      <c r="I3" s="69">
        <v>10.78</v>
      </c>
      <c r="J3" s="71">
        <v>0.182279337166047</v>
      </c>
      <c r="K3" s="69"/>
      <c r="L3" s="69">
        <v>1</v>
      </c>
      <c r="M3" s="69" t="s">
        <v>97</v>
      </c>
      <c r="N3" s="69">
        <v>23.4</v>
      </c>
      <c r="O3" s="71">
        <v>0.23400000000000001</v>
      </c>
      <c r="P3" s="69"/>
      <c r="Q3" s="69">
        <v>1</v>
      </c>
      <c r="R3" s="69" t="s">
        <v>97</v>
      </c>
      <c r="S3" s="69">
        <v>32.5</v>
      </c>
      <c r="T3" s="71">
        <v>0.27565733672603898</v>
      </c>
      <c r="U3" s="69"/>
      <c r="V3" s="69">
        <v>1</v>
      </c>
      <c r="W3" s="69" t="s">
        <v>97</v>
      </c>
      <c r="X3" s="69">
        <v>34.299999999999997</v>
      </c>
      <c r="Y3" s="71">
        <v>0.240364400840925</v>
      </c>
      <c r="Z3" s="69"/>
      <c r="AA3" s="69">
        <v>1</v>
      </c>
      <c r="AB3" s="69" t="s">
        <v>98</v>
      </c>
      <c r="AC3" s="199">
        <v>96.7</v>
      </c>
      <c r="AD3" s="71">
        <v>0.32600000000000001</v>
      </c>
      <c r="AF3" s="69">
        <v>1</v>
      </c>
      <c r="AG3" s="69" t="s">
        <v>98</v>
      </c>
      <c r="AH3" s="199">
        <v>191.6</v>
      </c>
      <c r="AI3" s="71">
        <v>0.37</v>
      </c>
      <c r="AJ3" s="84">
        <f>AH3/AC3-1</f>
        <v>0.98138572905894517</v>
      </c>
      <c r="AL3" s="69">
        <v>1</v>
      </c>
      <c r="AM3" s="69" t="s">
        <v>98</v>
      </c>
      <c r="AN3" s="199">
        <v>259.7</v>
      </c>
      <c r="AO3" s="71">
        <v>0.36799999999999999</v>
      </c>
      <c r="AP3" s="84">
        <f>AN3/AH3-1</f>
        <v>0.35542797494780798</v>
      </c>
    </row>
    <row r="4" spans="1:42" ht="14">
      <c r="B4" s="69">
        <v>2</v>
      </c>
      <c r="C4" s="69" t="s">
        <v>99</v>
      </c>
      <c r="D4" s="69">
        <v>7.33</v>
      </c>
      <c r="E4" s="71">
        <v>0.17299999999999999</v>
      </c>
      <c r="F4" s="69"/>
      <c r="G4" s="69">
        <v>2</v>
      </c>
      <c r="H4" s="69" t="s">
        <v>99</v>
      </c>
      <c r="I4" s="69">
        <v>10</v>
      </c>
      <c r="J4" s="71">
        <v>0.169090294217112</v>
      </c>
      <c r="K4" s="69"/>
      <c r="L4" s="69">
        <v>2</v>
      </c>
      <c r="M4" s="69" t="s">
        <v>99</v>
      </c>
      <c r="N4" s="69">
        <v>21.3</v>
      </c>
      <c r="O4" s="71">
        <v>0.21299999999999999</v>
      </c>
      <c r="P4" s="69"/>
      <c r="Q4" s="69">
        <v>2</v>
      </c>
      <c r="R4" s="69" t="s">
        <v>100</v>
      </c>
      <c r="S4" s="69">
        <v>12.4</v>
      </c>
      <c r="T4" s="71">
        <v>0.105173876166243</v>
      </c>
      <c r="U4" s="69"/>
      <c r="V4" s="69">
        <v>2</v>
      </c>
      <c r="W4" s="69" t="s">
        <v>100</v>
      </c>
      <c r="X4" s="69">
        <v>33.5</v>
      </c>
      <c r="Y4" s="71">
        <v>0.23475823405746299</v>
      </c>
      <c r="Z4" s="69"/>
      <c r="AA4" s="69">
        <v>2</v>
      </c>
      <c r="AB4" s="69" t="s">
        <v>100</v>
      </c>
      <c r="AC4" s="199">
        <v>60.2</v>
      </c>
      <c r="AD4" s="71">
        <v>0.20300000000000001</v>
      </c>
      <c r="AF4" s="69">
        <v>2</v>
      </c>
      <c r="AG4" s="69" t="s">
        <v>101</v>
      </c>
      <c r="AH4" s="199">
        <v>70.400000000000006</v>
      </c>
      <c r="AI4" s="71">
        <v>0.13600000000000001</v>
      </c>
      <c r="AJ4" s="84">
        <f>AH4/AC4-1</f>
        <v>0.16943521594684396</v>
      </c>
      <c r="AL4" s="69">
        <v>2</v>
      </c>
      <c r="AM4" s="69" t="s">
        <v>96</v>
      </c>
      <c r="AN4" s="199">
        <v>111.4</v>
      </c>
      <c r="AO4" s="71">
        <v>0.158</v>
      </c>
      <c r="AP4" s="84">
        <f>AN4/AH5-1</f>
        <v>0.58238636363636354</v>
      </c>
    </row>
    <row r="5" spans="1:42" ht="14">
      <c r="B5" s="69">
        <v>3</v>
      </c>
      <c r="C5" s="69" t="s">
        <v>97</v>
      </c>
      <c r="D5" s="69">
        <v>6.62</v>
      </c>
      <c r="E5" s="71">
        <v>0.157</v>
      </c>
      <c r="F5" s="69"/>
      <c r="G5" s="69">
        <v>3</v>
      </c>
      <c r="H5" s="69" t="s">
        <v>96</v>
      </c>
      <c r="I5" s="69">
        <v>6.41</v>
      </c>
      <c r="J5" s="71">
        <v>0.10838687859316901</v>
      </c>
      <c r="K5" s="69"/>
      <c r="L5" s="69">
        <v>3</v>
      </c>
      <c r="M5" s="69" t="s">
        <v>100</v>
      </c>
      <c r="N5" s="69">
        <v>7.5</v>
      </c>
      <c r="O5" s="71">
        <v>7.4999999999999997E-2</v>
      </c>
      <c r="P5" s="69"/>
      <c r="Q5" s="69">
        <v>3</v>
      </c>
      <c r="R5" s="69" t="s">
        <v>99</v>
      </c>
      <c r="S5" s="69">
        <v>28.8</v>
      </c>
      <c r="T5" s="71">
        <v>0.244274809160305</v>
      </c>
      <c r="U5" s="69"/>
      <c r="V5" s="69">
        <v>3</v>
      </c>
      <c r="W5" s="69" t="s">
        <v>99</v>
      </c>
      <c r="X5" s="69">
        <v>26.5</v>
      </c>
      <c r="Y5" s="71">
        <v>0.18570427470217199</v>
      </c>
      <c r="Z5" s="69"/>
      <c r="AA5" s="69">
        <v>3</v>
      </c>
      <c r="AB5" s="69" t="s">
        <v>99</v>
      </c>
      <c r="AC5" s="199">
        <v>36.1</v>
      </c>
      <c r="AD5" s="71">
        <v>0.122</v>
      </c>
      <c r="AF5" s="69">
        <v>3</v>
      </c>
      <c r="AG5" s="69" t="s">
        <v>96</v>
      </c>
      <c r="AH5" s="199">
        <v>70.400000000000006</v>
      </c>
      <c r="AI5" s="71">
        <v>0.13600000000000001</v>
      </c>
      <c r="AJ5" s="84">
        <f>AH5/AC6-1</f>
        <v>1.6768060836501903</v>
      </c>
      <c r="AL5" s="69">
        <v>3</v>
      </c>
      <c r="AM5" s="69" t="s">
        <v>101</v>
      </c>
      <c r="AN5" s="199">
        <v>95.8</v>
      </c>
      <c r="AO5" s="71">
        <v>0.13600000000000001</v>
      </c>
      <c r="AP5" s="84">
        <f>AN5/AH4-1</f>
        <v>0.36079545454545436</v>
      </c>
    </row>
    <row r="6" spans="1:42" ht="14">
      <c r="B6" s="69">
        <v>4</v>
      </c>
      <c r="C6" s="69" t="s">
        <v>102</v>
      </c>
      <c r="D6" s="69">
        <v>2.54</v>
      </c>
      <c r="E6" s="71">
        <v>5.8999999999999997E-2</v>
      </c>
      <c r="F6" s="69"/>
      <c r="G6" s="69">
        <v>4</v>
      </c>
      <c r="H6" s="69" t="s">
        <v>100</v>
      </c>
      <c r="I6" s="69">
        <v>5.03</v>
      </c>
      <c r="J6" s="71">
        <v>8.5052417991207302E-2</v>
      </c>
      <c r="K6" s="69"/>
      <c r="L6" s="69">
        <v>4</v>
      </c>
      <c r="M6" s="69" t="s">
        <v>96</v>
      </c>
      <c r="N6" s="69">
        <v>11.8</v>
      </c>
      <c r="O6" s="71">
        <v>0.11799999999999999</v>
      </c>
      <c r="P6" s="69"/>
      <c r="Q6" s="69">
        <v>4</v>
      </c>
      <c r="R6" s="69" t="s">
        <v>96</v>
      </c>
      <c r="S6" s="69">
        <v>11.1</v>
      </c>
      <c r="T6" s="71">
        <v>9.4147582697200999E-2</v>
      </c>
      <c r="U6" s="69"/>
      <c r="V6" s="69">
        <v>4</v>
      </c>
      <c r="W6" s="69" t="s">
        <v>96</v>
      </c>
      <c r="X6" s="69">
        <v>9.6</v>
      </c>
      <c r="Y6" s="71">
        <v>6.7274001401541703E-2</v>
      </c>
      <c r="Z6" s="69"/>
      <c r="AA6" s="69">
        <v>4</v>
      </c>
      <c r="AB6" s="69" t="s">
        <v>96</v>
      </c>
      <c r="AC6" s="199">
        <v>26.3</v>
      </c>
      <c r="AD6" s="71">
        <v>8.7999999999999995E-2</v>
      </c>
      <c r="AF6" s="69">
        <v>4</v>
      </c>
      <c r="AG6" s="69" t="s">
        <v>99</v>
      </c>
      <c r="AH6" s="199">
        <v>38</v>
      </c>
      <c r="AI6" s="71">
        <v>7.2999999999999995E-2</v>
      </c>
      <c r="AJ6" s="84">
        <f>AH6/AC5-1</f>
        <v>5.2631578947368363E-2</v>
      </c>
      <c r="AL6" s="69">
        <v>4</v>
      </c>
      <c r="AM6" s="69" t="s">
        <v>99</v>
      </c>
      <c r="AN6" s="199">
        <v>44.9</v>
      </c>
      <c r="AO6" s="71">
        <v>6.4000000000000001E-2</v>
      </c>
      <c r="AP6" s="84">
        <f>AN6/AH6-1</f>
        <v>0.18157894736842106</v>
      </c>
    </row>
    <row r="7" spans="1:42" ht="14">
      <c r="B7" s="69">
        <v>5</v>
      </c>
      <c r="C7" s="69" t="s">
        <v>103</v>
      </c>
      <c r="D7" s="69">
        <v>1.94</v>
      </c>
      <c r="E7" s="71">
        <v>4.5999999999999999E-2</v>
      </c>
      <c r="F7" s="69"/>
      <c r="G7" s="69">
        <v>5</v>
      </c>
      <c r="H7" s="69" t="s">
        <v>104</v>
      </c>
      <c r="I7" s="69">
        <v>1.77</v>
      </c>
      <c r="J7" s="71">
        <v>2.9928982076428801E-2</v>
      </c>
      <c r="K7" s="69"/>
      <c r="L7" s="69">
        <v>5</v>
      </c>
      <c r="M7" s="69" t="s">
        <v>105</v>
      </c>
      <c r="N7" s="69">
        <v>3.5</v>
      </c>
      <c r="O7" s="71">
        <v>3.5000000000000003E-2</v>
      </c>
      <c r="P7" s="69"/>
      <c r="Q7" s="69">
        <v>5</v>
      </c>
      <c r="R7" s="69" t="s">
        <v>105</v>
      </c>
      <c r="S7" s="69">
        <v>4.4000000000000004</v>
      </c>
      <c r="T7" s="71">
        <v>3.7319762510602199E-2</v>
      </c>
      <c r="U7" s="69"/>
      <c r="V7" s="69">
        <v>5</v>
      </c>
      <c r="W7" s="69" t="s">
        <v>105</v>
      </c>
      <c r="X7" s="69">
        <v>8.1999999999999993</v>
      </c>
      <c r="Y7" s="71">
        <v>5.7463209530483499E-2</v>
      </c>
      <c r="Z7" s="69"/>
      <c r="AA7" s="69">
        <v>5</v>
      </c>
      <c r="AB7" s="69" t="s">
        <v>106</v>
      </c>
      <c r="AC7" s="199">
        <v>16.7</v>
      </c>
      <c r="AD7" s="71">
        <v>5.6000000000000001E-2</v>
      </c>
      <c r="AF7" s="69">
        <v>5</v>
      </c>
      <c r="AG7" s="69" t="s">
        <v>107</v>
      </c>
      <c r="AH7" s="199">
        <v>27.8</v>
      </c>
      <c r="AI7" s="71">
        <v>5.3999999999999999E-2</v>
      </c>
      <c r="AJ7" s="84">
        <f>AH7/AC7-1</f>
        <v>0.66467065868263475</v>
      </c>
      <c r="AL7" s="69">
        <v>5</v>
      </c>
      <c r="AM7" s="69" t="s">
        <v>107</v>
      </c>
      <c r="AN7" s="199">
        <v>34.4</v>
      </c>
      <c r="AO7" s="71">
        <v>4.9000000000000002E-2</v>
      </c>
      <c r="AP7" s="84">
        <f>AN7/AH7-1</f>
        <v>0.2374100719424459</v>
      </c>
    </row>
    <row r="8" spans="1:42" ht="14">
      <c r="B8" s="69">
        <v>6</v>
      </c>
      <c r="C8" s="69" t="s">
        <v>100</v>
      </c>
      <c r="D8" s="69">
        <v>1.91</v>
      </c>
      <c r="E8" s="71">
        <v>4.4999999999999998E-2</v>
      </c>
      <c r="F8" s="69"/>
      <c r="G8" s="69">
        <v>6</v>
      </c>
      <c r="H8" s="69" t="s">
        <v>108</v>
      </c>
      <c r="I8" s="69">
        <v>0.74</v>
      </c>
      <c r="J8" s="71">
        <v>1.2512681772066299E-2</v>
      </c>
      <c r="K8" s="69"/>
      <c r="L8" s="69">
        <v>6</v>
      </c>
      <c r="M8" s="69" t="s">
        <v>104</v>
      </c>
      <c r="N8" s="69">
        <v>3.7</v>
      </c>
      <c r="O8" s="71">
        <v>3.6999999999999998E-2</v>
      </c>
      <c r="P8" s="69"/>
      <c r="Q8" s="69">
        <v>6</v>
      </c>
      <c r="R8" s="69" t="s">
        <v>106</v>
      </c>
      <c r="S8" s="69">
        <v>2.1</v>
      </c>
      <c r="T8" s="71">
        <v>1.7811704834605601E-2</v>
      </c>
      <c r="U8" s="69"/>
      <c r="V8" s="69">
        <v>6</v>
      </c>
      <c r="W8" s="69" t="s">
        <v>106</v>
      </c>
      <c r="X8" s="69">
        <v>7.7</v>
      </c>
      <c r="Y8" s="71">
        <v>5.3959355290819903E-2</v>
      </c>
      <c r="Z8" s="69"/>
      <c r="AA8" s="69">
        <v>6</v>
      </c>
      <c r="AB8" s="69" t="s">
        <v>105</v>
      </c>
      <c r="AC8" s="199">
        <v>13.2</v>
      </c>
      <c r="AD8" s="71">
        <v>4.4999999999999998E-2</v>
      </c>
      <c r="AF8" s="69">
        <v>6</v>
      </c>
      <c r="AG8" s="69" t="s">
        <v>105</v>
      </c>
      <c r="AH8" s="199">
        <v>24.3</v>
      </c>
      <c r="AI8" s="71">
        <v>4.7E-2</v>
      </c>
      <c r="AJ8" s="84">
        <f>AH8/AC8-1</f>
        <v>0.84090909090909105</v>
      </c>
      <c r="AL8" s="69">
        <v>6</v>
      </c>
      <c r="AM8" s="69" t="s">
        <v>109</v>
      </c>
      <c r="AN8" s="199">
        <v>33.4</v>
      </c>
      <c r="AO8" s="71">
        <v>4.7E-2</v>
      </c>
      <c r="AP8" s="84">
        <f>AN8/AH9-1</f>
        <v>0.66999999999999993</v>
      </c>
    </row>
    <row r="9" spans="1:42" ht="14">
      <c r="B9" s="69">
        <v>7</v>
      </c>
      <c r="C9" s="69" t="s">
        <v>110</v>
      </c>
      <c r="D9" s="69">
        <v>1.56</v>
      </c>
      <c r="E9" s="71">
        <v>3.6999999999999998E-2</v>
      </c>
      <c r="F9" s="69"/>
      <c r="G9" s="69">
        <v>7</v>
      </c>
      <c r="H9" s="69" t="s">
        <v>103</v>
      </c>
      <c r="I9" s="69">
        <v>1.89</v>
      </c>
      <c r="J9" s="71">
        <v>3.1958065607034201E-2</v>
      </c>
      <c r="K9" s="69"/>
      <c r="L9" s="69">
        <v>7</v>
      </c>
      <c r="M9" s="69" t="s">
        <v>103</v>
      </c>
      <c r="N9" s="69">
        <v>3.2</v>
      </c>
      <c r="O9" s="71">
        <v>3.2000000000000001E-2</v>
      </c>
      <c r="P9" s="69"/>
      <c r="Q9" s="69">
        <v>7</v>
      </c>
      <c r="R9" s="69" t="s">
        <v>104</v>
      </c>
      <c r="S9" s="69">
        <v>3.9</v>
      </c>
      <c r="T9" s="71">
        <v>3.30788804071247E-2</v>
      </c>
      <c r="U9" s="69"/>
      <c r="V9" s="69">
        <v>7</v>
      </c>
      <c r="W9" s="69" t="s">
        <v>104</v>
      </c>
      <c r="X9" s="69">
        <v>3.8</v>
      </c>
      <c r="Y9" s="71">
        <v>2.6629292221443598E-2</v>
      </c>
      <c r="Z9" s="69"/>
      <c r="AA9" s="69">
        <v>7</v>
      </c>
      <c r="AB9" s="69" t="s">
        <v>111</v>
      </c>
      <c r="AC9" s="199">
        <v>7.9</v>
      </c>
      <c r="AD9" s="71">
        <v>2.7E-2</v>
      </c>
      <c r="AF9" s="69">
        <v>7</v>
      </c>
      <c r="AG9" s="69" t="s">
        <v>109</v>
      </c>
      <c r="AH9" s="199">
        <v>20</v>
      </c>
      <c r="AI9" s="71">
        <v>3.9E-2</v>
      </c>
      <c r="AJ9" s="84">
        <f>AH9/AC9-1</f>
        <v>1.5316455696202529</v>
      </c>
      <c r="AL9" s="69">
        <v>7</v>
      </c>
      <c r="AM9" s="69" t="s">
        <v>105</v>
      </c>
      <c r="AN9" s="199">
        <v>32.6</v>
      </c>
      <c r="AO9" s="71">
        <v>4.5999999999999999E-2</v>
      </c>
      <c r="AP9" s="84">
        <f>AN9/AH8-1</f>
        <v>0.34156378600823056</v>
      </c>
    </row>
    <row r="10" spans="1:42" ht="14">
      <c r="B10" s="69">
        <v>8</v>
      </c>
      <c r="C10" s="69" t="s">
        <v>112</v>
      </c>
      <c r="D10" s="69">
        <v>1.49</v>
      </c>
      <c r="E10" s="71">
        <v>3.5000000000000003E-2</v>
      </c>
      <c r="F10" s="69"/>
      <c r="G10" s="69">
        <v>8</v>
      </c>
      <c r="H10" s="69" t="s">
        <v>105</v>
      </c>
      <c r="I10" s="69">
        <v>2.3199999999999998</v>
      </c>
      <c r="J10" s="71">
        <v>3.9228948258369999E-2</v>
      </c>
      <c r="K10" s="69"/>
      <c r="L10" s="69">
        <v>8</v>
      </c>
      <c r="M10" s="69" t="s">
        <v>112</v>
      </c>
      <c r="N10" s="69">
        <v>1.9</v>
      </c>
      <c r="O10" s="71">
        <v>1.9E-2</v>
      </c>
      <c r="P10" s="69"/>
      <c r="Q10" s="69">
        <v>8</v>
      </c>
      <c r="R10" s="69" t="s">
        <v>111</v>
      </c>
      <c r="S10" s="69">
        <v>1.5</v>
      </c>
      <c r="T10" s="71">
        <v>1.27226463104326E-2</v>
      </c>
      <c r="U10" s="69"/>
      <c r="V10" s="69">
        <v>8</v>
      </c>
      <c r="W10" s="69" t="s">
        <v>111</v>
      </c>
      <c r="X10" s="69">
        <v>3.4</v>
      </c>
      <c r="Y10" s="71">
        <v>2.3826208829712699E-2</v>
      </c>
      <c r="Z10" s="69"/>
      <c r="AA10" s="69">
        <v>8</v>
      </c>
      <c r="AB10" s="69" t="s">
        <v>103</v>
      </c>
      <c r="AC10" s="199">
        <v>6.4</v>
      </c>
      <c r="AD10" s="71">
        <v>2.1000000000000001E-2</v>
      </c>
      <c r="AF10" s="69">
        <v>8</v>
      </c>
      <c r="AG10" s="69" t="s">
        <v>103</v>
      </c>
      <c r="AH10" s="199">
        <v>14.1</v>
      </c>
      <c r="AI10" s="71">
        <v>2.7E-2</v>
      </c>
      <c r="AJ10" s="84">
        <f>AH10/AC10-1</f>
        <v>1.203125</v>
      </c>
      <c r="AL10" s="69">
        <v>8</v>
      </c>
      <c r="AM10" s="69" t="s">
        <v>103</v>
      </c>
      <c r="AN10" s="199">
        <v>17.100000000000001</v>
      </c>
      <c r="AO10" s="71">
        <v>2.4E-2</v>
      </c>
      <c r="AP10" s="84">
        <f>AN10/AH10-1</f>
        <v>0.2127659574468086</v>
      </c>
    </row>
    <row r="11" spans="1:42" ht="14">
      <c r="B11" s="69">
        <v>9</v>
      </c>
      <c r="C11" s="69" t="s">
        <v>105</v>
      </c>
      <c r="D11" s="69">
        <v>1.1599999999999999</v>
      </c>
      <c r="E11" s="71">
        <v>2.7E-2</v>
      </c>
      <c r="F11" s="69"/>
      <c r="G11" s="69">
        <v>9</v>
      </c>
      <c r="H11" s="69" t="s">
        <v>113</v>
      </c>
      <c r="I11" s="69">
        <v>1.19</v>
      </c>
      <c r="J11" s="71">
        <v>2.0121745011836299E-2</v>
      </c>
      <c r="K11" s="69"/>
      <c r="L11" s="69">
        <v>9</v>
      </c>
      <c r="M11" s="69" t="s">
        <v>113</v>
      </c>
      <c r="N11" s="69">
        <v>3</v>
      </c>
      <c r="O11" s="71">
        <v>0.03</v>
      </c>
      <c r="P11" s="69"/>
      <c r="Q11" s="69">
        <v>9</v>
      </c>
      <c r="R11" s="69" t="s">
        <v>103</v>
      </c>
      <c r="S11" s="69">
        <v>3.2</v>
      </c>
      <c r="T11" s="71">
        <v>2.71416454622561E-2</v>
      </c>
      <c r="U11" s="69"/>
      <c r="V11" s="69">
        <v>9</v>
      </c>
      <c r="W11" s="69" t="s">
        <v>103</v>
      </c>
      <c r="X11" s="69">
        <v>2.5</v>
      </c>
      <c r="Y11" s="71">
        <v>1.7519271198318202E-2</v>
      </c>
      <c r="Z11" s="69"/>
      <c r="AA11" s="69">
        <v>9</v>
      </c>
      <c r="AB11" s="69" t="s">
        <v>104</v>
      </c>
      <c r="AC11" s="199">
        <v>4.2</v>
      </c>
      <c r="AD11" s="71">
        <v>1.4E-2</v>
      </c>
      <c r="AF11" s="69">
        <v>9</v>
      </c>
      <c r="AG11" s="69" t="s">
        <v>114</v>
      </c>
      <c r="AH11" s="199">
        <v>9.1999999999999993</v>
      </c>
      <c r="AI11" s="71">
        <v>1.7999999999999999E-2</v>
      </c>
      <c r="AJ11" s="91" t="s">
        <v>115</v>
      </c>
      <c r="AL11" s="69">
        <v>9</v>
      </c>
      <c r="AM11" s="69" t="s">
        <v>116</v>
      </c>
      <c r="AN11" s="199">
        <v>16.2</v>
      </c>
      <c r="AO11" s="71">
        <v>2.3E-2</v>
      </c>
      <c r="AP11" s="91" t="s">
        <v>115</v>
      </c>
    </row>
    <row r="12" spans="1:42" ht="14">
      <c r="B12" s="69">
        <v>10</v>
      </c>
      <c r="C12" s="69" t="s">
        <v>113</v>
      </c>
      <c r="D12" s="69">
        <v>1.1200000000000001</v>
      </c>
      <c r="E12" s="71">
        <v>2.7E-2</v>
      </c>
      <c r="F12" s="69"/>
      <c r="G12" s="69">
        <v>10</v>
      </c>
      <c r="H12" s="69" t="s">
        <v>116</v>
      </c>
      <c r="I12" s="69">
        <v>0.83</v>
      </c>
      <c r="J12" s="71">
        <v>1.40344944200203E-2</v>
      </c>
      <c r="K12" s="69"/>
      <c r="L12" s="69">
        <v>10</v>
      </c>
      <c r="M12" s="69" t="s">
        <v>106</v>
      </c>
      <c r="N12" s="69">
        <v>0.8</v>
      </c>
      <c r="O12" s="71">
        <v>8.0000000000000002E-3</v>
      </c>
      <c r="P12" s="69"/>
      <c r="Q12" s="69">
        <v>10</v>
      </c>
      <c r="R12" s="69" t="s">
        <v>112</v>
      </c>
      <c r="S12" s="69">
        <v>2.2000000000000002</v>
      </c>
      <c r="T12" s="71">
        <v>1.8659881255301099E-2</v>
      </c>
      <c r="U12" s="69"/>
      <c r="V12" s="69">
        <v>10</v>
      </c>
      <c r="W12" s="69" t="s">
        <v>112</v>
      </c>
      <c r="X12" s="69">
        <v>2</v>
      </c>
      <c r="Y12" s="71">
        <v>1.4015416958654501E-2</v>
      </c>
      <c r="Z12" s="69"/>
      <c r="AA12" s="69">
        <v>10</v>
      </c>
      <c r="AB12" s="69" t="s">
        <v>117</v>
      </c>
      <c r="AC12" s="199">
        <v>3.1</v>
      </c>
      <c r="AD12" s="71">
        <v>0.01</v>
      </c>
      <c r="AF12" s="69">
        <v>10</v>
      </c>
      <c r="AG12" s="69" t="s">
        <v>108</v>
      </c>
      <c r="AH12" s="199">
        <v>7.4</v>
      </c>
      <c r="AI12" s="71">
        <v>1.4E-2</v>
      </c>
      <c r="AJ12" s="91" t="s">
        <v>115</v>
      </c>
      <c r="AL12" s="69">
        <v>10</v>
      </c>
      <c r="AM12" s="69" t="s">
        <v>114</v>
      </c>
      <c r="AN12" s="199">
        <v>10.5</v>
      </c>
      <c r="AO12" s="71">
        <v>1.4999999999999999E-2</v>
      </c>
      <c r="AP12" s="84">
        <f>AN12/AH11-1</f>
        <v>0.14130434782608714</v>
      </c>
    </row>
    <row r="13" spans="1:42" ht="14">
      <c r="B13" s="69"/>
      <c r="C13" s="69" t="s">
        <v>39</v>
      </c>
      <c r="D13" s="69">
        <v>8.7100000000000009</v>
      </c>
      <c r="E13" s="71">
        <v>0.106</v>
      </c>
      <c r="F13" s="69"/>
      <c r="G13" s="69"/>
      <c r="H13" s="69" t="s">
        <v>39</v>
      </c>
      <c r="I13" s="69">
        <v>18.18</v>
      </c>
      <c r="J13" s="71">
        <v>0.30740615488670903</v>
      </c>
      <c r="K13" s="69"/>
      <c r="L13" s="69"/>
      <c r="M13" s="69" t="s">
        <v>39</v>
      </c>
      <c r="N13" s="69">
        <v>19.899999999999999</v>
      </c>
      <c r="O13" s="71">
        <v>0.19900000000000001</v>
      </c>
      <c r="P13" s="69"/>
      <c r="Q13" s="69"/>
      <c r="R13" s="69" t="s">
        <v>39</v>
      </c>
      <c r="S13" s="69">
        <v>15.8</v>
      </c>
      <c r="T13" s="71">
        <v>0.13401187446988999</v>
      </c>
      <c r="U13" s="69"/>
      <c r="V13" s="69"/>
      <c r="W13" s="69" t="s">
        <v>39</v>
      </c>
      <c r="X13" s="69">
        <v>11.2</v>
      </c>
      <c r="Y13" s="71">
        <v>7.8486334968465299E-2</v>
      </c>
      <c r="Z13" s="69"/>
      <c r="AA13" s="69"/>
      <c r="AB13" s="69" t="s">
        <v>118</v>
      </c>
      <c r="AC13" s="199">
        <v>26</v>
      </c>
      <c r="AD13" s="71">
        <v>8.7999999999999995E-2</v>
      </c>
      <c r="AF13" s="69"/>
      <c r="AG13" s="69" t="s">
        <v>39</v>
      </c>
      <c r="AH13" s="199">
        <v>44.5</v>
      </c>
      <c r="AI13" s="71">
        <v>8.5999999999999993E-2</v>
      </c>
      <c r="AJ13" s="84">
        <f>AH13/AC13-1</f>
        <v>0.71153846153846145</v>
      </c>
      <c r="AL13" s="69"/>
      <c r="AM13" s="69" t="s">
        <v>39</v>
      </c>
      <c r="AN13" s="199">
        <v>49.4</v>
      </c>
      <c r="AO13" s="71">
        <v>7.0000000000000007E-2</v>
      </c>
      <c r="AP13" s="84">
        <f>AN13/AH13-1</f>
        <v>0.11011235955056176</v>
      </c>
    </row>
    <row r="14" spans="1:42" ht="14">
      <c r="B14" s="69"/>
      <c r="C14" s="69"/>
      <c r="D14" s="69">
        <v>42.3</v>
      </c>
      <c r="E14" s="69"/>
      <c r="F14" s="69"/>
      <c r="G14" s="69"/>
      <c r="H14" s="69"/>
      <c r="I14" s="69">
        <v>59.14</v>
      </c>
      <c r="J14" s="69"/>
      <c r="K14" s="69"/>
      <c r="L14" s="69"/>
      <c r="M14" s="69"/>
      <c r="N14" s="69">
        <v>100</v>
      </c>
      <c r="O14" s="69"/>
      <c r="P14" s="69"/>
      <c r="Q14" s="69"/>
      <c r="R14" s="69"/>
      <c r="S14" s="69">
        <v>117.9</v>
      </c>
      <c r="T14" s="69"/>
      <c r="U14" s="69"/>
      <c r="V14" s="69"/>
      <c r="W14" s="69"/>
      <c r="X14" s="69">
        <v>142.69999999999999</v>
      </c>
      <c r="Y14" s="69"/>
      <c r="Z14" s="69"/>
      <c r="AA14" s="69"/>
      <c r="AB14" s="69" t="s">
        <v>48</v>
      </c>
      <c r="AC14" s="199">
        <v>296.8</v>
      </c>
      <c r="AD14" s="71">
        <v>1</v>
      </c>
      <c r="AF14" s="69"/>
      <c r="AG14" s="69" t="s">
        <v>48</v>
      </c>
      <c r="AH14" s="199">
        <v>517.9</v>
      </c>
      <c r="AI14" s="71">
        <v>1</v>
      </c>
      <c r="AJ14" s="84">
        <f>AH14/AC14-1</f>
        <v>0.74494609164420478</v>
      </c>
      <c r="AL14" s="69"/>
      <c r="AM14" s="69" t="s">
        <v>48</v>
      </c>
      <c r="AN14" s="199">
        <v>705.5</v>
      </c>
      <c r="AO14" s="71">
        <v>1</v>
      </c>
      <c r="AP14" s="84">
        <f>AN14/AH14-1</f>
        <v>0.36223209113728516</v>
      </c>
    </row>
    <row r="15" spans="1:42" ht="14">
      <c r="A15" s="160" t="s">
        <v>119</v>
      </c>
    </row>
    <row r="16" spans="1:42" ht="14">
      <c r="A16" s="160" t="s">
        <v>120</v>
      </c>
    </row>
    <row r="17" spans="1:16" ht="14">
      <c r="A17" s="160"/>
      <c r="B17" s="20"/>
      <c r="C17" s="20"/>
      <c r="D17" s="20"/>
      <c r="E17" s="20"/>
      <c r="F17" s="20"/>
      <c r="G17" s="20"/>
      <c r="H17" s="20"/>
      <c r="J17" s="160"/>
      <c r="K17" s="20"/>
      <c r="L17" s="20"/>
      <c r="M17" s="20"/>
      <c r="N17" s="20"/>
      <c r="O17" s="20"/>
      <c r="P17" s="20"/>
    </row>
    <row r="18" spans="1:16" ht="14">
      <c r="A18" s="160"/>
      <c r="B18" s="20"/>
      <c r="C18" s="20"/>
      <c r="D18" s="20"/>
      <c r="E18" s="20"/>
      <c r="F18" s="20"/>
      <c r="G18" s="20"/>
      <c r="H18" s="20"/>
      <c r="J18" s="160"/>
      <c r="K18" s="20"/>
      <c r="L18" s="20"/>
      <c r="M18" s="20"/>
      <c r="N18" s="20"/>
      <c r="O18" s="20"/>
      <c r="P18" s="20"/>
    </row>
    <row r="19" spans="1:16" ht="14">
      <c r="A19" s="160"/>
      <c r="B19" s="161" t="s">
        <v>121</v>
      </c>
      <c r="C19" s="161"/>
      <c r="D19" s="161"/>
      <c r="E19" s="161"/>
      <c r="F19" s="161"/>
      <c r="G19" s="161"/>
      <c r="H19" s="161"/>
      <c r="J19" s="196" t="s">
        <v>122</v>
      </c>
      <c r="K19" s="161"/>
      <c r="L19" s="161"/>
      <c r="M19" s="161"/>
      <c r="N19" s="161"/>
      <c r="O19" s="161"/>
      <c r="P19" s="161"/>
    </row>
    <row r="20" spans="1:16" ht="14">
      <c r="A20" s="160"/>
      <c r="B20" s="161" t="s">
        <v>92</v>
      </c>
      <c r="C20" s="162" t="s">
        <v>123</v>
      </c>
      <c r="D20" s="163">
        <v>45323</v>
      </c>
      <c r="E20" s="163">
        <v>44958</v>
      </c>
      <c r="F20" s="162" t="s">
        <v>124</v>
      </c>
      <c r="G20" s="162" t="s">
        <v>125</v>
      </c>
      <c r="H20" s="162" t="s">
        <v>126</v>
      </c>
      <c r="J20" s="161" t="s">
        <v>92</v>
      </c>
      <c r="K20" s="162" t="s">
        <v>123</v>
      </c>
      <c r="L20" s="163" t="s">
        <v>127</v>
      </c>
      <c r="M20" s="163" t="s">
        <v>128</v>
      </c>
      <c r="N20" s="162" t="s">
        <v>124</v>
      </c>
      <c r="O20" s="162" t="s">
        <v>125</v>
      </c>
      <c r="P20" s="162" t="s">
        <v>126</v>
      </c>
    </row>
    <row r="21" spans="1:16" ht="14">
      <c r="A21" s="160"/>
      <c r="B21" s="192">
        <v>1</v>
      </c>
      <c r="C21" s="187" t="s">
        <v>98</v>
      </c>
      <c r="D21" s="193">
        <f>L21-L38</f>
        <v>15</v>
      </c>
      <c r="E21" s="193">
        <f>M21-M38</f>
        <v>13.60154173312068</v>
      </c>
      <c r="F21" s="194">
        <v>0.88100000000000001</v>
      </c>
      <c r="G21" s="194">
        <f>D21/D$32</f>
        <v>0.36674816625916867</v>
      </c>
      <c r="H21" s="195">
        <f>E21/E$32</f>
        <v>0.44595218797116981</v>
      </c>
      <c r="J21" s="192">
        <v>1</v>
      </c>
      <c r="K21" s="187" t="s">
        <v>98</v>
      </c>
      <c r="L21" s="193">
        <v>35.5</v>
      </c>
      <c r="M21" s="193">
        <v>24.5</v>
      </c>
      <c r="N21" s="194">
        <f>L21/M21-1</f>
        <v>0.44897959183673475</v>
      </c>
      <c r="O21" s="194">
        <f>L21/L$32</f>
        <v>0.38419913419913415</v>
      </c>
      <c r="P21" s="195">
        <f>M21/M$32</f>
        <v>0.33700137551581844</v>
      </c>
    </row>
    <row r="22" spans="1:16" ht="14">
      <c r="A22" s="160"/>
      <c r="B22" s="192">
        <v>2</v>
      </c>
      <c r="C22" s="187" t="s">
        <v>101</v>
      </c>
      <c r="D22" s="193">
        <f>L22-L40</f>
        <v>6.7999999999999989</v>
      </c>
      <c r="E22" s="193">
        <f>M22-M40</f>
        <v>5.7068503350707367</v>
      </c>
      <c r="F22" s="194">
        <v>0.34399999999999997</v>
      </c>
      <c r="G22" s="194">
        <f t="shared" ref="G22:G32" si="0">D22/D$32</f>
        <v>0.16625916870415644</v>
      </c>
      <c r="H22" s="195">
        <f t="shared" ref="H22:H32" si="1">E22/E$32</f>
        <v>0.18710984705149955</v>
      </c>
      <c r="J22" s="192">
        <v>2</v>
      </c>
      <c r="K22" s="187" t="s">
        <v>101</v>
      </c>
      <c r="L22" s="193">
        <v>12.7</v>
      </c>
      <c r="M22" s="193">
        <v>10.1</v>
      </c>
      <c r="N22" s="194">
        <f t="shared" ref="N22:N32" si="2">L22/M22-1</f>
        <v>0.25742574257425743</v>
      </c>
      <c r="O22" s="194">
        <f t="shared" ref="O22:O32" si="3">L22/L$32</f>
        <v>0.13744588744588743</v>
      </c>
      <c r="P22" s="195">
        <f t="shared" ref="P22:P32" si="4">M22/M$32</f>
        <v>0.13892709766162309</v>
      </c>
    </row>
    <row r="23" spans="1:16" ht="14">
      <c r="A23" s="160"/>
      <c r="B23" s="192">
        <v>3</v>
      </c>
      <c r="C23" s="187" t="s">
        <v>96</v>
      </c>
      <c r="D23" s="193">
        <f>L23-D39</f>
        <v>4.6999999999999993</v>
      </c>
      <c r="E23" s="193">
        <f>M23-M39</f>
        <v>6.9940476190476186</v>
      </c>
      <c r="F23" s="194">
        <v>0.34300000000000003</v>
      </c>
      <c r="G23" s="194">
        <f t="shared" si="0"/>
        <v>0.11491442542787282</v>
      </c>
      <c r="H23" s="195">
        <f t="shared" si="1"/>
        <v>0.22931303669008585</v>
      </c>
      <c r="J23" s="192">
        <v>3</v>
      </c>
      <c r="K23" s="187" t="s">
        <v>96</v>
      </c>
      <c r="L23" s="193">
        <v>12.1</v>
      </c>
      <c r="M23" s="193">
        <v>12.5</v>
      </c>
      <c r="N23" s="194">
        <f t="shared" si="2"/>
        <v>-3.2000000000000028E-2</v>
      </c>
      <c r="O23" s="194">
        <f t="shared" si="3"/>
        <v>0.13095238095238093</v>
      </c>
      <c r="P23" s="195">
        <f t="shared" si="4"/>
        <v>0.17193947730398898</v>
      </c>
    </row>
    <row r="24" spans="1:16" ht="14">
      <c r="A24" s="160"/>
      <c r="B24" s="192">
        <v>4</v>
      </c>
      <c r="C24" s="187" t="s">
        <v>99</v>
      </c>
      <c r="D24" s="193">
        <f t="shared" ref="D24:D28" si="5">L24-L41</f>
        <v>3.2</v>
      </c>
      <c r="E24" s="193">
        <f t="shared" ref="E24:E32" si="6">M24-M41</f>
        <v>3.7740576496674056</v>
      </c>
      <c r="F24" s="194">
        <v>-9.8000000000000004E-2</v>
      </c>
      <c r="G24" s="194">
        <f t="shared" si="0"/>
        <v>7.823960880195599E-2</v>
      </c>
      <c r="H24" s="195">
        <f t="shared" si="1"/>
        <v>0.12373959507106248</v>
      </c>
      <c r="J24" s="192">
        <v>4</v>
      </c>
      <c r="K24" s="187" t="s">
        <v>99</v>
      </c>
      <c r="L24" s="193">
        <v>6.2</v>
      </c>
      <c r="M24" s="193">
        <v>7.1</v>
      </c>
      <c r="N24" s="194">
        <f t="shared" si="2"/>
        <v>-0.12676056338028163</v>
      </c>
      <c r="O24" s="194">
        <f t="shared" si="3"/>
        <v>6.7099567099567103E-2</v>
      </c>
      <c r="P24" s="195">
        <f t="shared" si="4"/>
        <v>9.7661623108665746E-2</v>
      </c>
    </row>
    <row r="25" spans="1:16" ht="14">
      <c r="A25" s="160"/>
      <c r="B25" s="192">
        <v>5</v>
      </c>
      <c r="C25" s="187" t="s">
        <v>105</v>
      </c>
      <c r="D25" s="193">
        <f t="shared" si="5"/>
        <v>2.7</v>
      </c>
      <c r="E25" s="193">
        <f t="shared" si="6"/>
        <v>1.7674982674982676</v>
      </c>
      <c r="F25" s="194">
        <v>0.443</v>
      </c>
      <c r="G25" s="194">
        <f t="shared" si="0"/>
        <v>6.6014669926650366E-2</v>
      </c>
      <c r="H25" s="195">
        <f t="shared" si="1"/>
        <v>5.7950762868795656E-2</v>
      </c>
      <c r="J25" s="192">
        <v>5</v>
      </c>
      <c r="K25" s="187" t="s">
        <v>105</v>
      </c>
      <c r="L25" s="193">
        <v>5.2</v>
      </c>
      <c r="M25" s="193">
        <v>3.5</v>
      </c>
      <c r="N25" s="194">
        <f t="shared" si="2"/>
        <v>0.48571428571428577</v>
      </c>
      <c r="O25" s="194">
        <f t="shared" si="3"/>
        <v>5.6277056277056273E-2</v>
      </c>
      <c r="P25" s="195">
        <f t="shared" si="4"/>
        <v>4.8143053645116916E-2</v>
      </c>
    </row>
    <row r="26" spans="1:16" ht="14">
      <c r="A26" s="160"/>
      <c r="B26" s="192">
        <v>6</v>
      </c>
      <c r="C26" s="187" t="s">
        <v>107</v>
      </c>
      <c r="D26" s="193">
        <f t="shared" si="5"/>
        <v>2.1</v>
      </c>
      <c r="E26" s="193">
        <f t="shared" si="6"/>
        <v>2.7367758186397984</v>
      </c>
      <c r="F26" s="194">
        <v>0.191</v>
      </c>
      <c r="G26" s="194">
        <f t="shared" si="0"/>
        <v>5.1344743276283612E-2</v>
      </c>
      <c r="H26" s="195">
        <f t="shared" si="1"/>
        <v>8.9730354709501581E-2</v>
      </c>
      <c r="J26" s="192">
        <v>6</v>
      </c>
      <c r="K26" s="187" t="s">
        <v>107</v>
      </c>
      <c r="L26" s="193">
        <v>4.2</v>
      </c>
      <c r="M26" s="193">
        <v>4.5</v>
      </c>
      <c r="N26" s="194">
        <f t="shared" si="2"/>
        <v>-6.6666666666666652E-2</v>
      </c>
      <c r="O26" s="194">
        <f t="shared" si="3"/>
        <v>4.5454545454545456E-2</v>
      </c>
      <c r="P26" s="195">
        <f t="shared" si="4"/>
        <v>6.1898211829436035E-2</v>
      </c>
    </row>
    <row r="27" spans="1:16" ht="14">
      <c r="A27" s="160"/>
      <c r="B27" s="192">
        <v>7</v>
      </c>
      <c r="C27" s="187" t="s">
        <v>109</v>
      </c>
      <c r="D27" s="193">
        <f t="shared" si="5"/>
        <v>1.6</v>
      </c>
      <c r="E27" s="193">
        <f t="shared" si="6"/>
        <v>1.8038216560509555</v>
      </c>
      <c r="F27" s="194">
        <v>1.512</v>
      </c>
      <c r="G27" s="194">
        <f t="shared" si="0"/>
        <v>3.9119804400977995E-2</v>
      </c>
      <c r="H27" s="195">
        <f t="shared" si="1"/>
        <v>5.9141693641014931E-2</v>
      </c>
      <c r="J27" s="192">
        <v>7</v>
      </c>
      <c r="K27" s="187" t="s">
        <v>109</v>
      </c>
      <c r="L27" s="193">
        <v>3.6</v>
      </c>
      <c r="M27" s="193">
        <v>2.6</v>
      </c>
      <c r="N27" s="194">
        <f t="shared" si="2"/>
        <v>0.38461538461538458</v>
      </c>
      <c r="O27" s="194">
        <f t="shared" si="3"/>
        <v>3.896103896103896E-2</v>
      </c>
      <c r="P27" s="195">
        <f t="shared" si="4"/>
        <v>3.5763411279229711E-2</v>
      </c>
    </row>
    <row r="28" spans="1:16" ht="14">
      <c r="A28" s="160"/>
      <c r="B28" s="192">
        <v>8</v>
      </c>
      <c r="C28" s="187" t="s">
        <v>103</v>
      </c>
      <c r="D28" s="193">
        <f t="shared" si="5"/>
        <v>0.40000000000000013</v>
      </c>
      <c r="E28" s="193">
        <f t="shared" si="6"/>
        <v>0.71932807963500633</v>
      </c>
      <c r="F28" s="194">
        <v>1.411</v>
      </c>
      <c r="G28" s="194">
        <f t="shared" si="0"/>
        <v>9.7799511002445005E-3</v>
      </c>
      <c r="H28" s="195">
        <f t="shared" si="1"/>
        <v>2.3584527201147749E-2</v>
      </c>
      <c r="J28" s="192">
        <v>8</v>
      </c>
      <c r="K28" s="187" t="s">
        <v>103</v>
      </c>
      <c r="L28" s="193">
        <v>1.8</v>
      </c>
      <c r="M28" s="193">
        <v>1.3</v>
      </c>
      <c r="N28" s="194">
        <f t="shared" si="2"/>
        <v>0.38461538461538458</v>
      </c>
      <c r="O28" s="194">
        <f t="shared" si="3"/>
        <v>1.948051948051948E-2</v>
      </c>
      <c r="P28" s="195">
        <f t="shared" si="4"/>
        <v>1.7881705639614855E-2</v>
      </c>
    </row>
    <row r="29" spans="1:16" ht="14">
      <c r="A29" s="160"/>
      <c r="B29" s="192">
        <v>9</v>
      </c>
      <c r="C29" s="187" t="s">
        <v>116</v>
      </c>
      <c r="D29" s="193">
        <f>L29-D47</f>
        <v>0.79999999999999993</v>
      </c>
      <c r="E29" s="193">
        <f>M29-M47</f>
        <v>0.67369519832985392</v>
      </c>
      <c r="F29" s="194">
        <v>3.81</v>
      </c>
      <c r="G29" s="194">
        <f t="shared" si="0"/>
        <v>1.9559902200488994E-2</v>
      </c>
      <c r="H29" s="195">
        <f t="shared" si="1"/>
        <v>2.2088367158355868E-2</v>
      </c>
      <c r="J29" s="192">
        <v>9</v>
      </c>
      <c r="K29" s="187" t="s">
        <v>116</v>
      </c>
      <c r="L29" s="193">
        <v>1.7</v>
      </c>
      <c r="M29" s="193">
        <v>1.3</v>
      </c>
      <c r="N29" s="194">
        <f t="shared" si="2"/>
        <v>0.30769230769230771</v>
      </c>
      <c r="O29" s="194">
        <f t="shared" si="3"/>
        <v>1.8398268398268396E-2</v>
      </c>
      <c r="P29" s="195">
        <f t="shared" si="4"/>
        <v>1.7881705639614855E-2</v>
      </c>
    </row>
    <row r="30" spans="1:16" ht="14">
      <c r="A30" s="160"/>
      <c r="B30" s="192">
        <v>10</v>
      </c>
      <c r="C30" s="187" t="s">
        <v>129</v>
      </c>
      <c r="D30" s="193">
        <f>L30-D46</f>
        <v>0.5</v>
      </c>
      <c r="E30" s="193">
        <f>M30-M46</f>
        <v>0.37130977130977127</v>
      </c>
      <c r="F30" s="194">
        <v>0.437</v>
      </c>
      <c r="G30" s="194">
        <f t="shared" si="0"/>
        <v>1.2224938875305623E-2</v>
      </c>
      <c r="H30" s="195">
        <f t="shared" si="1"/>
        <v>1.2174090862615452E-2</v>
      </c>
      <c r="J30" s="192">
        <v>10</v>
      </c>
      <c r="K30" s="187" t="s">
        <v>129</v>
      </c>
      <c r="L30" s="193">
        <v>1.6</v>
      </c>
      <c r="M30" s="193">
        <v>0.6</v>
      </c>
      <c r="N30" s="194">
        <f t="shared" si="2"/>
        <v>1.666666666666667</v>
      </c>
      <c r="O30" s="194">
        <f t="shared" si="3"/>
        <v>1.7316017316017316E-2</v>
      </c>
      <c r="P30" s="195">
        <f t="shared" si="4"/>
        <v>8.253094910591471E-3</v>
      </c>
    </row>
    <row r="31" spans="1:16" ht="14">
      <c r="A31" s="160"/>
      <c r="B31" s="162"/>
      <c r="C31" s="162" t="s">
        <v>39</v>
      </c>
      <c r="D31" s="193">
        <v>4.7</v>
      </c>
      <c r="E31" s="193">
        <f t="shared" si="6"/>
        <v>-7.5489261283700992</v>
      </c>
      <c r="F31" s="194">
        <f>D31/E31-1</f>
        <v>-1.6226051123134762</v>
      </c>
      <c r="G31" s="194">
        <f t="shared" si="0"/>
        <v>0.11491442542787285</v>
      </c>
      <c r="H31" s="195">
        <f t="shared" si="1"/>
        <v>-0.24750577470065899</v>
      </c>
      <c r="J31" s="162"/>
      <c r="K31" s="162" t="s">
        <v>39</v>
      </c>
      <c r="L31" s="193">
        <v>8</v>
      </c>
      <c r="M31" s="193">
        <v>4.8</v>
      </c>
      <c r="N31" s="194">
        <f t="shared" si="2"/>
        <v>0.66666666666666674</v>
      </c>
      <c r="O31" s="194">
        <f t="shared" si="3"/>
        <v>8.6580086580086577E-2</v>
      </c>
      <c r="P31" s="195">
        <f t="shared" si="4"/>
        <v>6.6024759284731768E-2</v>
      </c>
    </row>
    <row r="32" spans="1:16" ht="14">
      <c r="A32" s="160"/>
      <c r="B32" s="162" t="s">
        <v>48</v>
      </c>
      <c r="C32" s="162"/>
      <c r="D32" s="193">
        <f>L32-L49</f>
        <v>40.900000000000006</v>
      </c>
      <c r="E32" s="193">
        <f t="shared" si="6"/>
        <v>30.5</v>
      </c>
      <c r="F32" s="194">
        <f>D32/E32-1</f>
        <v>0.34098360655737725</v>
      </c>
      <c r="G32" s="194">
        <f t="shared" si="0"/>
        <v>1</v>
      </c>
      <c r="H32" s="195">
        <f t="shared" si="1"/>
        <v>1</v>
      </c>
      <c r="J32" s="162" t="s">
        <v>48</v>
      </c>
      <c r="K32" s="162"/>
      <c r="L32" s="193">
        <v>92.4</v>
      </c>
      <c r="M32" s="193">
        <v>72.7</v>
      </c>
      <c r="N32" s="194">
        <f t="shared" si="2"/>
        <v>0.27097661623108671</v>
      </c>
      <c r="O32" s="194">
        <f t="shared" si="3"/>
        <v>1</v>
      </c>
      <c r="P32" s="195">
        <f t="shared" si="4"/>
        <v>1</v>
      </c>
    </row>
    <row r="33" spans="1:16" ht="14">
      <c r="A33" s="160"/>
      <c r="B33" s="20"/>
      <c r="C33" s="20"/>
      <c r="D33" s="20"/>
      <c r="E33" s="20"/>
      <c r="F33" s="20"/>
      <c r="G33" s="20"/>
      <c r="H33" s="20"/>
      <c r="J33" s="160"/>
      <c r="K33" s="20"/>
      <c r="L33" s="20"/>
      <c r="M33" s="20"/>
      <c r="N33" s="20"/>
      <c r="O33" s="20"/>
      <c r="P33" s="20"/>
    </row>
    <row r="34" spans="1:16" ht="14">
      <c r="A34" s="160"/>
      <c r="B34" s="20"/>
      <c r="C34" s="20"/>
      <c r="D34" s="20"/>
      <c r="E34" s="20"/>
      <c r="F34" s="20"/>
      <c r="G34" s="20"/>
      <c r="H34" s="20"/>
      <c r="J34" s="160"/>
      <c r="K34" s="20"/>
      <c r="L34" s="20"/>
      <c r="M34" s="20"/>
      <c r="N34" s="20"/>
      <c r="O34" s="20"/>
      <c r="P34" s="20"/>
    </row>
    <row r="35" spans="1:16" ht="14">
      <c r="A35" s="160"/>
      <c r="B35" s="20"/>
      <c r="C35" s="20"/>
      <c r="D35" s="20"/>
      <c r="E35" s="20"/>
      <c r="F35" s="20"/>
      <c r="G35" s="20"/>
      <c r="H35" s="20"/>
      <c r="J35" s="160"/>
      <c r="K35" s="20"/>
      <c r="L35" s="20"/>
      <c r="M35" s="20"/>
      <c r="N35" s="20"/>
      <c r="O35" s="20"/>
      <c r="P35" s="20"/>
    </row>
    <row r="36" spans="1:16" ht="14">
      <c r="A36" s="160"/>
      <c r="B36" s="161" t="s">
        <v>130</v>
      </c>
      <c r="C36" s="161"/>
      <c r="D36" s="161"/>
      <c r="E36" s="161"/>
      <c r="F36" s="161"/>
      <c r="G36" s="161"/>
      <c r="H36" s="161"/>
      <c r="J36" s="196" t="s">
        <v>130</v>
      </c>
      <c r="K36" s="161"/>
      <c r="L36" s="161"/>
      <c r="M36" s="161"/>
      <c r="N36" s="161"/>
      <c r="O36" s="161"/>
      <c r="P36" s="161"/>
    </row>
    <row r="37" spans="1:16" ht="14">
      <c r="A37" s="160"/>
      <c r="B37" s="161" t="s">
        <v>92</v>
      </c>
      <c r="C37" s="162" t="s">
        <v>123</v>
      </c>
      <c r="D37" s="163">
        <v>45292</v>
      </c>
      <c r="E37" s="163">
        <v>44927</v>
      </c>
      <c r="F37" s="162" t="s">
        <v>124</v>
      </c>
      <c r="G37" s="162" t="s">
        <v>125</v>
      </c>
      <c r="H37" s="162" t="s">
        <v>126</v>
      </c>
      <c r="J37" s="161" t="s">
        <v>92</v>
      </c>
      <c r="K37" s="162" t="s">
        <v>123</v>
      </c>
      <c r="L37" s="163">
        <v>45292</v>
      </c>
      <c r="M37" s="163">
        <v>44927</v>
      </c>
      <c r="N37" s="162" t="s">
        <v>124</v>
      </c>
      <c r="O37" s="162" t="s">
        <v>125</v>
      </c>
      <c r="P37" s="162" t="s">
        <v>126</v>
      </c>
    </row>
    <row r="38" spans="1:16" ht="14">
      <c r="A38" s="160"/>
      <c r="B38" s="192">
        <v>1</v>
      </c>
      <c r="C38" s="162" t="s">
        <v>98</v>
      </c>
      <c r="D38" s="193">
        <v>20.5</v>
      </c>
      <c r="E38" s="193">
        <f>D38/(1+F38)</f>
        <v>10.89845826687932</v>
      </c>
      <c r="F38" s="194">
        <v>0.88100000000000001</v>
      </c>
      <c r="G38" s="194">
        <f>D38/D$49</f>
        <v>0.39805825242718446</v>
      </c>
      <c r="H38" s="195">
        <f>E38/E$49</f>
        <v>0.25825730490235355</v>
      </c>
      <c r="J38" s="192">
        <v>1</v>
      </c>
      <c r="K38" s="162" t="s">
        <v>98</v>
      </c>
      <c r="L38" s="193">
        <v>20.5</v>
      </c>
      <c r="M38" s="193">
        <f t="shared" ref="M38:M47" si="7">L38/(1+N38)</f>
        <v>10.89845826687932</v>
      </c>
      <c r="N38" s="194">
        <v>0.88100000000000001</v>
      </c>
      <c r="O38" s="194">
        <f t="shared" ref="O38:O49" si="8">L38/L$49</f>
        <v>0.39805825242718446</v>
      </c>
      <c r="P38" s="195">
        <f t="shared" ref="P38:P49" si="9">M38/M$49</f>
        <v>0.25825730490235355</v>
      </c>
    </row>
    <row r="39" spans="1:16" ht="14">
      <c r="A39" s="160"/>
      <c r="B39" s="192">
        <v>2</v>
      </c>
      <c r="C39" s="162" t="s">
        <v>96</v>
      </c>
      <c r="D39" s="193">
        <v>7.4</v>
      </c>
      <c r="E39" s="193">
        <f t="shared" ref="E39:E47" si="10">D39/(1+F39)</f>
        <v>5.5059523809523814</v>
      </c>
      <c r="F39" s="194">
        <v>0.34399999999999997</v>
      </c>
      <c r="G39" s="194">
        <f t="shared" ref="G39:G49" si="11">D39/D$49</f>
        <v>0.14368932038834953</v>
      </c>
      <c r="H39" s="195">
        <f t="shared" ref="H39:H49" si="12">E39/E$49</f>
        <v>0.1304728052358384</v>
      </c>
      <c r="J39" s="192">
        <v>2</v>
      </c>
      <c r="K39" s="162" t="s">
        <v>96</v>
      </c>
      <c r="L39" s="193">
        <v>7.4</v>
      </c>
      <c r="M39" s="193">
        <f t="shared" si="7"/>
        <v>5.5059523809523814</v>
      </c>
      <c r="N39" s="194">
        <v>0.34399999999999997</v>
      </c>
      <c r="O39" s="194">
        <f t="shared" si="8"/>
        <v>0.14368932038834953</v>
      </c>
      <c r="P39" s="195">
        <f t="shared" si="9"/>
        <v>0.1304728052358384</v>
      </c>
    </row>
    <row r="40" spans="1:16" ht="14">
      <c r="A40" s="160"/>
      <c r="B40" s="192">
        <v>3</v>
      </c>
      <c r="C40" s="162" t="s">
        <v>101</v>
      </c>
      <c r="D40" s="193">
        <v>5.9</v>
      </c>
      <c r="E40" s="193">
        <f t="shared" si="10"/>
        <v>4.393149664929263</v>
      </c>
      <c r="F40" s="194">
        <v>0.34300000000000003</v>
      </c>
      <c r="G40" s="194">
        <f t="shared" si="11"/>
        <v>0.11456310679611652</v>
      </c>
      <c r="H40" s="195">
        <f t="shared" si="12"/>
        <v>0.10410307262865551</v>
      </c>
      <c r="J40" s="192">
        <v>3</v>
      </c>
      <c r="K40" s="162" t="s">
        <v>101</v>
      </c>
      <c r="L40" s="193">
        <v>5.9</v>
      </c>
      <c r="M40" s="193">
        <f t="shared" si="7"/>
        <v>4.393149664929263</v>
      </c>
      <c r="N40" s="194">
        <v>0.34300000000000003</v>
      </c>
      <c r="O40" s="194">
        <f t="shared" si="8"/>
        <v>0.11456310679611652</v>
      </c>
      <c r="P40" s="195">
        <f t="shared" si="9"/>
        <v>0.10410307262865551</v>
      </c>
    </row>
    <row r="41" spans="1:16" ht="14">
      <c r="A41" s="160"/>
      <c r="B41" s="192">
        <v>4</v>
      </c>
      <c r="C41" s="162" t="s">
        <v>99</v>
      </c>
      <c r="D41" s="193">
        <v>3</v>
      </c>
      <c r="E41" s="193">
        <f t="shared" si="10"/>
        <v>3.325942350332594</v>
      </c>
      <c r="F41" s="194">
        <v>-9.8000000000000004E-2</v>
      </c>
      <c r="G41" s="194">
        <f t="shared" si="11"/>
        <v>5.8252427184466021E-2</v>
      </c>
      <c r="H41" s="195">
        <f t="shared" si="12"/>
        <v>7.8813799770914544E-2</v>
      </c>
      <c r="J41" s="192">
        <v>4</v>
      </c>
      <c r="K41" s="162" t="s">
        <v>99</v>
      </c>
      <c r="L41" s="193">
        <v>3</v>
      </c>
      <c r="M41" s="193">
        <f t="shared" si="7"/>
        <v>3.325942350332594</v>
      </c>
      <c r="N41" s="194">
        <v>-9.8000000000000004E-2</v>
      </c>
      <c r="O41" s="194">
        <f t="shared" si="8"/>
        <v>5.8252427184466021E-2</v>
      </c>
      <c r="P41" s="195">
        <f t="shared" si="9"/>
        <v>7.8813799770914544E-2</v>
      </c>
    </row>
    <row r="42" spans="1:16" ht="14">
      <c r="A42" s="160"/>
      <c r="B42" s="192">
        <v>5</v>
      </c>
      <c r="C42" s="162" t="s">
        <v>105</v>
      </c>
      <c r="D42" s="193">
        <v>2.5</v>
      </c>
      <c r="E42" s="193">
        <f t="shared" si="10"/>
        <v>1.7325017325017324</v>
      </c>
      <c r="F42" s="194">
        <v>0.443</v>
      </c>
      <c r="G42" s="194">
        <f t="shared" si="11"/>
        <v>4.8543689320388349E-2</v>
      </c>
      <c r="H42" s="195">
        <f t="shared" si="12"/>
        <v>4.1054543424211665E-2</v>
      </c>
      <c r="J42" s="192">
        <v>5</v>
      </c>
      <c r="K42" s="162" t="s">
        <v>105</v>
      </c>
      <c r="L42" s="193">
        <v>2.5</v>
      </c>
      <c r="M42" s="193">
        <f t="shared" si="7"/>
        <v>1.7325017325017324</v>
      </c>
      <c r="N42" s="194">
        <v>0.443</v>
      </c>
      <c r="O42" s="194">
        <f t="shared" si="8"/>
        <v>4.8543689320388349E-2</v>
      </c>
      <c r="P42" s="195">
        <f t="shared" si="9"/>
        <v>4.1054543424211665E-2</v>
      </c>
    </row>
    <row r="43" spans="1:16" ht="14">
      <c r="A43" s="160"/>
      <c r="B43" s="192">
        <v>6</v>
      </c>
      <c r="C43" s="162" t="s">
        <v>107</v>
      </c>
      <c r="D43" s="193">
        <v>2.1</v>
      </c>
      <c r="E43" s="193">
        <f t="shared" si="10"/>
        <v>1.7632241813602014</v>
      </c>
      <c r="F43" s="194">
        <v>0.191</v>
      </c>
      <c r="G43" s="194">
        <f t="shared" si="11"/>
        <v>4.0776699029126215E-2</v>
      </c>
      <c r="H43" s="195">
        <f t="shared" si="12"/>
        <v>4.1782563539341261E-2</v>
      </c>
      <c r="J43" s="192">
        <v>6</v>
      </c>
      <c r="K43" s="162" t="s">
        <v>107</v>
      </c>
      <c r="L43" s="193">
        <v>2.1</v>
      </c>
      <c r="M43" s="193">
        <f t="shared" si="7"/>
        <v>1.7632241813602014</v>
      </c>
      <c r="N43" s="194">
        <v>0.191</v>
      </c>
      <c r="O43" s="194">
        <f t="shared" si="8"/>
        <v>4.0776699029126215E-2</v>
      </c>
      <c r="P43" s="195">
        <f t="shared" si="9"/>
        <v>4.1782563539341261E-2</v>
      </c>
    </row>
    <row r="44" spans="1:16" ht="14">
      <c r="A44" s="160"/>
      <c r="B44" s="192">
        <v>7</v>
      </c>
      <c r="C44" s="162" t="s">
        <v>109</v>
      </c>
      <c r="D44" s="193">
        <v>2</v>
      </c>
      <c r="E44" s="193">
        <f t="shared" si="10"/>
        <v>0.79617834394904463</v>
      </c>
      <c r="F44" s="194">
        <v>1.512</v>
      </c>
      <c r="G44" s="194">
        <f t="shared" si="11"/>
        <v>3.8834951456310676E-2</v>
      </c>
      <c r="H44" s="195">
        <f t="shared" si="12"/>
        <v>1.8866785401636128E-2</v>
      </c>
      <c r="J44" s="192">
        <v>7</v>
      </c>
      <c r="K44" s="162" t="s">
        <v>109</v>
      </c>
      <c r="L44" s="193">
        <v>2</v>
      </c>
      <c r="M44" s="193">
        <f t="shared" si="7"/>
        <v>0.79617834394904463</v>
      </c>
      <c r="N44" s="194">
        <v>1.512</v>
      </c>
      <c r="O44" s="194">
        <f t="shared" si="8"/>
        <v>3.8834951456310676E-2</v>
      </c>
      <c r="P44" s="195">
        <f t="shared" si="9"/>
        <v>1.8866785401636128E-2</v>
      </c>
    </row>
    <row r="45" spans="1:16" ht="14">
      <c r="A45" s="160"/>
      <c r="B45" s="192">
        <v>8</v>
      </c>
      <c r="C45" s="162" t="s">
        <v>103</v>
      </c>
      <c r="D45" s="193">
        <v>1.4</v>
      </c>
      <c r="E45" s="193">
        <f t="shared" si="10"/>
        <v>0.58067192036499371</v>
      </c>
      <c r="F45" s="194">
        <v>1.411</v>
      </c>
      <c r="G45" s="194">
        <f t="shared" si="11"/>
        <v>2.7184466019417475E-2</v>
      </c>
      <c r="H45" s="195">
        <f t="shared" si="12"/>
        <v>1.3759998112914541E-2</v>
      </c>
      <c r="J45" s="192">
        <v>8</v>
      </c>
      <c r="K45" s="162" t="s">
        <v>103</v>
      </c>
      <c r="L45" s="193">
        <v>1.4</v>
      </c>
      <c r="M45" s="193">
        <f t="shared" si="7"/>
        <v>0.58067192036499371</v>
      </c>
      <c r="N45" s="194">
        <v>1.411</v>
      </c>
      <c r="O45" s="194">
        <f t="shared" si="8"/>
        <v>2.7184466019417475E-2</v>
      </c>
      <c r="P45" s="195">
        <f t="shared" si="9"/>
        <v>1.3759998112914541E-2</v>
      </c>
    </row>
    <row r="46" spans="1:16" ht="14">
      <c r="A46" s="160"/>
      <c r="B46" s="192">
        <v>9</v>
      </c>
      <c r="C46" s="162" t="s">
        <v>129</v>
      </c>
      <c r="D46" s="193">
        <v>1.1000000000000001</v>
      </c>
      <c r="E46" s="193">
        <f t="shared" si="10"/>
        <v>0.22869022869022868</v>
      </c>
      <c r="F46" s="194">
        <v>3.81</v>
      </c>
      <c r="G46" s="194">
        <f t="shared" si="11"/>
        <v>2.1359223300970877E-2</v>
      </c>
      <c r="H46" s="195">
        <f t="shared" si="12"/>
        <v>5.41919973199594E-3</v>
      </c>
      <c r="J46" s="192">
        <v>9</v>
      </c>
      <c r="K46" s="162" t="s">
        <v>129</v>
      </c>
      <c r="L46" s="193">
        <v>1.1000000000000001</v>
      </c>
      <c r="M46" s="193">
        <f t="shared" si="7"/>
        <v>0.22869022869022868</v>
      </c>
      <c r="N46" s="194">
        <v>3.81</v>
      </c>
      <c r="O46" s="194">
        <f t="shared" si="8"/>
        <v>2.1359223300970877E-2</v>
      </c>
      <c r="P46" s="195">
        <f t="shared" si="9"/>
        <v>5.41919973199594E-3</v>
      </c>
    </row>
    <row r="47" spans="1:16" ht="14">
      <c r="A47" s="160"/>
      <c r="B47" s="192">
        <v>10</v>
      </c>
      <c r="C47" s="162" t="s">
        <v>116</v>
      </c>
      <c r="D47" s="193">
        <v>0.9</v>
      </c>
      <c r="E47" s="193">
        <f t="shared" si="10"/>
        <v>0.62630480167014613</v>
      </c>
      <c r="F47" s="194">
        <v>0.437</v>
      </c>
      <c r="G47" s="194">
        <f t="shared" si="11"/>
        <v>1.7475728155339806E-2</v>
      </c>
      <c r="H47" s="195">
        <f t="shared" si="12"/>
        <v>1.4841346011140902E-2</v>
      </c>
      <c r="J47" s="192">
        <v>10</v>
      </c>
      <c r="K47" s="162" t="s">
        <v>116</v>
      </c>
      <c r="L47" s="193">
        <v>0.9</v>
      </c>
      <c r="M47" s="193">
        <f t="shared" si="7"/>
        <v>0.62630480167014613</v>
      </c>
      <c r="N47" s="194">
        <v>0.437</v>
      </c>
      <c r="O47" s="194">
        <f t="shared" si="8"/>
        <v>1.7475728155339806E-2</v>
      </c>
      <c r="P47" s="195">
        <f t="shared" si="9"/>
        <v>1.4841346011140902E-2</v>
      </c>
    </row>
    <row r="48" spans="1:16" ht="14">
      <c r="A48" s="160"/>
      <c r="B48" s="162"/>
      <c r="C48" s="162" t="s">
        <v>39</v>
      </c>
      <c r="D48" s="193">
        <v>4.7</v>
      </c>
      <c r="E48" s="193">
        <f>E49-SUM(E38:E47)</f>
        <v>12.348926128370099</v>
      </c>
      <c r="F48" s="194">
        <f>D48/E48-1</f>
        <v>-0.61940010401371315</v>
      </c>
      <c r="G48" s="194">
        <f t="shared" si="11"/>
        <v>9.1262135922330095E-2</v>
      </c>
      <c r="H48" s="195">
        <f t="shared" si="12"/>
        <v>0.29262858124099761</v>
      </c>
      <c r="J48" s="162"/>
      <c r="K48" s="162" t="s">
        <v>39</v>
      </c>
      <c r="L48" s="193">
        <v>4.7</v>
      </c>
      <c r="M48" s="193">
        <f>M49-SUM(M38:M47)</f>
        <v>12.348926128370099</v>
      </c>
      <c r="N48" s="194">
        <f>L48/M48-1</f>
        <v>-0.61940010401371315</v>
      </c>
      <c r="O48" s="194">
        <f t="shared" si="8"/>
        <v>9.1262135922330095E-2</v>
      </c>
      <c r="P48" s="195">
        <f t="shared" si="9"/>
        <v>0.29262858124099761</v>
      </c>
    </row>
    <row r="49" spans="1:16" ht="14">
      <c r="A49" s="160"/>
      <c r="B49" s="162" t="s">
        <v>48</v>
      </c>
      <c r="C49" s="162"/>
      <c r="D49" s="193">
        <v>51.5</v>
      </c>
      <c r="E49" s="193">
        <v>42.2</v>
      </c>
      <c r="F49" s="194">
        <f>D49/E49-1</f>
        <v>0.22037914691943117</v>
      </c>
      <c r="G49" s="194">
        <f t="shared" si="11"/>
        <v>1</v>
      </c>
      <c r="H49" s="195">
        <f t="shared" si="12"/>
        <v>1</v>
      </c>
      <c r="J49" s="162" t="s">
        <v>48</v>
      </c>
      <c r="K49" s="162"/>
      <c r="L49" s="193">
        <v>51.5</v>
      </c>
      <c r="M49" s="193">
        <v>42.2</v>
      </c>
      <c r="N49" s="194">
        <f>L49/M49-1</f>
        <v>0.22037914691943117</v>
      </c>
      <c r="O49" s="194">
        <f t="shared" si="8"/>
        <v>1</v>
      </c>
      <c r="P49" s="195">
        <f t="shared" si="9"/>
        <v>1</v>
      </c>
    </row>
    <row r="50" spans="1:16" ht="14">
      <c r="A50" s="160"/>
      <c r="B50" s="20"/>
      <c r="C50" s="20"/>
      <c r="D50" s="20"/>
      <c r="E50" s="20"/>
      <c r="F50" s="20"/>
      <c r="G50" s="20"/>
      <c r="H50" s="20"/>
      <c r="J50" s="160"/>
      <c r="K50" s="20"/>
      <c r="L50" s="20"/>
      <c r="M50" s="20"/>
      <c r="N50" s="20"/>
      <c r="O50" s="20"/>
      <c r="P50" s="20"/>
    </row>
    <row r="51" spans="1:16" ht="14">
      <c r="A51" s="160"/>
      <c r="B51" s="20"/>
      <c r="C51" s="20"/>
      <c r="D51" s="20"/>
      <c r="E51" s="20"/>
      <c r="F51" s="20"/>
      <c r="G51" s="20"/>
      <c r="H51" s="20"/>
      <c r="J51" s="160"/>
      <c r="K51" s="20"/>
      <c r="L51" s="20"/>
      <c r="M51" s="20"/>
      <c r="N51" s="20"/>
      <c r="O51" s="20"/>
      <c r="P51" s="20"/>
    </row>
    <row r="52" spans="1:16" ht="14">
      <c r="A52" s="160"/>
      <c r="B52" s="20"/>
      <c r="C52" s="20"/>
      <c r="D52" s="20"/>
      <c r="E52" s="20"/>
      <c r="F52" s="20"/>
      <c r="G52" s="20"/>
      <c r="H52" s="20"/>
      <c r="J52" s="160"/>
      <c r="K52" s="20"/>
      <c r="L52" s="20"/>
      <c r="M52" s="20"/>
      <c r="N52" s="20"/>
      <c r="O52" s="20"/>
      <c r="P52" s="20"/>
    </row>
    <row r="53" spans="1:16" ht="14">
      <c r="A53" s="160"/>
      <c r="B53" s="161" t="s">
        <v>131</v>
      </c>
      <c r="C53" s="161"/>
      <c r="D53" s="161"/>
      <c r="E53" s="161"/>
      <c r="F53" s="161"/>
      <c r="G53" s="161"/>
      <c r="H53" s="161"/>
      <c r="J53" s="196" t="s">
        <v>132</v>
      </c>
      <c r="K53" s="161"/>
      <c r="L53" s="161"/>
      <c r="M53" s="161"/>
      <c r="N53" s="161"/>
      <c r="O53" s="161"/>
      <c r="P53" s="161"/>
    </row>
    <row r="54" spans="1:16" ht="14">
      <c r="A54" s="160"/>
      <c r="B54" s="161" t="s">
        <v>92</v>
      </c>
      <c r="C54" s="162" t="s">
        <v>123</v>
      </c>
      <c r="D54" s="163">
        <v>45261</v>
      </c>
      <c r="E54" s="163">
        <v>44896</v>
      </c>
      <c r="F54" s="162" t="s">
        <v>124</v>
      </c>
      <c r="G54" s="162" t="s">
        <v>126</v>
      </c>
      <c r="H54" s="162" t="s">
        <v>133</v>
      </c>
      <c r="J54" s="161" t="s">
        <v>92</v>
      </c>
      <c r="K54" s="162" t="s">
        <v>123</v>
      </c>
      <c r="L54" s="163" t="s">
        <v>134</v>
      </c>
      <c r="M54" s="163" t="s">
        <v>135</v>
      </c>
      <c r="N54" s="164" t="s">
        <v>124</v>
      </c>
      <c r="O54" s="164" t="s">
        <v>126</v>
      </c>
      <c r="P54" s="164" t="s">
        <v>133</v>
      </c>
    </row>
    <row r="55" spans="1:16" ht="14">
      <c r="A55" s="160"/>
      <c r="B55" s="192">
        <v>1</v>
      </c>
      <c r="C55" s="162" t="s">
        <v>98</v>
      </c>
      <c r="D55" s="193">
        <f>L55-L72</f>
        <v>26.299999999999983</v>
      </c>
      <c r="E55" s="193">
        <f>M55-M72</f>
        <v>27</v>
      </c>
      <c r="F55" s="194">
        <f>D55/E55-1</f>
        <v>-2.5925925925926574E-2</v>
      </c>
      <c r="G55" s="194">
        <f>D55/D$66</f>
        <v>0.32429099876695405</v>
      </c>
      <c r="H55" s="195">
        <f>E55/E$66</f>
        <v>0.39301310043668131</v>
      </c>
      <c r="J55" s="161">
        <v>1</v>
      </c>
      <c r="K55" s="162" t="s">
        <v>98</v>
      </c>
      <c r="L55" s="193">
        <v>259.7</v>
      </c>
      <c r="M55" s="193">
        <v>184.4</v>
      </c>
      <c r="N55" s="167">
        <f>L55/M55-1</f>
        <v>0.40835140997830788</v>
      </c>
      <c r="O55" s="167">
        <f>L55/$L$66</f>
        <v>0.36810772501771793</v>
      </c>
      <c r="P55" s="167">
        <f>M55/$M$66</f>
        <v>0.36213668499607227</v>
      </c>
    </row>
    <row r="56" spans="1:16" ht="14">
      <c r="A56" s="160"/>
      <c r="B56" s="192">
        <v>2</v>
      </c>
      <c r="C56" s="162" t="s">
        <v>96</v>
      </c>
      <c r="D56" s="193">
        <f t="shared" ref="D56:D66" si="13">L56-L73</f>
        <v>13.100000000000009</v>
      </c>
      <c r="E56" s="193">
        <f t="shared" ref="E56:E66" si="14">M56-M73</f>
        <v>9.2000000000000028</v>
      </c>
      <c r="F56" s="194">
        <f t="shared" ref="F56:F66" si="15">D56/E56-1</f>
        <v>0.42391304347826142</v>
      </c>
      <c r="G56" s="194">
        <f t="shared" ref="G56:G66" si="16">D56/D$66</f>
        <v>0.16152897657213322</v>
      </c>
      <c r="H56" s="195">
        <f t="shared" ref="H56:H66" si="17">E56/E$66</f>
        <v>0.13391557496360995</v>
      </c>
      <c r="J56" s="161">
        <v>2</v>
      </c>
      <c r="K56" s="162" t="s">
        <v>96</v>
      </c>
      <c r="L56" s="193">
        <v>111.4</v>
      </c>
      <c r="M56" s="193">
        <v>70.5</v>
      </c>
      <c r="N56" s="167">
        <v>0.57899999999999996</v>
      </c>
      <c r="O56" s="167">
        <f t="shared" ref="O56:O66" si="18">L56/$L$66</f>
        <v>0.15790219702338767</v>
      </c>
      <c r="P56" s="167">
        <f t="shared" ref="P56:P66" si="19">M56/$M$66</f>
        <v>0.13845247446975648</v>
      </c>
    </row>
    <row r="57" spans="1:16" ht="14">
      <c r="A57" s="160"/>
      <c r="B57" s="192">
        <v>3</v>
      </c>
      <c r="C57" s="162" t="s">
        <v>101</v>
      </c>
      <c r="D57" s="193">
        <f t="shared" si="13"/>
        <v>11</v>
      </c>
      <c r="E57" s="193">
        <f t="shared" si="14"/>
        <v>11.799999999999997</v>
      </c>
      <c r="F57" s="194">
        <f t="shared" si="15"/>
        <v>-6.7796610169491345E-2</v>
      </c>
      <c r="G57" s="194">
        <f t="shared" si="16"/>
        <v>0.1356350184956843</v>
      </c>
      <c r="H57" s="195">
        <f t="shared" si="17"/>
        <v>0.1717612809315866</v>
      </c>
      <c r="J57" s="161">
        <v>3</v>
      </c>
      <c r="K57" s="162" t="s">
        <v>101</v>
      </c>
      <c r="L57" s="197">
        <v>95.8</v>
      </c>
      <c r="M57" s="197">
        <v>71.599999999999994</v>
      </c>
      <c r="N57" s="167">
        <f>L57/M57-1</f>
        <v>0.33798882681564257</v>
      </c>
      <c r="O57" s="167">
        <f t="shared" si="18"/>
        <v>0.13579021970233876</v>
      </c>
      <c r="P57" s="167">
        <f t="shared" si="19"/>
        <v>0.14061272584446188</v>
      </c>
    </row>
    <row r="58" spans="1:16" ht="14">
      <c r="A58" s="160"/>
      <c r="B58" s="192">
        <v>4</v>
      </c>
      <c r="C58" s="162" t="s">
        <v>99</v>
      </c>
      <c r="D58" s="193">
        <f t="shared" si="13"/>
        <v>4.6000000000000014</v>
      </c>
      <c r="E58" s="193">
        <f t="shared" si="14"/>
        <v>3.9000000000000021</v>
      </c>
      <c r="F58" s="194">
        <f t="shared" si="15"/>
        <v>0.17948717948717929</v>
      </c>
      <c r="G58" s="194">
        <f t="shared" si="16"/>
        <v>5.6720098643649818E-2</v>
      </c>
      <c r="H58" s="195">
        <f t="shared" si="17"/>
        <v>5.6768558951965108E-2</v>
      </c>
      <c r="J58" s="161">
        <v>4</v>
      </c>
      <c r="K58" s="162" t="s">
        <v>99</v>
      </c>
      <c r="L58" s="193">
        <v>44.9</v>
      </c>
      <c r="M58" s="193">
        <v>35.6</v>
      </c>
      <c r="N58" s="167">
        <v>0.26</v>
      </c>
      <c r="O58" s="167">
        <f t="shared" si="18"/>
        <v>6.3642806520198436E-2</v>
      </c>
      <c r="P58" s="167">
        <f t="shared" si="19"/>
        <v>6.9913589945011789E-2</v>
      </c>
    </row>
    <row r="59" spans="1:16" ht="14">
      <c r="A59" s="160"/>
      <c r="B59" s="192">
        <v>5</v>
      </c>
      <c r="C59" s="162" t="s">
        <v>107</v>
      </c>
      <c r="D59" s="193">
        <f t="shared" si="13"/>
        <v>3.5</v>
      </c>
      <c r="E59" s="193">
        <f t="shared" si="14"/>
        <v>2.8000000000000007</v>
      </c>
      <c r="F59" s="194">
        <f t="shared" si="15"/>
        <v>0.24999999999999978</v>
      </c>
      <c r="G59" s="194">
        <f t="shared" si="16"/>
        <v>4.3156596794081369E-2</v>
      </c>
      <c r="H59" s="195">
        <f t="shared" si="17"/>
        <v>4.0756914119359548E-2</v>
      </c>
      <c r="J59" s="161">
        <v>5</v>
      </c>
      <c r="K59" s="162" t="s">
        <v>107</v>
      </c>
      <c r="L59" s="193">
        <v>34.4</v>
      </c>
      <c r="M59" s="193">
        <v>30.1</v>
      </c>
      <c r="N59" s="167">
        <v>0.14399999999999999</v>
      </c>
      <c r="O59" s="167">
        <f t="shared" si="18"/>
        <v>4.8759744861800139E-2</v>
      </c>
      <c r="P59" s="167">
        <f t="shared" si="19"/>
        <v>5.9112333071484689E-2</v>
      </c>
    </row>
    <row r="60" spans="1:16" ht="14">
      <c r="A60" s="160"/>
      <c r="B60" s="192">
        <v>6</v>
      </c>
      <c r="C60" s="162" t="s">
        <v>109</v>
      </c>
      <c r="D60" s="193">
        <f t="shared" si="13"/>
        <v>4.2999999999999972</v>
      </c>
      <c r="E60" s="193">
        <f t="shared" si="14"/>
        <v>1.8000000000000007</v>
      </c>
      <c r="F60" s="194">
        <f t="shared" si="15"/>
        <v>1.3888888888888862</v>
      </c>
      <c r="G60" s="194">
        <f t="shared" si="16"/>
        <v>5.302096177558565E-2</v>
      </c>
      <c r="H60" s="195">
        <f t="shared" si="17"/>
        <v>2.6200873362445431E-2</v>
      </c>
      <c r="J60" s="161">
        <v>6</v>
      </c>
      <c r="K60" s="162" t="s">
        <v>109</v>
      </c>
      <c r="L60" s="193">
        <v>33.4</v>
      </c>
      <c r="M60" s="193">
        <v>18.5</v>
      </c>
      <c r="N60" s="167">
        <f>80.9%</f>
        <v>0.80900000000000005</v>
      </c>
      <c r="O60" s="167">
        <f t="shared" si="18"/>
        <v>4.7342310418143158E-2</v>
      </c>
      <c r="P60" s="167">
        <f t="shared" si="19"/>
        <v>3.6331500392772977E-2</v>
      </c>
    </row>
    <row r="61" spans="1:16" ht="14">
      <c r="A61" s="160"/>
      <c r="B61" s="192">
        <v>7</v>
      </c>
      <c r="C61" s="162" t="s">
        <v>105</v>
      </c>
      <c r="D61" s="193">
        <f t="shared" si="13"/>
        <v>4.4000000000000021</v>
      </c>
      <c r="E61" s="193">
        <f t="shared" si="14"/>
        <v>3.5</v>
      </c>
      <c r="F61" s="194">
        <f t="shared" si="15"/>
        <v>0.25714285714285778</v>
      </c>
      <c r="G61" s="194">
        <f t="shared" si="16"/>
        <v>5.4254007398273747E-2</v>
      </c>
      <c r="H61" s="195">
        <f t="shared" si="17"/>
        <v>5.0946142649199423E-2</v>
      </c>
      <c r="J61" s="161">
        <v>7</v>
      </c>
      <c r="K61" s="162" t="s">
        <v>105</v>
      </c>
      <c r="L61" s="193">
        <v>32.6</v>
      </c>
      <c r="M61" s="193">
        <v>23.9</v>
      </c>
      <c r="N61" s="167">
        <v>0.36099999999999999</v>
      </c>
      <c r="O61" s="167">
        <f t="shared" si="18"/>
        <v>4.6208362863217577E-2</v>
      </c>
      <c r="P61" s="167">
        <f t="shared" si="19"/>
        <v>4.6936370777690493E-2</v>
      </c>
    </row>
    <row r="62" spans="1:16" ht="14">
      <c r="A62" s="160"/>
      <c r="B62" s="192">
        <v>8</v>
      </c>
      <c r="C62" s="162" t="s">
        <v>103</v>
      </c>
      <c r="D62" s="193">
        <f t="shared" si="13"/>
        <v>2.2000000000000011</v>
      </c>
      <c r="E62" s="193">
        <f t="shared" si="14"/>
        <v>1.3000000000000007</v>
      </c>
      <c r="F62" s="194">
        <f t="shared" si="15"/>
        <v>0.69230769230769229</v>
      </c>
      <c r="G62" s="194">
        <f t="shared" si="16"/>
        <v>2.7127003699136874E-2</v>
      </c>
      <c r="H62" s="195">
        <f t="shared" si="17"/>
        <v>1.892285298398837E-2</v>
      </c>
      <c r="J62" s="161">
        <v>8</v>
      </c>
      <c r="K62" s="162" t="s">
        <v>103</v>
      </c>
      <c r="L62" s="193">
        <v>17.100000000000001</v>
      </c>
      <c r="M62" s="193">
        <v>13.9</v>
      </c>
      <c r="N62" s="167">
        <v>0.23100000000000001</v>
      </c>
      <c r="O62" s="167">
        <f t="shared" si="18"/>
        <v>2.4238128986534376E-2</v>
      </c>
      <c r="P62" s="167">
        <f t="shared" si="19"/>
        <v>2.7297721916732132E-2</v>
      </c>
    </row>
    <row r="63" spans="1:16" ht="14">
      <c r="A63" s="160"/>
      <c r="B63" s="192">
        <v>9</v>
      </c>
      <c r="C63" s="162" t="s">
        <v>116</v>
      </c>
      <c r="D63" s="193">
        <f t="shared" si="13"/>
        <v>2.7999999999999989</v>
      </c>
      <c r="E63" s="193">
        <f t="shared" si="14"/>
        <v>1.2000000000000002</v>
      </c>
      <c r="F63" s="194">
        <f t="shared" si="15"/>
        <v>1.3333333333333321</v>
      </c>
      <c r="G63" s="194">
        <f t="shared" si="16"/>
        <v>3.4525277435265081E-2</v>
      </c>
      <c r="H63" s="195">
        <f t="shared" si="17"/>
        <v>1.7467248908296949E-2</v>
      </c>
      <c r="J63" s="161">
        <v>9</v>
      </c>
      <c r="K63" s="162" t="s">
        <v>116</v>
      </c>
      <c r="L63" s="193">
        <v>16.2</v>
      </c>
      <c r="M63" s="193">
        <v>7</v>
      </c>
      <c r="N63" s="167">
        <v>1.298</v>
      </c>
      <c r="O63" s="167">
        <f t="shared" si="18"/>
        <v>2.2962437987243088E-2</v>
      </c>
      <c r="P63" s="167">
        <f t="shared" si="19"/>
        <v>1.3747054202670857E-2</v>
      </c>
    </row>
    <row r="64" spans="1:16" ht="14">
      <c r="A64" s="160"/>
      <c r="B64" s="192">
        <v>10</v>
      </c>
      <c r="C64" s="162" t="s">
        <v>114</v>
      </c>
      <c r="D64" s="193">
        <f t="shared" si="13"/>
        <v>1.5999999999999996</v>
      </c>
      <c r="E64" s="193">
        <f t="shared" si="14"/>
        <v>2.8</v>
      </c>
      <c r="F64" s="194">
        <f t="shared" si="15"/>
        <v>-0.42857142857142871</v>
      </c>
      <c r="G64" s="194">
        <f t="shared" si="16"/>
        <v>1.9728729963008621E-2</v>
      </c>
      <c r="H64" s="195">
        <f t="shared" si="17"/>
        <v>4.0756914119359541E-2</v>
      </c>
      <c r="J64" s="198">
        <v>10</v>
      </c>
      <c r="K64" s="162" t="s">
        <v>114</v>
      </c>
      <c r="L64" s="193">
        <v>10.5</v>
      </c>
      <c r="M64" s="193">
        <v>9.1</v>
      </c>
      <c r="N64" s="167">
        <v>0.15384615384615399</v>
      </c>
      <c r="O64" s="167">
        <f t="shared" si="18"/>
        <v>1.4883061658398299E-2</v>
      </c>
      <c r="P64" s="167">
        <f t="shared" si="19"/>
        <v>1.7871170463472114E-2</v>
      </c>
    </row>
    <row r="65" spans="1:16" ht="14">
      <c r="A65" s="160"/>
      <c r="B65" s="162"/>
      <c r="C65" s="162" t="s">
        <v>39</v>
      </c>
      <c r="D65" s="193">
        <f t="shared" si="13"/>
        <v>7.2999999999999972</v>
      </c>
      <c r="E65" s="193">
        <f t="shared" si="14"/>
        <v>3.1000000000000014</v>
      </c>
      <c r="F65" s="194">
        <f t="shared" si="15"/>
        <v>1.3548387096774173</v>
      </c>
      <c r="G65" s="194">
        <f t="shared" si="16"/>
        <v>9.0012330456226822E-2</v>
      </c>
      <c r="H65" s="195">
        <f t="shared" si="17"/>
        <v>4.5123726346433801E-2</v>
      </c>
      <c r="J65" s="162"/>
      <c r="K65" s="162" t="s">
        <v>39</v>
      </c>
      <c r="L65" s="193">
        <v>49.4</v>
      </c>
      <c r="M65" s="193">
        <v>44.4</v>
      </c>
      <c r="N65" s="167">
        <v>0.112612612612613</v>
      </c>
      <c r="O65" s="167">
        <f t="shared" si="18"/>
        <v>7.0021261516654859E-2</v>
      </c>
      <c r="P65" s="167">
        <f t="shared" si="19"/>
        <v>8.7195600942655146E-2</v>
      </c>
    </row>
    <row r="66" spans="1:16" ht="14">
      <c r="A66" s="160"/>
      <c r="B66" s="162" t="s">
        <v>48</v>
      </c>
      <c r="C66" s="162"/>
      <c r="D66" s="193">
        <f t="shared" si="13"/>
        <v>81.100000000000023</v>
      </c>
      <c r="E66" s="193">
        <f t="shared" si="14"/>
        <v>68.699999999999989</v>
      </c>
      <c r="F66" s="194">
        <f t="shared" si="15"/>
        <v>0.18049490538573565</v>
      </c>
      <c r="G66" s="194">
        <f t="shared" si="16"/>
        <v>1</v>
      </c>
      <c r="H66" s="195">
        <f t="shared" si="17"/>
        <v>1</v>
      </c>
      <c r="J66" s="162" t="s">
        <v>48</v>
      </c>
      <c r="K66" s="162"/>
      <c r="L66" s="193">
        <v>705.5</v>
      </c>
      <c r="M66" s="193">
        <v>509.2</v>
      </c>
      <c r="N66" s="167">
        <f>L66/M66-1</f>
        <v>0.38550667714061282</v>
      </c>
      <c r="O66" s="167">
        <f t="shared" si="18"/>
        <v>1</v>
      </c>
      <c r="P66" s="167">
        <f t="shared" si="19"/>
        <v>1</v>
      </c>
    </row>
    <row r="67" spans="1:16" ht="14">
      <c r="A67" s="160"/>
      <c r="B67" s="20"/>
      <c r="C67" s="20"/>
      <c r="D67" s="20"/>
      <c r="E67" s="20"/>
      <c r="F67" s="20"/>
      <c r="G67" s="20"/>
      <c r="H67" s="20"/>
      <c r="J67" s="160"/>
      <c r="K67" s="20"/>
      <c r="L67" s="20"/>
      <c r="M67" s="20"/>
      <c r="N67" s="20"/>
      <c r="O67" s="20"/>
      <c r="P67" s="20"/>
    </row>
    <row r="68" spans="1:16" ht="14">
      <c r="A68" s="160"/>
      <c r="B68" s="20"/>
      <c r="C68" s="20"/>
      <c r="D68" s="20"/>
      <c r="E68" s="20"/>
      <c r="F68" s="20"/>
      <c r="G68" s="20"/>
      <c r="H68" s="20"/>
      <c r="J68" s="160"/>
      <c r="K68" s="20"/>
      <c r="L68" s="20"/>
      <c r="M68" s="20"/>
      <c r="N68" s="20"/>
      <c r="O68" s="20"/>
      <c r="P68" s="20"/>
    </row>
    <row r="69" spans="1:16" ht="14">
      <c r="A69" s="160"/>
      <c r="B69" s="20"/>
      <c r="C69" s="20"/>
      <c r="D69" s="20"/>
      <c r="E69" s="20"/>
      <c r="F69" s="20"/>
      <c r="G69" s="20"/>
      <c r="H69" s="20"/>
      <c r="J69" s="160"/>
      <c r="K69" s="20"/>
      <c r="L69" s="20"/>
      <c r="M69" s="20"/>
      <c r="N69" s="20"/>
      <c r="O69" s="20"/>
      <c r="P69" s="20"/>
    </row>
    <row r="70" spans="1:16" ht="14">
      <c r="A70" s="160"/>
      <c r="B70" s="161" t="s">
        <v>136</v>
      </c>
      <c r="C70" s="161"/>
      <c r="D70" s="161"/>
      <c r="E70" s="161"/>
      <c r="F70" s="161"/>
      <c r="G70" s="161"/>
      <c r="H70" s="161"/>
      <c r="J70" s="196" t="s">
        <v>137</v>
      </c>
      <c r="K70" s="161"/>
      <c r="L70" s="161"/>
      <c r="M70" s="161"/>
      <c r="N70" s="161"/>
      <c r="O70" s="161"/>
      <c r="P70" s="161"/>
    </row>
    <row r="71" spans="1:16" ht="14">
      <c r="A71" s="160"/>
      <c r="B71" s="161" t="s">
        <v>92</v>
      </c>
      <c r="C71" s="162" t="s">
        <v>123</v>
      </c>
      <c r="D71" s="163">
        <v>45231</v>
      </c>
      <c r="E71" s="163">
        <v>44866</v>
      </c>
      <c r="F71" s="162" t="s">
        <v>124</v>
      </c>
      <c r="G71" s="162" t="s">
        <v>126</v>
      </c>
      <c r="H71" s="162" t="s">
        <v>133</v>
      </c>
      <c r="J71" s="161" t="s">
        <v>92</v>
      </c>
      <c r="K71" s="162" t="s">
        <v>123</v>
      </c>
      <c r="L71" s="163" t="s">
        <v>138</v>
      </c>
      <c r="M71" s="163" t="s">
        <v>139</v>
      </c>
      <c r="N71" s="164" t="s">
        <v>124</v>
      </c>
      <c r="O71" s="164" t="s">
        <v>126</v>
      </c>
      <c r="P71" s="164" t="s">
        <v>133</v>
      </c>
    </row>
    <row r="72" spans="1:16" ht="14">
      <c r="A72" s="160"/>
      <c r="B72" s="192">
        <v>1</v>
      </c>
      <c r="C72" s="162" t="s">
        <v>98</v>
      </c>
      <c r="D72" s="193">
        <f>L72-L89</f>
        <v>29.599999999999994</v>
      </c>
      <c r="E72" s="193">
        <f>M72-M89</f>
        <v>22.5</v>
      </c>
      <c r="F72" s="194">
        <f t="shared" ref="F72:F83" si="20">D72/E72-1</f>
        <v>0.31555555555555537</v>
      </c>
      <c r="G72" s="194">
        <f>D72/$D$83</f>
        <v>0.40997229916897537</v>
      </c>
      <c r="H72" s="195">
        <f>E72/$E$83</f>
        <v>0.39404553415061278</v>
      </c>
      <c r="J72" s="161">
        <v>1</v>
      </c>
      <c r="K72" s="162" t="s">
        <v>98</v>
      </c>
      <c r="L72" s="193">
        <v>233.4</v>
      </c>
      <c r="M72" s="193">
        <v>157.4</v>
      </c>
      <c r="N72" s="167">
        <f>L72/M72-1</f>
        <v>0.48284625158831007</v>
      </c>
      <c r="O72" s="167">
        <v>0.374</v>
      </c>
      <c r="P72" s="167">
        <v>0.35699999999999998</v>
      </c>
    </row>
    <row r="73" spans="1:16" ht="14">
      <c r="A73" s="160"/>
      <c r="B73" s="192">
        <v>2</v>
      </c>
      <c r="C73" s="162" t="s">
        <v>96</v>
      </c>
      <c r="D73" s="193">
        <f t="shared" ref="D73:D80" si="21">L73-L90</f>
        <v>10.799999999999997</v>
      </c>
      <c r="E73" s="193">
        <f t="shared" ref="E73:E80" si="22">M73-M90</f>
        <v>8.7999999999999972</v>
      </c>
      <c r="F73" s="194">
        <f t="shared" si="20"/>
        <v>0.22727272727272729</v>
      </c>
      <c r="G73" s="194">
        <f t="shared" ref="G73:G82" si="23">D73/$D$83</f>
        <v>0.14958448753462614</v>
      </c>
      <c r="H73" s="195">
        <f t="shared" ref="H73:H82" si="24">E73/$E$83</f>
        <v>0.1541155866900174</v>
      </c>
      <c r="J73" s="161">
        <v>2</v>
      </c>
      <c r="K73" s="162" t="s">
        <v>96</v>
      </c>
      <c r="L73" s="193">
        <v>98.3</v>
      </c>
      <c r="M73" s="193">
        <v>61.3</v>
      </c>
      <c r="N73" s="167">
        <f t="shared" ref="N73:N83" si="25">L73/M73-1</f>
        <v>0.60358890701468182</v>
      </c>
      <c r="O73" s="167">
        <v>0.157</v>
      </c>
      <c r="P73" s="167">
        <v>0.13900000000000001</v>
      </c>
    </row>
    <row r="74" spans="1:16" ht="14">
      <c r="A74" s="160"/>
      <c r="B74" s="192">
        <v>3</v>
      </c>
      <c r="C74" s="162" t="s">
        <v>101</v>
      </c>
      <c r="D74" s="193">
        <f t="shared" si="21"/>
        <v>8.7000000000000028</v>
      </c>
      <c r="E74" s="193">
        <f t="shared" si="22"/>
        <v>8.0999999999999943</v>
      </c>
      <c r="F74" s="194">
        <f t="shared" si="20"/>
        <v>7.4074074074075069E-2</v>
      </c>
      <c r="G74" s="194">
        <f t="shared" si="23"/>
        <v>0.12049861495844891</v>
      </c>
      <c r="H74" s="195">
        <f t="shared" si="24"/>
        <v>0.14185639229422051</v>
      </c>
      <c r="J74" s="161">
        <v>3</v>
      </c>
      <c r="K74" s="162" t="s">
        <v>101</v>
      </c>
      <c r="L74" s="197">
        <v>84.8</v>
      </c>
      <c r="M74" s="197">
        <v>59.8</v>
      </c>
      <c r="N74" s="167">
        <f t="shared" si="25"/>
        <v>0.41806020066889626</v>
      </c>
      <c r="O74" s="167">
        <f>L74/L$83</f>
        <v>0.13581037796284434</v>
      </c>
      <c r="P74" s="167">
        <v>0.13600000000000001</v>
      </c>
    </row>
    <row r="75" spans="1:16" ht="14">
      <c r="A75" s="160"/>
      <c r="B75" s="192">
        <v>4</v>
      </c>
      <c r="C75" s="162" t="s">
        <v>99</v>
      </c>
      <c r="D75" s="193">
        <f t="shared" si="21"/>
        <v>3</v>
      </c>
      <c r="E75" s="193">
        <f t="shared" si="22"/>
        <v>3.1999999999999993</v>
      </c>
      <c r="F75" s="194">
        <f t="shared" si="20"/>
        <v>-6.2499999999999778E-2</v>
      </c>
      <c r="G75" s="194">
        <f t="shared" si="23"/>
        <v>4.1551246537396162E-2</v>
      </c>
      <c r="H75" s="195">
        <f t="shared" si="24"/>
        <v>5.6042031523642698E-2</v>
      </c>
      <c r="J75" s="161">
        <v>4</v>
      </c>
      <c r="K75" s="162" t="s">
        <v>99</v>
      </c>
      <c r="L75" s="193">
        <v>40.299999999999997</v>
      </c>
      <c r="M75" s="193">
        <v>31.7</v>
      </c>
      <c r="N75" s="167">
        <f t="shared" si="25"/>
        <v>0.27129337539432163</v>
      </c>
      <c r="O75" s="167">
        <f t="shared" ref="O75:O82" si="26">L75/L$83</f>
        <v>6.4541960281870592E-2</v>
      </c>
      <c r="P75" s="167">
        <v>7.1999999999999995E-2</v>
      </c>
    </row>
    <row r="76" spans="1:16" ht="14">
      <c r="A76" s="160"/>
      <c r="B76" s="192">
        <v>5</v>
      </c>
      <c r="C76" s="162" t="s">
        <v>107</v>
      </c>
      <c r="D76" s="193">
        <f t="shared" si="21"/>
        <v>3</v>
      </c>
      <c r="E76" s="193">
        <f t="shared" si="22"/>
        <v>2.8000000000000007</v>
      </c>
      <c r="F76" s="194">
        <f t="shared" si="20"/>
        <v>7.1428571428571175E-2</v>
      </c>
      <c r="G76" s="194">
        <f t="shared" si="23"/>
        <v>4.1551246537396162E-2</v>
      </c>
      <c r="H76" s="195">
        <f t="shared" si="24"/>
        <v>4.9036777583187384E-2</v>
      </c>
      <c r="J76" s="161">
        <v>5</v>
      </c>
      <c r="K76" s="162" t="s">
        <v>107</v>
      </c>
      <c r="L76" s="193">
        <v>30.9</v>
      </c>
      <c r="M76" s="193">
        <v>27.3</v>
      </c>
      <c r="N76" s="167">
        <f t="shared" si="25"/>
        <v>0.13186813186813184</v>
      </c>
      <c r="O76" s="167">
        <v>0.05</v>
      </c>
      <c r="P76" s="167">
        <v>6.2E-2</v>
      </c>
    </row>
    <row r="77" spans="1:16" ht="14">
      <c r="A77" s="160"/>
      <c r="B77" s="192">
        <v>6</v>
      </c>
      <c r="C77" s="162" t="s">
        <v>109</v>
      </c>
      <c r="D77" s="193">
        <f t="shared" si="21"/>
        <v>3.2000000000000028</v>
      </c>
      <c r="E77" s="193">
        <f t="shared" si="22"/>
        <v>1.8999999999999986</v>
      </c>
      <c r="F77" s="194">
        <f t="shared" si="20"/>
        <v>0.68421052631579227</v>
      </c>
      <c r="G77" s="194">
        <f t="shared" si="23"/>
        <v>4.432132963988928E-2</v>
      </c>
      <c r="H77" s="195">
        <f t="shared" si="24"/>
        <v>3.3274956217162831E-2</v>
      </c>
      <c r="J77" s="161">
        <v>6</v>
      </c>
      <c r="K77" s="162" t="s">
        <v>109</v>
      </c>
      <c r="L77" s="193">
        <v>29.1</v>
      </c>
      <c r="M77" s="193">
        <v>16.7</v>
      </c>
      <c r="N77" s="167">
        <f t="shared" si="25"/>
        <v>0.74251497005988032</v>
      </c>
      <c r="O77" s="167">
        <f t="shared" si="26"/>
        <v>4.6604740550928898E-2</v>
      </c>
      <c r="P77" s="167">
        <v>3.7999999999999999E-2</v>
      </c>
    </row>
    <row r="78" spans="1:16" ht="14">
      <c r="A78" s="160"/>
      <c r="B78" s="192">
        <v>7</v>
      </c>
      <c r="C78" s="162" t="s">
        <v>105</v>
      </c>
      <c r="D78" s="193">
        <f t="shared" si="21"/>
        <v>3.0999999999999979</v>
      </c>
      <c r="E78" s="193">
        <f t="shared" si="22"/>
        <v>2.6999999999999993</v>
      </c>
      <c r="F78" s="194">
        <f t="shared" si="20"/>
        <v>0.1481481481481477</v>
      </c>
      <c r="G78" s="194">
        <f t="shared" si="23"/>
        <v>4.2936288088642673E-2</v>
      </c>
      <c r="H78" s="195">
        <f t="shared" si="24"/>
        <v>4.7285464098073521E-2</v>
      </c>
      <c r="J78" s="161">
        <v>7</v>
      </c>
      <c r="K78" s="162" t="s">
        <v>105</v>
      </c>
      <c r="L78" s="193">
        <v>28.2</v>
      </c>
      <c r="M78" s="193">
        <v>20.399999999999999</v>
      </c>
      <c r="N78" s="167">
        <f t="shared" si="25"/>
        <v>0.38235294117647056</v>
      </c>
      <c r="O78" s="167">
        <f t="shared" si="26"/>
        <v>4.5163356822549648E-2</v>
      </c>
      <c r="P78" s="167">
        <v>4.5999999999999999E-2</v>
      </c>
    </row>
    <row r="79" spans="1:16" ht="14">
      <c r="A79" s="160"/>
      <c r="B79" s="192">
        <v>8</v>
      </c>
      <c r="C79" s="162" t="s">
        <v>103</v>
      </c>
      <c r="D79" s="193">
        <f t="shared" si="21"/>
        <v>1.9000000000000004</v>
      </c>
      <c r="E79" s="193">
        <f t="shared" si="22"/>
        <v>1.4000000000000004</v>
      </c>
      <c r="F79" s="194">
        <f t="shared" si="20"/>
        <v>0.35714285714285698</v>
      </c>
      <c r="G79" s="194">
        <f t="shared" si="23"/>
        <v>2.631578947368424E-2</v>
      </c>
      <c r="H79" s="195">
        <f t="shared" si="24"/>
        <v>2.4518388791593692E-2</v>
      </c>
      <c r="J79" s="161">
        <v>8</v>
      </c>
      <c r="K79" s="162" t="s">
        <v>103</v>
      </c>
      <c r="L79" s="193">
        <v>14.9</v>
      </c>
      <c r="M79" s="193">
        <v>12.6</v>
      </c>
      <c r="N79" s="167">
        <f t="shared" si="25"/>
        <v>0.18253968253968256</v>
      </c>
      <c r="O79" s="167">
        <f t="shared" si="26"/>
        <v>2.3862908392056376E-2</v>
      </c>
      <c r="P79" s="167">
        <v>2.9000000000000001E-2</v>
      </c>
    </row>
    <row r="80" spans="1:16" ht="14">
      <c r="A80" s="160"/>
      <c r="B80" s="192">
        <v>9</v>
      </c>
      <c r="C80" s="162" t="s">
        <v>116</v>
      </c>
      <c r="D80" s="193">
        <f t="shared" si="21"/>
        <v>1.7000000000000011</v>
      </c>
      <c r="E80" s="193">
        <f t="shared" si="22"/>
        <v>0.70000000000000018</v>
      </c>
      <c r="F80" s="194">
        <f t="shared" si="20"/>
        <v>1.4285714285714293</v>
      </c>
      <c r="G80" s="194">
        <f t="shared" si="23"/>
        <v>2.3545706371191171E-2</v>
      </c>
      <c r="H80" s="195">
        <f t="shared" si="24"/>
        <v>1.2259194395796846E-2</v>
      </c>
      <c r="J80" s="161">
        <v>9</v>
      </c>
      <c r="K80" s="162" t="s">
        <v>116</v>
      </c>
      <c r="L80" s="193">
        <v>13.4</v>
      </c>
      <c r="M80" s="193">
        <v>5.8</v>
      </c>
      <c r="N80" s="167">
        <f t="shared" si="25"/>
        <v>1.3103448275862069</v>
      </c>
      <c r="O80" s="167">
        <f t="shared" si="26"/>
        <v>2.1460602178090968E-2</v>
      </c>
      <c r="P80" s="167">
        <v>1.2999999999999999E-2</v>
      </c>
    </row>
    <row r="81" spans="1:19" ht="14">
      <c r="A81" s="160"/>
      <c r="B81" s="192">
        <v>10</v>
      </c>
      <c r="C81" s="162" t="s">
        <v>108</v>
      </c>
      <c r="D81" s="193">
        <f>8.9-3.88</f>
        <v>5.0200000000000005</v>
      </c>
      <c r="E81" s="193">
        <f>M81-4.19</f>
        <v>2.1099999999999994</v>
      </c>
      <c r="F81" s="194">
        <f t="shared" si="20"/>
        <v>1.3791469194312804</v>
      </c>
      <c r="G81" s="194">
        <f t="shared" si="23"/>
        <v>6.9529085872576252E-2</v>
      </c>
      <c r="H81" s="195">
        <f t="shared" si="24"/>
        <v>3.6952714535901904E-2</v>
      </c>
      <c r="J81" s="198">
        <v>10</v>
      </c>
      <c r="K81" s="162" t="s">
        <v>108</v>
      </c>
      <c r="L81" s="193">
        <v>8.9</v>
      </c>
      <c r="M81" s="193">
        <v>6.3</v>
      </c>
      <c r="N81" s="167">
        <f t="shared" si="25"/>
        <v>0.41269841269841279</v>
      </c>
      <c r="O81" s="167">
        <f t="shared" si="26"/>
        <v>1.4253683536194748E-2</v>
      </c>
      <c r="P81" s="167">
        <v>1.4E-2</v>
      </c>
    </row>
    <row r="82" spans="1:19" ht="14">
      <c r="A82" s="160"/>
      <c r="B82" s="162"/>
      <c r="C82" s="162" t="s">
        <v>39</v>
      </c>
      <c r="D82" s="193">
        <v>2.17999999999989</v>
      </c>
      <c r="E82" s="193">
        <v>2.8900000000000099</v>
      </c>
      <c r="F82" s="194">
        <f t="shared" si="20"/>
        <v>-0.24567474048446969</v>
      </c>
      <c r="G82" s="194">
        <f t="shared" si="23"/>
        <v>3.019390581717302E-2</v>
      </c>
      <c r="H82" s="195">
        <f t="shared" si="24"/>
        <v>5.0612959719789997E-2</v>
      </c>
      <c r="J82" s="162"/>
      <c r="K82" s="162" t="s">
        <v>39</v>
      </c>
      <c r="L82" s="193">
        <v>42.1</v>
      </c>
      <c r="M82" s="193">
        <v>41.3</v>
      </c>
      <c r="N82" s="167">
        <f t="shared" si="25"/>
        <v>1.9370460048426352E-2</v>
      </c>
      <c r="O82" s="167">
        <f t="shared" si="26"/>
        <v>6.7424727738629092E-2</v>
      </c>
      <c r="P82" s="167">
        <v>9.4E-2</v>
      </c>
    </row>
    <row r="83" spans="1:19" ht="14">
      <c r="A83" s="160"/>
      <c r="B83" s="162" t="s">
        <v>48</v>
      </c>
      <c r="C83" s="162"/>
      <c r="D83" s="193">
        <f>L83-L100</f>
        <v>72.199999999999932</v>
      </c>
      <c r="E83" s="193">
        <f>M83-M100</f>
        <v>57.100000000000023</v>
      </c>
      <c r="F83" s="194">
        <f t="shared" si="20"/>
        <v>0.26444833625218744</v>
      </c>
      <c r="G83" s="194">
        <f>SUM(G72:G82)</f>
        <v>0.99999999999999956</v>
      </c>
      <c r="H83" s="195">
        <f>SUM(H72:H82)</f>
        <v>0.99999999999999956</v>
      </c>
      <c r="J83" s="162" t="s">
        <v>48</v>
      </c>
      <c r="K83" s="162"/>
      <c r="L83" s="193">
        <v>624.4</v>
      </c>
      <c r="M83" s="193">
        <v>440.5</v>
      </c>
      <c r="N83" s="167">
        <f t="shared" si="25"/>
        <v>0.4174801362088536</v>
      </c>
      <c r="O83" s="167">
        <v>1</v>
      </c>
      <c r="P83" s="167">
        <v>1</v>
      </c>
      <c r="S83" s="201"/>
    </row>
    <row r="84" spans="1:19" ht="14">
      <c r="A84" s="160"/>
      <c r="B84" s="20"/>
      <c r="C84" s="20"/>
      <c r="D84" s="20"/>
      <c r="E84" s="20"/>
      <c r="F84" s="20"/>
      <c r="G84" s="20"/>
      <c r="H84" s="20"/>
      <c r="J84" s="160"/>
      <c r="K84" s="20"/>
      <c r="L84" s="20"/>
      <c r="M84" s="20"/>
      <c r="N84" s="20"/>
      <c r="O84" s="20"/>
      <c r="P84" s="20"/>
    </row>
    <row r="85" spans="1:19" ht="14">
      <c r="A85" s="160"/>
      <c r="B85" s="20"/>
      <c r="C85" s="20"/>
      <c r="D85" s="20"/>
      <c r="E85" s="20"/>
      <c r="F85" s="20"/>
      <c r="G85" s="20"/>
      <c r="H85" s="20"/>
      <c r="J85" s="160"/>
      <c r="K85" s="20"/>
      <c r="L85" s="20"/>
      <c r="M85" s="20"/>
      <c r="N85" s="20"/>
      <c r="O85" s="20"/>
      <c r="P85" s="20"/>
    </row>
    <row r="86" spans="1:19" ht="14">
      <c r="A86" s="160"/>
      <c r="B86" s="20"/>
      <c r="C86" s="20"/>
      <c r="D86" s="20"/>
      <c r="E86" s="20"/>
      <c r="F86" s="20"/>
      <c r="G86" s="20"/>
      <c r="H86" s="20"/>
      <c r="J86" s="160"/>
      <c r="K86" s="20"/>
      <c r="L86" s="20"/>
      <c r="M86" s="20"/>
      <c r="N86" s="20"/>
      <c r="O86" s="20"/>
      <c r="P86" s="20"/>
    </row>
    <row r="87" spans="1:19" ht="14">
      <c r="A87" s="160"/>
      <c r="B87" s="161" t="s">
        <v>140</v>
      </c>
      <c r="C87" s="161"/>
      <c r="D87" s="161"/>
      <c r="E87" s="161"/>
      <c r="F87" s="161"/>
      <c r="G87" s="161"/>
      <c r="H87" s="161"/>
      <c r="J87" s="196" t="s">
        <v>141</v>
      </c>
      <c r="K87" s="161"/>
      <c r="L87" s="161"/>
      <c r="M87" s="161"/>
      <c r="N87" s="161"/>
      <c r="O87" s="161"/>
      <c r="P87" s="161"/>
    </row>
    <row r="88" spans="1:19" ht="14">
      <c r="A88" s="160"/>
      <c r="B88" s="161" t="s">
        <v>92</v>
      </c>
      <c r="C88" s="162" t="s">
        <v>123</v>
      </c>
      <c r="D88" s="163">
        <v>45200</v>
      </c>
      <c r="E88" s="163">
        <v>44835</v>
      </c>
      <c r="F88" s="162" t="s">
        <v>124</v>
      </c>
      <c r="G88" s="162" t="s">
        <v>126</v>
      </c>
      <c r="H88" s="162" t="s">
        <v>133</v>
      </c>
      <c r="J88" s="161" t="s">
        <v>92</v>
      </c>
      <c r="K88" s="162" t="s">
        <v>123</v>
      </c>
      <c r="L88" s="163" t="s">
        <v>142</v>
      </c>
      <c r="M88" s="163" t="s">
        <v>143</v>
      </c>
      <c r="N88" s="164" t="s">
        <v>124</v>
      </c>
      <c r="O88" s="164" t="s">
        <v>126</v>
      </c>
      <c r="P88" s="164" t="s">
        <v>133</v>
      </c>
    </row>
    <row r="89" spans="1:19" ht="14">
      <c r="A89" s="160"/>
      <c r="B89" s="192">
        <v>1</v>
      </c>
      <c r="C89" s="162" t="s">
        <v>98</v>
      </c>
      <c r="D89" s="193">
        <f t="shared" ref="D89:E95" si="27">L89-L106</f>
        <v>24.900000000000006</v>
      </c>
      <c r="E89" s="193">
        <f t="shared" si="27"/>
        <v>17</v>
      </c>
      <c r="F89" s="194">
        <f>D89/E89-1</f>
        <v>0.46470588235294152</v>
      </c>
      <c r="G89" s="194">
        <f>D89/$D$100</f>
        <v>0.37556561085972823</v>
      </c>
      <c r="H89" s="195">
        <f>E89/$E$100</f>
        <v>0.36324786324786362</v>
      </c>
      <c r="J89" s="161">
        <v>1</v>
      </c>
      <c r="K89" s="162" t="s">
        <v>98</v>
      </c>
      <c r="L89" s="193">
        <v>203.8</v>
      </c>
      <c r="M89" s="193">
        <v>134.9</v>
      </c>
      <c r="N89" s="167">
        <v>0.51100000000000001</v>
      </c>
      <c r="O89" s="167">
        <v>0.36906917783411802</v>
      </c>
      <c r="P89" s="167">
        <v>0.35185185185185203</v>
      </c>
    </row>
    <row r="90" spans="1:19" ht="14">
      <c r="A90" s="160"/>
      <c r="B90" s="192">
        <v>2</v>
      </c>
      <c r="C90" s="162" t="s">
        <v>96</v>
      </c>
      <c r="D90" s="193">
        <f t="shared" si="27"/>
        <v>10.900000000000006</v>
      </c>
      <c r="E90" s="193">
        <f t="shared" si="27"/>
        <v>7.7999999999999972</v>
      </c>
      <c r="F90" s="194">
        <f t="shared" ref="F90:F100" si="28">D90/E90-1</f>
        <v>0.39743589743589869</v>
      </c>
      <c r="G90" s="194">
        <f t="shared" ref="G90:G100" si="29">D90/$D$100</f>
        <v>0.16440422322775256</v>
      </c>
      <c r="H90" s="195">
        <f t="shared" ref="H90:H100" si="30">E90/$E$100</f>
        <v>0.16666666666666677</v>
      </c>
      <c r="J90" s="161">
        <v>2</v>
      </c>
      <c r="K90" s="162" t="s">
        <v>96</v>
      </c>
      <c r="L90" s="193">
        <v>87.5</v>
      </c>
      <c r="M90" s="193">
        <v>52.5</v>
      </c>
      <c r="N90" s="167">
        <v>0.66500000000000004</v>
      </c>
      <c r="O90" s="167">
        <v>0.15845708076783799</v>
      </c>
      <c r="P90" s="167">
        <v>0.13693270735524299</v>
      </c>
    </row>
    <row r="91" spans="1:19" ht="14">
      <c r="A91" s="160"/>
      <c r="B91" s="192">
        <v>3</v>
      </c>
      <c r="C91" s="162" t="s">
        <v>101</v>
      </c>
      <c r="D91" s="193">
        <f t="shared" si="27"/>
        <v>6.7999999999999972</v>
      </c>
      <c r="E91" s="193">
        <f t="shared" si="27"/>
        <v>5.2000000000000028</v>
      </c>
      <c r="F91" s="194">
        <f t="shared" si="28"/>
        <v>0.30769230769230638</v>
      </c>
      <c r="G91" s="194">
        <f t="shared" si="29"/>
        <v>0.10256410256410242</v>
      </c>
      <c r="H91" s="195">
        <f t="shared" si="30"/>
        <v>0.11111111111111129</v>
      </c>
      <c r="J91" s="161">
        <v>3</v>
      </c>
      <c r="K91" s="162" t="s">
        <v>101</v>
      </c>
      <c r="L91" s="197">
        <v>76.099999999999994</v>
      </c>
      <c r="M91" s="197">
        <v>51.7</v>
      </c>
      <c r="N91" s="167">
        <v>0.47199999999999998</v>
      </c>
      <c r="O91" s="167">
        <v>0.13781238681637101</v>
      </c>
      <c r="P91" s="167">
        <v>0.13484611371935301</v>
      </c>
    </row>
    <row r="92" spans="1:19" ht="14">
      <c r="A92" s="160"/>
      <c r="B92" s="192">
        <v>4</v>
      </c>
      <c r="C92" s="162" t="s">
        <v>99</v>
      </c>
      <c r="D92" s="193">
        <f t="shared" si="27"/>
        <v>3.5</v>
      </c>
      <c r="E92" s="193">
        <f t="shared" si="27"/>
        <v>2.8999999999999986</v>
      </c>
      <c r="F92" s="194">
        <f t="shared" si="28"/>
        <v>0.20689655172413857</v>
      </c>
      <c r="G92" s="194">
        <f t="shared" si="29"/>
        <v>5.2790346907993911E-2</v>
      </c>
      <c r="H92" s="195">
        <f t="shared" si="30"/>
        <v>6.1965811965811995E-2</v>
      </c>
      <c r="J92" s="161">
        <v>4</v>
      </c>
      <c r="K92" s="162" t="s">
        <v>99</v>
      </c>
      <c r="L92" s="193">
        <v>37.299999999999997</v>
      </c>
      <c r="M92" s="193">
        <v>28.5</v>
      </c>
      <c r="N92" s="167">
        <v>0.308</v>
      </c>
      <c r="O92" s="167">
        <v>6.7547989858746799E-2</v>
      </c>
      <c r="P92" s="167">
        <v>7.4334898278560296E-2</v>
      </c>
    </row>
    <row r="93" spans="1:19" ht="14">
      <c r="A93" s="160"/>
      <c r="B93" s="192">
        <v>5</v>
      </c>
      <c r="C93" s="162" t="s">
        <v>107</v>
      </c>
      <c r="D93" s="193">
        <f t="shared" si="27"/>
        <v>3.2999999999999972</v>
      </c>
      <c r="E93" s="193">
        <f t="shared" si="27"/>
        <v>2.8000000000000007</v>
      </c>
      <c r="F93" s="194">
        <f t="shared" si="28"/>
        <v>0.17857142857142727</v>
      </c>
      <c r="G93" s="194">
        <f t="shared" si="29"/>
        <v>4.9773755656108504E-2</v>
      </c>
      <c r="H93" s="195">
        <f t="shared" si="30"/>
        <v>5.9829059829059901E-2</v>
      </c>
      <c r="J93" s="161">
        <v>5</v>
      </c>
      <c r="K93" s="162" t="s">
        <v>107</v>
      </c>
      <c r="L93" s="193">
        <v>27.9</v>
      </c>
      <c r="M93" s="193">
        <v>24.5</v>
      </c>
      <c r="N93" s="167">
        <v>0.13800000000000001</v>
      </c>
      <c r="O93" s="167">
        <v>5.0525172039116301E-2</v>
      </c>
      <c r="P93" s="167">
        <v>6.3901930099113199E-2</v>
      </c>
    </row>
    <row r="94" spans="1:19" ht="14">
      <c r="A94" s="160"/>
      <c r="B94" s="192">
        <v>6</v>
      </c>
      <c r="C94" s="162" t="s">
        <v>109</v>
      </c>
      <c r="D94" s="193">
        <f t="shared" si="27"/>
        <v>3.3999999999999986</v>
      </c>
      <c r="E94" s="193">
        <f t="shared" si="27"/>
        <v>1.9000000000000004</v>
      </c>
      <c r="F94" s="194">
        <f t="shared" si="28"/>
        <v>0.78947368421052522</v>
      </c>
      <c r="G94" s="194">
        <f t="shared" si="29"/>
        <v>5.1282051282051211E-2</v>
      </c>
      <c r="H94" s="195">
        <f t="shared" si="30"/>
        <v>4.0598290598290648E-2</v>
      </c>
      <c r="J94" s="161">
        <v>6</v>
      </c>
      <c r="K94" s="162" t="s">
        <v>109</v>
      </c>
      <c r="L94" s="193">
        <v>25.9</v>
      </c>
      <c r="M94" s="193">
        <v>14.8</v>
      </c>
      <c r="N94" s="167">
        <v>0.749</v>
      </c>
      <c r="O94" s="167">
        <v>4.6903295907279999E-2</v>
      </c>
      <c r="P94" s="167">
        <v>3.8601982263954102E-2</v>
      </c>
    </row>
    <row r="95" spans="1:19" ht="14">
      <c r="A95" s="160"/>
      <c r="B95" s="192">
        <v>7</v>
      </c>
      <c r="C95" s="162" t="s">
        <v>105</v>
      </c>
      <c r="D95" s="193">
        <f t="shared" si="27"/>
        <v>3.4000000000000021</v>
      </c>
      <c r="E95" s="193">
        <f t="shared" si="27"/>
        <v>2.1999999999999993</v>
      </c>
      <c r="F95" s="194">
        <f t="shared" si="28"/>
        <v>0.54545454545454697</v>
      </c>
      <c r="G95" s="194">
        <f t="shared" si="29"/>
        <v>5.1282051282051259E-2</v>
      </c>
      <c r="H95" s="195">
        <f t="shared" si="30"/>
        <v>4.7008547008547036E-2</v>
      </c>
      <c r="J95" s="161">
        <v>7</v>
      </c>
      <c r="K95" s="162" t="s">
        <v>105</v>
      </c>
      <c r="L95" s="193">
        <v>25.1</v>
      </c>
      <c r="M95" s="193">
        <v>17.7</v>
      </c>
      <c r="N95" s="167">
        <v>0.42099999999999999</v>
      </c>
      <c r="O95" s="167">
        <v>4.5454545454545497E-2</v>
      </c>
      <c r="P95" s="167">
        <v>4.6165884194053201E-2</v>
      </c>
    </row>
    <row r="96" spans="1:19" ht="14">
      <c r="A96" s="160"/>
      <c r="B96" s="192">
        <v>8</v>
      </c>
      <c r="C96" s="162" t="s">
        <v>103</v>
      </c>
      <c r="D96" s="193">
        <f>L96-L114</f>
        <v>2.9000000000000004</v>
      </c>
      <c r="E96" s="193">
        <f>M96-M114</f>
        <v>6.6999999999999993</v>
      </c>
      <c r="F96" s="194">
        <f t="shared" si="28"/>
        <v>-0.56716417910447747</v>
      </c>
      <c r="G96" s="194">
        <f t="shared" si="29"/>
        <v>4.3740573152337821E-2</v>
      </c>
      <c r="H96" s="195">
        <f t="shared" si="30"/>
        <v>0.14316239316239329</v>
      </c>
      <c r="J96" s="161">
        <v>8</v>
      </c>
      <c r="K96" s="162" t="s">
        <v>103</v>
      </c>
      <c r="L96" s="193">
        <v>13</v>
      </c>
      <c r="M96" s="193">
        <v>11.2</v>
      </c>
      <c r="N96" s="167">
        <v>0.16600000000000001</v>
      </c>
      <c r="O96" s="167">
        <v>2.35421948569359E-2</v>
      </c>
      <c r="P96" s="167">
        <v>2.9212310902451698E-2</v>
      </c>
    </row>
    <row r="97" spans="1:18" ht="14">
      <c r="A97" s="160"/>
      <c r="B97" s="192">
        <v>9</v>
      </c>
      <c r="C97" s="162" t="s">
        <v>116</v>
      </c>
      <c r="D97" s="193">
        <f>L97-L113</f>
        <v>1.0999999999999996</v>
      </c>
      <c r="E97" s="193">
        <f>M97-M113</f>
        <v>-4.5999999999999996</v>
      </c>
      <c r="F97" s="194">
        <f t="shared" si="28"/>
        <v>-1.2391304347826086</v>
      </c>
      <c r="G97" s="194">
        <f t="shared" si="29"/>
        <v>1.6591251885369512E-2</v>
      </c>
      <c r="H97" s="195">
        <f t="shared" si="30"/>
        <v>-9.8290598290598372E-2</v>
      </c>
      <c r="J97" s="161">
        <v>9</v>
      </c>
      <c r="K97" s="162" t="s">
        <v>116</v>
      </c>
      <c r="L97" s="193">
        <v>11.7</v>
      </c>
      <c r="M97" s="193">
        <v>5.0999999999999996</v>
      </c>
      <c r="N97" s="167">
        <v>1.2809999999999999</v>
      </c>
      <c r="O97" s="167">
        <v>2.1187975371242299E-2</v>
      </c>
      <c r="P97" s="167">
        <v>1.3302034428795E-2</v>
      </c>
    </row>
    <row r="98" spans="1:18" ht="14">
      <c r="A98" s="160"/>
      <c r="B98" s="192">
        <v>10</v>
      </c>
      <c r="C98" s="162" t="s">
        <v>114</v>
      </c>
      <c r="D98" s="193">
        <f t="shared" ref="D98:E100" si="31">L98-L115</f>
        <v>0.90000000000000036</v>
      </c>
      <c r="E98" s="193">
        <f t="shared" si="31"/>
        <v>0.70000000000000018</v>
      </c>
      <c r="F98" s="194">
        <f t="shared" si="28"/>
        <v>0.28571428571428581</v>
      </c>
      <c r="G98" s="194">
        <f t="shared" si="29"/>
        <v>1.3574660633484155E-2</v>
      </c>
      <c r="H98" s="195">
        <f t="shared" si="30"/>
        <v>1.4957264957264975E-2</v>
      </c>
      <c r="J98" s="198">
        <v>10</v>
      </c>
      <c r="K98" s="162" t="s">
        <v>114</v>
      </c>
      <c r="L98" s="193">
        <v>7.7</v>
      </c>
      <c r="M98" s="193">
        <v>6.9</v>
      </c>
      <c r="N98" s="167">
        <v>0.115</v>
      </c>
      <c r="O98" s="167">
        <v>1.39442231075697E-2</v>
      </c>
      <c r="P98" s="167">
        <v>1.79968701095462E-2</v>
      </c>
      <c r="R98" s="202"/>
    </row>
    <row r="99" spans="1:18" ht="14">
      <c r="A99" s="160"/>
      <c r="B99" s="162"/>
      <c r="C99" s="162" t="s">
        <v>39</v>
      </c>
      <c r="D99" s="193">
        <f t="shared" si="31"/>
        <v>5.2000000000000028</v>
      </c>
      <c r="E99" s="193">
        <f t="shared" si="31"/>
        <v>3.8999999999999986</v>
      </c>
      <c r="F99" s="194">
        <f t="shared" si="28"/>
        <v>0.33333333333333459</v>
      </c>
      <c r="G99" s="194">
        <f t="shared" si="29"/>
        <v>7.8431372549019565E-2</v>
      </c>
      <c r="H99" s="195">
        <f t="shared" si="30"/>
        <v>8.3333333333333384E-2</v>
      </c>
      <c r="J99" s="162"/>
      <c r="K99" s="162" t="s">
        <v>39</v>
      </c>
      <c r="L99" s="193">
        <v>36.200000000000003</v>
      </c>
      <c r="M99" s="193">
        <v>35.5</v>
      </c>
      <c r="N99" s="167">
        <v>1.7999999999999999E-2</v>
      </c>
      <c r="O99" s="167">
        <v>6.5555957986236896E-2</v>
      </c>
      <c r="P99" s="167">
        <v>9.2592592592592601E-2</v>
      </c>
    </row>
    <row r="100" spans="1:18" ht="14">
      <c r="A100" s="160"/>
      <c r="B100" s="162" t="s">
        <v>48</v>
      </c>
      <c r="C100" s="162"/>
      <c r="D100" s="193">
        <f t="shared" si="31"/>
        <v>66.300000000000068</v>
      </c>
      <c r="E100" s="193">
        <f t="shared" si="31"/>
        <v>46.799999999999955</v>
      </c>
      <c r="F100" s="194">
        <f t="shared" si="28"/>
        <v>0.41666666666666941</v>
      </c>
      <c r="G100" s="194">
        <f t="shared" si="29"/>
        <v>1</v>
      </c>
      <c r="H100" s="195">
        <f t="shared" si="30"/>
        <v>1</v>
      </c>
      <c r="J100" s="162" t="s">
        <v>48</v>
      </c>
      <c r="K100" s="162"/>
      <c r="L100" s="193">
        <v>552.20000000000005</v>
      </c>
      <c r="M100" s="193">
        <v>383.4</v>
      </c>
      <c r="N100" s="167">
        <v>0.44400000000000001</v>
      </c>
      <c r="O100" s="167">
        <v>1</v>
      </c>
      <c r="P100" s="167">
        <v>1</v>
      </c>
    </row>
    <row r="101" spans="1:18" ht="14">
      <c r="A101" s="160"/>
    </row>
    <row r="102" spans="1:18" ht="14">
      <c r="A102" s="160"/>
    </row>
    <row r="103" spans="1:18" ht="14">
      <c r="A103" s="160"/>
    </row>
    <row r="104" spans="1:18" ht="14">
      <c r="A104" s="160"/>
      <c r="B104" s="161" t="s">
        <v>144</v>
      </c>
      <c r="C104" s="161"/>
      <c r="D104" s="161"/>
      <c r="E104" s="161"/>
      <c r="F104" s="161"/>
      <c r="G104" s="161"/>
      <c r="H104" s="161"/>
      <c r="J104" s="196" t="s">
        <v>145</v>
      </c>
      <c r="K104" s="161"/>
      <c r="L104" s="161"/>
      <c r="M104" s="161"/>
      <c r="N104" s="161"/>
      <c r="O104" s="161"/>
      <c r="P104" s="161"/>
    </row>
    <row r="105" spans="1:18" ht="14">
      <c r="A105" s="160"/>
      <c r="B105" s="161" t="s">
        <v>92</v>
      </c>
      <c r="C105" s="162" t="s">
        <v>123</v>
      </c>
      <c r="D105" s="163">
        <v>45170</v>
      </c>
      <c r="E105" s="163">
        <v>44805</v>
      </c>
      <c r="F105" s="162" t="s">
        <v>124</v>
      </c>
      <c r="G105" s="162" t="s">
        <v>126</v>
      </c>
      <c r="H105" s="162" t="s">
        <v>133</v>
      </c>
      <c r="J105" s="161" t="s">
        <v>92</v>
      </c>
      <c r="K105" s="162" t="s">
        <v>123</v>
      </c>
      <c r="L105" s="163" t="s">
        <v>146</v>
      </c>
      <c r="M105" s="163" t="s">
        <v>147</v>
      </c>
      <c r="N105" s="164" t="s">
        <v>124</v>
      </c>
      <c r="O105" s="164" t="s">
        <v>126</v>
      </c>
      <c r="P105" s="164" t="s">
        <v>133</v>
      </c>
    </row>
    <row r="106" spans="1:18" ht="14">
      <c r="A106" s="160"/>
      <c r="B106" s="192">
        <v>1</v>
      </c>
      <c r="C106" s="162" t="s">
        <v>98</v>
      </c>
      <c r="D106" s="193">
        <f>L106-L123</f>
        <v>20.599999999999994</v>
      </c>
      <c r="E106" s="200">
        <f>M106-M123</f>
        <v>15.400000000000006</v>
      </c>
      <c r="F106" s="194">
        <f>D106/E106-1</f>
        <v>0.33766233766233689</v>
      </c>
      <c r="G106" s="194">
        <f>D106/$D$117</f>
        <v>0.36203866432337439</v>
      </c>
      <c r="H106" s="195">
        <f>E106/$E$117</f>
        <v>0.31752577319587638</v>
      </c>
      <c r="J106" s="161">
        <v>1</v>
      </c>
      <c r="K106" s="162" t="s">
        <v>98</v>
      </c>
      <c r="L106" s="193">
        <v>178.9</v>
      </c>
      <c r="M106" s="193">
        <v>117.9</v>
      </c>
      <c r="N106" s="167">
        <v>0.52100000000000002</v>
      </c>
      <c r="O106" s="167">
        <v>0.36799999999999999</v>
      </c>
      <c r="P106" s="167">
        <v>0.35</v>
      </c>
    </row>
    <row r="107" spans="1:18" ht="14">
      <c r="A107" s="160"/>
      <c r="B107" s="192">
        <v>2</v>
      </c>
      <c r="C107" s="162" t="s">
        <v>96</v>
      </c>
      <c r="D107" s="193">
        <f>L108-L125</f>
        <v>8.3999999999999986</v>
      </c>
      <c r="E107" s="200">
        <f>M108-M125</f>
        <v>8.1000000000000014</v>
      </c>
      <c r="F107" s="194">
        <v>0.37037037037037002</v>
      </c>
      <c r="G107" s="194">
        <f t="shared" ref="G107:G117" si="32">D107/$D$117</f>
        <v>0.14762741652021094</v>
      </c>
      <c r="H107" s="195">
        <f t="shared" ref="H107:H117" si="33">E107/$E$117</f>
        <v>0.16701030927835053</v>
      </c>
      <c r="J107" s="161">
        <v>2</v>
      </c>
      <c r="K107" s="162" t="s">
        <v>96</v>
      </c>
      <c r="L107" s="193">
        <v>76.599999999999994</v>
      </c>
      <c r="M107" s="193">
        <v>44.7</v>
      </c>
      <c r="N107" s="167">
        <v>0.71399999999999997</v>
      </c>
      <c r="O107" s="167">
        <v>0.158</v>
      </c>
      <c r="P107" s="167">
        <v>0.13300000000000001</v>
      </c>
    </row>
    <row r="108" spans="1:18" ht="14">
      <c r="A108" s="160"/>
      <c r="B108" s="192">
        <v>3</v>
      </c>
      <c r="C108" s="162" t="s">
        <v>101</v>
      </c>
      <c r="D108" s="193">
        <f>L107-L124</f>
        <v>8.5</v>
      </c>
      <c r="E108" s="200">
        <f>M107-M124</f>
        <v>8.3000000000000043</v>
      </c>
      <c r="F108" s="194">
        <v>0.84615384615384504</v>
      </c>
      <c r="G108" s="194">
        <f t="shared" si="32"/>
        <v>0.14938488576449918</v>
      </c>
      <c r="H108" s="195">
        <f t="shared" si="33"/>
        <v>0.17113402061855679</v>
      </c>
      <c r="J108" s="161">
        <v>3</v>
      </c>
      <c r="K108" s="162" t="s">
        <v>101</v>
      </c>
      <c r="L108" s="197">
        <v>69.3</v>
      </c>
      <c r="M108" s="197">
        <v>46.5</v>
      </c>
      <c r="N108" s="167">
        <v>0.49099999999999999</v>
      </c>
      <c r="O108" s="167">
        <v>0.14299999999999999</v>
      </c>
      <c r="P108" s="167">
        <v>0.13800000000000001</v>
      </c>
    </row>
    <row r="109" spans="1:18" ht="14">
      <c r="A109" s="160"/>
      <c r="B109" s="192">
        <v>4</v>
      </c>
      <c r="C109" s="162" t="s">
        <v>99</v>
      </c>
      <c r="D109" s="193">
        <f t="shared" ref="D109:D110" si="34">L109-L126</f>
        <v>3.1999999999999957</v>
      </c>
      <c r="E109" s="200">
        <f t="shared" ref="E109:E110" si="35">M109-M126</f>
        <v>3.3000000000000007</v>
      </c>
      <c r="F109" s="194">
        <f t="shared" ref="F109:F117" si="36">D109/E109-1</f>
        <v>-3.030303030303183E-2</v>
      </c>
      <c r="G109" s="194">
        <f t="shared" si="32"/>
        <v>5.6239015817223147E-2</v>
      </c>
      <c r="H109" s="195">
        <f t="shared" si="33"/>
        <v>6.804123711340207E-2</v>
      </c>
      <c r="J109" s="161">
        <v>4</v>
      </c>
      <c r="K109" s="162" t="s">
        <v>99</v>
      </c>
      <c r="L109" s="193">
        <v>33.799999999999997</v>
      </c>
      <c r="M109" s="193">
        <v>25.6</v>
      </c>
      <c r="N109" s="167">
        <v>0.32300000000000001</v>
      </c>
      <c r="O109" s="167">
        <v>7.0000000000000007E-2</v>
      </c>
      <c r="P109" s="167">
        <v>7.5999999999999998E-2</v>
      </c>
    </row>
    <row r="110" spans="1:18" ht="14">
      <c r="A110" s="160"/>
      <c r="B110" s="192">
        <v>5</v>
      </c>
      <c r="C110" s="162" t="s">
        <v>107</v>
      </c>
      <c r="D110" s="193">
        <f t="shared" si="34"/>
        <v>2.9000000000000021</v>
      </c>
      <c r="E110" s="200">
        <f t="shared" si="35"/>
        <v>3.0999999999999979</v>
      </c>
      <c r="F110" s="194">
        <f t="shared" si="36"/>
        <v>-6.4516129032256786E-2</v>
      </c>
      <c r="G110" s="194">
        <f t="shared" si="32"/>
        <v>5.0966608084358579E-2</v>
      </c>
      <c r="H110" s="195">
        <f t="shared" si="33"/>
        <v>6.391752577319583E-2</v>
      </c>
      <c r="J110" s="161">
        <v>5</v>
      </c>
      <c r="K110" s="162" t="s">
        <v>107</v>
      </c>
      <c r="L110" s="193">
        <v>24.6</v>
      </c>
      <c r="M110" s="193">
        <v>21.7</v>
      </c>
      <c r="N110" s="167">
        <v>0.13200000000000001</v>
      </c>
      <c r="O110" s="167">
        <v>5.0999999999999997E-2</v>
      </c>
      <c r="P110" s="167">
        <v>6.5000000000000002E-2</v>
      </c>
    </row>
    <row r="111" spans="1:18" ht="14">
      <c r="A111" s="160"/>
      <c r="B111" s="192">
        <v>6</v>
      </c>
      <c r="C111" s="162" t="s">
        <v>105</v>
      </c>
      <c r="D111" s="193">
        <f>L112-L129</f>
        <v>4.0999999999999979</v>
      </c>
      <c r="E111" s="200">
        <f>M112-M129</f>
        <v>2.1999999999999993</v>
      </c>
      <c r="F111" s="194">
        <f t="shared" si="36"/>
        <v>0.86363636363636331</v>
      </c>
      <c r="G111" s="194">
        <f t="shared" si="32"/>
        <v>7.2056239015817217E-2</v>
      </c>
      <c r="H111" s="195">
        <f t="shared" si="33"/>
        <v>4.5360824742268026E-2</v>
      </c>
      <c r="J111" s="161">
        <v>6</v>
      </c>
      <c r="K111" s="162" t="s">
        <v>109</v>
      </c>
      <c r="L111" s="193">
        <v>22.5</v>
      </c>
      <c r="M111" s="193">
        <v>12.9</v>
      </c>
      <c r="N111" s="167">
        <v>0.74</v>
      </c>
      <c r="O111" s="167">
        <v>4.5999999999999999E-2</v>
      </c>
      <c r="P111" s="167">
        <v>3.7999999999999999E-2</v>
      </c>
    </row>
    <row r="112" spans="1:18" ht="14">
      <c r="A112" s="160"/>
      <c r="B112" s="192">
        <v>7</v>
      </c>
      <c r="C112" s="162" t="s">
        <v>109</v>
      </c>
      <c r="D112" s="193">
        <f>L111-L128</f>
        <v>2.5</v>
      </c>
      <c r="E112" s="200">
        <f>M111-M128</f>
        <v>1</v>
      </c>
      <c r="F112" s="194">
        <f t="shared" si="36"/>
        <v>1.5</v>
      </c>
      <c r="G112" s="194">
        <f t="shared" si="32"/>
        <v>4.393673110720564E-2</v>
      </c>
      <c r="H112" s="195">
        <f t="shared" si="33"/>
        <v>2.0618556701030927E-2</v>
      </c>
      <c r="J112" s="161">
        <v>7</v>
      </c>
      <c r="K112" s="162" t="s">
        <v>105</v>
      </c>
      <c r="L112" s="193">
        <v>21.7</v>
      </c>
      <c r="M112" s="193">
        <v>15.5</v>
      </c>
      <c r="N112" s="167">
        <v>0.40200000000000002</v>
      </c>
      <c r="O112" s="167">
        <v>4.4999999999999998E-2</v>
      </c>
      <c r="P112" s="167">
        <v>4.5999999999999999E-2</v>
      </c>
    </row>
    <row r="113" spans="1:16" ht="14">
      <c r="A113" s="160"/>
      <c r="B113" s="192">
        <v>8</v>
      </c>
      <c r="C113" s="162" t="s">
        <v>116</v>
      </c>
      <c r="D113" s="193">
        <f t="shared" ref="D113:D117" si="37">L113-L130</f>
        <v>1.4000000000000004</v>
      </c>
      <c r="E113" s="200">
        <f t="shared" ref="E113:E117" si="38">M113-M130</f>
        <v>5.8999999999999995</v>
      </c>
      <c r="F113" s="194">
        <f t="shared" si="36"/>
        <v>-0.76271186440677963</v>
      </c>
      <c r="G113" s="194">
        <f t="shared" si="32"/>
        <v>2.4604569420035166E-2</v>
      </c>
      <c r="H113" s="195">
        <f t="shared" si="33"/>
        <v>0.12164948453608246</v>
      </c>
      <c r="J113" s="161">
        <v>8</v>
      </c>
      <c r="K113" s="162" t="s">
        <v>116</v>
      </c>
      <c r="L113" s="193">
        <v>10.6</v>
      </c>
      <c r="M113" s="193">
        <v>9.6999999999999993</v>
      </c>
      <c r="N113" s="167">
        <v>9.1999999999999998E-2</v>
      </c>
      <c r="O113" s="167">
        <v>2.1999999999999999E-2</v>
      </c>
      <c r="P113" s="167">
        <v>2.9000000000000001E-2</v>
      </c>
    </row>
    <row r="114" spans="1:16" ht="14">
      <c r="A114" s="160"/>
      <c r="B114" s="192">
        <v>9</v>
      </c>
      <c r="C114" s="162" t="s">
        <v>103</v>
      </c>
      <c r="D114" s="193">
        <f t="shared" si="37"/>
        <v>1</v>
      </c>
      <c r="E114" s="200">
        <f t="shared" si="38"/>
        <v>-3.9000000000000004</v>
      </c>
      <c r="F114" s="194">
        <f t="shared" si="36"/>
        <v>-1.2564102564102564</v>
      </c>
      <c r="G114" s="194">
        <f t="shared" si="32"/>
        <v>1.7574692442882258E-2</v>
      </c>
      <c r="H114" s="195">
        <f t="shared" si="33"/>
        <v>-8.0412371134020624E-2</v>
      </c>
      <c r="J114" s="161">
        <v>9</v>
      </c>
      <c r="K114" s="162" t="s">
        <v>103</v>
      </c>
      <c r="L114" s="193">
        <v>10.1</v>
      </c>
      <c r="M114" s="193">
        <v>4.5</v>
      </c>
      <c r="N114" s="167">
        <v>1.24</v>
      </c>
      <c r="O114" s="167">
        <v>2.1000000000000001E-2</v>
      </c>
      <c r="P114" s="167">
        <v>1.2999999999999999E-2</v>
      </c>
    </row>
    <row r="115" spans="1:16" ht="14">
      <c r="A115" s="160"/>
      <c r="B115" s="192">
        <v>10</v>
      </c>
      <c r="C115" s="162" t="s">
        <v>114</v>
      </c>
      <c r="D115" s="193">
        <f t="shared" si="37"/>
        <v>0.59999999999999964</v>
      </c>
      <c r="E115" s="200">
        <f t="shared" si="38"/>
        <v>1.5</v>
      </c>
      <c r="F115" s="194">
        <f t="shared" si="36"/>
        <v>-0.60000000000000031</v>
      </c>
      <c r="G115" s="194">
        <f t="shared" si="32"/>
        <v>1.0544815465729348E-2</v>
      </c>
      <c r="H115" s="195">
        <f t="shared" si="33"/>
        <v>3.0927835051546393E-2</v>
      </c>
      <c r="J115" s="198">
        <v>10</v>
      </c>
      <c r="K115" s="162" t="s">
        <v>114</v>
      </c>
      <c r="L115" s="193">
        <v>6.8</v>
      </c>
      <c r="M115" s="193">
        <v>6.2</v>
      </c>
      <c r="N115" s="167">
        <v>9.4E-2</v>
      </c>
      <c r="O115" s="167">
        <v>1.4E-2</v>
      </c>
      <c r="P115" s="167">
        <v>1.9E-2</v>
      </c>
    </row>
    <row r="116" spans="1:16" ht="14">
      <c r="A116" s="160"/>
      <c r="B116" s="162"/>
      <c r="C116" s="162" t="s">
        <v>39</v>
      </c>
      <c r="D116" s="193">
        <f t="shared" si="37"/>
        <v>3.6999999999999993</v>
      </c>
      <c r="E116" s="200">
        <f t="shared" si="38"/>
        <v>3.8000000000000007</v>
      </c>
      <c r="F116" s="194">
        <f t="shared" si="36"/>
        <v>-2.6315789473684625E-2</v>
      </c>
      <c r="G116" s="194">
        <f t="shared" si="32"/>
        <v>6.502636203866434E-2</v>
      </c>
      <c r="H116" s="195">
        <f t="shared" si="33"/>
        <v>7.8350515463917539E-2</v>
      </c>
      <c r="J116" s="162"/>
      <c r="K116" s="162" t="s">
        <v>39</v>
      </c>
      <c r="L116" s="193">
        <v>31</v>
      </c>
      <c r="M116" s="193">
        <v>31.6</v>
      </c>
      <c r="N116" s="167">
        <v>-2.1000000000000001E-2</v>
      </c>
      <c r="O116" s="167">
        <v>6.4000000000000001E-2</v>
      </c>
      <c r="P116" s="167">
        <v>9.4E-2</v>
      </c>
    </row>
    <row r="117" spans="1:16" ht="14">
      <c r="A117" s="160"/>
      <c r="B117" s="162" t="s">
        <v>48</v>
      </c>
      <c r="C117" s="162"/>
      <c r="D117" s="193">
        <f t="shared" si="37"/>
        <v>56.899999999999977</v>
      </c>
      <c r="E117" s="200">
        <f t="shared" si="38"/>
        <v>48.5</v>
      </c>
      <c r="F117" s="194">
        <f t="shared" si="36"/>
        <v>0.1731958762886594</v>
      </c>
      <c r="G117" s="194">
        <f t="shared" si="32"/>
        <v>1</v>
      </c>
      <c r="H117" s="195">
        <f t="shared" si="33"/>
        <v>1</v>
      </c>
      <c r="J117" s="162" t="s">
        <v>48</v>
      </c>
      <c r="K117" s="162"/>
      <c r="L117" s="193">
        <v>485.9</v>
      </c>
      <c r="M117" s="193">
        <v>336.6</v>
      </c>
      <c r="N117" s="167">
        <v>0.44400000000000001</v>
      </c>
      <c r="O117" s="167">
        <v>1</v>
      </c>
      <c r="P117" s="167">
        <v>1</v>
      </c>
    </row>
    <row r="118" spans="1:16" ht="14">
      <c r="A118" s="160"/>
    </row>
    <row r="119" spans="1:16" ht="14">
      <c r="A119" s="160"/>
      <c r="B119" s="20"/>
      <c r="C119" s="20"/>
      <c r="D119" s="20"/>
      <c r="E119" s="20"/>
      <c r="F119" s="20"/>
      <c r="G119" s="20"/>
      <c r="H119" s="20"/>
      <c r="J119" s="160"/>
      <c r="K119" s="20"/>
      <c r="L119" s="20"/>
      <c r="M119" s="20"/>
      <c r="N119" s="20"/>
      <c r="O119" s="20"/>
      <c r="P119" s="20"/>
    </row>
    <row r="120" spans="1:16" ht="14">
      <c r="A120" s="160"/>
    </row>
    <row r="121" spans="1:16" ht="14">
      <c r="A121" s="160"/>
      <c r="B121" s="161" t="s">
        <v>148</v>
      </c>
      <c r="C121" s="161"/>
      <c r="D121" s="161"/>
      <c r="E121" s="161"/>
      <c r="F121" s="161"/>
      <c r="G121" s="161"/>
      <c r="H121" s="161"/>
      <c r="J121" s="196" t="s">
        <v>149</v>
      </c>
      <c r="K121" s="161"/>
      <c r="L121" s="161"/>
      <c r="M121" s="161"/>
      <c r="N121" s="161"/>
      <c r="O121" s="161"/>
      <c r="P121" s="161"/>
    </row>
    <row r="122" spans="1:16" ht="14">
      <c r="A122" s="160"/>
      <c r="B122" s="161" t="s">
        <v>92</v>
      </c>
      <c r="C122" s="162" t="s">
        <v>123</v>
      </c>
      <c r="D122" s="163">
        <v>45139</v>
      </c>
      <c r="E122" s="163">
        <v>44774</v>
      </c>
      <c r="F122" s="162" t="s">
        <v>124</v>
      </c>
      <c r="G122" s="162" t="s">
        <v>126</v>
      </c>
      <c r="H122" s="162" t="s">
        <v>133</v>
      </c>
      <c r="J122" s="161" t="s">
        <v>92</v>
      </c>
      <c r="K122" s="162" t="s">
        <v>123</v>
      </c>
      <c r="L122" s="163" t="s">
        <v>150</v>
      </c>
      <c r="M122" s="163" t="s">
        <v>151</v>
      </c>
      <c r="N122" s="164" t="s">
        <v>124</v>
      </c>
      <c r="O122" s="164" t="s">
        <v>126</v>
      </c>
      <c r="P122" s="164" t="s">
        <v>133</v>
      </c>
    </row>
    <row r="123" spans="1:16" ht="14">
      <c r="A123" s="160"/>
      <c r="B123" s="192">
        <v>1</v>
      </c>
      <c r="C123" s="162" t="s">
        <v>98</v>
      </c>
      <c r="D123" s="193">
        <v>25.4</v>
      </c>
      <c r="E123" s="200">
        <v>16.399999999999999</v>
      </c>
      <c r="F123" s="194">
        <v>0.54878048780487798</v>
      </c>
      <c r="G123" s="194">
        <f>D123/$D$134</f>
        <v>0.38426626323751895</v>
      </c>
      <c r="H123" s="195">
        <f>E123/$E$134</f>
        <v>0.36525612472160357</v>
      </c>
      <c r="J123" s="161">
        <v>1</v>
      </c>
      <c r="K123" s="162" t="s">
        <v>98</v>
      </c>
      <c r="L123" s="193">
        <v>158.30000000000001</v>
      </c>
      <c r="M123" s="193">
        <v>102.5</v>
      </c>
      <c r="N123" s="167">
        <v>0.54400000000000004</v>
      </c>
      <c r="O123" s="167">
        <f>L123/L134</f>
        <v>0.368997668997669</v>
      </c>
      <c r="P123" s="167">
        <v>0.35599999999999998</v>
      </c>
    </row>
    <row r="124" spans="1:16" ht="14">
      <c r="A124" s="160"/>
      <c r="B124" s="192">
        <v>2</v>
      </c>
      <c r="C124" s="162" t="s">
        <v>96</v>
      </c>
      <c r="D124" s="193">
        <v>10</v>
      </c>
      <c r="E124" s="200">
        <v>6.5</v>
      </c>
      <c r="F124" s="194">
        <v>0.53800000000000003</v>
      </c>
      <c r="G124" s="194">
        <f t="shared" ref="G124:G134" si="39">D124/$D$134</f>
        <v>0.15128593040847202</v>
      </c>
      <c r="H124" s="195">
        <f t="shared" ref="H124:H134" si="40">E124/$E$134</f>
        <v>0.1447661469933185</v>
      </c>
      <c r="J124" s="161">
        <v>2</v>
      </c>
      <c r="K124" s="162" t="s">
        <v>96</v>
      </c>
      <c r="L124" s="193">
        <v>68.099999999999994</v>
      </c>
      <c r="M124" s="193">
        <v>36.4</v>
      </c>
      <c r="N124" s="167">
        <v>0.871</v>
      </c>
      <c r="O124" s="167">
        <v>0.159</v>
      </c>
      <c r="P124" s="167">
        <v>0.126</v>
      </c>
    </row>
    <row r="125" spans="1:16" ht="14">
      <c r="A125" s="160"/>
      <c r="B125" s="192">
        <v>3</v>
      </c>
      <c r="C125" s="162" t="s">
        <v>101</v>
      </c>
      <c r="D125" s="193">
        <v>9.5</v>
      </c>
      <c r="E125" s="200">
        <v>4.8</v>
      </c>
      <c r="F125" s="194">
        <v>0.97899999999999998</v>
      </c>
      <c r="G125" s="194">
        <f t="shared" si="39"/>
        <v>0.14372163388804843</v>
      </c>
      <c r="H125" s="195">
        <f t="shared" si="40"/>
        <v>0.10690423162583519</v>
      </c>
      <c r="J125" s="161">
        <v>3</v>
      </c>
      <c r="K125" s="162" t="s">
        <v>101</v>
      </c>
      <c r="L125" s="197">
        <v>60.9</v>
      </c>
      <c r="M125" s="197">
        <v>38.4</v>
      </c>
      <c r="N125" s="167">
        <v>0.58499999999999996</v>
      </c>
      <c r="O125" s="167">
        <v>0.14199999999999999</v>
      </c>
      <c r="P125" s="167">
        <v>0.13300000000000001</v>
      </c>
    </row>
    <row r="126" spans="1:16" ht="14">
      <c r="A126" s="160"/>
      <c r="B126" s="192">
        <v>4</v>
      </c>
      <c r="C126" s="162" t="s">
        <v>99</v>
      </c>
      <c r="D126" s="193">
        <v>4</v>
      </c>
      <c r="E126" s="200">
        <v>3.1</v>
      </c>
      <c r="F126" s="194">
        <v>0.29032258064516098</v>
      </c>
      <c r="G126" s="194">
        <f t="shared" si="39"/>
        <v>6.0514372163388813E-2</v>
      </c>
      <c r="H126" s="195">
        <f t="shared" si="40"/>
        <v>6.9042316258351902E-2</v>
      </c>
      <c r="J126" s="161">
        <v>4</v>
      </c>
      <c r="K126" s="162" t="s">
        <v>99</v>
      </c>
      <c r="L126" s="193">
        <v>30.6</v>
      </c>
      <c r="M126" s="193">
        <v>22.3</v>
      </c>
      <c r="N126" s="167">
        <v>0.373</v>
      </c>
      <c r="O126" s="167">
        <v>7.0999999999999994E-2</v>
      </c>
      <c r="P126" s="167">
        <v>7.6999999999999999E-2</v>
      </c>
    </row>
    <row r="127" spans="1:16" ht="14">
      <c r="A127" s="160"/>
      <c r="B127" s="192">
        <v>5</v>
      </c>
      <c r="C127" s="162" t="s">
        <v>107</v>
      </c>
      <c r="D127" s="193">
        <v>2.7</v>
      </c>
      <c r="E127" s="200">
        <v>2.2999999999999998</v>
      </c>
      <c r="F127" s="194">
        <v>0.17391304347826</v>
      </c>
      <c r="G127" s="194">
        <f t="shared" si="39"/>
        <v>4.0847201210287447E-2</v>
      </c>
      <c r="H127" s="195">
        <f t="shared" si="40"/>
        <v>5.1224944320712694E-2</v>
      </c>
      <c r="J127" s="161">
        <v>5</v>
      </c>
      <c r="K127" s="162" t="s">
        <v>107</v>
      </c>
      <c r="L127" s="193">
        <v>21.7</v>
      </c>
      <c r="M127" s="193">
        <v>18.600000000000001</v>
      </c>
      <c r="N127" s="167">
        <v>0.16500000000000001</v>
      </c>
      <c r="O127" s="167">
        <v>5.0999999999999997E-2</v>
      </c>
      <c r="P127" s="167">
        <v>5.0999999999999997E-2</v>
      </c>
    </row>
    <row r="128" spans="1:16" ht="14">
      <c r="A128" s="160"/>
      <c r="B128" s="192">
        <v>6</v>
      </c>
      <c r="C128" s="162" t="s">
        <v>105</v>
      </c>
      <c r="D128" s="193">
        <v>2.6</v>
      </c>
      <c r="E128" s="200">
        <v>1.9</v>
      </c>
      <c r="F128" s="194">
        <v>0.36842105263157898</v>
      </c>
      <c r="G128" s="194">
        <f t="shared" si="39"/>
        <v>3.9334341906202726E-2</v>
      </c>
      <c r="H128" s="195">
        <f t="shared" si="40"/>
        <v>4.2316258351893093E-2</v>
      </c>
      <c r="J128" s="161">
        <v>6</v>
      </c>
      <c r="K128" s="162" t="s">
        <v>109</v>
      </c>
      <c r="L128" s="193">
        <v>20</v>
      </c>
      <c r="M128" s="193">
        <v>11.9</v>
      </c>
      <c r="N128" s="167">
        <v>0.69</v>
      </c>
      <c r="O128" s="167">
        <v>4.7E-2</v>
      </c>
      <c r="P128" s="167">
        <v>4.7E-2</v>
      </c>
    </row>
    <row r="129" spans="1:16" ht="14">
      <c r="A129" s="160"/>
      <c r="B129" s="192">
        <v>7</v>
      </c>
      <c r="C129" s="162" t="s">
        <v>109</v>
      </c>
      <c r="D129" s="193">
        <v>3.6</v>
      </c>
      <c r="E129" s="200">
        <v>2</v>
      </c>
      <c r="F129" s="194">
        <v>0.80000000000000104</v>
      </c>
      <c r="G129" s="194">
        <f t="shared" si="39"/>
        <v>5.4462934947049929E-2</v>
      </c>
      <c r="H129" s="195">
        <f t="shared" si="40"/>
        <v>4.4543429844097995E-2</v>
      </c>
      <c r="J129" s="161">
        <v>7</v>
      </c>
      <c r="K129" s="162" t="s">
        <v>105</v>
      </c>
      <c r="L129" s="193">
        <v>17.600000000000001</v>
      </c>
      <c r="M129" s="193">
        <v>13.3</v>
      </c>
      <c r="N129" s="167">
        <v>0.32400000000000001</v>
      </c>
      <c r="O129" s="167">
        <v>4.1000000000000002E-2</v>
      </c>
      <c r="P129" s="167">
        <v>4.1000000000000002E-2</v>
      </c>
    </row>
    <row r="130" spans="1:16" ht="14">
      <c r="A130" s="160"/>
      <c r="B130" s="192">
        <v>8</v>
      </c>
      <c r="C130" s="162" t="s">
        <v>116</v>
      </c>
      <c r="D130" s="193">
        <v>1.2</v>
      </c>
      <c r="E130" s="200">
        <v>0.6</v>
      </c>
      <c r="F130" s="194">
        <v>1</v>
      </c>
      <c r="G130" s="194">
        <f t="shared" si="39"/>
        <v>1.8154311649016642E-2</v>
      </c>
      <c r="H130" s="195">
        <f t="shared" si="40"/>
        <v>1.3363028953229399E-2</v>
      </c>
      <c r="J130" s="161">
        <v>8</v>
      </c>
      <c r="K130" s="162" t="s">
        <v>116</v>
      </c>
      <c r="L130" s="193">
        <v>9.1999999999999993</v>
      </c>
      <c r="M130" s="193">
        <v>3.8</v>
      </c>
      <c r="N130" s="167">
        <v>1.4279999999999999</v>
      </c>
      <c r="O130" s="167">
        <v>2.1000000000000001E-2</v>
      </c>
      <c r="P130" s="167">
        <v>2.1000000000000001E-2</v>
      </c>
    </row>
    <row r="131" spans="1:16" ht="14">
      <c r="A131" s="160"/>
      <c r="B131" s="192">
        <v>9</v>
      </c>
      <c r="C131" s="162" t="s">
        <v>103</v>
      </c>
      <c r="D131" s="193">
        <v>1.3</v>
      </c>
      <c r="E131" s="200">
        <v>1.4</v>
      </c>
      <c r="F131" s="194">
        <v>-7.1428571428571799E-2</v>
      </c>
      <c r="G131" s="194">
        <f t="shared" si="39"/>
        <v>1.9667170953101363E-2</v>
      </c>
      <c r="H131" s="195">
        <f t="shared" si="40"/>
        <v>3.1180400890868595E-2</v>
      </c>
      <c r="J131" s="161">
        <v>9</v>
      </c>
      <c r="K131" s="162" t="s">
        <v>103</v>
      </c>
      <c r="L131" s="193">
        <v>9.1</v>
      </c>
      <c r="M131" s="193">
        <v>8.4</v>
      </c>
      <c r="N131" s="167">
        <v>7.6999999999999999E-2</v>
      </c>
      <c r="O131" s="167">
        <v>2.1000000000000001E-2</v>
      </c>
      <c r="P131" s="167">
        <v>2.1000000000000001E-2</v>
      </c>
    </row>
    <row r="132" spans="1:16" ht="14">
      <c r="A132" s="160"/>
      <c r="B132" s="192">
        <v>10</v>
      </c>
      <c r="C132" s="162" t="s">
        <v>114</v>
      </c>
      <c r="D132" s="193">
        <v>0.8</v>
      </c>
      <c r="E132" s="200">
        <v>0.8</v>
      </c>
      <c r="F132" s="194">
        <v>0</v>
      </c>
      <c r="G132" s="194">
        <f t="shared" si="39"/>
        <v>1.2102874432677763E-2</v>
      </c>
      <c r="H132" s="195">
        <f t="shared" si="40"/>
        <v>1.7817371937639201E-2</v>
      </c>
      <c r="J132" s="198">
        <v>10</v>
      </c>
      <c r="K132" s="162" t="s">
        <v>114</v>
      </c>
      <c r="L132" s="193">
        <v>6.2</v>
      </c>
      <c r="M132" s="193">
        <v>4.7</v>
      </c>
      <c r="N132" s="167">
        <v>0.30399999999999999</v>
      </c>
      <c r="O132" s="167">
        <v>1.4E-2</v>
      </c>
      <c r="P132" s="167">
        <v>1.4E-2</v>
      </c>
    </row>
    <row r="133" spans="1:16" ht="14">
      <c r="A133" s="160"/>
      <c r="B133" s="162"/>
      <c r="C133" s="162" t="s">
        <v>39</v>
      </c>
      <c r="D133" s="193">
        <v>4.9000000000000004</v>
      </c>
      <c r="E133" s="200">
        <v>5.0999999999999996</v>
      </c>
      <c r="F133" s="194">
        <v>-3.9215686274509699E-2</v>
      </c>
      <c r="G133" s="194">
        <f t="shared" si="39"/>
        <v>7.4130105900151302E-2</v>
      </c>
      <c r="H133" s="195">
        <f t="shared" si="40"/>
        <v>0.11358574610244988</v>
      </c>
      <c r="J133" s="162"/>
      <c r="K133" s="162" t="s">
        <v>39</v>
      </c>
      <c r="L133" s="193">
        <v>27.3</v>
      </c>
      <c r="M133" s="193">
        <v>27.8</v>
      </c>
      <c r="N133" s="167">
        <v>-1.6E-2</v>
      </c>
      <c r="O133" s="167">
        <v>6.4000000000000001E-2</v>
      </c>
      <c r="P133" s="167">
        <v>6.4000000000000001E-2</v>
      </c>
    </row>
    <row r="134" spans="1:16" ht="14">
      <c r="A134" s="160"/>
      <c r="B134" s="162" t="s">
        <v>48</v>
      </c>
      <c r="C134" s="162"/>
      <c r="D134" s="193">
        <v>66.099999999999994</v>
      </c>
      <c r="E134" s="200">
        <v>44.9</v>
      </c>
      <c r="F134" s="194">
        <v>0.47216035634743803</v>
      </c>
      <c r="G134" s="194">
        <f t="shared" si="39"/>
        <v>1</v>
      </c>
      <c r="H134" s="195">
        <f t="shared" si="40"/>
        <v>1</v>
      </c>
      <c r="J134" s="162" t="s">
        <v>48</v>
      </c>
      <c r="K134" s="162"/>
      <c r="L134" s="193">
        <v>429</v>
      </c>
      <c r="M134" s="193">
        <v>288.10000000000002</v>
      </c>
      <c r="N134" s="167">
        <v>0.48899999999999999</v>
      </c>
      <c r="O134" s="167">
        <v>1</v>
      </c>
      <c r="P134" s="167">
        <v>1</v>
      </c>
    </row>
    <row r="135" spans="1:16" ht="14">
      <c r="A135" s="160"/>
    </row>
    <row r="136" spans="1:16" ht="14">
      <c r="A136" s="160"/>
    </row>
    <row r="137" spans="1:16" ht="14">
      <c r="A137" s="160"/>
      <c r="B137" s="20"/>
      <c r="C137" s="20"/>
      <c r="D137" s="20"/>
      <c r="E137" s="20"/>
      <c r="F137" s="20"/>
      <c r="G137" s="20"/>
      <c r="H137" s="20"/>
      <c r="J137" s="160"/>
      <c r="K137" s="20"/>
      <c r="L137" s="20"/>
      <c r="M137" s="20"/>
      <c r="N137" s="20"/>
      <c r="O137" s="20"/>
      <c r="P137" s="20"/>
    </row>
    <row r="138" spans="1:16" ht="14">
      <c r="A138" s="160"/>
      <c r="B138" s="161" t="s">
        <v>152</v>
      </c>
      <c r="C138" s="161"/>
      <c r="D138" s="161"/>
      <c r="E138" s="161"/>
      <c r="F138" s="161"/>
      <c r="G138" s="161"/>
      <c r="H138" s="161"/>
      <c r="J138" s="196" t="s">
        <v>153</v>
      </c>
      <c r="K138" s="161"/>
      <c r="L138" s="161"/>
      <c r="M138" s="161"/>
      <c r="N138" s="161"/>
      <c r="O138" s="161"/>
      <c r="P138" s="161"/>
    </row>
    <row r="139" spans="1:16" ht="14">
      <c r="A139" s="160"/>
      <c r="B139" s="161" t="s">
        <v>92</v>
      </c>
      <c r="C139" s="162" t="s">
        <v>123</v>
      </c>
      <c r="D139" s="163">
        <v>45108</v>
      </c>
      <c r="E139" s="163">
        <v>44743</v>
      </c>
      <c r="F139" s="162" t="s">
        <v>124</v>
      </c>
      <c r="G139" s="162" t="s">
        <v>126</v>
      </c>
      <c r="H139" s="162" t="s">
        <v>133</v>
      </c>
      <c r="J139" s="161" t="s">
        <v>92</v>
      </c>
      <c r="K139" s="162" t="s">
        <v>123</v>
      </c>
      <c r="L139" s="163" t="s">
        <v>154</v>
      </c>
      <c r="M139" s="163" t="s">
        <v>155</v>
      </c>
      <c r="N139" s="164" t="s">
        <v>124</v>
      </c>
      <c r="O139" s="164" t="s">
        <v>126</v>
      </c>
      <c r="P139" s="164" t="s">
        <v>133</v>
      </c>
    </row>
    <row r="140" spans="1:16" ht="14">
      <c r="A140" s="160"/>
      <c r="B140" s="161">
        <v>1</v>
      </c>
      <c r="C140" s="162" t="s">
        <v>98</v>
      </c>
      <c r="D140" s="193">
        <f>L140-L157</f>
        <v>20.900000000000006</v>
      </c>
      <c r="E140" s="200">
        <f>M140-M157</f>
        <v>14.399999999999991</v>
      </c>
      <c r="F140" s="194">
        <f t="shared" ref="F140:F151" si="41">D140/E140-1</f>
        <v>0.45138888888889017</v>
      </c>
      <c r="G140" s="194">
        <f>D140/$D$151</f>
        <v>0.35665529010238939</v>
      </c>
      <c r="H140" s="195">
        <f>E140/$E$151</f>
        <v>0.35643564356435642</v>
      </c>
      <c r="J140" s="161">
        <v>1</v>
      </c>
      <c r="K140" s="162" t="s">
        <v>98</v>
      </c>
      <c r="L140" s="193">
        <v>132.9</v>
      </c>
      <c r="M140" s="205">
        <v>86.1</v>
      </c>
      <c r="N140" s="167">
        <v>0.54300000000000004</v>
      </c>
      <c r="O140" s="167">
        <f>L140/L151</f>
        <v>0.36621658859189865</v>
      </c>
      <c r="P140" s="167">
        <v>0.35399999999999998</v>
      </c>
    </row>
    <row r="141" spans="1:16" ht="14">
      <c r="A141" s="160"/>
      <c r="B141" s="161">
        <v>2</v>
      </c>
      <c r="C141" s="162" t="s">
        <v>101</v>
      </c>
      <c r="D141" s="193">
        <f>L142-L159</f>
        <v>7.2999999999999972</v>
      </c>
      <c r="E141" s="200">
        <f>M142-M159</f>
        <v>4.3000000000000007</v>
      </c>
      <c r="F141" s="194">
        <v>0.37037037037037002</v>
      </c>
      <c r="G141" s="194">
        <f t="shared" ref="G141:G151" si="42">D141/$D$151</f>
        <v>0.12457337883959047</v>
      </c>
      <c r="H141" s="195">
        <f t="shared" ref="H141:H151" si="43">E141/$E$151</f>
        <v>0.10643564356435652</v>
      </c>
      <c r="J141" s="161">
        <v>2</v>
      </c>
      <c r="K141" s="162" t="s">
        <v>96</v>
      </c>
      <c r="L141" s="193">
        <v>58.1</v>
      </c>
      <c r="M141" s="205">
        <v>29.9</v>
      </c>
      <c r="N141" s="167">
        <v>0.94099999999999995</v>
      </c>
      <c r="O141" s="167">
        <v>0.16</v>
      </c>
      <c r="P141" s="167">
        <v>0.123</v>
      </c>
    </row>
    <row r="142" spans="1:16" ht="14">
      <c r="A142" s="160"/>
      <c r="B142" s="161">
        <v>3</v>
      </c>
      <c r="C142" s="162" t="s">
        <v>96</v>
      </c>
      <c r="D142" s="193">
        <f>L141-L158</f>
        <v>10.399999999999999</v>
      </c>
      <c r="E142" s="200">
        <f>M141-M158</f>
        <v>6.2999999999999972</v>
      </c>
      <c r="F142" s="194">
        <v>0.84615384615384504</v>
      </c>
      <c r="G142" s="194">
        <f t="shared" si="42"/>
        <v>0.17747440273037551</v>
      </c>
      <c r="H142" s="195">
        <f t="shared" si="43"/>
        <v>0.15594059405940597</v>
      </c>
      <c r="J142" s="161">
        <v>3</v>
      </c>
      <c r="K142" s="162" t="s">
        <v>101</v>
      </c>
      <c r="L142" s="197">
        <v>51.4</v>
      </c>
      <c r="M142" s="205">
        <v>33.6</v>
      </c>
      <c r="N142" s="167">
        <v>0.53200000000000003</v>
      </c>
      <c r="O142" s="167">
        <v>0.14199999999999999</v>
      </c>
      <c r="P142" s="167">
        <v>0.13800000000000001</v>
      </c>
    </row>
    <row r="143" spans="1:16" ht="14">
      <c r="A143" s="160"/>
      <c r="B143" s="161">
        <v>4</v>
      </c>
      <c r="C143" s="162" t="s">
        <v>99</v>
      </c>
      <c r="D143" s="193">
        <f>L143-L160</f>
        <v>3.8000000000000007</v>
      </c>
      <c r="E143" s="200">
        <f>M143-M160</f>
        <v>2.8000000000000007</v>
      </c>
      <c r="F143" s="194">
        <f t="shared" si="41"/>
        <v>0.35714285714285698</v>
      </c>
      <c r="G143" s="194">
        <f t="shared" si="42"/>
        <v>6.4846416382252609E-2</v>
      </c>
      <c r="H143" s="195">
        <f t="shared" si="43"/>
        <v>6.9306930693069368E-2</v>
      </c>
      <c r="J143" s="161">
        <v>4</v>
      </c>
      <c r="K143" s="162" t="s">
        <v>99</v>
      </c>
      <c r="L143" s="193">
        <v>26.6</v>
      </c>
      <c r="M143" s="205">
        <v>19.2</v>
      </c>
      <c r="N143" s="167">
        <v>0.38200000000000001</v>
      </c>
      <c r="O143" s="167">
        <v>7.2999999999999995E-2</v>
      </c>
      <c r="P143" s="167">
        <v>7.9000000000000001E-2</v>
      </c>
    </row>
    <row r="144" spans="1:16" ht="14">
      <c r="A144" s="160"/>
      <c r="B144" s="161">
        <v>5</v>
      </c>
      <c r="C144" s="162" t="s">
        <v>107</v>
      </c>
      <c r="D144" s="193">
        <f>L144-L161</f>
        <v>3.0999999999999996</v>
      </c>
      <c r="E144" s="200">
        <f>M144-M161</f>
        <v>2.6000000000000014</v>
      </c>
      <c r="F144" s="194">
        <f t="shared" si="41"/>
        <v>0.19230769230769162</v>
      </c>
      <c r="G144" s="194">
        <f t="shared" si="42"/>
        <v>5.2901023890785007E-2</v>
      </c>
      <c r="H144" s="195">
        <f t="shared" si="43"/>
        <v>6.4356435643564427E-2</v>
      </c>
      <c r="J144" s="161">
        <v>5</v>
      </c>
      <c r="K144" s="162" t="s">
        <v>107</v>
      </c>
      <c r="L144" s="193">
        <v>19</v>
      </c>
      <c r="M144" s="205">
        <v>16.3</v>
      </c>
      <c r="N144" s="167">
        <v>0.16300000000000001</v>
      </c>
      <c r="O144" s="167">
        <v>5.1999999999999998E-2</v>
      </c>
      <c r="P144" s="167">
        <v>6.7000000000000004E-2</v>
      </c>
    </row>
    <row r="145" spans="1:16" ht="14">
      <c r="A145" s="160"/>
      <c r="B145" s="161">
        <v>6</v>
      </c>
      <c r="C145" s="162" t="s">
        <v>105</v>
      </c>
      <c r="D145" s="193">
        <f>L146-L163</f>
        <v>2.4000000000000004</v>
      </c>
      <c r="E145" s="200">
        <f>M146-M163</f>
        <v>1.5999999999999996</v>
      </c>
      <c r="F145" s="194">
        <f t="shared" si="41"/>
        <v>0.50000000000000067</v>
      </c>
      <c r="G145" s="194">
        <f t="shared" si="42"/>
        <v>4.095563139931744E-2</v>
      </c>
      <c r="H145" s="195">
        <f t="shared" si="43"/>
        <v>3.9603960396039618E-2</v>
      </c>
      <c r="J145" s="161">
        <v>6</v>
      </c>
      <c r="K145" s="162" t="s">
        <v>109</v>
      </c>
      <c r="L145" s="193">
        <v>16.399999999999999</v>
      </c>
      <c r="M145" s="205">
        <v>9.9</v>
      </c>
      <c r="N145" s="167">
        <v>0.65400000000000003</v>
      </c>
      <c r="O145" s="167">
        <v>4.4999999999999998E-2</v>
      </c>
      <c r="P145" s="167">
        <v>4.1000000000000002E-2</v>
      </c>
    </row>
    <row r="146" spans="1:16" ht="14">
      <c r="A146" s="160"/>
      <c r="B146" s="161">
        <v>7</v>
      </c>
      <c r="C146" s="162" t="s">
        <v>109</v>
      </c>
      <c r="D146" s="193">
        <f>L145-L162</f>
        <v>3.3999999999999986</v>
      </c>
      <c r="E146" s="200">
        <f>M145-M162</f>
        <v>1.7000000000000011</v>
      </c>
      <c r="F146" s="194">
        <f t="shared" si="41"/>
        <v>0.999999999999998</v>
      </c>
      <c r="G146" s="194">
        <f t="shared" si="42"/>
        <v>5.8020477815699668E-2</v>
      </c>
      <c r="H146" s="195">
        <f t="shared" si="43"/>
        <v>4.207920792079213E-2</v>
      </c>
      <c r="J146" s="161">
        <v>7</v>
      </c>
      <c r="K146" s="162" t="s">
        <v>105</v>
      </c>
      <c r="L146" s="193">
        <v>15</v>
      </c>
      <c r="M146" s="205">
        <v>11.4</v>
      </c>
      <c r="N146" s="167">
        <v>0.32</v>
      </c>
      <c r="O146" s="167">
        <v>4.1000000000000002E-2</v>
      </c>
      <c r="P146" s="167">
        <v>4.7E-2</v>
      </c>
    </row>
    <row r="147" spans="1:16" ht="14">
      <c r="A147" s="160"/>
      <c r="B147" s="161">
        <v>8</v>
      </c>
      <c r="C147" s="162" t="s">
        <v>116</v>
      </c>
      <c r="D147" s="193">
        <f t="shared" ref="D147:E149" si="44">L147-L164</f>
        <v>1.4000000000000004</v>
      </c>
      <c r="E147" s="200">
        <f t="shared" si="44"/>
        <v>0.60000000000000009</v>
      </c>
      <c r="F147" s="194">
        <f t="shared" si="41"/>
        <v>1.3333333333333335</v>
      </c>
      <c r="G147" s="194">
        <f t="shared" si="42"/>
        <v>2.3890784982935172E-2</v>
      </c>
      <c r="H147" s="195">
        <f t="shared" si="43"/>
        <v>1.4851485148514861E-2</v>
      </c>
      <c r="J147" s="161">
        <v>8</v>
      </c>
      <c r="K147" s="162" t="s">
        <v>116</v>
      </c>
      <c r="L147" s="193">
        <v>8</v>
      </c>
      <c r="M147" s="205">
        <v>3.2</v>
      </c>
      <c r="N147" s="167">
        <v>1.5089999999999999</v>
      </c>
      <c r="O147" s="167">
        <v>2.1999999999999999E-2</v>
      </c>
      <c r="P147" s="167">
        <v>1.2999999999999999E-2</v>
      </c>
    </row>
    <row r="148" spans="1:16" ht="14">
      <c r="A148" s="160"/>
      <c r="B148" s="161">
        <v>9</v>
      </c>
      <c r="C148" s="162" t="s">
        <v>103</v>
      </c>
      <c r="D148" s="193">
        <f t="shared" si="44"/>
        <v>1.2999999999999998</v>
      </c>
      <c r="E148" s="200">
        <f t="shared" si="44"/>
        <v>1.5</v>
      </c>
      <c r="F148" s="194">
        <f t="shared" si="41"/>
        <v>-0.13333333333333341</v>
      </c>
      <c r="G148" s="194">
        <f t="shared" si="42"/>
        <v>2.2184300341296939E-2</v>
      </c>
      <c r="H148" s="195">
        <f t="shared" si="43"/>
        <v>3.7128712871287148E-2</v>
      </c>
      <c r="J148" s="161">
        <v>9</v>
      </c>
      <c r="K148" s="162" t="s">
        <v>103</v>
      </c>
      <c r="L148" s="193">
        <v>7.8</v>
      </c>
      <c r="M148" s="205">
        <v>7</v>
      </c>
      <c r="N148" s="167">
        <v>0.106</v>
      </c>
      <c r="O148" s="167">
        <v>2.1000000000000001E-2</v>
      </c>
      <c r="P148" s="167">
        <v>2.9000000000000001E-2</v>
      </c>
    </row>
    <row r="149" spans="1:16" ht="14">
      <c r="A149" s="160"/>
      <c r="B149" s="161">
        <v>10</v>
      </c>
      <c r="C149" s="162" t="s">
        <v>114</v>
      </c>
      <c r="D149" s="193">
        <f t="shared" si="44"/>
        <v>0.80000000000000071</v>
      </c>
      <c r="E149" s="200">
        <f t="shared" si="44"/>
        <v>0.69999999999999973</v>
      </c>
      <c r="F149" s="194">
        <f t="shared" si="41"/>
        <v>0.14285714285714435</v>
      </c>
      <c r="G149" s="194">
        <f t="shared" si="42"/>
        <v>1.3651877133105821E-2</v>
      </c>
      <c r="H149" s="195">
        <f t="shared" si="43"/>
        <v>1.7326732673267328E-2</v>
      </c>
      <c r="J149" s="198">
        <v>10</v>
      </c>
      <c r="K149" s="162" t="s">
        <v>114</v>
      </c>
      <c r="L149" s="193">
        <v>5.4</v>
      </c>
      <c r="M149" s="205">
        <v>3.9</v>
      </c>
      <c r="N149" s="167">
        <v>0.374</v>
      </c>
      <c r="O149" s="167">
        <v>1.4999999999999999E-2</v>
      </c>
      <c r="P149" s="167">
        <v>1.6E-2</v>
      </c>
    </row>
    <row r="150" spans="1:16" ht="14">
      <c r="A150" s="160"/>
      <c r="B150" s="162"/>
      <c r="C150" s="162" t="s">
        <v>39</v>
      </c>
      <c r="D150" s="193">
        <f>L150-L167</f>
        <v>4.0999999999999979</v>
      </c>
      <c r="E150" s="200">
        <f t="shared" ref="E150:E151" si="45">M150-M167</f>
        <v>4.0999999999999979</v>
      </c>
      <c r="F150" s="194">
        <f t="shared" si="41"/>
        <v>0</v>
      </c>
      <c r="G150" s="194">
        <f t="shared" si="42"/>
        <v>6.9965870307167236E-2</v>
      </c>
      <c r="H150" s="195">
        <f t="shared" si="43"/>
        <v>0.10148514851485149</v>
      </c>
      <c r="J150" s="162"/>
      <c r="K150" s="162" t="s">
        <v>39</v>
      </c>
      <c r="L150" s="193">
        <v>22.4</v>
      </c>
      <c r="M150" s="205">
        <v>22.7</v>
      </c>
      <c r="N150" s="167">
        <v>-1.0999999999999999E-2</v>
      </c>
      <c r="O150" s="167">
        <v>6.2E-2</v>
      </c>
      <c r="P150" s="167">
        <v>9.2999999999999999E-2</v>
      </c>
    </row>
    <row r="151" spans="1:16" ht="14">
      <c r="A151" s="160"/>
      <c r="B151" s="22" t="s">
        <v>48</v>
      </c>
      <c r="C151" s="22"/>
      <c r="D151" s="193">
        <f>L151-L168</f>
        <v>58.599999999999966</v>
      </c>
      <c r="E151" s="200">
        <f t="shared" si="45"/>
        <v>40.399999999999977</v>
      </c>
      <c r="F151" s="194">
        <f t="shared" si="41"/>
        <v>0.45049504950495045</v>
      </c>
      <c r="G151" s="194">
        <f t="shared" si="42"/>
        <v>1</v>
      </c>
      <c r="H151" s="195">
        <f t="shared" si="43"/>
        <v>1</v>
      </c>
      <c r="J151" s="162" t="s">
        <v>48</v>
      </c>
      <c r="K151" s="162"/>
      <c r="L151" s="193">
        <v>362.9</v>
      </c>
      <c r="M151" s="193">
        <v>243.2</v>
      </c>
      <c r="N151" s="167">
        <v>0.49199999999999999</v>
      </c>
      <c r="O151" s="167">
        <v>1</v>
      </c>
      <c r="P151" s="167">
        <v>1</v>
      </c>
    </row>
    <row r="152" spans="1:16" ht="14">
      <c r="A152" s="160"/>
    </row>
    <row r="153" spans="1:16" ht="14">
      <c r="A153" s="160"/>
    </row>
    <row r="154" spans="1:16" ht="14">
      <c r="A154" s="160"/>
    </row>
    <row r="155" spans="1:16" ht="14">
      <c r="A155" s="160"/>
      <c r="B155" s="161" t="s">
        <v>156</v>
      </c>
      <c r="C155" s="161"/>
      <c r="D155" s="161"/>
      <c r="E155" s="161"/>
      <c r="F155" s="161"/>
      <c r="G155" s="161"/>
      <c r="H155" s="161"/>
      <c r="J155" s="196" t="s">
        <v>157</v>
      </c>
      <c r="K155" s="161"/>
      <c r="L155" s="161"/>
      <c r="M155" s="161"/>
      <c r="N155" s="161"/>
      <c r="O155" s="161"/>
      <c r="P155" s="161"/>
    </row>
    <row r="156" spans="1:16" ht="14">
      <c r="A156" s="160"/>
      <c r="B156" s="161" t="s">
        <v>92</v>
      </c>
      <c r="C156" s="162" t="s">
        <v>123</v>
      </c>
      <c r="D156" s="163">
        <v>45078</v>
      </c>
      <c r="E156" s="163">
        <v>44713</v>
      </c>
      <c r="F156" s="162" t="s">
        <v>124</v>
      </c>
      <c r="G156" s="162" t="s">
        <v>126</v>
      </c>
      <c r="H156" s="162" t="s">
        <v>133</v>
      </c>
      <c r="J156" s="161" t="s">
        <v>92</v>
      </c>
      <c r="K156" s="162" t="s">
        <v>123</v>
      </c>
      <c r="L156" s="163" t="s">
        <v>158</v>
      </c>
      <c r="M156" s="163" t="s">
        <v>159</v>
      </c>
      <c r="N156" s="164" t="s">
        <v>124</v>
      </c>
      <c r="O156" s="164" t="s">
        <v>126</v>
      </c>
      <c r="P156" s="164" t="s">
        <v>133</v>
      </c>
    </row>
    <row r="157" spans="1:16" ht="14">
      <c r="A157" s="160"/>
      <c r="B157" s="161">
        <v>1</v>
      </c>
      <c r="C157" s="162" t="s">
        <v>98</v>
      </c>
      <c r="D157" s="193">
        <f>L157-L174</f>
        <v>25.799999999999997</v>
      </c>
      <c r="E157" s="200">
        <f>M157-M174</f>
        <v>17.700000000000003</v>
      </c>
      <c r="F157" s="194">
        <f>D157/E157-1</f>
        <v>0.45762711864406747</v>
      </c>
      <c r="G157" s="194">
        <f>D157/$D$168</f>
        <v>0.38680659670164902</v>
      </c>
      <c r="H157" s="195">
        <f>E157/$E$168</f>
        <v>0.37982832618025764</v>
      </c>
      <c r="J157" s="161">
        <v>1</v>
      </c>
      <c r="K157" s="162" t="s">
        <v>98</v>
      </c>
      <c r="L157" s="193">
        <v>112</v>
      </c>
      <c r="M157" s="205">
        <v>71.7</v>
      </c>
      <c r="N157" s="167">
        <v>0.56200000000000006</v>
      </c>
      <c r="O157" s="167">
        <v>0.36799999999999999</v>
      </c>
      <c r="P157" s="167">
        <v>0.35399999999999998</v>
      </c>
    </row>
    <row r="158" spans="1:16" ht="14">
      <c r="A158" s="160"/>
      <c r="B158" s="161">
        <v>2</v>
      </c>
      <c r="C158" s="162" t="s">
        <v>101</v>
      </c>
      <c r="D158" s="193">
        <v>11.1</v>
      </c>
      <c r="E158" s="200">
        <v>8.1</v>
      </c>
      <c r="F158" s="194">
        <v>0.37037037037037002</v>
      </c>
      <c r="G158" s="194">
        <v>0.16641679160419801</v>
      </c>
      <c r="H158" s="195">
        <v>0.17381974248927001</v>
      </c>
      <c r="J158" s="161">
        <v>2</v>
      </c>
      <c r="K158" s="162" t="s">
        <v>96</v>
      </c>
      <c r="L158" s="193">
        <v>47.7</v>
      </c>
      <c r="M158" s="205">
        <v>23.6</v>
      </c>
      <c r="N158" s="167">
        <v>1.024</v>
      </c>
      <c r="O158" s="167">
        <v>0.157</v>
      </c>
      <c r="P158" s="167">
        <v>0.11600000000000001</v>
      </c>
    </row>
    <row r="159" spans="1:16" ht="14">
      <c r="A159" s="160"/>
      <c r="B159" s="161">
        <v>3</v>
      </c>
      <c r="C159" s="162" t="s">
        <v>96</v>
      </c>
      <c r="D159" s="193">
        <v>9.6</v>
      </c>
      <c r="E159" s="200">
        <v>5.2</v>
      </c>
      <c r="F159" s="194">
        <v>0.84615384615384504</v>
      </c>
      <c r="G159" s="194">
        <v>0.14392803598200901</v>
      </c>
      <c r="H159" s="195">
        <v>0.111587982832618</v>
      </c>
      <c r="J159" s="161">
        <v>3</v>
      </c>
      <c r="K159" s="162" t="s">
        <v>101</v>
      </c>
      <c r="L159" s="197">
        <v>44.1</v>
      </c>
      <c r="M159" s="205">
        <v>29.3</v>
      </c>
      <c r="N159" s="167">
        <v>0.503</v>
      </c>
      <c r="O159" s="167">
        <v>0.14499999999999999</v>
      </c>
      <c r="P159" s="167">
        <v>0.14499999999999999</v>
      </c>
    </row>
    <row r="160" spans="1:16" ht="14">
      <c r="A160" s="160"/>
      <c r="B160" s="161">
        <v>4</v>
      </c>
      <c r="C160" s="162" t="s">
        <v>99</v>
      </c>
      <c r="D160" s="193">
        <f>L160-L177</f>
        <v>3.6999999999999993</v>
      </c>
      <c r="E160" s="200">
        <f>M160-M177</f>
        <v>2.4999999999999982</v>
      </c>
      <c r="F160" s="194">
        <f t="shared" ref="F160:F168" si="46">D160/E160-1</f>
        <v>0.48000000000000087</v>
      </c>
      <c r="G160" s="194">
        <f t="shared" ref="G160:G168" si="47">D160/$D$168</f>
        <v>5.5472263868065939E-2</v>
      </c>
      <c r="H160" s="195">
        <f t="shared" ref="H160:H168" si="48">E160/$E$168</f>
        <v>5.3648068669527864E-2</v>
      </c>
      <c r="J160" s="161">
        <v>4</v>
      </c>
      <c r="K160" s="162" t="s">
        <v>99</v>
      </c>
      <c r="L160" s="193">
        <v>22.8</v>
      </c>
      <c r="M160" s="205">
        <v>16.399999999999999</v>
      </c>
      <c r="N160" s="167">
        <v>0.39200000000000002</v>
      </c>
      <c r="O160" s="167">
        <v>7.4999999999999997E-2</v>
      </c>
      <c r="P160" s="167">
        <v>8.1000000000000003E-2</v>
      </c>
    </row>
    <row r="161" spans="1:16" ht="14">
      <c r="A161" s="160"/>
      <c r="B161" s="161">
        <v>5</v>
      </c>
      <c r="C161" s="162" t="s">
        <v>107</v>
      </c>
      <c r="D161" s="193">
        <f>L161-L178</f>
        <v>3.5</v>
      </c>
      <c r="E161" s="200">
        <f>M161-M178</f>
        <v>2.2999999999999989</v>
      </c>
      <c r="F161" s="194">
        <f t="shared" si="46"/>
        <v>0.52173913043478337</v>
      </c>
      <c r="G161" s="194">
        <f t="shared" si="47"/>
        <v>5.2473763118440764E-2</v>
      </c>
      <c r="H161" s="195">
        <f t="shared" si="48"/>
        <v>4.9356223175965649E-2</v>
      </c>
      <c r="J161" s="161">
        <v>5</v>
      </c>
      <c r="K161" s="162" t="s">
        <v>107</v>
      </c>
      <c r="L161" s="193">
        <v>15.9</v>
      </c>
      <c r="M161" s="205">
        <v>13.7</v>
      </c>
      <c r="N161" s="167">
        <v>0.161</v>
      </c>
      <c r="O161" s="167">
        <v>5.1999999999999998E-2</v>
      </c>
      <c r="P161" s="167">
        <v>6.8000000000000005E-2</v>
      </c>
    </row>
    <row r="162" spans="1:16" ht="14">
      <c r="A162" s="160"/>
      <c r="B162" s="161">
        <v>6</v>
      </c>
      <c r="C162" s="162" t="s">
        <v>105</v>
      </c>
      <c r="D162" s="193">
        <f>L163-L180</f>
        <v>2.6999999999999993</v>
      </c>
      <c r="E162" s="200">
        <f>M163-M180</f>
        <v>2.1000000000000005</v>
      </c>
      <c r="F162" s="194">
        <f t="shared" si="46"/>
        <v>0.28571428571428514</v>
      </c>
      <c r="G162" s="194">
        <f t="shared" si="47"/>
        <v>4.0479760119940006E-2</v>
      </c>
      <c r="H162" s="195">
        <f t="shared" si="48"/>
        <v>4.5064377682403449E-2</v>
      </c>
      <c r="J162" s="161">
        <v>6</v>
      </c>
      <c r="K162" s="162" t="s">
        <v>109</v>
      </c>
      <c r="L162" s="193">
        <v>13</v>
      </c>
      <c r="M162" s="205">
        <v>8.1999999999999993</v>
      </c>
      <c r="N162" s="167">
        <v>0.58799999999999997</v>
      </c>
      <c r="O162" s="167">
        <v>4.2999999999999997E-2</v>
      </c>
      <c r="P162" s="167">
        <v>4.1000000000000002E-2</v>
      </c>
    </row>
    <row r="163" spans="1:16" ht="14">
      <c r="A163" s="160"/>
      <c r="B163" s="161">
        <v>7</v>
      </c>
      <c r="C163" s="162" t="s">
        <v>109</v>
      </c>
      <c r="D163" s="193">
        <f>L162-L179</f>
        <v>2.8000000000000007</v>
      </c>
      <c r="E163" s="200">
        <f>M162-M179</f>
        <v>1.6999999999999993</v>
      </c>
      <c r="F163" s="194">
        <f t="shared" si="46"/>
        <v>0.6470588235294128</v>
      </c>
      <c r="G163" s="194">
        <f t="shared" si="47"/>
        <v>4.1979010494752625E-2</v>
      </c>
      <c r="H163" s="195">
        <f t="shared" si="48"/>
        <v>3.6480686695278958E-2</v>
      </c>
      <c r="J163" s="161">
        <v>7</v>
      </c>
      <c r="K163" s="162" t="s">
        <v>105</v>
      </c>
      <c r="L163" s="193">
        <v>12.6</v>
      </c>
      <c r="M163" s="205">
        <v>9.8000000000000007</v>
      </c>
      <c r="N163" s="167">
        <v>0.28799999999999998</v>
      </c>
      <c r="O163" s="167">
        <v>4.1000000000000002E-2</v>
      </c>
      <c r="P163" s="167">
        <v>4.8000000000000001E-2</v>
      </c>
    </row>
    <row r="164" spans="1:16" ht="14">
      <c r="A164" s="160"/>
      <c r="B164" s="161">
        <v>8</v>
      </c>
      <c r="C164" s="162" t="s">
        <v>116</v>
      </c>
      <c r="D164" s="193">
        <f>L164-L182</f>
        <v>1.5</v>
      </c>
      <c r="E164" s="200">
        <f>M164-M182</f>
        <v>0.5</v>
      </c>
      <c r="F164" s="194">
        <f t="shared" si="46"/>
        <v>2</v>
      </c>
      <c r="G164" s="194">
        <f t="shared" si="47"/>
        <v>2.24887556221889E-2</v>
      </c>
      <c r="H164" s="195">
        <f t="shared" si="48"/>
        <v>1.0729613733905581E-2</v>
      </c>
      <c r="J164" s="161">
        <v>8</v>
      </c>
      <c r="K164" s="162" t="s">
        <v>116</v>
      </c>
      <c r="L164" s="193">
        <v>6.6</v>
      </c>
      <c r="M164" s="205">
        <v>2.6</v>
      </c>
      <c r="N164" s="167">
        <v>1.5169999999999999</v>
      </c>
      <c r="O164" s="167">
        <v>2.1999999999999999E-2</v>
      </c>
      <c r="P164" s="167">
        <v>1.2999999999999999E-2</v>
      </c>
    </row>
    <row r="165" spans="1:16" ht="14">
      <c r="A165" s="160"/>
      <c r="B165" s="161">
        <v>9</v>
      </c>
      <c r="C165" s="162" t="s">
        <v>103</v>
      </c>
      <c r="D165" s="193">
        <f>L165-L181</f>
        <v>1.2000000000000002</v>
      </c>
      <c r="E165" s="200">
        <f>M165-M181</f>
        <v>1.4000000000000004</v>
      </c>
      <c r="F165" s="194">
        <f t="shared" si="46"/>
        <v>-0.1428571428571429</v>
      </c>
      <c r="G165" s="194">
        <f t="shared" si="47"/>
        <v>1.7991004497751123E-2</v>
      </c>
      <c r="H165" s="195">
        <f t="shared" si="48"/>
        <v>3.0042918454935633E-2</v>
      </c>
      <c r="J165" s="161">
        <v>9</v>
      </c>
      <c r="K165" s="162" t="s">
        <v>103</v>
      </c>
      <c r="L165" s="193">
        <v>6.5</v>
      </c>
      <c r="M165" s="205">
        <v>5.5</v>
      </c>
      <c r="N165" s="167">
        <v>0.17799999999999999</v>
      </c>
      <c r="O165" s="167">
        <v>2.1000000000000001E-2</v>
      </c>
      <c r="P165" s="167">
        <v>2.7E-2</v>
      </c>
    </row>
    <row r="166" spans="1:16" ht="14">
      <c r="A166" s="160"/>
      <c r="B166" s="161">
        <v>10</v>
      </c>
      <c r="C166" s="162" t="s">
        <v>114</v>
      </c>
      <c r="D166" s="193">
        <f t="shared" ref="D166:E168" si="49">L166-L183</f>
        <v>0.79999999999999982</v>
      </c>
      <c r="E166" s="200">
        <f t="shared" si="49"/>
        <v>0.70000000000000018</v>
      </c>
      <c r="F166" s="194">
        <f t="shared" si="46"/>
        <v>0.14285714285714235</v>
      </c>
      <c r="G166" s="194">
        <f t="shared" si="47"/>
        <v>1.1994002998500744E-2</v>
      </c>
      <c r="H166" s="195">
        <f t="shared" si="48"/>
        <v>1.5021459227467816E-2</v>
      </c>
      <c r="J166" s="198">
        <v>10</v>
      </c>
      <c r="K166" s="162" t="s">
        <v>114</v>
      </c>
      <c r="L166" s="193">
        <v>4.5999999999999996</v>
      </c>
      <c r="M166" s="205">
        <v>3.2</v>
      </c>
      <c r="N166" s="167">
        <v>0.44900000000000001</v>
      </c>
      <c r="O166" s="167">
        <v>1.4999999999999999E-2</v>
      </c>
      <c r="P166" s="167">
        <v>1.6E-2</v>
      </c>
    </row>
    <row r="167" spans="1:16" ht="14">
      <c r="A167" s="160"/>
      <c r="B167" s="162"/>
      <c r="C167" s="162" t="s">
        <v>39</v>
      </c>
      <c r="D167" s="193">
        <f t="shared" si="49"/>
        <v>3.8000000000000007</v>
      </c>
      <c r="E167" s="200">
        <f t="shared" si="49"/>
        <v>4.2000000000000011</v>
      </c>
      <c r="F167" s="194">
        <f t="shared" si="46"/>
        <v>-9.5238095238095344E-2</v>
      </c>
      <c r="G167" s="194">
        <f t="shared" si="47"/>
        <v>5.6971514242878558E-2</v>
      </c>
      <c r="H167" s="195">
        <f t="shared" si="48"/>
        <v>9.0128755364806898E-2</v>
      </c>
      <c r="J167" s="162"/>
      <c r="K167" s="162" t="s">
        <v>39</v>
      </c>
      <c r="L167" s="193">
        <v>18.3</v>
      </c>
      <c r="M167" s="205">
        <v>18.600000000000001</v>
      </c>
      <c r="N167" s="167">
        <v>-0.02</v>
      </c>
      <c r="O167" s="167">
        <v>0.06</v>
      </c>
      <c r="P167" s="167">
        <v>9.1999999999999998E-2</v>
      </c>
    </row>
    <row r="168" spans="1:16" ht="14">
      <c r="A168" s="160"/>
      <c r="B168" s="22" t="s">
        <v>48</v>
      </c>
      <c r="C168" s="22"/>
      <c r="D168" s="193">
        <f t="shared" si="49"/>
        <v>66.700000000000017</v>
      </c>
      <c r="E168" s="200">
        <f t="shared" si="49"/>
        <v>46.599999999999994</v>
      </c>
      <c r="F168" s="194">
        <f t="shared" si="46"/>
        <v>0.4313304721030049</v>
      </c>
      <c r="G168" s="194">
        <f t="shared" si="47"/>
        <v>1</v>
      </c>
      <c r="H168" s="195">
        <f t="shared" si="48"/>
        <v>1</v>
      </c>
      <c r="J168" s="162" t="s">
        <v>48</v>
      </c>
      <c r="K168" s="162"/>
      <c r="L168" s="193">
        <v>304.3</v>
      </c>
      <c r="M168" s="193">
        <v>202.8</v>
      </c>
      <c r="N168" s="167">
        <f>L168/M168-1</f>
        <v>0.50049309664694275</v>
      </c>
      <c r="O168" s="167">
        <v>1</v>
      </c>
      <c r="P168" s="167">
        <v>1</v>
      </c>
    </row>
    <row r="169" spans="1:16" ht="14">
      <c r="A169" s="160"/>
      <c r="B169" s="22"/>
      <c r="C169" s="22"/>
      <c r="D169" s="203"/>
      <c r="E169" s="204"/>
      <c r="F169" s="122"/>
      <c r="G169" s="122"/>
      <c r="H169" s="176"/>
      <c r="J169" s="22"/>
      <c r="K169" s="22"/>
      <c r="L169" s="203"/>
      <c r="M169" s="203"/>
      <c r="N169" s="176"/>
      <c r="O169" s="176"/>
      <c r="P169" s="176"/>
    </row>
    <row r="170" spans="1:16" ht="14">
      <c r="A170" s="160"/>
    </row>
    <row r="171" spans="1:16" ht="14">
      <c r="A171" s="160"/>
    </row>
    <row r="172" spans="1:16" ht="14">
      <c r="A172" s="160"/>
      <c r="B172" s="161" t="s">
        <v>160</v>
      </c>
      <c r="C172" s="161"/>
      <c r="D172" s="161"/>
      <c r="E172" s="161"/>
      <c r="F172" s="161"/>
      <c r="G172" s="161"/>
      <c r="H172" s="161"/>
      <c r="J172" s="196" t="s">
        <v>161</v>
      </c>
      <c r="K172" s="161"/>
      <c r="L172" s="161"/>
      <c r="M172" s="161"/>
      <c r="N172" s="161"/>
      <c r="O172" s="161"/>
      <c r="P172" s="161"/>
    </row>
    <row r="173" spans="1:16" ht="14">
      <c r="A173" s="160"/>
      <c r="B173" s="161" t="s">
        <v>92</v>
      </c>
      <c r="C173" s="162" t="s">
        <v>123</v>
      </c>
      <c r="D173" s="163">
        <v>45047</v>
      </c>
      <c r="E173" s="163">
        <v>44682</v>
      </c>
      <c r="F173" s="162" t="s">
        <v>124</v>
      </c>
      <c r="G173" s="162" t="s">
        <v>126</v>
      </c>
      <c r="H173" s="162" t="s">
        <v>133</v>
      </c>
      <c r="J173" s="161" t="s">
        <v>92</v>
      </c>
      <c r="K173" s="162" t="s">
        <v>123</v>
      </c>
      <c r="L173" s="163" t="s">
        <v>162</v>
      </c>
      <c r="M173" s="163" t="s">
        <v>163</v>
      </c>
      <c r="N173" s="164" t="s">
        <v>124</v>
      </c>
      <c r="O173" s="164" t="s">
        <v>126</v>
      </c>
      <c r="P173" s="164" t="s">
        <v>133</v>
      </c>
    </row>
    <row r="174" spans="1:16" ht="14">
      <c r="A174" s="160"/>
      <c r="B174" s="161">
        <v>1</v>
      </c>
      <c r="C174" s="162" t="s">
        <v>98</v>
      </c>
      <c r="D174" s="193">
        <f>L174-L191</f>
        <v>20.600000000000009</v>
      </c>
      <c r="E174" s="200">
        <f>M174-M191</f>
        <v>11.899999999999999</v>
      </c>
      <c r="F174" s="194">
        <f>D174/E174-1</f>
        <v>0.73109243697479087</v>
      </c>
      <c r="G174" s="194">
        <f>D174/$D$185</f>
        <v>0.37386569872958275</v>
      </c>
      <c r="H174" s="195">
        <f>E174/$E$185</f>
        <v>0.35311572700296728</v>
      </c>
      <c r="J174" s="161">
        <v>1</v>
      </c>
      <c r="K174" s="162" t="s">
        <v>98</v>
      </c>
      <c r="L174" s="193">
        <v>86.2</v>
      </c>
      <c r="M174" s="205">
        <v>54</v>
      </c>
      <c r="N174" s="167">
        <v>0.59599999999999997</v>
      </c>
      <c r="O174" s="167">
        <v>0.36299999999999999</v>
      </c>
      <c r="P174" s="167">
        <v>0.34599999999999997</v>
      </c>
    </row>
    <row r="175" spans="1:16" ht="14">
      <c r="A175" s="160"/>
      <c r="B175" s="161">
        <v>2</v>
      </c>
      <c r="C175" s="162" t="s">
        <v>96</v>
      </c>
      <c r="D175" s="193">
        <f>L175-L192</f>
        <v>8.7000000000000028</v>
      </c>
      <c r="E175" s="200">
        <f t="shared" ref="E175:E185" si="50">M175-M192</f>
        <v>4.2999999999999989</v>
      </c>
      <c r="F175" s="194">
        <f t="shared" ref="F175:F185" si="51">D175/E175-1</f>
        <v>1.0232558139534897</v>
      </c>
      <c r="G175" s="194">
        <f t="shared" ref="G175:G185" si="52">D175/$D$185</f>
        <v>0.15789473684210534</v>
      </c>
      <c r="H175" s="195">
        <f t="shared" ref="H175:H185" si="53">E175/$E$185</f>
        <v>0.12759643916913943</v>
      </c>
      <c r="J175" s="161">
        <v>2</v>
      </c>
      <c r="K175" s="162" t="s">
        <v>96</v>
      </c>
      <c r="L175" s="193">
        <v>38.1</v>
      </c>
      <c r="M175" s="205">
        <v>18.399999999999999</v>
      </c>
      <c r="N175" s="167">
        <v>1.0780000000000001</v>
      </c>
      <c r="O175" s="167">
        <v>0.161</v>
      </c>
      <c r="P175" s="167">
        <v>0.11799999999999999</v>
      </c>
    </row>
    <row r="176" spans="1:16" ht="14">
      <c r="A176" s="160"/>
      <c r="B176" s="161">
        <v>3</v>
      </c>
      <c r="C176" s="162" t="s">
        <v>101</v>
      </c>
      <c r="D176" s="193">
        <f>L176-L193</f>
        <v>7.3000000000000007</v>
      </c>
      <c r="E176" s="200">
        <f t="shared" si="50"/>
        <v>4</v>
      </c>
      <c r="F176" s="194">
        <f t="shared" si="51"/>
        <v>0.82500000000000018</v>
      </c>
      <c r="G176" s="194">
        <f t="shared" si="52"/>
        <v>0.13248638838475502</v>
      </c>
      <c r="H176" s="195">
        <f t="shared" si="53"/>
        <v>0.11869436201780414</v>
      </c>
      <c r="J176" s="161">
        <v>3</v>
      </c>
      <c r="K176" s="162" t="s">
        <v>101</v>
      </c>
      <c r="L176" s="197">
        <v>33</v>
      </c>
      <c r="M176" s="205">
        <v>21.2</v>
      </c>
      <c r="N176" s="167">
        <v>0.56000000000000005</v>
      </c>
      <c r="O176" s="167">
        <v>0.13900000000000001</v>
      </c>
      <c r="P176" s="167">
        <v>0.13600000000000001</v>
      </c>
    </row>
    <row r="177" spans="1:16" ht="14">
      <c r="A177" s="160"/>
      <c r="B177" s="161">
        <v>4</v>
      </c>
      <c r="C177" s="162" t="s">
        <v>99</v>
      </c>
      <c r="D177" s="193">
        <f>L177-L194</f>
        <v>4.0000000000000018</v>
      </c>
      <c r="E177" s="200">
        <f t="shared" si="50"/>
        <v>2.8000000000000007</v>
      </c>
      <c r="F177" s="194">
        <f t="shared" si="51"/>
        <v>0.42857142857142883</v>
      </c>
      <c r="G177" s="194">
        <f t="shared" si="52"/>
        <v>7.2595281306715109E-2</v>
      </c>
      <c r="H177" s="195">
        <f t="shared" si="53"/>
        <v>8.3086053412462918E-2</v>
      </c>
      <c r="J177" s="161">
        <v>4</v>
      </c>
      <c r="K177" s="162" t="s">
        <v>99</v>
      </c>
      <c r="L177" s="193">
        <v>19.100000000000001</v>
      </c>
      <c r="M177" s="205">
        <v>13.9</v>
      </c>
      <c r="N177" s="167">
        <v>0.371</v>
      </c>
      <c r="O177" s="167">
        <v>0.08</v>
      </c>
      <c r="P177" s="167">
        <v>8.8999999999999996E-2</v>
      </c>
    </row>
    <row r="178" spans="1:16" ht="14">
      <c r="A178" s="160"/>
      <c r="B178" s="161">
        <v>5</v>
      </c>
      <c r="C178" s="162" t="s">
        <v>107</v>
      </c>
      <c r="D178" s="193">
        <f>L178-L195</f>
        <v>2.9000000000000004</v>
      </c>
      <c r="E178" s="200">
        <f t="shared" si="50"/>
        <v>2.4000000000000004</v>
      </c>
      <c r="F178" s="194">
        <f t="shared" si="51"/>
        <v>0.20833333333333326</v>
      </c>
      <c r="G178" s="194">
        <f t="shared" si="52"/>
        <v>5.2631578947368432E-2</v>
      </c>
      <c r="H178" s="195">
        <f t="shared" si="53"/>
        <v>7.1216617210682495E-2</v>
      </c>
      <c r="J178" s="161">
        <v>5</v>
      </c>
      <c r="K178" s="162" t="s">
        <v>107</v>
      </c>
      <c r="L178" s="193">
        <v>12.4</v>
      </c>
      <c r="M178" s="205">
        <v>11.4</v>
      </c>
      <c r="N178" s="167">
        <v>0.09</v>
      </c>
      <c r="O178" s="167">
        <v>5.1999999999999998E-2</v>
      </c>
      <c r="P178" s="167">
        <v>7.2999999999999995E-2</v>
      </c>
    </row>
    <row r="179" spans="1:16" ht="14">
      <c r="A179" s="160"/>
      <c r="B179" s="161">
        <v>6</v>
      </c>
      <c r="C179" s="162" t="s">
        <v>105</v>
      </c>
      <c r="D179" s="193">
        <v>2.4</v>
      </c>
      <c r="E179" s="200">
        <v>1.8</v>
      </c>
      <c r="F179" s="194">
        <f t="shared" si="51"/>
        <v>0.33333333333333326</v>
      </c>
      <c r="G179" s="194">
        <f t="shared" si="52"/>
        <v>4.3557168784029043E-2</v>
      </c>
      <c r="H179" s="195">
        <f t="shared" si="53"/>
        <v>5.3412462908011868E-2</v>
      </c>
      <c r="J179" s="161">
        <v>6</v>
      </c>
      <c r="K179" s="162" t="s">
        <v>109</v>
      </c>
      <c r="L179" s="193">
        <v>10.199999999999999</v>
      </c>
      <c r="M179" s="205">
        <v>6.5</v>
      </c>
      <c r="N179" s="167">
        <v>0.55600000000000005</v>
      </c>
      <c r="O179" s="167">
        <v>4.2999999999999997E-2</v>
      </c>
      <c r="P179" s="167">
        <v>4.2000000000000003E-2</v>
      </c>
    </row>
    <row r="180" spans="1:16" ht="14">
      <c r="A180" s="160"/>
      <c r="B180" s="161">
        <v>7</v>
      </c>
      <c r="C180" s="162" t="s">
        <v>109</v>
      </c>
      <c r="D180" s="193">
        <v>1.8</v>
      </c>
      <c r="E180" s="200">
        <v>1.4</v>
      </c>
      <c r="F180" s="194">
        <f t="shared" si="51"/>
        <v>0.28571428571428581</v>
      </c>
      <c r="G180" s="194">
        <f t="shared" si="52"/>
        <v>3.2667876588021783E-2</v>
      </c>
      <c r="H180" s="195">
        <f t="shared" si="53"/>
        <v>4.1543026706231445E-2</v>
      </c>
      <c r="J180" s="161">
        <v>7</v>
      </c>
      <c r="K180" s="162" t="s">
        <v>105</v>
      </c>
      <c r="L180" s="193">
        <v>9.9</v>
      </c>
      <c r="M180" s="205">
        <v>7.7</v>
      </c>
      <c r="N180" s="167">
        <v>0.28799999999999998</v>
      </c>
      <c r="O180" s="167">
        <v>4.2000000000000003E-2</v>
      </c>
      <c r="P180" s="167">
        <v>4.9000000000000002E-2</v>
      </c>
    </row>
    <row r="181" spans="1:16" ht="14">
      <c r="A181" s="160"/>
      <c r="B181" s="161">
        <v>8</v>
      </c>
      <c r="C181" s="162" t="s">
        <v>116</v>
      </c>
      <c r="D181" s="193">
        <v>1.7</v>
      </c>
      <c r="E181" s="200">
        <v>0.4</v>
      </c>
      <c r="F181" s="194">
        <f t="shared" si="51"/>
        <v>3.25</v>
      </c>
      <c r="G181" s="194">
        <f t="shared" si="52"/>
        <v>3.0852994555353903E-2</v>
      </c>
      <c r="H181" s="195">
        <f t="shared" si="53"/>
        <v>1.1869436201780416E-2</v>
      </c>
      <c r="J181" s="161">
        <v>8</v>
      </c>
      <c r="K181" s="162" t="s">
        <v>103</v>
      </c>
      <c r="L181" s="193">
        <v>5.3</v>
      </c>
      <c r="M181" s="205">
        <v>4.0999999999999996</v>
      </c>
      <c r="N181" s="167">
        <v>0.29099999999999998</v>
      </c>
      <c r="O181" s="167">
        <v>2.1999999999999999E-2</v>
      </c>
      <c r="P181" s="167">
        <v>2.5999999999999999E-2</v>
      </c>
    </row>
    <row r="182" spans="1:16" ht="14">
      <c r="A182" s="160"/>
      <c r="B182" s="161">
        <v>9</v>
      </c>
      <c r="C182" s="162" t="s">
        <v>103</v>
      </c>
      <c r="D182" s="193">
        <v>0.9</v>
      </c>
      <c r="E182" s="200">
        <v>0.9</v>
      </c>
      <c r="F182" s="194">
        <f t="shared" si="51"/>
        <v>0</v>
      </c>
      <c r="G182" s="194">
        <f t="shared" si="52"/>
        <v>1.6333938294010891E-2</v>
      </c>
      <c r="H182" s="195">
        <f t="shared" si="53"/>
        <v>2.6706231454005934E-2</v>
      </c>
      <c r="J182" s="161">
        <v>9</v>
      </c>
      <c r="K182" s="162" t="s">
        <v>116</v>
      </c>
      <c r="L182" s="193">
        <v>5.0999999999999996</v>
      </c>
      <c r="M182" s="205">
        <v>2.1</v>
      </c>
      <c r="N182" s="167">
        <v>1.5069999999999999</v>
      </c>
      <c r="O182" s="167">
        <v>2.1999999999999999E-2</v>
      </c>
      <c r="P182" s="167">
        <v>1.2999999999999999E-2</v>
      </c>
    </row>
    <row r="183" spans="1:16" ht="14">
      <c r="A183" s="160"/>
      <c r="B183" s="161">
        <v>10</v>
      </c>
      <c r="C183" s="162" t="s">
        <v>114</v>
      </c>
      <c r="D183" s="193">
        <f t="shared" ref="D183:D185" si="54">L183-L200</f>
        <v>1</v>
      </c>
      <c r="E183" s="200">
        <f t="shared" si="50"/>
        <v>0.60000000000000009</v>
      </c>
      <c r="F183" s="194">
        <f t="shared" si="51"/>
        <v>0.66666666666666652</v>
      </c>
      <c r="G183" s="194">
        <f t="shared" si="52"/>
        <v>1.8148820326678767E-2</v>
      </c>
      <c r="H183" s="195">
        <f t="shared" si="53"/>
        <v>1.7804154302670624E-2</v>
      </c>
      <c r="J183" s="198">
        <v>10</v>
      </c>
      <c r="K183" s="162" t="s">
        <v>114</v>
      </c>
      <c r="L183" s="193">
        <v>3.8</v>
      </c>
      <c r="M183" s="205">
        <v>2.5</v>
      </c>
      <c r="N183" s="167">
        <v>0.51900000000000002</v>
      </c>
      <c r="O183" s="167">
        <v>1.6E-2</v>
      </c>
      <c r="P183" s="167">
        <v>1.6E-2</v>
      </c>
    </row>
    <row r="184" spans="1:16" ht="14">
      <c r="A184" s="160"/>
      <c r="B184" s="162"/>
      <c r="C184" s="162" t="s">
        <v>39</v>
      </c>
      <c r="D184" s="193">
        <f t="shared" si="54"/>
        <v>3.6999999999999993</v>
      </c>
      <c r="E184" s="200">
        <f t="shared" si="50"/>
        <v>3.2000000000000011</v>
      </c>
      <c r="F184" s="194">
        <f t="shared" si="51"/>
        <v>0.15624999999999933</v>
      </c>
      <c r="G184" s="194">
        <f t="shared" si="52"/>
        <v>6.7150635208711423E-2</v>
      </c>
      <c r="H184" s="195">
        <f t="shared" si="53"/>
        <v>9.4955489614243341E-2</v>
      </c>
      <c r="J184" s="162"/>
      <c r="K184" s="162" t="s">
        <v>39</v>
      </c>
      <c r="L184" s="193">
        <v>14.5</v>
      </c>
      <c r="M184" s="205">
        <v>14.4</v>
      </c>
      <c r="N184" s="167">
        <v>1.2E-2</v>
      </c>
      <c r="O184" s="167">
        <v>6.0999999999999999E-2</v>
      </c>
      <c r="P184" s="167">
        <v>9.1999999999999998E-2</v>
      </c>
    </row>
    <row r="185" spans="1:16" ht="14">
      <c r="A185" s="160"/>
      <c r="B185" s="22" t="s">
        <v>48</v>
      </c>
      <c r="C185" s="22"/>
      <c r="D185" s="193">
        <f t="shared" si="54"/>
        <v>55.099999999999994</v>
      </c>
      <c r="E185" s="200">
        <f t="shared" si="50"/>
        <v>33.700000000000003</v>
      </c>
      <c r="F185" s="194">
        <f t="shared" si="51"/>
        <v>0.63501483679525195</v>
      </c>
      <c r="G185" s="194">
        <f t="shared" si="52"/>
        <v>1</v>
      </c>
      <c r="H185" s="195">
        <f t="shared" si="53"/>
        <v>1</v>
      </c>
      <c r="J185" s="162" t="s">
        <v>48</v>
      </c>
      <c r="K185" s="162"/>
      <c r="L185" s="193">
        <v>237.6</v>
      </c>
      <c r="M185" s="193">
        <f>SUM(M174:M184)</f>
        <v>156.20000000000002</v>
      </c>
      <c r="N185" s="167">
        <f>L185/M185-1</f>
        <v>0.52112676056338003</v>
      </c>
      <c r="O185" s="167">
        <v>1</v>
      </c>
      <c r="P185" s="167">
        <v>1</v>
      </c>
    </row>
    <row r="186" spans="1:16" ht="14">
      <c r="A186" s="160"/>
      <c r="B186" s="22"/>
      <c r="C186" s="22"/>
      <c r="D186" s="203"/>
      <c r="E186" s="203"/>
      <c r="F186" s="122"/>
      <c r="G186" s="122"/>
      <c r="H186" s="176"/>
      <c r="J186" s="22"/>
      <c r="K186" s="22"/>
      <c r="L186" s="203"/>
      <c r="M186" s="203"/>
      <c r="N186" s="176"/>
      <c r="O186" s="176"/>
      <c r="P186" s="176"/>
    </row>
    <row r="187" spans="1:16" ht="14">
      <c r="A187" s="160"/>
    </row>
    <row r="189" spans="1:16" ht="14">
      <c r="A189" s="160"/>
      <c r="B189" s="161" t="s">
        <v>164</v>
      </c>
      <c r="C189" s="161"/>
      <c r="D189" s="161"/>
      <c r="E189" s="161"/>
      <c r="F189" s="161"/>
      <c r="G189" s="161"/>
      <c r="H189" s="161"/>
      <c r="J189" s="196" t="s">
        <v>165</v>
      </c>
      <c r="K189" s="161"/>
      <c r="L189" s="161"/>
      <c r="M189" s="161"/>
      <c r="N189" s="161"/>
      <c r="O189" s="161"/>
      <c r="P189" s="161"/>
    </row>
    <row r="190" spans="1:16" ht="14">
      <c r="A190" s="160"/>
      <c r="B190" s="161" t="s">
        <v>92</v>
      </c>
      <c r="C190" s="162" t="s">
        <v>123</v>
      </c>
      <c r="D190" s="163">
        <v>45017</v>
      </c>
      <c r="E190" s="163">
        <v>44652</v>
      </c>
      <c r="F190" s="162" t="s">
        <v>124</v>
      </c>
      <c r="G190" s="162" t="s">
        <v>126</v>
      </c>
      <c r="H190" s="162" t="s">
        <v>133</v>
      </c>
      <c r="J190" s="161" t="s">
        <v>92</v>
      </c>
      <c r="K190" s="162" t="s">
        <v>123</v>
      </c>
      <c r="L190" s="163" t="s">
        <v>166</v>
      </c>
      <c r="M190" s="163" t="s">
        <v>167</v>
      </c>
      <c r="N190" s="164" t="s">
        <v>124</v>
      </c>
      <c r="O190" s="164" t="s">
        <v>126</v>
      </c>
      <c r="P190" s="164" t="s">
        <v>133</v>
      </c>
    </row>
    <row r="191" spans="1:16" ht="14">
      <c r="A191" s="160"/>
      <c r="B191" s="161">
        <v>1</v>
      </c>
      <c r="C191" s="162" t="s">
        <v>98</v>
      </c>
      <c r="D191" s="193">
        <v>19</v>
      </c>
      <c r="E191" s="164">
        <v>7.8</v>
      </c>
      <c r="F191" s="194">
        <f t="shared" ref="F191:F202" si="55">D191/E191-1</f>
        <v>1.4358974358974361</v>
      </c>
      <c r="G191" s="194">
        <f>D191/$D$202</f>
        <v>0.38383838383838381</v>
      </c>
      <c r="H191" s="195">
        <f>E191/$E$202</f>
        <v>0.2932330827067669</v>
      </c>
      <c r="J191" s="161">
        <v>1</v>
      </c>
      <c r="K191" s="162" t="s">
        <v>98</v>
      </c>
      <c r="L191" s="193">
        <v>65.599999999999994</v>
      </c>
      <c r="M191" s="205">
        <v>42.1</v>
      </c>
      <c r="N191" s="167">
        <v>0.55600000000000005</v>
      </c>
      <c r="O191" s="167">
        <v>0.35899999999999999</v>
      </c>
      <c r="P191" s="167">
        <v>0.34399999999999997</v>
      </c>
    </row>
    <row r="192" spans="1:16" ht="14">
      <c r="A192" s="160"/>
      <c r="B192" s="161">
        <v>2</v>
      </c>
      <c r="C192" s="162" t="s">
        <v>96</v>
      </c>
      <c r="D192" s="193">
        <v>7.9</v>
      </c>
      <c r="E192" s="164">
        <v>4.0999999999999996</v>
      </c>
      <c r="F192" s="194">
        <f t="shared" si="55"/>
        <v>0.92682926829268308</v>
      </c>
      <c r="G192" s="194">
        <f t="shared" ref="G192:G202" si="56">D192/$D$202</f>
        <v>0.1595959595959596</v>
      </c>
      <c r="H192" s="195">
        <f t="shared" ref="H192:H202" si="57">E192/$E$202</f>
        <v>0.15413533834586465</v>
      </c>
      <c r="J192" s="161">
        <v>2</v>
      </c>
      <c r="K192" s="162" t="s">
        <v>96</v>
      </c>
      <c r="L192" s="193">
        <v>29.4</v>
      </c>
      <c r="M192" s="205">
        <v>14.1</v>
      </c>
      <c r="N192" s="167">
        <v>1.083</v>
      </c>
      <c r="O192" s="167">
        <v>0.161</v>
      </c>
      <c r="P192" s="167">
        <v>0.115</v>
      </c>
    </row>
    <row r="193" spans="1:16" ht="14">
      <c r="A193" s="160"/>
      <c r="B193" s="161">
        <v>3</v>
      </c>
      <c r="C193" s="162" t="s">
        <v>101</v>
      </c>
      <c r="D193" s="193">
        <v>6.4</v>
      </c>
      <c r="E193" s="164">
        <v>3.2</v>
      </c>
      <c r="F193" s="194">
        <f t="shared" si="55"/>
        <v>1</v>
      </c>
      <c r="G193" s="194">
        <f t="shared" si="56"/>
        <v>0.12929292929292929</v>
      </c>
      <c r="H193" s="195">
        <f t="shared" si="57"/>
        <v>0.12030075187969924</v>
      </c>
      <c r="J193" s="161">
        <v>3</v>
      </c>
      <c r="K193" s="162" t="s">
        <v>101</v>
      </c>
      <c r="L193" s="197">
        <v>25.7</v>
      </c>
      <c r="M193" s="205">
        <v>17.2</v>
      </c>
      <c r="N193" s="167">
        <v>0.49299999999999999</v>
      </c>
      <c r="O193" s="167">
        <v>0.14099999999999999</v>
      </c>
      <c r="P193" s="167">
        <v>0.14099999999999999</v>
      </c>
    </row>
    <row r="194" spans="1:16" ht="14">
      <c r="A194" s="160"/>
      <c r="B194" s="161">
        <v>4</v>
      </c>
      <c r="C194" s="162" t="s">
        <v>99</v>
      </c>
      <c r="D194" s="193">
        <v>3.2</v>
      </c>
      <c r="E194" s="164">
        <v>2.4</v>
      </c>
      <c r="F194" s="194">
        <f t="shared" si="55"/>
        <v>0.33333333333333348</v>
      </c>
      <c r="G194" s="194">
        <f t="shared" si="56"/>
        <v>6.4646464646464646E-2</v>
      </c>
      <c r="H194" s="195">
        <f t="shared" si="57"/>
        <v>9.0225563909774431E-2</v>
      </c>
      <c r="J194" s="161">
        <v>4</v>
      </c>
      <c r="K194" s="162" t="s">
        <v>99</v>
      </c>
      <c r="L194" s="193">
        <v>15.1</v>
      </c>
      <c r="M194" s="205">
        <v>11.1</v>
      </c>
      <c r="N194" s="167">
        <v>0.35899999999999999</v>
      </c>
      <c r="O194" s="167">
        <v>8.2000000000000003E-2</v>
      </c>
      <c r="P194" s="167">
        <v>0.09</v>
      </c>
    </row>
    <row r="195" spans="1:16" ht="14">
      <c r="A195" s="160"/>
      <c r="B195" s="161">
        <v>5</v>
      </c>
      <c r="C195" s="162" t="s">
        <v>109</v>
      </c>
      <c r="D195" s="193">
        <v>2.7</v>
      </c>
      <c r="E195" s="164">
        <v>1</v>
      </c>
      <c r="F195" s="194">
        <f t="shared" si="55"/>
        <v>1.7000000000000002</v>
      </c>
      <c r="G195" s="194">
        <f t="shared" si="56"/>
        <v>5.454545454545455E-2</v>
      </c>
      <c r="H195" s="195">
        <f t="shared" si="57"/>
        <v>3.7593984962406013E-2</v>
      </c>
      <c r="J195" s="161">
        <v>5</v>
      </c>
      <c r="K195" s="162" t="s">
        <v>107</v>
      </c>
      <c r="L195" s="193">
        <v>9.5</v>
      </c>
      <c r="M195" s="205">
        <v>9</v>
      </c>
      <c r="N195" s="167">
        <v>5.2999999999999999E-2</v>
      </c>
      <c r="O195" s="167">
        <v>5.1999999999999998E-2</v>
      </c>
      <c r="P195" s="167">
        <v>7.3999999999999996E-2</v>
      </c>
    </row>
    <row r="196" spans="1:16" ht="14">
      <c r="A196" s="160"/>
      <c r="B196" s="161">
        <v>6</v>
      </c>
      <c r="C196" s="162" t="s">
        <v>107</v>
      </c>
      <c r="D196" s="193">
        <v>2.4</v>
      </c>
      <c r="E196" s="164">
        <v>2.2999999999999998</v>
      </c>
      <c r="F196" s="194">
        <f t="shared" si="55"/>
        <v>4.3478260869565188E-2</v>
      </c>
      <c r="G196" s="194">
        <f t="shared" si="56"/>
        <v>4.8484848484848485E-2</v>
      </c>
      <c r="H196" s="195">
        <f t="shared" si="57"/>
        <v>8.646616541353383E-2</v>
      </c>
      <c r="J196" s="161">
        <v>6</v>
      </c>
      <c r="K196" s="162" t="s">
        <v>109</v>
      </c>
      <c r="L196" s="193">
        <v>8.4</v>
      </c>
      <c r="M196" s="205">
        <v>5.0999999999999996</v>
      </c>
      <c r="N196" s="167">
        <v>0.65</v>
      </c>
      <c r="O196" s="167">
        <v>4.5999999999999999E-2</v>
      </c>
      <c r="P196" s="167">
        <v>4.1000000000000002E-2</v>
      </c>
    </row>
    <row r="197" spans="1:16" ht="14">
      <c r="A197" s="160"/>
      <c r="B197" s="161">
        <v>7</v>
      </c>
      <c r="C197" s="162" t="s">
        <v>103</v>
      </c>
      <c r="D197" s="193">
        <v>1.5</v>
      </c>
      <c r="E197" s="164">
        <v>0.6</v>
      </c>
      <c r="F197" s="194">
        <f t="shared" si="55"/>
        <v>1.5</v>
      </c>
      <c r="G197" s="194">
        <f t="shared" si="56"/>
        <v>3.0303030303030304E-2</v>
      </c>
      <c r="H197" s="195">
        <f t="shared" si="57"/>
        <v>2.2556390977443608E-2</v>
      </c>
      <c r="J197" s="161">
        <v>7</v>
      </c>
      <c r="K197" s="162" t="s">
        <v>105</v>
      </c>
      <c r="L197" s="193">
        <v>7.5</v>
      </c>
      <c r="M197" s="205">
        <v>5.9</v>
      </c>
      <c r="N197" s="167">
        <v>0.28399999999999997</v>
      </c>
      <c r="O197" s="167">
        <v>4.1000000000000002E-2</v>
      </c>
      <c r="P197" s="167">
        <v>4.8000000000000001E-2</v>
      </c>
    </row>
    <row r="198" spans="1:16" ht="14">
      <c r="A198" s="160"/>
      <c r="B198" s="161">
        <v>8</v>
      </c>
      <c r="C198" s="162" t="s">
        <v>105</v>
      </c>
      <c r="D198" s="193">
        <v>1</v>
      </c>
      <c r="E198" s="164">
        <v>1.6</v>
      </c>
      <c r="F198" s="194">
        <f t="shared" si="55"/>
        <v>-0.375</v>
      </c>
      <c r="G198" s="194">
        <f t="shared" si="56"/>
        <v>2.0202020202020204E-2</v>
      </c>
      <c r="H198" s="195">
        <f t="shared" si="57"/>
        <v>6.0150375939849621E-2</v>
      </c>
      <c r="J198" s="161">
        <v>8</v>
      </c>
      <c r="K198" s="162" t="s">
        <v>103</v>
      </c>
      <c r="L198" s="193">
        <v>4.4000000000000004</v>
      </c>
      <c r="M198" s="205">
        <v>3.2</v>
      </c>
      <c r="N198" s="167">
        <v>0.38400000000000001</v>
      </c>
      <c r="O198" s="167">
        <v>2.4E-2</v>
      </c>
      <c r="P198" s="167">
        <v>2.5999999999999999E-2</v>
      </c>
    </row>
    <row r="199" spans="1:16" ht="14">
      <c r="A199" s="160"/>
      <c r="B199" s="161">
        <v>9</v>
      </c>
      <c r="C199" s="162" t="s">
        <v>116</v>
      </c>
      <c r="D199" s="193">
        <v>1</v>
      </c>
      <c r="E199" s="164">
        <v>0.3</v>
      </c>
      <c r="F199" s="194">
        <f t="shared" si="55"/>
        <v>2.3333333333333335</v>
      </c>
      <c r="G199" s="194">
        <f t="shared" si="56"/>
        <v>2.0202020202020204E-2</v>
      </c>
      <c r="H199" s="195">
        <f t="shared" si="57"/>
        <v>1.1278195488721804E-2</v>
      </c>
      <c r="J199" s="161">
        <v>9</v>
      </c>
      <c r="K199" s="162" t="s">
        <v>116</v>
      </c>
      <c r="L199" s="193">
        <v>3.4</v>
      </c>
      <c r="M199" s="205">
        <v>1.7</v>
      </c>
      <c r="N199" s="167">
        <v>0.96599999999999997</v>
      </c>
      <c r="O199" s="167">
        <v>1.7999999999999999E-2</v>
      </c>
      <c r="P199" s="167">
        <v>1.4E-2</v>
      </c>
    </row>
    <row r="200" spans="1:16" ht="14">
      <c r="A200" s="160"/>
      <c r="B200" s="161">
        <v>10</v>
      </c>
      <c r="C200" s="162" t="s">
        <v>114</v>
      </c>
      <c r="D200" s="193">
        <v>0.9</v>
      </c>
      <c r="E200" s="164">
        <v>0.4</v>
      </c>
      <c r="F200" s="194">
        <f t="shared" si="55"/>
        <v>1.25</v>
      </c>
      <c r="G200" s="194">
        <f t="shared" si="56"/>
        <v>1.8181818181818181E-2</v>
      </c>
      <c r="H200" s="195">
        <f t="shared" si="57"/>
        <v>1.5037593984962405E-2</v>
      </c>
      <c r="J200" s="198">
        <v>10</v>
      </c>
      <c r="K200" s="162" t="s">
        <v>114</v>
      </c>
      <c r="L200" s="193">
        <v>2.8</v>
      </c>
      <c r="M200" s="205">
        <v>1.9</v>
      </c>
      <c r="N200" s="167">
        <v>0.43</v>
      </c>
      <c r="O200" s="167">
        <v>1.4999999999999999E-2</v>
      </c>
      <c r="P200" s="167">
        <v>1.6E-2</v>
      </c>
    </row>
    <row r="201" spans="1:16" ht="14">
      <c r="A201" s="160"/>
      <c r="B201" s="162" t="s">
        <v>118</v>
      </c>
      <c r="C201" s="162"/>
      <c r="D201" s="193">
        <v>3.7</v>
      </c>
      <c r="E201" s="193">
        <v>2.7</v>
      </c>
      <c r="F201" s="194">
        <f t="shared" si="55"/>
        <v>0.37037037037037024</v>
      </c>
      <c r="G201" s="194">
        <f t="shared" si="56"/>
        <v>7.4747474747474757E-2</v>
      </c>
      <c r="H201" s="195">
        <f t="shared" si="57"/>
        <v>0.10150375939849623</v>
      </c>
      <c r="J201" s="162"/>
      <c r="K201" s="162" t="s">
        <v>39</v>
      </c>
      <c r="L201" s="193">
        <v>10.8</v>
      </c>
      <c r="M201" s="205">
        <v>11.2</v>
      </c>
      <c r="N201" s="167">
        <v>-0.03</v>
      </c>
      <c r="O201" s="167">
        <v>5.8999999999999997E-2</v>
      </c>
      <c r="P201" s="167">
        <v>9.0999999999999998E-2</v>
      </c>
    </row>
    <row r="202" spans="1:16" ht="14">
      <c r="A202" s="160"/>
      <c r="B202" s="22" t="s">
        <v>48</v>
      </c>
      <c r="C202" s="22"/>
      <c r="D202" s="203">
        <v>49.5</v>
      </c>
      <c r="E202" s="203">
        <v>26.6</v>
      </c>
      <c r="F202" s="194">
        <f t="shared" si="55"/>
        <v>0.86090225563909772</v>
      </c>
      <c r="G202" s="194">
        <f t="shared" si="56"/>
        <v>1</v>
      </c>
      <c r="H202" s="195">
        <f t="shared" si="57"/>
        <v>1</v>
      </c>
      <c r="J202" s="162" t="s">
        <v>48</v>
      </c>
      <c r="K202" s="162"/>
      <c r="L202" s="193">
        <v>182.5</v>
      </c>
      <c r="M202" s="193">
        <f>SUM(M191:M201)</f>
        <v>122.50000000000001</v>
      </c>
      <c r="N202" s="167">
        <f t="shared" ref="N202" si="58">L202/M202-1</f>
        <v>0.48979591836734682</v>
      </c>
      <c r="O202" s="167">
        <v>1</v>
      </c>
      <c r="P202" s="167">
        <v>1</v>
      </c>
    </row>
    <row r="203" spans="1:16" ht="14">
      <c r="A203" s="160"/>
    </row>
    <row r="204" spans="1:16" ht="14">
      <c r="A204" s="160"/>
    </row>
    <row r="205" spans="1:16" ht="14">
      <c r="A205" s="160"/>
    </row>
    <row r="206" spans="1:16" ht="14">
      <c r="A206" s="160"/>
      <c r="B206" s="161" t="s">
        <v>168</v>
      </c>
      <c r="C206" s="161"/>
      <c r="D206" s="161"/>
      <c r="E206" s="161"/>
      <c r="F206" s="161"/>
      <c r="G206" s="161"/>
      <c r="H206" s="161"/>
      <c r="J206" s="196" t="s">
        <v>169</v>
      </c>
      <c r="K206" s="161"/>
      <c r="L206" s="161"/>
      <c r="M206" s="161"/>
      <c r="N206" s="161"/>
      <c r="O206" s="161"/>
      <c r="P206" s="161"/>
    </row>
    <row r="207" spans="1:16" ht="14">
      <c r="A207" s="160"/>
      <c r="B207" s="161" t="s">
        <v>92</v>
      </c>
      <c r="C207" s="162" t="s">
        <v>123</v>
      </c>
      <c r="D207" s="163">
        <v>44986</v>
      </c>
      <c r="E207" s="163">
        <v>44621</v>
      </c>
      <c r="F207" s="162" t="s">
        <v>124</v>
      </c>
      <c r="G207" s="162" t="s">
        <v>126</v>
      </c>
      <c r="H207" s="162" t="s">
        <v>133</v>
      </c>
      <c r="J207" s="161" t="s">
        <v>92</v>
      </c>
      <c r="K207" s="162" t="s">
        <v>123</v>
      </c>
      <c r="L207" s="163" t="s">
        <v>170</v>
      </c>
      <c r="M207" s="163" t="s">
        <v>171</v>
      </c>
      <c r="N207" s="164" t="s">
        <v>124</v>
      </c>
      <c r="O207" s="164" t="s">
        <v>126</v>
      </c>
      <c r="P207" s="164" t="s">
        <v>133</v>
      </c>
    </row>
    <row r="208" spans="1:16" ht="14">
      <c r="A208" s="160"/>
      <c r="B208" s="161">
        <v>1</v>
      </c>
      <c r="C208" s="162" t="s">
        <v>98</v>
      </c>
      <c r="D208" s="193">
        <v>21.1</v>
      </c>
      <c r="E208" s="164">
        <v>15.3</v>
      </c>
      <c r="F208" s="194">
        <f>D208/E208-1</f>
        <v>0.37908496732026142</v>
      </c>
      <c r="G208" s="194">
        <f>D208/$D$219</f>
        <v>0.36505190311418689</v>
      </c>
      <c r="H208" s="195">
        <f>E208/$E$219</f>
        <v>0.36602870813397131</v>
      </c>
      <c r="J208" s="161">
        <v>1</v>
      </c>
      <c r="K208" s="162" t="s">
        <v>98</v>
      </c>
      <c r="L208" s="193">
        <v>46.6</v>
      </c>
      <c r="M208" s="205">
        <v>34.299999999999997</v>
      </c>
      <c r="N208" s="167">
        <v>0.35899999999999999</v>
      </c>
      <c r="O208" s="167">
        <v>0.35</v>
      </c>
      <c r="P208" s="167">
        <v>0.35799999999999998</v>
      </c>
    </row>
    <row r="209" spans="1:16" ht="14">
      <c r="A209" s="160"/>
      <c r="B209" s="161">
        <v>2</v>
      </c>
      <c r="C209" s="162" t="s">
        <v>101</v>
      </c>
      <c r="D209" s="193">
        <v>9.3000000000000007</v>
      </c>
      <c r="E209" s="164">
        <v>7.4</v>
      </c>
      <c r="F209" s="194">
        <f t="shared" ref="F209:F219" si="59">D209/E209-1</f>
        <v>0.2567567567567568</v>
      </c>
      <c r="G209" s="194">
        <f t="shared" ref="G209:G219" si="60">D209/$D$219</f>
        <v>0.16089965397923878</v>
      </c>
      <c r="H209" s="195">
        <f t="shared" ref="H209:H219" si="61">E209/$E$219</f>
        <v>0.17703349282296652</v>
      </c>
      <c r="J209" s="161">
        <v>2</v>
      </c>
      <c r="K209" s="162" t="s">
        <v>96</v>
      </c>
      <c r="L209" s="193">
        <v>21.5</v>
      </c>
      <c r="M209" s="205">
        <v>10</v>
      </c>
      <c r="N209" s="167">
        <v>1.155</v>
      </c>
      <c r="O209" s="167">
        <v>0.16200000000000001</v>
      </c>
      <c r="P209" s="167">
        <v>0.104</v>
      </c>
    </row>
    <row r="210" spans="1:16" ht="14">
      <c r="A210" s="160"/>
      <c r="B210" s="161">
        <v>3</v>
      </c>
      <c r="C210" s="162" t="s">
        <v>96</v>
      </c>
      <c r="D210" s="193">
        <v>7.8</v>
      </c>
      <c r="E210" s="164">
        <v>3.9</v>
      </c>
      <c r="F210" s="194">
        <f t="shared" si="59"/>
        <v>1</v>
      </c>
      <c r="G210" s="194">
        <f t="shared" si="60"/>
        <v>0.13494809688581316</v>
      </c>
      <c r="H210" s="195">
        <f t="shared" si="61"/>
        <v>9.3301435406698566E-2</v>
      </c>
      <c r="J210" s="161">
        <v>3</v>
      </c>
      <c r="K210" s="162" t="s">
        <v>101</v>
      </c>
      <c r="L210" s="197">
        <v>19.3</v>
      </c>
      <c r="M210" s="205">
        <v>14</v>
      </c>
      <c r="N210" s="167">
        <v>0.375</v>
      </c>
      <c r="O210" s="167">
        <v>0.14499999999999999</v>
      </c>
      <c r="P210" s="167">
        <v>0.14599999999999999</v>
      </c>
    </row>
    <row r="211" spans="1:16" ht="14">
      <c r="A211" s="160"/>
      <c r="B211" s="161">
        <v>4</v>
      </c>
      <c r="C211" s="162" t="s">
        <v>99</v>
      </c>
      <c r="D211" s="193">
        <v>4.0999999999999996</v>
      </c>
      <c r="E211" s="164">
        <v>3.4</v>
      </c>
      <c r="F211" s="194">
        <f t="shared" si="59"/>
        <v>0.20588235294117641</v>
      </c>
      <c r="G211" s="194">
        <f t="shared" si="60"/>
        <v>7.0934256055363312E-2</v>
      </c>
      <c r="H211" s="195">
        <f t="shared" si="61"/>
        <v>8.1339712918660295E-2</v>
      </c>
      <c r="J211" s="161">
        <v>4</v>
      </c>
      <c r="K211" s="162" t="s">
        <v>99</v>
      </c>
      <c r="L211" s="193">
        <v>11.9</v>
      </c>
      <c r="M211" s="205">
        <v>8.6999999999999993</v>
      </c>
      <c r="N211" s="167">
        <v>0.377</v>
      </c>
      <c r="O211" s="167">
        <v>0.09</v>
      </c>
      <c r="P211" s="167">
        <v>0.09</v>
      </c>
    </row>
    <row r="212" spans="1:16" ht="14">
      <c r="A212" s="160"/>
      <c r="B212" s="161">
        <v>5</v>
      </c>
      <c r="C212" s="162" t="s">
        <v>109</v>
      </c>
      <c r="D212" s="193">
        <v>3.2</v>
      </c>
      <c r="E212" s="164">
        <v>1.7</v>
      </c>
      <c r="F212" s="194">
        <f t="shared" si="59"/>
        <v>0.88235294117647078</v>
      </c>
      <c r="G212" s="194">
        <f t="shared" si="60"/>
        <v>5.5363321799307967E-2</v>
      </c>
      <c r="H212" s="195">
        <f t="shared" si="61"/>
        <v>4.0669856459330148E-2</v>
      </c>
      <c r="J212" s="161">
        <v>5</v>
      </c>
      <c r="K212" s="161" t="s">
        <v>107</v>
      </c>
      <c r="L212" s="193">
        <v>7.1</v>
      </c>
      <c r="M212" s="205">
        <v>6.7</v>
      </c>
      <c r="N212" s="167">
        <v>5.0999999999999997E-2</v>
      </c>
      <c r="O212" s="167">
        <v>5.2999999999999999E-2</v>
      </c>
      <c r="P212" s="167">
        <v>7.0000000000000007E-2</v>
      </c>
    </row>
    <row r="213" spans="1:16" ht="14">
      <c r="A213" s="160"/>
      <c r="B213" s="161">
        <v>6</v>
      </c>
      <c r="C213" s="162" t="s">
        <v>107</v>
      </c>
      <c r="D213" s="193">
        <v>3</v>
      </c>
      <c r="E213" s="164">
        <v>2.7</v>
      </c>
      <c r="F213" s="194">
        <f t="shared" si="59"/>
        <v>0.11111111111111094</v>
      </c>
      <c r="G213" s="194">
        <f t="shared" si="60"/>
        <v>5.1903114186851215E-2</v>
      </c>
      <c r="H213" s="195">
        <f t="shared" si="61"/>
        <v>6.4593301435406703E-2</v>
      </c>
      <c r="J213" s="161">
        <v>6</v>
      </c>
      <c r="K213" s="162" t="s">
        <v>105</v>
      </c>
      <c r="L213" s="193">
        <v>6.5</v>
      </c>
      <c r="M213" s="205">
        <v>4.3</v>
      </c>
      <c r="N213" s="167">
        <v>0.52900000000000003</v>
      </c>
      <c r="O213" s="167">
        <v>4.9000000000000002E-2</v>
      </c>
      <c r="P213" s="167">
        <v>4.3999999999999997E-2</v>
      </c>
    </row>
    <row r="214" spans="1:16" ht="14">
      <c r="A214" s="160"/>
      <c r="B214" s="161">
        <v>7</v>
      </c>
      <c r="C214" s="162" t="s">
        <v>105</v>
      </c>
      <c r="D214" s="193">
        <v>2.8</v>
      </c>
      <c r="E214" s="164">
        <v>2</v>
      </c>
      <c r="F214" s="194">
        <f t="shared" si="59"/>
        <v>0.39999999999999991</v>
      </c>
      <c r="G214" s="194">
        <f t="shared" si="60"/>
        <v>4.8442906574394463E-2</v>
      </c>
      <c r="H214" s="195">
        <f t="shared" si="61"/>
        <v>4.784688995215311E-2</v>
      </c>
      <c r="J214" s="161">
        <v>7</v>
      </c>
      <c r="K214" s="162" t="s">
        <v>109</v>
      </c>
      <c r="L214" s="193">
        <v>5.7</v>
      </c>
      <c r="M214" s="205">
        <v>4.0999999999999996</v>
      </c>
      <c r="N214" s="167">
        <v>0.39800000000000002</v>
      </c>
      <c r="O214" s="167">
        <v>4.2999999999999997E-2</v>
      </c>
      <c r="P214" s="167">
        <v>4.2999999999999997E-2</v>
      </c>
    </row>
    <row r="215" spans="1:16" ht="14">
      <c r="A215" s="160"/>
      <c r="B215" s="161">
        <v>8</v>
      </c>
      <c r="C215" s="162" t="s">
        <v>103</v>
      </c>
      <c r="D215" s="193">
        <v>1.4</v>
      </c>
      <c r="E215" s="164">
        <v>0.9</v>
      </c>
      <c r="F215" s="194">
        <f t="shared" si="59"/>
        <v>0.55555555555555536</v>
      </c>
      <c r="G215" s="194">
        <f t="shared" si="60"/>
        <v>2.4221453287197232E-2</v>
      </c>
      <c r="H215" s="195">
        <f t="shared" si="61"/>
        <v>2.1531100478468901E-2</v>
      </c>
      <c r="J215" s="161">
        <v>8</v>
      </c>
      <c r="K215" s="162" t="s">
        <v>103</v>
      </c>
      <c r="L215" s="193">
        <v>2.9</v>
      </c>
      <c r="M215" s="205">
        <v>2.6</v>
      </c>
      <c r="N215" s="167">
        <v>0.13700000000000001</v>
      </c>
      <c r="O215" s="167">
        <v>2.1999999999999999E-2</v>
      </c>
      <c r="P215" s="167">
        <v>2.7E-2</v>
      </c>
    </row>
    <row r="216" spans="1:16" ht="14">
      <c r="A216" s="160"/>
      <c r="B216" s="161">
        <v>9</v>
      </c>
      <c r="C216" s="162" t="s">
        <v>116</v>
      </c>
      <c r="D216" s="193">
        <v>1</v>
      </c>
      <c r="E216" s="164">
        <v>0.6</v>
      </c>
      <c r="F216" s="194">
        <f t="shared" si="59"/>
        <v>0.66666666666666674</v>
      </c>
      <c r="G216" s="194">
        <f t="shared" si="60"/>
        <v>1.7301038062283738E-2</v>
      </c>
      <c r="H216" s="195">
        <f t="shared" si="61"/>
        <v>1.4354066985645933E-2</v>
      </c>
      <c r="J216" s="161">
        <v>9</v>
      </c>
      <c r="K216" s="162" t="s">
        <v>116</v>
      </c>
      <c r="L216" s="193">
        <v>2.4</v>
      </c>
      <c r="M216" s="205">
        <v>1.4</v>
      </c>
      <c r="N216" s="167">
        <v>0.755</v>
      </c>
      <c r="O216" s="167">
        <v>1.7999999999999999E-2</v>
      </c>
      <c r="P216" s="167">
        <v>1.4E-2</v>
      </c>
    </row>
    <row r="217" spans="1:16" ht="14">
      <c r="A217" s="160"/>
      <c r="B217" s="162">
        <v>10</v>
      </c>
      <c r="C217" s="162" t="s">
        <v>114</v>
      </c>
      <c r="D217" s="193">
        <v>0.8</v>
      </c>
      <c r="E217" s="164">
        <v>0.6</v>
      </c>
      <c r="F217" s="194">
        <f t="shared" si="59"/>
        <v>0.33333333333333348</v>
      </c>
      <c r="G217" s="194">
        <f t="shared" si="60"/>
        <v>1.3840830449826992E-2</v>
      </c>
      <c r="H217" s="195">
        <f t="shared" si="61"/>
        <v>1.4354066985645933E-2</v>
      </c>
      <c r="J217" s="198">
        <v>10</v>
      </c>
      <c r="K217" s="198" t="s">
        <v>114</v>
      </c>
      <c r="L217" s="193">
        <v>1.9</v>
      </c>
      <c r="M217" s="205">
        <v>1.5</v>
      </c>
      <c r="N217" s="167">
        <v>0.28499999999999998</v>
      </c>
      <c r="O217" s="167">
        <v>1.4E-2</v>
      </c>
      <c r="P217" s="167">
        <v>1.6E-2</v>
      </c>
    </row>
    <row r="218" spans="1:16" ht="14">
      <c r="A218" s="160"/>
      <c r="B218" s="162" t="s">
        <v>118</v>
      </c>
      <c r="C218" s="162"/>
      <c r="D218" s="193">
        <v>3.2</v>
      </c>
      <c r="E218" s="193">
        <v>3.5</v>
      </c>
      <c r="F218" s="194">
        <f t="shared" si="59"/>
        <v>-8.5714285714285632E-2</v>
      </c>
      <c r="G218" s="194">
        <f t="shared" si="60"/>
        <v>5.5363321799307967E-2</v>
      </c>
      <c r="H218" s="195">
        <f t="shared" si="61"/>
        <v>8.3732057416267949E-2</v>
      </c>
      <c r="J218" s="162"/>
      <c r="K218" s="162" t="s">
        <v>39</v>
      </c>
      <c r="L218" s="193">
        <v>7.1</v>
      </c>
      <c r="M218" s="205">
        <v>8.5</v>
      </c>
      <c r="N218" s="167">
        <v>-0.16</v>
      </c>
      <c r="O218" s="167">
        <v>5.2999999999999999E-2</v>
      </c>
      <c r="P218" s="167">
        <v>8.7999999999999995E-2</v>
      </c>
    </row>
    <row r="219" spans="1:16" ht="14">
      <c r="A219" s="160"/>
      <c r="B219" s="22" t="s">
        <v>48</v>
      </c>
      <c r="C219" s="22"/>
      <c r="D219" s="203">
        <v>57.8</v>
      </c>
      <c r="E219" s="203">
        <v>41.8</v>
      </c>
      <c r="F219" s="194">
        <f t="shared" si="59"/>
        <v>0.38277511961722488</v>
      </c>
      <c r="G219" s="194">
        <f t="shared" si="60"/>
        <v>1</v>
      </c>
      <c r="H219" s="195">
        <f t="shared" si="61"/>
        <v>1</v>
      </c>
      <c r="J219" s="162" t="s">
        <v>48</v>
      </c>
      <c r="K219" s="162"/>
      <c r="L219" s="162">
        <v>133</v>
      </c>
      <c r="M219" s="162">
        <v>95.9</v>
      </c>
      <c r="N219" s="194">
        <v>0.38600000000000001</v>
      </c>
      <c r="O219" s="167">
        <v>1</v>
      </c>
      <c r="P219" s="167">
        <v>1</v>
      </c>
    </row>
    <row r="220" spans="1:16" ht="14">
      <c r="A220" s="160"/>
      <c r="G220" s="206"/>
      <c r="H220" s="206"/>
    </row>
    <row r="221" spans="1:16" ht="14">
      <c r="A221" s="160"/>
    </row>
    <row r="222" spans="1:16" ht="14">
      <c r="A222" s="160"/>
    </row>
    <row r="223" spans="1:16" ht="14">
      <c r="A223" s="160"/>
      <c r="B223" s="161" t="s">
        <v>172</v>
      </c>
      <c r="C223" s="161"/>
      <c r="D223" s="161"/>
      <c r="E223" s="161"/>
      <c r="F223" s="161"/>
      <c r="G223" s="161"/>
      <c r="H223" s="161"/>
      <c r="J223" s="196" t="s">
        <v>173</v>
      </c>
      <c r="K223" s="161"/>
      <c r="L223" s="161"/>
      <c r="M223" s="161"/>
      <c r="N223" s="161"/>
      <c r="O223" s="161"/>
      <c r="P223" s="161"/>
    </row>
    <row r="224" spans="1:16" ht="14">
      <c r="A224" s="160"/>
      <c r="B224" s="161" t="s">
        <v>92</v>
      </c>
      <c r="C224" s="162" t="s">
        <v>123</v>
      </c>
      <c r="D224" s="163">
        <v>44958</v>
      </c>
      <c r="E224" s="163">
        <v>44593</v>
      </c>
      <c r="F224" s="162" t="s">
        <v>124</v>
      </c>
      <c r="G224" s="162" t="s">
        <v>126</v>
      </c>
      <c r="H224" s="162" t="s">
        <v>133</v>
      </c>
      <c r="J224" s="161" t="s">
        <v>92</v>
      </c>
      <c r="K224" s="162" t="s">
        <v>123</v>
      </c>
      <c r="L224" s="163" t="s">
        <v>128</v>
      </c>
      <c r="M224" s="163" t="s">
        <v>174</v>
      </c>
      <c r="N224" s="164" t="s">
        <v>124</v>
      </c>
      <c r="O224" s="164" t="s">
        <v>126</v>
      </c>
      <c r="P224" s="164" t="s">
        <v>133</v>
      </c>
    </row>
    <row r="225" spans="1:16" ht="14">
      <c r="A225" s="160"/>
      <c r="B225" s="161">
        <v>1</v>
      </c>
      <c r="C225" s="162" t="s">
        <v>98</v>
      </c>
      <c r="D225" s="193">
        <v>14.3</v>
      </c>
      <c r="E225" s="193">
        <v>8.5</v>
      </c>
      <c r="F225" s="194">
        <f>D225/E225-1</f>
        <v>0.68235294117647061</v>
      </c>
      <c r="G225" s="194">
        <f>D225/42.2</f>
        <v>0.33886255924170616</v>
      </c>
      <c r="H225" s="194">
        <f>E225/26.2</f>
        <v>0.32442748091603052</v>
      </c>
      <c r="J225" s="161">
        <v>1</v>
      </c>
      <c r="K225" s="162" t="s">
        <v>98</v>
      </c>
      <c r="L225" s="193">
        <v>25.5</v>
      </c>
      <c r="M225" s="205">
        <v>19</v>
      </c>
      <c r="N225" s="167">
        <v>0.34</v>
      </c>
      <c r="O225" s="167">
        <v>0.33900000000000002</v>
      </c>
      <c r="P225" s="167">
        <v>0.35099999999999998</v>
      </c>
    </row>
    <row r="226" spans="1:16" ht="14">
      <c r="A226" s="160"/>
      <c r="B226" s="161">
        <v>2</v>
      </c>
      <c r="C226" s="162" t="s">
        <v>96</v>
      </c>
      <c r="D226" s="193">
        <v>7.9</v>
      </c>
      <c r="E226" s="193">
        <v>2.8</v>
      </c>
      <c r="F226" s="194">
        <f t="shared" ref="F226:F236" si="62">D226/E226-1</f>
        <v>1.8214285714285716</v>
      </c>
      <c r="G226" s="194">
        <f t="shared" ref="G226:G236" si="63">D226/42.2</f>
        <v>0.1872037914691943</v>
      </c>
      <c r="H226" s="194">
        <f t="shared" ref="H226:H236" si="64">E226/26.2</f>
        <v>0.10687022900763359</v>
      </c>
      <c r="J226" s="161">
        <v>2</v>
      </c>
      <c r="K226" s="162" t="s">
        <v>96</v>
      </c>
      <c r="L226" s="193">
        <v>13.7</v>
      </c>
      <c r="M226" s="205">
        <v>6.1</v>
      </c>
      <c r="N226" s="167">
        <v>1.226</v>
      </c>
      <c r="O226" s="167">
        <v>0.182</v>
      </c>
      <c r="P226" s="167">
        <v>0.113</v>
      </c>
    </row>
    <row r="227" spans="1:16" ht="14">
      <c r="A227" s="160"/>
      <c r="B227" s="161">
        <v>3</v>
      </c>
      <c r="C227" s="162" t="s">
        <v>101</v>
      </c>
      <c r="D227" s="193">
        <v>5.7</v>
      </c>
      <c r="E227" s="193">
        <v>3.8</v>
      </c>
      <c r="F227" s="194">
        <f t="shared" si="62"/>
        <v>0.50000000000000022</v>
      </c>
      <c r="G227" s="194">
        <f t="shared" si="63"/>
        <v>0.13507109004739337</v>
      </c>
      <c r="H227" s="194">
        <f t="shared" si="64"/>
        <v>0.14503816793893129</v>
      </c>
      <c r="J227" s="161">
        <v>3</v>
      </c>
      <c r="K227" s="162" t="s">
        <v>101</v>
      </c>
      <c r="L227" s="197">
        <v>10</v>
      </c>
      <c r="M227" s="205">
        <v>6.6</v>
      </c>
      <c r="N227" s="167">
        <v>0.51900000000000002</v>
      </c>
      <c r="O227" s="167">
        <v>0.13300000000000001</v>
      </c>
      <c r="P227" s="167">
        <v>0.122</v>
      </c>
    </row>
    <row r="228" spans="1:16" ht="14">
      <c r="A228" s="160"/>
      <c r="B228" s="161">
        <v>4</v>
      </c>
      <c r="C228" s="162" t="s">
        <v>99</v>
      </c>
      <c r="D228" s="193">
        <v>4.0999999999999996</v>
      </c>
      <c r="E228" s="193">
        <v>2.8</v>
      </c>
      <c r="F228" s="194">
        <f t="shared" si="62"/>
        <v>0.46428571428571419</v>
      </c>
      <c r="G228" s="194">
        <f t="shared" si="63"/>
        <v>9.7156398104265393E-2</v>
      </c>
      <c r="H228" s="194">
        <f t="shared" si="64"/>
        <v>0.10687022900763359</v>
      </c>
      <c r="J228" s="161">
        <v>4</v>
      </c>
      <c r="K228" s="162" t="s">
        <v>99</v>
      </c>
      <c r="L228" s="193">
        <v>7.8</v>
      </c>
      <c r="M228" s="205">
        <v>5.3</v>
      </c>
      <c r="N228" s="167">
        <v>0.47599999999999998</v>
      </c>
      <c r="O228" s="167">
        <v>0.104</v>
      </c>
      <c r="P228" s="167">
        <v>9.8000000000000004E-2</v>
      </c>
    </row>
    <row r="229" spans="1:16" ht="14">
      <c r="A229" s="160"/>
      <c r="B229" s="161">
        <v>5</v>
      </c>
      <c r="C229" s="162" t="s">
        <v>105</v>
      </c>
      <c r="D229" s="193">
        <v>1.9</v>
      </c>
      <c r="E229" s="193">
        <v>1.1000000000000001</v>
      </c>
      <c r="F229" s="194">
        <f t="shared" si="62"/>
        <v>0.72727272727272707</v>
      </c>
      <c r="G229" s="194">
        <f t="shared" si="63"/>
        <v>4.5023696682464448E-2</v>
      </c>
      <c r="H229" s="194">
        <f t="shared" si="64"/>
        <v>4.1984732824427488E-2</v>
      </c>
      <c r="J229" s="161">
        <v>5</v>
      </c>
      <c r="K229" s="161" t="s">
        <v>107</v>
      </c>
      <c r="L229" s="193">
        <v>4.0999999999999996</v>
      </c>
      <c r="M229" s="205">
        <v>4</v>
      </c>
      <c r="N229" s="167">
        <v>3.7999999999999999E-2</v>
      </c>
      <c r="O229" s="167">
        <v>5.5E-2</v>
      </c>
      <c r="P229" s="167">
        <v>7.3999999999999996E-2</v>
      </c>
    </row>
    <row r="230" spans="1:16" ht="14">
      <c r="A230" s="160"/>
      <c r="B230" s="161">
        <v>6</v>
      </c>
      <c r="C230" s="162" t="s">
        <v>107</v>
      </c>
      <c r="D230" s="193">
        <v>2.6</v>
      </c>
      <c r="E230" s="193">
        <v>2.4</v>
      </c>
      <c r="F230" s="194">
        <f t="shared" si="62"/>
        <v>8.3333333333333481E-2</v>
      </c>
      <c r="G230" s="194">
        <f t="shared" si="63"/>
        <v>6.1611374407582936E-2</v>
      </c>
      <c r="H230" s="194">
        <f t="shared" si="64"/>
        <v>9.1603053435114504E-2</v>
      </c>
      <c r="J230" s="161">
        <v>6</v>
      </c>
      <c r="K230" s="162" t="s">
        <v>105</v>
      </c>
      <c r="L230" s="193">
        <v>3.7</v>
      </c>
      <c r="M230" s="205">
        <v>2.2999999999999998</v>
      </c>
      <c r="N230" s="167">
        <v>0.57199999999999995</v>
      </c>
      <c r="O230" s="167">
        <v>4.9000000000000002E-2</v>
      </c>
      <c r="P230" s="167">
        <v>4.2999999999999997E-2</v>
      </c>
    </row>
    <row r="231" spans="1:16" ht="14">
      <c r="A231" s="160"/>
      <c r="B231" s="161">
        <v>7</v>
      </c>
      <c r="C231" s="162" t="s">
        <v>109</v>
      </c>
      <c r="D231" s="193">
        <v>1.7</v>
      </c>
      <c r="E231" s="193">
        <v>0.9</v>
      </c>
      <c r="F231" s="194">
        <f t="shared" si="62"/>
        <v>0.88888888888888884</v>
      </c>
      <c r="G231" s="194">
        <f t="shared" si="63"/>
        <v>4.0284360189573459E-2</v>
      </c>
      <c r="H231" s="194">
        <f t="shared" si="64"/>
        <v>3.4351145038167941E-2</v>
      </c>
      <c r="J231" s="161">
        <v>7</v>
      </c>
      <c r="K231" s="162" t="s">
        <v>109</v>
      </c>
      <c r="L231" s="193">
        <v>2.5</v>
      </c>
      <c r="M231" s="205">
        <v>2.4</v>
      </c>
      <c r="N231" s="167">
        <v>0.05</v>
      </c>
      <c r="O231" s="167">
        <v>3.4000000000000002E-2</v>
      </c>
      <c r="P231" s="167">
        <v>4.4999999999999998E-2</v>
      </c>
    </row>
    <row r="232" spans="1:16" ht="14">
      <c r="A232" s="160"/>
      <c r="B232" s="161">
        <v>8</v>
      </c>
      <c r="C232" s="162" t="s">
        <v>103</v>
      </c>
      <c r="D232" s="193">
        <v>0.8</v>
      </c>
      <c r="E232" s="193">
        <v>0.8</v>
      </c>
      <c r="F232" s="194">
        <f t="shared" si="62"/>
        <v>0</v>
      </c>
      <c r="G232" s="194">
        <f t="shared" si="63"/>
        <v>1.8957345971563982E-2</v>
      </c>
      <c r="H232" s="194">
        <f t="shared" si="64"/>
        <v>3.053435114503817E-2</v>
      </c>
      <c r="J232" s="161">
        <v>8</v>
      </c>
      <c r="K232" s="162" t="s">
        <v>103</v>
      </c>
      <c r="L232" s="193">
        <v>1.5</v>
      </c>
      <c r="M232" s="205">
        <v>1.7</v>
      </c>
      <c r="N232" s="167">
        <v>-8.2000000000000003E-2</v>
      </c>
      <c r="O232" s="167">
        <v>0.02</v>
      </c>
      <c r="P232" s="167">
        <v>3.1E-2</v>
      </c>
    </row>
    <row r="233" spans="1:16" ht="14">
      <c r="A233" s="160"/>
      <c r="B233" s="161">
        <v>9</v>
      </c>
      <c r="C233" s="162" t="s">
        <v>116</v>
      </c>
      <c r="D233" s="193">
        <v>0.8</v>
      </c>
      <c r="E233" s="193">
        <v>0.3</v>
      </c>
      <c r="F233" s="194">
        <f t="shared" si="62"/>
        <v>1.666666666666667</v>
      </c>
      <c r="G233" s="194">
        <f t="shared" si="63"/>
        <v>1.8957345971563982E-2</v>
      </c>
      <c r="H233" s="194">
        <f t="shared" si="64"/>
        <v>1.1450381679389313E-2</v>
      </c>
      <c r="J233" s="161">
        <v>9</v>
      </c>
      <c r="K233" s="162" t="s">
        <v>116</v>
      </c>
      <c r="L233" s="193">
        <v>1.4</v>
      </c>
      <c r="M233" s="205">
        <v>0.8</v>
      </c>
      <c r="N233" s="167">
        <v>0.73899999999999999</v>
      </c>
      <c r="O233" s="167">
        <v>1.7999999999999999E-2</v>
      </c>
      <c r="P233" s="167">
        <v>1.4E-2</v>
      </c>
    </row>
    <row r="234" spans="1:16" ht="14">
      <c r="A234" s="160"/>
      <c r="B234" s="162">
        <v>10</v>
      </c>
      <c r="C234" s="162" t="s">
        <v>114</v>
      </c>
      <c r="D234" s="193">
        <v>0.6</v>
      </c>
      <c r="E234" s="193">
        <v>0.4</v>
      </c>
      <c r="F234" s="194">
        <f t="shared" si="62"/>
        <v>0.49999999999999978</v>
      </c>
      <c r="G234" s="194">
        <f t="shared" si="63"/>
        <v>1.4218009478672985E-2</v>
      </c>
      <c r="H234" s="194">
        <f t="shared" si="64"/>
        <v>1.5267175572519085E-2</v>
      </c>
      <c r="J234" s="198">
        <v>10</v>
      </c>
      <c r="K234" s="198" t="s">
        <v>114</v>
      </c>
      <c r="L234" s="193">
        <v>1.1000000000000001</v>
      </c>
      <c r="M234" s="205">
        <v>0.9</v>
      </c>
      <c r="N234" s="167">
        <v>0.17499999999999999</v>
      </c>
      <c r="O234" s="167">
        <v>1.4E-2</v>
      </c>
      <c r="P234" s="167">
        <v>1.7000000000000001E-2</v>
      </c>
    </row>
    <row r="235" spans="1:16" ht="14">
      <c r="A235" s="160"/>
      <c r="B235" s="162" t="s">
        <v>118</v>
      </c>
      <c r="C235" s="162"/>
      <c r="D235" s="193">
        <v>1.9</v>
      </c>
      <c r="E235" s="193">
        <v>2.2999999999999998</v>
      </c>
      <c r="F235" s="194">
        <f t="shared" si="62"/>
        <v>-0.17391304347826086</v>
      </c>
      <c r="G235" s="194">
        <f t="shared" si="63"/>
        <v>4.5023696682464448E-2</v>
      </c>
      <c r="H235" s="194">
        <f t="shared" si="64"/>
        <v>8.7786259541984726E-2</v>
      </c>
      <c r="J235" s="162"/>
      <c r="K235" s="162" t="s">
        <v>39</v>
      </c>
      <c r="L235" s="193">
        <v>3.9</v>
      </c>
      <c r="M235" s="205">
        <v>5</v>
      </c>
      <c r="N235" s="167">
        <v>-0.20799999999999999</v>
      </c>
      <c r="O235" s="167">
        <v>5.1999999999999998E-2</v>
      </c>
      <c r="P235" s="167">
        <v>9.1999999999999998E-2</v>
      </c>
    </row>
    <row r="236" spans="1:16" ht="14">
      <c r="A236" s="160"/>
      <c r="B236" s="22" t="s">
        <v>48</v>
      </c>
      <c r="C236" s="22"/>
      <c r="D236" s="203">
        <v>42.2</v>
      </c>
      <c r="E236" s="203">
        <v>26.2</v>
      </c>
      <c r="F236" s="194">
        <f t="shared" si="62"/>
        <v>0.61068702290076349</v>
      </c>
      <c r="G236" s="194">
        <f t="shared" si="63"/>
        <v>1</v>
      </c>
      <c r="H236" s="194">
        <f t="shared" si="64"/>
        <v>1</v>
      </c>
      <c r="J236" s="162" t="s">
        <v>48</v>
      </c>
      <c r="K236" s="162"/>
      <c r="L236" s="162">
        <v>75.2</v>
      </c>
      <c r="M236" s="162">
        <v>54.1</v>
      </c>
      <c r="N236" s="194">
        <f>L236/M236-1</f>
        <v>0.39001848428835495</v>
      </c>
      <c r="O236" s="167">
        <v>1</v>
      </c>
      <c r="P236" s="167">
        <v>1</v>
      </c>
    </row>
    <row r="237" spans="1:16" ht="14">
      <c r="A237" s="160"/>
      <c r="G237" s="206"/>
      <c r="H237" s="206"/>
    </row>
    <row r="238" spans="1:16" ht="14">
      <c r="A238" s="160"/>
    </row>
    <row r="239" spans="1:16" ht="14">
      <c r="A239" s="160"/>
    </row>
    <row r="240" spans="1:16" ht="14">
      <c r="B240" s="161" t="s">
        <v>175</v>
      </c>
      <c r="C240" s="161"/>
      <c r="D240" s="161"/>
      <c r="E240" s="161"/>
      <c r="F240" s="161"/>
      <c r="G240" s="161"/>
      <c r="H240" s="161"/>
      <c r="I240" s="22"/>
    </row>
    <row r="241" spans="1:9" ht="14">
      <c r="A241" s="160"/>
      <c r="B241" s="161" t="s">
        <v>92</v>
      </c>
      <c r="C241" s="162" t="s">
        <v>123</v>
      </c>
      <c r="D241" s="163">
        <v>44927</v>
      </c>
      <c r="E241" s="163">
        <v>44562</v>
      </c>
      <c r="F241" s="162" t="s">
        <v>124</v>
      </c>
      <c r="G241" s="162" t="s">
        <v>126</v>
      </c>
      <c r="H241" s="162" t="s">
        <v>133</v>
      </c>
      <c r="I241" s="22"/>
    </row>
    <row r="242" spans="1:9" ht="14">
      <c r="A242" s="160"/>
      <c r="B242" s="161">
        <v>1</v>
      </c>
      <c r="C242" s="162" t="s">
        <v>98</v>
      </c>
      <c r="D242" s="193">
        <v>11.2</v>
      </c>
      <c r="E242" s="193">
        <v>10.5</v>
      </c>
      <c r="F242" s="194">
        <v>6.5000000000000002E-2</v>
      </c>
      <c r="G242" s="194">
        <v>0.33900000000000002</v>
      </c>
      <c r="H242" s="194">
        <v>0.376</v>
      </c>
      <c r="I242" s="22"/>
    </row>
    <row r="243" spans="1:9" ht="14">
      <c r="A243" s="160"/>
      <c r="B243" s="161">
        <v>2</v>
      </c>
      <c r="C243" s="162" t="s">
        <v>96</v>
      </c>
      <c r="D243" s="193">
        <v>5.8</v>
      </c>
      <c r="E243" s="193">
        <v>3.3</v>
      </c>
      <c r="F243" s="194">
        <v>0.78800000000000003</v>
      </c>
      <c r="G243" s="194">
        <v>0.17599999999999999</v>
      </c>
      <c r="H243" s="194">
        <v>0.11600000000000001</v>
      </c>
      <c r="I243" s="22"/>
    </row>
    <row r="244" spans="1:9" ht="14">
      <c r="A244" s="160"/>
      <c r="B244" s="161">
        <v>3</v>
      </c>
      <c r="C244" s="162" t="s">
        <v>101</v>
      </c>
      <c r="D244" s="193">
        <v>4.3</v>
      </c>
      <c r="E244" s="193">
        <v>2.8</v>
      </c>
      <c r="F244" s="194">
        <v>0.51300000000000001</v>
      </c>
      <c r="G244" s="194">
        <v>0.13</v>
      </c>
      <c r="H244" s="194">
        <v>0.10100000000000001</v>
      </c>
      <c r="I244" s="22"/>
    </row>
    <row r="245" spans="1:9" ht="14">
      <c r="A245" s="160"/>
      <c r="B245" s="161">
        <v>4</v>
      </c>
      <c r="C245" s="162" t="s">
        <v>99</v>
      </c>
      <c r="D245" s="193">
        <v>3.7</v>
      </c>
      <c r="E245" s="193">
        <v>2.5</v>
      </c>
      <c r="F245" s="194">
        <v>0.45300000000000001</v>
      </c>
      <c r="G245" s="194">
        <v>0.112</v>
      </c>
      <c r="H245" s="194">
        <v>9.0999999999999998E-2</v>
      </c>
      <c r="I245" s="22"/>
    </row>
    <row r="246" spans="1:9" ht="14">
      <c r="A246" s="160"/>
      <c r="B246" s="161">
        <v>5</v>
      </c>
      <c r="C246" s="162" t="s">
        <v>105</v>
      </c>
      <c r="D246" s="193">
        <v>1.8</v>
      </c>
      <c r="E246" s="193">
        <v>1.2</v>
      </c>
      <c r="F246" s="194">
        <v>0.52600000000000002</v>
      </c>
      <c r="G246" s="194">
        <v>5.5E-2</v>
      </c>
      <c r="H246" s="194" t="s">
        <v>176</v>
      </c>
      <c r="I246" s="22"/>
    </row>
    <row r="247" spans="1:9" ht="14">
      <c r="A247" s="160"/>
      <c r="B247" s="161">
        <v>6</v>
      </c>
      <c r="C247" s="162" t="s">
        <v>107</v>
      </c>
      <c r="D247" s="193">
        <v>1.5</v>
      </c>
      <c r="E247" s="193">
        <v>1.6</v>
      </c>
      <c r="F247" s="194">
        <v>-1.2E-2</v>
      </c>
      <c r="G247" s="194">
        <v>4.7E-2</v>
      </c>
      <c r="H247" s="194">
        <v>5.6000000000000001E-2</v>
      </c>
      <c r="I247" s="22"/>
    </row>
    <row r="248" spans="1:9" ht="14">
      <c r="A248" s="160"/>
      <c r="B248" s="161">
        <v>7</v>
      </c>
      <c r="C248" s="162" t="s">
        <v>109</v>
      </c>
      <c r="D248" s="193">
        <v>0.8</v>
      </c>
      <c r="E248" s="193">
        <v>1.5</v>
      </c>
      <c r="F248" s="194">
        <v>-0.43099999999999999</v>
      </c>
      <c r="G248" s="194">
        <v>2.5000000000000001E-2</v>
      </c>
      <c r="H248" s="194">
        <v>5.1999999999999998E-2</v>
      </c>
      <c r="I248" s="22"/>
    </row>
    <row r="249" spans="1:9" ht="14">
      <c r="A249" s="160"/>
      <c r="B249" s="161">
        <v>8</v>
      </c>
      <c r="C249" s="162" t="s">
        <v>103</v>
      </c>
      <c r="D249" s="193">
        <v>0.7</v>
      </c>
      <c r="E249" s="193">
        <v>0.9</v>
      </c>
      <c r="F249" s="194">
        <v>-0.26600000000000001</v>
      </c>
      <c r="G249" s="194">
        <v>2.1000000000000001E-2</v>
      </c>
      <c r="H249" s="194">
        <v>3.3000000000000002E-2</v>
      </c>
      <c r="I249" s="22"/>
    </row>
    <row r="250" spans="1:9" ht="14">
      <c r="A250" s="160"/>
      <c r="B250" s="161">
        <v>9</v>
      </c>
      <c r="C250" s="162" t="s">
        <v>116</v>
      </c>
      <c r="D250" s="193">
        <v>0.6</v>
      </c>
      <c r="E250" s="193">
        <v>0.5</v>
      </c>
      <c r="F250" s="194">
        <v>0.313</v>
      </c>
      <c r="G250" s="194">
        <v>0.02</v>
      </c>
      <c r="H250" s="194">
        <v>1.7999999999999999E-2</v>
      </c>
      <c r="I250" s="22"/>
    </row>
    <row r="251" spans="1:9" ht="14">
      <c r="A251" s="160"/>
      <c r="B251" s="162">
        <v>10</v>
      </c>
      <c r="C251" s="162" t="s">
        <v>114</v>
      </c>
      <c r="D251" s="193">
        <v>0.5</v>
      </c>
      <c r="E251" s="193">
        <v>0.5</v>
      </c>
      <c r="F251" s="194" t="s">
        <v>177</v>
      </c>
      <c r="G251" s="194">
        <v>1.6E-2</v>
      </c>
      <c r="H251" s="194">
        <v>1.9E-2</v>
      </c>
      <c r="I251" s="22"/>
    </row>
    <row r="252" spans="1:9" ht="14">
      <c r="A252" s="160"/>
      <c r="B252" s="162" t="s">
        <v>118</v>
      </c>
      <c r="C252" s="162"/>
      <c r="D252" s="193">
        <v>2</v>
      </c>
      <c r="E252" s="193">
        <v>2.7</v>
      </c>
      <c r="F252" s="194">
        <v>-0.26200000000000001</v>
      </c>
      <c r="G252" s="194">
        <v>0.06</v>
      </c>
      <c r="H252" s="194">
        <v>9.6000000000000002E-2</v>
      </c>
      <c r="I252" s="22"/>
    </row>
    <row r="253" spans="1:9" ht="14">
      <c r="A253" s="160"/>
      <c r="B253" s="22" t="s">
        <v>48</v>
      </c>
      <c r="C253" s="22"/>
      <c r="D253" s="203">
        <v>33</v>
      </c>
      <c r="E253" s="203">
        <v>27.9</v>
      </c>
      <c r="F253" s="122">
        <v>0.18099999999999999</v>
      </c>
      <c r="G253" s="122">
        <v>1</v>
      </c>
      <c r="H253" s="122">
        <v>1</v>
      </c>
      <c r="I253" s="22"/>
    </row>
    <row r="254" spans="1:9" ht="14">
      <c r="A254" s="160"/>
    </row>
    <row r="255" spans="1:9" ht="14">
      <c r="A255" s="160"/>
    </row>
    <row r="257" spans="2:16" ht="14">
      <c r="B257" s="161" t="s">
        <v>178</v>
      </c>
      <c r="C257" s="161"/>
      <c r="D257" s="161"/>
      <c r="E257" s="161"/>
      <c r="F257" s="161"/>
      <c r="G257" s="161"/>
      <c r="H257" s="161"/>
      <c r="I257" s="22"/>
      <c r="J257" s="161" t="s">
        <v>179</v>
      </c>
      <c r="K257" s="161"/>
      <c r="L257" s="161"/>
      <c r="M257" s="161"/>
      <c r="N257" s="161"/>
      <c r="O257" s="161"/>
      <c r="P257" s="161"/>
    </row>
    <row r="258" spans="2:16" ht="14">
      <c r="B258" s="161" t="s">
        <v>92</v>
      </c>
      <c r="C258" s="162" t="s">
        <v>123</v>
      </c>
      <c r="D258" s="163">
        <v>44896</v>
      </c>
      <c r="E258" s="163">
        <v>44531</v>
      </c>
      <c r="F258" s="162" t="s">
        <v>124</v>
      </c>
      <c r="G258" s="162" t="s">
        <v>133</v>
      </c>
      <c r="H258" s="162" t="s">
        <v>180</v>
      </c>
      <c r="I258" s="22"/>
      <c r="J258" s="161" t="s">
        <v>92</v>
      </c>
      <c r="K258" s="162" t="s">
        <v>123</v>
      </c>
      <c r="L258" s="163" t="s">
        <v>181</v>
      </c>
      <c r="M258" s="163" t="s">
        <v>182</v>
      </c>
      <c r="N258" s="164" t="s">
        <v>124</v>
      </c>
      <c r="O258" s="164" t="s">
        <v>183</v>
      </c>
      <c r="P258" s="164" t="s">
        <v>180</v>
      </c>
    </row>
    <row r="259" spans="2:16" ht="14">
      <c r="B259" s="161">
        <v>1</v>
      </c>
      <c r="C259" s="162"/>
      <c r="D259" s="193"/>
      <c r="E259" s="193"/>
      <c r="F259" s="194"/>
      <c r="G259" s="194"/>
      <c r="H259" s="194"/>
      <c r="I259" s="22"/>
      <c r="J259" s="161">
        <v>1</v>
      </c>
      <c r="K259" s="162" t="s">
        <v>98</v>
      </c>
      <c r="L259" s="193">
        <v>191.6</v>
      </c>
      <c r="M259" s="205">
        <v>99.5</v>
      </c>
      <c r="N259" s="167">
        <v>0.92500000000000004</v>
      </c>
      <c r="O259" s="167">
        <f>L259/$L$270</f>
        <v>0.36995558988221666</v>
      </c>
      <c r="P259" s="167">
        <v>0.33</v>
      </c>
    </row>
    <row r="260" spans="2:16" ht="14">
      <c r="B260" s="161">
        <v>2</v>
      </c>
      <c r="C260" s="162"/>
      <c r="D260" s="193"/>
      <c r="E260" s="193"/>
      <c r="F260" s="194"/>
      <c r="G260" s="194"/>
      <c r="H260" s="194"/>
      <c r="I260" s="22"/>
      <c r="J260" s="161">
        <v>2</v>
      </c>
      <c r="K260" s="162" t="s">
        <v>101</v>
      </c>
      <c r="L260" s="193">
        <v>70.400000000000006</v>
      </c>
      <c r="M260" s="205">
        <v>59.4</v>
      </c>
      <c r="N260" s="167">
        <v>0.185</v>
      </c>
      <c r="O260" s="167">
        <f t="shared" ref="O260:O270" si="65">L260/$L$270</f>
        <v>0.13593357791079361</v>
      </c>
      <c r="P260" s="167">
        <v>0.19700000000000001</v>
      </c>
    </row>
    <row r="261" spans="2:16" ht="14">
      <c r="B261" s="161">
        <v>3</v>
      </c>
      <c r="C261" s="162"/>
      <c r="D261" s="193"/>
      <c r="E261" s="193"/>
      <c r="F261" s="194"/>
      <c r="G261" s="194"/>
      <c r="H261" s="194"/>
      <c r="I261" s="22"/>
      <c r="J261" s="161">
        <v>3</v>
      </c>
      <c r="K261" s="162" t="s">
        <v>96</v>
      </c>
      <c r="L261" s="197">
        <v>70.400000000000006</v>
      </c>
      <c r="M261" s="205">
        <v>26.4</v>
      </c>
      <c r="N261" s="167">
        <v>1.671</v>
      </c>
      <c r="O261" s="167">
        <f t="shared" si="65"/>
        <v>0.13593357791079361</v>
      </c>
      <c r="P261" s="167">
        <v>8.6999999999999994E-2</v>
      </c>
    </row>
    <row r="262" spans="2:16" ht="14">
      <c r="B262" s="161">
        <v>4</v>
      </c>
      <c r="C262" s="162"/>
      <c r="D262" s="193"/>
      <c r="E262" s="193"/>
      <c r="F262" s="194"/>
      <c r="G262" s="194"/>
      <c r="H262" s="194"/>
      <c r="I262" s="22"/>
      <c r="J262" s="161">
        <v>4</v>
      </c>
      <c r="K262" s="162" t="s">
        <v>99</v>
      </c>
      <c r="L262" s="193">
        <v>38</v>
      </c>
      <c r="M262" s="205">
        <v>36.299999999999997</v>
      </c>
      <c r="N262" s="167">
        <v>4.5999999999999999E-2</v>
      </c>
      <c r="O262" s="167">
        <f t="shared" si="65"/>
        <v>7.3373238076848812E-2</v>
      </c>
      <c r="P262" s="167">
        <v>0.12</v>
      </c>
    </row>
    <row r="263" spans="2:16" ht="14">
      <c r="B263" s="161">
        <v>5</v>
      </c>
      <c r="C263" s="161"/>
      <c r="D263" s="193"/>
      <c r="E263" s="193"/>
      <c r="F263" s="194"/>
      <c r="G263" s="194"/>
      <c r="H263" s="194"/>
      <c r="I263" s="22"/>
      <c r="J263" s="161">
        <v>5</v>
      </c>
      <c r="K263" s="161" t="s">
        <v>107</v>
      </c>
      <c r="L263" s="193">
        <v>27.8</v>
      </c>
      <c r="M263" s="205">
        <v>17.3</v>
      </c>
      <c r="N263" s="167">
        <v>0.61099999999999999</v>
      </c>
      <c r="O263" s="167">
        <f t="shared" si="65"/>
        <v>5.3678316277273611E-2</v>
      </c>
      <c r="P263" s="167">
        <v>5.7000000000000002E-2</v>
      </c>
    </row>
    <row r="264" spans="2:16" ht="14">
      <c r="B264" s="161">
        <v>6</v>
      </c>
      <c r="C264" s="162"/>
      <c r="D264" s="193"/>
      <c r="E264" s="193"/>
      <c r="F264" s="194"/>
      <c r="G264" s="194"/>
      <c r="H264" s="194"/>
      <c r="I264" s="22"/>
      <c r="J264" s="161">
        <v>6</v>
      </c>
      <c r="K264" s="162" t="s">
        <v>105</v>
      </c>
      <c r="L264" s="193">
        <v>24.3</v>
      </c>
      <c r="M264" s="205">
        <v>14.5</v>
      </c>
      <c r="N264" s="167">
        <v>0.68500000000000005</v>
      </c>
      <c r="O264" s="167">
        <f t="shared" si="65"/>
        <v>4.6920254875458589E-2</v>
      </c>
      <c r="P264" s="167">
        <v>4.8000000000000001E-2</v>
      </c>
    </row>
    <row r="265" spans="2:16" ht="14">
      <c r="B265" s="161">
        <v>7</v>
      </c>
      <c r="C265" s="162"/>
      <c r="D265" s="193"/>
      <c r="E265" s="193"/>
      <c r="F265" s="194"/>
      <c r="G265" s="194"/>
      <c r="H265" s="194"/>
      <c r="I265" s="22"/>
      <c r="J265" s="161">
        <v>7</v>
      </c>
      <c r="K265" s="162" t="s">
        <v>109</v>
      </c>
      <c r="L265" s="193">
        <v>20</v>
      </c>
      <c r="M265" s="205">
        <v>8</v>
      </c>
      <c r="N265" s="167">
        <v>1.516</v>
      </c>
      <c r="O265" s="167">
        <f t="shared" si="65"/>
        <v>3.8617493724657274E-2</v>
      </c>
      <c r="P265" s="167">
        <v>2.5999999999999999E-2</v>
      </c>
    </row>
    <row r="266" spans="2:16" ht="14">
      <c r="B266" s="161">
        <v>8</v>
      </c>
      <c r="C266" s="162"/>
      <c r="D266" s="193"/>
      <c r="E266" s="193"/>
      <c r="F266" s="194"/>
      <c r="G266" s="194"/>
      <c r="H266" s="194"/>
      <c r="I266" s="22"/>
      <c r="J266" s="161">
        <v>8</v>
      </c>
      <c r="K266" s="162" t="s">
        <v>103</v>
      </c>
      <c r="L266" s="193">
        <v>14.1</v>
      </c>
      <c r="M266" s="205">
        <v>6.7</v>
      </c>
      <c r="N266" s="167">
        <v>1.1220000000000001</v>
      </c>
      <c r="O266" s="167">
        <f t="shared" si="65"/>
        <v>2.7225333075883377E-2</v>
      </c>
      <c r="P266" s="167">
        <v>2.1999999999999999E-2</v>
      </c>
    </row>
    <row r="267" spans="2:16" ht="14">
      <c r="B267" s="161">
        <v>9</v>
      </c>
      <c r="C267" s="162"/>
      <c r="D267" s="193"/>
      <c r="E267" s="193"/>
      <c r="F267" s="194"/>
      <c r="G267" s="194"/>
      <c r="H267" s="194"/>
      <c r="I267" s="22"/>
      <c r="J267" s="161">
        <v>9</v>
      </c>
      <c r="K267" s="162" t="s">
        <v>114</v>
      </c>
      <c r="L267" s="193">
        <v>9.1999999999999993</v>
      </c>
      <c r="M267" s="205">
        <v>2.6</v>
      </c>
      <c r="N267" s="167">
        <v>2.532</v>
      </c>
      <c r="O267" s="167">
        <f t="shared" si="65"/>
        <v>1.7764047113342344E-2</v>
      </c>
      <c r="P267" s="167">
        <v>8.9999999999999993E-3</v>
      </c>
    </row>
    <row r="268" spans="2:16" ht="14">
      <c r="B268" s="162">
        <v>10</v>
      </c>
      <c r="C268" s="162"/>
      <c r="D268" s="193"/>
      <c r="E268" s="193"/>
      <c r="F268" s="194"/>
      <c r="G268" s="194"/>
      <c r="H268" s="194"/>
      <c r="I268" s="22"/>
      <c r="J268" s="198">
        <v>10</v>
      </c>
      <c r="K268" s="198" t="s">
        <v>108</v>
      </c>
      <c r="L268" s="193">
        <v>7.4</v>
      </c>
      <c r="M268" s="205">
        <v>2.4</v>
      </c>
      <c r="N268" s="167">
        <v>2.1509999999999998</v>
      </c>
      <c r="O268" s="167">
        <f t="shared" si="65"/>
        <v>1.4288472678123191E-2</v>
      </c>
      <c r="P268" s="167">
        <v>8.0000000000000002E-3</v>
      </c>
    </row>
    <row r="269" spans="2:16" ht="14">
      <c r="B269" s="162" t="s">
        <v>118</v>
      </c>
      <c r="C269" s="162"/>
      <c r="D269" s="193"/>
      <c r="E269" s="193"/>
      <c r="F269" s="194"/>
      <c r="G269" s="194"/>
      <c r="H269" s="194"/>
      <c r="I269" s="22"/>
      <c r="J269" s="162"/>
      <c r="K269" s="162" t="s">
        <v>39</v>
      </c>
      <c r="L269" s="193">
        <v>44.5</v>
      </c>
      <c r="M269" s="205">
        <v>28.5</v>
      </c>
      <c r="N269" s="167">
        <v>0.55900000000000005</v>
      </c>
      <c r="O269" s="167">
        <f t="shared" si="65"/>
        <v>8.5923923537362432E-2</v>
      </c>
      <c r="P269" s="167">
        <v>9.5000000000000001E-2</v>
      </c>
    </row>
    <row r="270" spans="2:16" ht="14">
      <c r="B270" s="22" t="s">
        <v>48</v>
      </c>
      <c r="C270" s="22"/>
      <c r="D270" s="203"/>
      <c r="E270" s="203"/>
      <c r="F270" s="122"/>
      <c r="G270" s="122"/>
      <c r="H270" s="122"/>
      <c r="I270" s="22"/>
      <c r="J270" s="22" t="s">
        <v>48</v>
      </c>
      <c r="K270" s="22"/>
      <c r="L270" s="203">
        <v>517.9</v>
      </c>
      <c r="M270" s="203">
        <v>301.5</v>
      </c>
      <c r="N270" s="77">
        <v>0.71799999999999997</v>
      </c>
      <c r="O270" s="167">
        <f t="shared" si="65"/>
        <v>1</v>
      </c>
      <c r="P270" s="77">
        <v>1</v>
      </c>
    </row>
    <row r="271" spans="2:16" ht="14">
      <c r="B271" s="22"/>
      <c r="C271" s="22"/>
      <c r="D271" s="203"/>
      <c r="E271" s="203"/>
      <c r="F271" s="122"/>
      <c r="G271" s="122"/>
      <c r="H271" s="122"/>
      <c r="I271" s="22"/>
      <c r="J271" s="22"/>
      <c r="K271" s="22"/>
      <c r="L271" s="203"/>
      <c r="M271" s="207"/>
      <c r="N271" s="122"/>
      <c r="O271" s="122"/>
      <c r="P271" s="122"/>
    </row>
    <row r="274" spans="2:16" ht="14">
      <c r="B274" s="161" t="s">
        <v>184</v>
      </c>
      <c r="C274" s="161"/>
      <c r="D274" s="161"/>
      <c r="E274" s="161"/>
      <c r="F274" s="161"/>
      <c r="G274" s="161"/>
      <c r="H274" s="161"/>
      <c r="I274" s="22"/>
      <c r="J274" s="161" t="s">
        <v>185</v>
      </c>
      <c r="K274" s="161"/>
      <c r="L274" s="161"/>
      <c r="M274" s="161"/>
      <c r="N274" s="161"/>
      <c r="O274" s="161"/>
      <c r="P274" s="161"/>
    </row>
    <row r="275" spans="2:16" ht="14">
      <c r="B275" s="161" t="s">
        <v>92</v>
      </c>
      <c r="C275" s="162" t="s">
        <v>123</v>
      </c>
      <c r="D275" s="163">
        <v>44866</v>
      </c>
      <c r="E275" s="163">
        <v>44501</v>
      </c>
      <c r="F275" s="162" t="s">
        <v>124</v>
      </c>
      <c r="G275" s="162" t="s">
        <v>133</v>
      </c>
      <c r="H275" s="162" t="s">
        <v>180</v>
      </c>
      <c r="I275" s="22"/>
      <c r="J275" s="161" t="s">
        <v>92</v>
      </c>
      <c r="K275" s="162" t="s">
        <v>123</v>
      </c>
      <c r="L275" s="163" t="s">
        <v>186</v>
      </c>
      <c r="M275" s="163" t="s">
        <v>187</v>
      </c>
      <c r="N275" s="164" t="s">
        <v>124</v>
      </c>
      <c r="O275" s="164" t="s">
        <v>188</v>
      </c>
      <c r="P275" s="164" t="s">
        <v>180</v>
      </c>
    </row>
    <row r="276" spans="2:16" ht="14">
      <c r="B276" s="161">
        <v>1</v>
      </c>
      <c r="C276" s="162" t="s">
        <v>98</v>
      </c>
      <c r="D276" s="193">
        <v>23.4</v>
      </c>
      <c r="E276" s="193">
        <v>12.7</v>
      </c>
      <c r="F276" s="194">
        <v>0.83399999999999996</v>
      </c>
      <c r="G276" s="194">
        <v>0.40899999999999997</v>
      </c>
      <c r="H276" s="194">
        <v>0.36899999999999999</v>
      </c>
      <c r="I276" s="22"/>
      <c r="J276" s="161">
        <v>1</v>
      </c>
      <c r="K276" s="162" t="s">
        <v>98</v>
      </c>
      <c r="L276" s="162">
        <v>165.7</v>
      </c>
      <c r="M276" s="205">
        <v>82.1</v>
      </c>
      <c r="N276" s="167">
        <v>1.018</v>
      </c>
      <c r="O276" s="167">
        <v>0.371</v>
      </c>
      <c r="P276" s="167">
        <v>0.32200000000000001</v>
      </c>
    </row>
    <row r="277" spans="2:16" ht="14">
      <c r="B277" s="161">
        <v>2</v>
      </c>
      <c r="C277" s="162" t="s">
        <v>96</v>
      </c>
      <c r="D277" s="193">
        <v>8.9</v>
      </c>
      <c r="E277" s="193">
        <v>3.6</v>
      </c>
      <c r="F277" s="194">
        <v>1.476</v>
      </c>
      <c r="G277" s="194">
        <v>0.156</v>
      </c>
      <c r="H277" s="194">
        <v>0.104</v>
      </c>
      <c r="I277" s="22"/>
      <c r="J277" s="161">
        <v>2</v>
      </c>
      <c r="K277" s="162" t="s">
        <v>96</v>
      </c>
      <c r="L277" s="162">
        <v>60.6</v>
      </c>
      <c r="M277" s="205">
        <v>22.6</v>
      </c>
      <c r="N277" s="167">
        <v>1.6830000000000001</v>
      </c>
      <c r="O277" s="167">
        <v>0.13600000000000001</v>
      </c>
      <c r="P277" s="167">
        <v>8.7999999999999995E-2</v>
      </c>
    </row>
    <row r="278" spans="2:16" ht="14">
      <c r="B278" s="161">
        <v>3</v>
      </c>
      <c r="C278" s="162" t="s">
        <v>101</v>
      </c>
      <c r="D278" s="193">
        <v>6.8</v>
      </c>
      <c r="E278" s="193">
        <v>5.3</v>
      </c>
      <c r="F278" s="194">
        <v>0.28000000000000003</v>
      </c>
      <c r="G278" s="194">
        <v>0.11899999999999999</v>
      </c>
      <c r="H278" s="194">
        <v>0.154</v>
      </c>
      <c r="I278" s="22"/>
      <c r="J278" s="161">
        <v>3</v>
      </c>
      <c r="K278" s="162" t="s">
        <v>100</v>
      </c>
      <c r="L278" s="161">
        <v>54.8</v>
      </c>
      <c r="M278" s="205">
        <v>49.9</v>
      </c>
      <c r="N278" s="167">
        <v>9.7000000000000003E-2</v>
      </c>
      <c r="O278" s="167">
        <v>0.123</v>
      </c>
      <c r="P278" s="167">
        <v>0.19600000000000001</v>
      </c>
    </row>
    <row r="279" spans="2:16" ht="14">
      <c r="B279" s="161">
        <v>4</v>
      </c>
      <c r="C279" s="162" t="s">
        <v>99</v>
      </c>
      <c r="D279" s="193">
        <v>3.3</v>
      </c>
      <c r="E279" s="193">
        <v>3.4</v>
      </c>
      <c r="F279" s="194">
        <v>-2.5000000000000001E-2</v>
      </c>
      <c r="G279" s="194">
        <v>5.8000000000000003E-2</v>
      </c>
      <c r="H279" s="194">
        <v>9.8000000000000004E-2</v>
      </c>
      <c r="I279" s="22"/>
      <c r="J279" s="161">
        <v>4</v>
      </c>
      <c r="K279" s="162" t="s">
        <v>99</v>
      </c>
      <c r="L279" s="162">
        <v>34.1</v>
      </c>
      <c r="M279" s="205">
        <v>32.6</v>
      </c>
      <c r="N279" s="167">
        <v>4.7E-2</v>
      </c>
      <c r="O279" s="167">
        <v>7.6999999999999999E-2</v>
      </c>
      <c r="P279" s="167">
        <v>0.128</v>
      </c>
    </row>
    <row r="280" spans="2:16" ht="14">
      <c r="B280" s="161">
        <v>5</v>
      </c>
      <c r="C280" s="162" t="s">
        <v>105</v>
      </c>
      <c r="D280" s="193">
        <v>3</v>
      </c>
      <c r="E280" s="193">
        <v>1.4</v>
      </c>
      <c r="F280" s="194">
        <v>1.0900000000000001</v>
      </c>
      <c r="G280" s="194">
        <v>5.2999999999999999E-2</v>
      </c>
      <c r="H280" s="194">
        <v>4.2000000000000003E-2</v>
      </c>
      <c r="I280" s="22"/>
      <c r="J280" s="161">
        <v>5</v>
      </c>
      <c r="K280" s="161" t="s">
        <v>107</v>
      </c>
      <c r="L280" s="162">
        <v>26.1</v>
      </c>
      <c r="M280" s="205">
        <v>15.2</v>
      </c>
      <c r="N280" s="167">
        <v>0.72</v>
      </c>
      <c r="O280" s="167">
        <v>5.8999999999999997E-2</v>
      </c>
      <c r="P280" s="167">
        <v>0.06</v>
      </c>
    </row>
    <row r="281" spans="2:16" ht="14">
      <c r="B281" s="161">
        <v>6</v>
      </c>
      <c r="C281" s="161" t="s">
        <v>107</v>
      </c>
      <c r="D281" s="193">
        <v>2.5</v>
      </c>
      <c r="E281" s="193">
        <v>2.1</v>
      </c>
      <c r="F281" s="194">
        <v>0.22700000000000001</v>
      </c>
      <c r="G281" s="194">
        <v>4.3999999999999997E-2</v>
      </c>
      <c r="H281" s="194">
        <v>0.06</v>
      </c>
      <c r="I281" s="22"/>
      <c r="J281" s="161">
        <v>6</v>
      </c>
      <c r="K281" s="162" t="s">
        <v>105</v>
      </c>
      <c r="L281" s="162">
        <v>22.1</v>
      </c>
      <c r="M281" s="205">
        <v>12.6</v>
      </c>
      <c r="N281" s="167">
        <v>0.749</v>
      </c>
      <c r="O281" s="167">
        <v>0.05</v>
      </c>
      <c r="P281" s="167">
        <v>0.05</v>
      </c>
    </row>
    <row r="282" spans="2:16" ht="14">
      <c r="B282" s="161">
        <v>7</v>
      </c>
      <c r="C282" s="162" t="s">
        <v>111</v>
      </c>
      <c r="D282" s="193">
        <v>2.1</v>
      </c>
      <c r="E282" s="193">
        <v>0.8</v>
      </c>
      <c r="F282" s="194">
        <v>1.4470000000000001</v>
      </c>
      <c r="G282" s="194">
        <v>3.5999999999999997E-2</v>
      </c>
      <c r="H282" s="194">
        <v>2.4E-2</v>
      </c>
      <c r="I282" s="22"/>
      <c r="J282" s="161">
        <v>7</v>
      </c>
      <c r="K282" s="162" t="s">
        <v>111</v>
      </c>
      <c r="L282" s="162">
        <v>17.8</v>
      </c>
      <c r="M282" s="205">
        <v>6.8</v>
      </c>
      <c r="N282" s="167">
        <v>1.613</v>
      </c>
      <c r="O282" s="167">
        <v>0.04</v>
      </c>
      <c r="P282" s="167">
        <v>2.7E-2</v>
      </c>
    </row>
    <row r="283" spans="2:16" ht="14">
      <c r="B283" s="161">
        <v>8</v>
      </c>
      <c r="C283" s="162" t="s">
        <v>103</v>
      </c>
      <c r="D283" s="193">
        <v>1.4</v>
      </c>
      <c r="E283" s="193">
        <v>0.8</v>
      </c>
      <c r="F283" s="194">
        <v>0.77300000000000002</v>
      </c>
      <c r="G283" s="194">
        <v>2.5000000000000001E-2</v>
      </c>
      <c r="H283" s="194">
        <v>2.3E-2</v>
      </c>
      <c r="I283" s="22"/>
      <c r="J283" s="161">
        <v>8</v>
      </c>
      <c r="K283" s="162" t="s">
        <v>103</v>
      </c>
      <c r="L283" s="162">
        <v>12.7</v>
      </c>
      <c r="M283" s="205">
        <v>5.5</v>
      </c>
      <c r="N283" s="167">
        <v>1.3149999999999999</v>
      </c>
      <c r="O283" s="167">
        <v>2.8000000000000001E-2</v>
      </c>
      <c r="P283" s="167">
        <v>2.1000000000000001E-2</v>
      </c>
    </row>
    <row r="284" spans="2:16" ht="14">
      <c r="B284" s="161">
        <v>9</v>
      </c>
      <c r="C284" s="162" t="s">
        <v>114</v>
      </c>
      <c r="D284" s="193">
        <v>1</v>
      </c>
      <c r="E284" s="193">
        <v>0.5</v>
      </c>
      <c r="F284" s="194">
        <v>1.105</v>
      </c>
      <c r="G284" s="194">
        <v>1.7999999999999999E-2</v>
      </c>
      <c r="H284" s="194">
        <v>1.4E-2</v>
      </c>
      <c r="I284" s="22"/>
      <c r="J284" s="161">
        <v>9</v>
      </c>
      <c r="K284" s="162" t="s">
        <v>114</v>
      </c>
      <c r="L284" s="162">
        <v>7.5</v>
      </c>
      <c r="M284" s="205">
        <v>1.9</v>
      </c>
      <c r="N284" s="167">
        <v>2.8730000000000002</v>
      </c>
      <c r="O284" s="167">
        <v>1.7000000000000001E-2</v>
      </c>
      <c r="P284" s="167">
        <v>8.0000000000000002E-3</v>
      </c>
    </row>
    <row r="285" spans="2:16" ht="14">
      <c r="B285" s="162">
        <v>10</v>
      </c>
      <c r="C285" s="162" t="s">
        <v>116</v>
      </c>
      <c r="D285" s="193">
        <v>0.8</v>
      </c>
      <c r="E285" s="193">
        <v>0.5</v>
      </c>
      <c r="F285" s="194">
        <v>0.63500000000000001</v>
      </c>
      <c r="G285" s="194">
        <v>1.4E-2</v>
      </c>
      <c r="H285" s="194">
        <v>1.4E-2</v>
      </c>
      <c r="I285" s="22"/>
      <c r="J285" s="198">
        <v>10</v>
      </c>
      <c r="K285" s="208" t="s">
        <v>116</v>
      </c>
      <c r="L285" s="162">
        <v>5.9</v>
      </c>
      <c r="M285" s="205">
        <v>2.8</v>
      </c>
      <c r="N285" s="167">
        <v>1.103</v>
      </c>
      <c r="O285" s="167">
        <v>1.2999999999999999E-2</v>
      </c>
      <c r="P285" s="167">
        <v>1.0999999999999999E-2</v>
      </c>
    </row>
    <row r="286" spans="2:16" ht="14">
      <c r="B286" s="162" t="s">
        <v>118</v>
      </c>
      <c r="C286" s="162"/>
      <c r="D286" s="193">
        <v>3.9</v>
      </c>
      <c r="E286" s="193">
        <v>3.3</v>
      </c>
      <c r="F286" s="194">
        <v>0.17899999999999999</v>
      </c>
      <c r="G286" s="194">
        <v>6.8000000000000005E-2</v>
      </c>
      <c r="H286" s="194">
        <v>9.6000000000000002E-2</v>
      </c>
      <c r="I286" s="22"/>
      <c r="J286" s="162"/>
      <c r="K286" s="162" t="s">
        <v>39</v>
      </c>
      <c r="L286" s="162">
        <v>38.6</v>
      </c>
      <c r="M286" s="205">
        <v>23.2</v>
      </c>
      <c r="N286" s="167">
        <v>0.66500000000000004</v>
      </c>
      <c r="O286" s="167">
        <v>8.6999999999999994E-2</v>
      </c>
      <c r="P286" s="167">
        <v>9.0999999999999998E-2</v>
      </c>
    </row>
    <row r="287" spans="2:16" ht="14">
      <c r="B287" s="22" t="s">
        <v>48</v>
      </c>
      <c r="C287" s="22"/>
      <c r="D287" s="203">
        <v>57.2</v>
      </c>
      <c r="E287" s="203">
        <v>34.5</v>
      </c>
      <c r="F287" s="122">
        <v>0.65700000000000003</v>
      </c>
      <c r="G287" s="122">
        <v>1</v>
      </c>
      <c r="H287" s="122">
        <v>1</v>
      </c>
      <c r="I287" s="22"/>
      <c r="J287" s="22" t="s">
        <v>48</v>
      </c>
      <c r="K287" s="22"/>
      <c r="L287" s="203">
        <v>446</v>
      </c>
      <c r="M287" s="207">
        <v>255.3</v>
      </c>
      <c r="N287" s="122">
        <v>0.747</v>
      </c>
      <c r="O287" s="122">
        <v>1</v>
      </c>
      <c r="P287" s="122">
        <v>1</v>
      </c>
    </row>
    <row r="289" spans="1:16" ht="14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</row>
    <row r="290" spans="1:16" ht="14">
      <c r="A290" s="22"/>
      <c r="B290" s="22"/>
      <c r="C290" s="22"/>
      <c r="D290" s="22"/>
      <c r="E290" s="22"/>
      <c r="F290" s="22"/>
      <c r="G290" s="22"/>
      <c r="H290" s="22"/>
      <c r="I290" s="22"/>
      <c r="J290" s="72"/>
      <c r="K290" s="22"/>
      <c r="L290" s="22"/>
      <c r="M290" s="22"/>
      <c r="N290" s="22"/>
      <c r="O290" s="22"/>
      <c r="P290" s="22"/>
    </row>
    <row r="291" spans="1:16" ht="14">
      <c r="A291" s="22"/>
      <c r="B291" s="161" t="s">
        <v>189</v>
      </c>
      <c r="C291" s="161"/>
      <c r="D291" s="161"/>
      <c r="E291" s="161"/>
      <c r="F291" s="161"/>
      <c r="G291" s="161"/>
      <c r="H291" s="161"/>
      <c r="I291" s="22"/>
      <c r="J291" s="161" t="s">
        <v>190</v>
      </c>
      <c r="K291" s="161"/>
      <c r="L291" s="161"/>
      <c r="M291" s="161"/>
      <c r="N291" s="161"/>
      <c r="O291" s="161"/>
      <c r="P291" s="161"/>
    </row>
    <row r="292" spans="1:16" ht="14">
      <c r="A292" s="22"/>
      <c r="B292" s="161" t="s">
        <v>92</v>
      </c>
      <c r="C292" s="162" t="s">
        <v>123</v>
      </c>
      <c r="D292" s="163">
        <v>44835</v>
      </c>
      <c r="E292" s="163">
        <v>44470</v>
      </c>
      <c r="F292" s="162" t="s">
        <v>124</v>
      </c>
      <c r="G292" s="162" t="s">
        <v>133</v>
      </c>
      <c r="H292" s="162" t="s">
        <v>180</v>
      </c>
      <c r="I292" s="22"/>
      <c r="J292" s="161" t="s">
        <v>92</v>
      </c>
      <c r="K292" s="162" t="s">
        <v>123</v>
      </c>
      <c r="L292" s="163" t="s">
        <v>191</v>
      </c>
      <c r="M292" s="163" t="s">
        <v>192</v>
      </c>
      <c r="N292" s="164" t="s">
        <v>124</v>
      </c>
      <c r="O292" s="164" t="s">
        <v>193</v>
      </c>
      <c r="P292" s="164" t="s">
        <v>180</v>
      </c>
    </row>
    <row r="293" spans="1:16" ht="14">
      <c r="A293" s="22"/>
      <c r="B293" s="161">
        <v>1</v>
      </c>
      <c r="C293" s="162" t="s">
        <v>98</v>
      </c>
      <c r="D293" s="193">
        <v>18.100000000000001</v>
      </c>
      <c r="E293" s="193">
        <v>9.6</v>
      </c>
      <c r="F293" s="194">
        <v>0.88800000000000001</v>
      </c>
      <c r="G293" s="194">
        <v>0.376</v>
      </c>
      <c r="H293" s="194">
        <v>0.34599999999999997</v>
      </c>
      <c r="I293" s="22"/>
      <c r="J293" s="161">
        <v>1</v>
      </c>
      <c r="K293" s="162" t="s">
        <v>98</v>
      </c>
      <c r="L293" s="162">
        <v>137.69999999999999</v>
      </c>
      <c r="M293" s="205">
        <v>69.400000000000006</v>
      </c>
      <c r="N293" s="167">
        <v>0.98599999999999999</v>
      </c>
      <c r="O293" s="167">
        <v>0.35299999999999998</v>
      </c>
      <c r="P293" s="167">
        <v>0.312</v>
      </c>
    </row>
    <row r="294" spans="1:16" ht="14">
      <c r="A294" s="22"/>
      <c r="B294" s="161">
        <v>2</v>
      </c>
      <c r="C294" s="162" t="s">
        <v>96</v>
      </c>
      <c r="D294" s="193">
        <v>7.8</v>
      </c>
      <c r="E294" s="193">
        <v>3.2</v>
      </c>
      <c r="F294" s="194">
        <v>1.419</v>
      </c>
      <c r="G294" s="194">
        <v>0.16200000000000001</v>
      </c>
      <c r="H294" s="194">
        <v>0.11600000000000001</v>
      </c>
      <c r="I294" s="22"/>
      <c r="J294" s="161">
        <v>2</v>
      </c>
      <c r="K294" s="162" t="s">
        <v>100</v>
      </c>
      <c r="L294" s="162">
        <v>53.7</v>
      </c>
      <c r="M294" s="205">
        <v>46.3</v>
      </c>
      <c r="N294" s="167">
        <v>0.161</v>
      </c>
      <c r="O294" s="167">
        <v>0.13800000000000001</v>
      </c>
      <c r="P294" s="167">
        <v>0.20799999999999999</v>
      </c>
    </row>
    <row r="295" spans="1:16" ht="14">
      <c r="A295" s="22"/>
      <c r="B295" s="161">
        <v>3</v>
      </c>
      <c r="C295" s="162" t="s">
        <v>101</v>
      </c>
      <c r="D295" s="193">
        <v>5.4</v>
      </c>
      <c r="E295" s="193">
        <v>4.2</v>
      </c>
      <c r="F295" s="194">
        <v>0.30199999999999999</v>
      </c>
      <c r="G295" s="194">
        <v>0.113</v>
      </c>
      <c r="H295" s="194">
        <v>0.151</v>
      </c>
      <c r="I295" s="22"/>
      <c r="J295" s="161">
        <v>3</v>
      </c>
      <c r="K295" s="162" t="s">
        <v>96</v>
      </c>
      <c r="L295" s="161">
        <v>51.5</v>
      </c>
      <c r="M295" s="205">
        <v>19</v>
      </c>
      <c r="N295" s="167">
        <v>1.714</v>
      </c>
      <c r="O295" s="167">
        <v>0.13200000000000001</v>
      </c>
      <c r="P295" s="167">
        <v>8.5000000000000006E-2</v>
      </c>
    </row>
    <row r="296" spans="1:16" ht="14">
      <c r="A296" s="22"/>
      <c r="B296" s="161">
        <v>4</v>
      </c>
      <c r="C296" s="162" t="s">
        <v>99</v>
      </c>
      <c r="D296" s="193">
        <v>3</v>
      </c>
      <c r="E296" s="193">
        <v>2.6</v>
      </c>
      <c r="F296" s="194">
        <v>0.16200000000000001</v>
      </c>
      <c r="G296" s="194">
        <v>6.3E-2</v>
      </c>
      <c r="H296" s="194">
        <v>9.4E-2</v>
      </c>
      <c r="I296" s="22"/>
      <c r="J296" s="161">
        <v>4</v>
      </c>
      <c r="K296" s="162" t="s">
        <v>99</v>
      </c>
      <c r="L296" s="162">
        <v>30.8</v>
      </c>
      <c r="M296" s="205">
        <v>29.2</v>
      </c>
      <c r="N296" s="167">
        <v>5.4794520547945202E-2</v>
      </c>
      <c r="O296" s="167">
        <v>7.9000000000000001E-2</v>
      </c>
      <c r="P296" s="167">
        <v>0.13100000000000001</v>
      </c>
    </row>
    <row r="297" spans="1:16" ht="14">
      <c r="A297" s="22"/>
      <c r="B297" s="161">
        <v>5</v>
      </c>
      <c r="C297" s="161" t="s">
        <v>107</v>
      </c>
      <c r="D297" s="193">
        <v>2.6</v>
      </c>
      <c r="E297" s="193">
        <v>2.1</v>
      </c>
      <c r="F297" s="194">
        <v>0.247</v>
      </c>
      <c r="G297" s="194">
        <v>5.3999999999999999E-2</v>
      </c>
      <c r="H297" s="194">
        <v>7.4999999999999997E-2</v>
      </c>
      <c r="I297" s="22"/>
      <c r="J297" s="161">
        <v>5</v>
      </c>
      <c r="K297" s="161" t="s">
        <v>107</v>
      </c>
      <c r="L297" s="162">
        <v>24.1</v>
      </c>
      <c r="M297" s="205">
        <v>13.1</v>
      </c>
      <c r="N297" s="167">
        <v>0.83199999999999996</v>
      </c>
      <c r="O297" s="167">
        <v>6.2E-2</v>
      </c>
      <c r="P297" s="167">
        <v>5.8999999999999997E-2</v>
      </c>
    </row>
    <row r="298" spans="1:16" ht="14">
      <c r="A298" s="22"/>
      <c r="B298" s="161">
        <v>6</v>
      </c>
      <c r="C298" s="162" t="s">
        <v>105</v>
      </c>
      <c r="D298" s="193">
        <v>2.4</v>
      </c>
      <c r="E298" s="193">
        <v>1.1000000000000001</v>
      </c>
      <c r="F298" s="194">
        <v>1.109</v>
      </c>
      <c r="G298" s="194">
        <v>4.9000000000000002E-2</v>
      </c>
      <c r="H298" s="194">
        <v>0.04</v>
      </c>
      <c r="I298" s="22"/>
      <c r="J298" s="161">
        <v>6</v>
      </c>
      <c r="K298" s="162" t="s">
        <v>105</v>
      </c>
      <c r="L298" s="162">
        <v>18.899999999999999</v>
      </c>
      <c r="M298" s="205">
        <v>11.2</v>
      </c>
      <c r="N298" s="167">
        <v>0.69</v>
      </c>
      <c r="O298" s="167">
        <v>4.8000000000000001E-2</v>
      </c>
      <c r="P298" s="167">
        <v>0.05</v>
      </c>
    </row>
    <row r="299" spans="1:16" ht="14">
      <c r="A299" s="22"/>
      <c r="B299" s="161">
        <v>7</v>
      </c>
      <c r="C299" s="162" t="s">
        <v>111</v>
      </c>
      <c r="D299" s="193">
        <v>2.1</v>
      </c>
      <c r="E299" s="193">
        <v>0.6</v>
      </c>
      <c r="F299" s="194">
        <v>2.794</v>
      </c>
      <c r="G299" s="194">
        <v>4.3999999999999997E-2</v>
      </c>
      <c r="H299" s="194">
        <v>0.02</v>
      </c>
      <c r="I299" s="22"/>
      <c r="J299" s="161">
        <v>7</v>
      </c>
      <c r="K299" s="162" t="s">
        <v>111</v>
      </c>
      <c r="L299" s="162">
        <v>16.3</v>
      </c>
      <c r="M299" s="205">
        <v>6</v>
      </c>
      <c r="N299" s="167">
        <v>1.7270000000000001</v>
      </c>
      <c r="O299" s="167">
        <v>4.2000000000000003E-2</v>
      </c>
      <c r="P299" s="167">
        <v>2.7E-2</v>
      </c>
    </row>
    <row r="300" spans="1:16" ht="14">
      <c r="A300" s="22"/>
      <c r="B300" s="161">
        <v>8</v>
      </c>
      <c r="C300" s="162" t="s">
        <v>103</v>
      </c>
      <c r="D300" s="193">
        <v>1.5</v>
      </c>
      <c r="E300" s="193">
        <v>0.7</v>
      </c>
      <c r="F300" s="194">
        <v>1.004</v>
      </c>
      <c r="G300" s="194">
        <v>0.03</v>
      </c>
      <c r="H300" s="194">
        <v>2.5999999999999999E-2</v>
      </c>
      <c r="I300" s="22"/>
      <c r="J300" s="161">
        <v>8</v>
      </c>
      <c r="K300" s="162" t="s">
        <v>103</v>
      </c>
      <c r="L300" s="162">
        <v>11.3</v>
      </c>
      <c r="M300" s="205">
        <v>4.7</v>
      </c>
      <c r="N300" s="167">
        <v>1.42</v>
      </c>
      <c r="O300" s="167">
        <v>2.9000000000000001E-2</v>
      </c>
      <c r="P300" s="167">
        <v>2.1000000000000001E-2</v>
      </c>
    </row>
    <row r="301" spans="1:16" ht="14">
      <c r="A301" s="22"/>
      <c r="B301" s="161">
        <v>9</v>
      </c>
      <c r="C301" s="162" t="s">
        <v>114</v>
      </c>
      <c r="D301" s="193">
        <v>0.7</v>
      </c>
      <c r="E301" s="193">
        <v>0.3</v>
      </c>
      <c r="F301" s="194">
        <v>1.234</v>
      </c>
      <c r="G301" s="194">
        <v>1.4999999999999999E-2</v>
      </c>
      <c r="H301" s="194">
        <v>1.2E-2</v>
      </c>
      <c r="I301" s="22"/>
      <c r="J301" s="161">
        <v>9</v>
      </c>
      <c r="K301" s="162" t="s">
        <v>114</v>
      </c>
      <c r="L301" s="162">
        <v>6.5</v>
      </c>
      <c r="M301" s="205">
        <v>1.5</v>
      </c>
      <c r="N301" s="167">
        <v>3.452</v>
      </c>
      <c r="O301" s="167">
        <v>1.7000000000000001E-2</v>
      </c>
      <c r="P301" s="167">
        <v>7.0000000000000001E-3</v>
      </c>
    </row>
    <row r="302" spans="1:16" ht="14">
      <c r="A302" s="22"/>
      <c r="B302" s="162">
        <v>10</v>
      </c>
      <c r="C302" s="162" t="s">
        <v>116</v>
      </c>
      <c r="D302" s="193">
        <v>0.6</v>
      </c>
      <c r="E302" s="193">
        <v>0.3</v>
      </c>
      <c r="F302" s="194">
        <v>0.82899999999999996</v>
      </c>
      <c r="G302" s="194">
        <v>1.2999999999999999E-2</v>
      </c>
      <c r="H302" s="194">
        <v>1.2E-2</v>
      </c>
      <c r="I302" s="22"/>
      <c r="J302" s="208">
        <v>10</v>
      </c>
      <c r="K302" s="208" t="s">
        <v>116</v>
      </c>
      <c r="L302" s="162">
        <v>5.0999999999999996</v>
      </c>
      <c r="M302" s="205">
        <v>2.2999999999999998</v>
      </c>
      <c r="N302" s="167">
        <v>1.2030000000000001</v>
      </c>
      <c r="O302" s="167">
        <v>1.2999999999999999E-2</v>
      </c>
      <c r="P302" s="167">
        <v>0.01</v>
      </c>
    </row>
    <row r="303" spans="1:16" ht="14">
      <c r="A303" s="22"/>
      <c r="B303" s="162" t="s">
        <v>118</v>
      </c>
      <c r="C303" s="162"/>
      <c r="D303" s="193">
        <v>3.8</v>
      </c>
      <c r="E303" s="193">
        <v>2.9</v>
      </c>
      <c r="F303" s="194">
        <v>0.30399999999999999</v>
      </c>
      <c r="G303" s="194">
        <v>0.08</v>
      </c>
      <c r="H303" s="194">
        <v>0.106</v>
      </c>
      <c r="I303" s="22"/>
      <c r="J303" s="162"/>
      <c r="K303" s="162" t="s">
        <v>39</v>
      </c>
      <c r="L303" s="162">
        <v>34.299999999999997</v>
      </c>
      <c r="M303" s="205">
        <v>19.899999999999999</v>
      </c>
      <c r="N303" s="167">
        <v>0.72499999999999998</v>
      </c>
      <c r="O303" s="167">
        <v>8.7999999999999995E-2</v>
      </c>
      <c r="P303" s="167">
        <v>8.8999999999999996E-2</v>
      </c>
    </row>
    <row r="304" spans="1:16" ht="14">
      <c r="A304" s="22"/>
      <c r="B304" s="22" t="s">
        <v>48</v>
      </c>
      <c r="C304" s="22"/>
      <c r="D304" s="203">
        <v>48</v>
      </c>
      <c r="E304" s="203">
        <v>27.7</v>
      </c>
      <c r="F304" s="122">
        <v>0.73599999999999999</v>
      </c>
      <c r="G304" s="122">
        <v>1</v>
      </c>
      <c r="H304" s="122">
        <v>1</v>
      </c>
      <c r="I304" s="22"/>
      <c r="J304" s="22" t="s">
        <v>48</v>
      </c>
      <c r="K304" s="22"/>
      <c r="L304" s="22">
        <v>390.4</v>
      </c>
      <c r="M304" s="207">
        <v>222.5</v>
      </c>
      <c r="N304" s="122">
        <v>0.754</v>
      </c>
      <c r="O304" s="122">
        <v>1</v>
      </c>
      <c r="P304" s="122">
        <v>1</v>
      </c>
    </row>
    <row r="305" spans="1:16" ht="14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</row>
    <row r="306" spans="1:16" ht="14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</row>
    <row r="307" spans="1:16" ht="14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</row>
    <row r="308" spans="1:16" ht="14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</row>
    <row r="309" spans="1:16" ht="14">
      <c r="A309" s="22"/>
      <c r="B309" s="22"/>
      <c r="C309" s="22"/>
      <c r="D309" s="22"/>
      <c r="E309" s="22"/>
      <c r="F309" s="22"/>
      <c r="G309" s="22"/>
      <c r="H309" s="22"/>
      <c r="I309" s="22"/>
      <c r="J309" s="72"/>
      <c r="K309" s="22"/>
      <c r="L309" s="22"/>
      <c r="M309" s="22"/>
      <c r="N309" s="22"/>
      <c r="O309" s="22"/>
      <c r="P309" s="22"/>
    </row>
    <row r="310" spans="1:16" ht="14">
      <c r="A310" s="22"/>
      <c r="B310" s="161" t="s">
        <v>194</v>
      </c>
      <c r="C310" s="161"/>
      <c r="D310" s="161"/>
      <c r="E310" s="161"/>
      <c r="F310" s="161"/>
      <c r="G310" s="161">
        <v>54.8209366391185</v>
      </c>
      <c r="H310" s="161">
        <v>33.983286908078</v>
      </c>
      <c r="I310" s="22"/>
      <c r="J310" s="161" t="s">
        <v>195</v>
      </c>
      <c r="K310" s="161"/>
      <c r="L310" s="161"/>
      <c r="M310" s="161"/>
      <c r="N310" s="161"/>
      <c r="O310" s="161"/>
      <c r="P310" s="161"/>
    </row>
    <row r="311" spans="1:16" ht="14">
      <c r="A311" s="22"/>
      <c r="B311" s="161" t="s">
        <v>92</v>
      </c>
      <c r="C311" s="162" t="s">
        <v>123</v>
      </c>
      <c r="D311" s="163">
        <v>44805</v>
      </c>
      <c r="E311" s="163">
        <v>44440</v>
      </c>
      <c r="F311" s="162" t="s">
        <v>124</v>
      </c>
      <c r="G311" s="162" t="s">
        <v>133</v>
      </c>
      <c r="H311" s="162" t="s">
        <v>180</v>
      </c>
      <c r="I311" s="22"/>
      <c r="J311" s="161" t="s">
        <v>92</v>
      </c>
      <c r="K311" s="162" t="s">
        <v>123</v>
      </c>
      <c r="L311" s="163" t="s">
        <v>196</v>
      </c>
      <c r="M311" s="163" t="s">
        <v>197</v>
      </c>
      <c r="N311" s="164" t="s">
        <v>124</v>
      </c>
      <c r="O311" s="164" t="s">
        <v>133</v>
      </c>
      <c r="P311" s="164" t="s">
        <v>180</v>
      </c>
    </row>
    <row r="312" spans="1:16" ht="14">
      <c r="A312" s="22"/>
      <c r="B312" s="161">
        <v>1</v>
      </c>
      <c r="C312" s="162" t="s">
        <v>98</v>
      </c>
      <c r="D312" s="193">
        <v>19.899999999999999</v>
      </c>
      <c r="E312" s="193">
        <v>12.2</v>
      </c>
      <c r="F312" s="194">
        <v>0.628</v>
      </c>
      <c r="G312" s="194">
        <v>0.36299999999999999</v>
      </c>
      <c r="H312" s="194">
        <v>0.35899999999999999</v>
      </c>
      <c r="I312" s="22"/>
      <c r="J312" s="161">
        <v>1</v>
      </c>
      <c r="K312" s="162" t="s">
        <v>98</v>
      </c>
      <c r="L312" s="162">
        <v>119.8</v>
      </c>
      <c r="M312" s="205">
        <v>59.8</v>
      </c>
      <c r="N312" s="167">
        <v>1.0029999999999999</v>
      </c>
      <c r="O312" s="167">
        <v>0.35099999999999998</v>
      </c>
      <c r="P312" s="167">
        <v>0.307</v>
      </c>
    </row>
    <row r="313" spans="1:16" ht="14">
      <c r="A313" s="22"/>
      <c r="B313" s="161">
        <v>2</v>
      </c>
      <c r="C313" s="162" t="s">
        <v>100</v>
      </c>
      <c r="D313" s="193">
        <v>8.8000000000000007</v>
      </c>
      <c r="E313" s="193">
        <v>6.3</v>
      </c>
      <c r="F313" s="194">
        <v>0.39200000000000002</v>
      </c>
      <c r="G313" s="194">
        <v>0.16</v>
      </c>
      <c r="H313" s="194">
        <v>0.186</v>
      </c>
      <c r="I313" s="22"/>
      <c r="J313" s="161">
        <v>2</v>
      </c>
      <c r="K313" s="162" t="s">
        <v>100</v>
      </c>
      <c r="L313" s="162">
        <v>48.1</v>
      </c>
      <c r="M313" s="205">
        <v>42.1</v>
      </c>
      <c r="N313" s="167">
        <v>0.14099999999999999</v>
      </c>
      <c r="O313" s="167">
        <v>0.14099999999999999</v>
      </c>
      <c r="P313" s="167">
        <v>0.216</v>
      </c>
    </row>
    <row r="314" spans="1:16" ht="14">
      <c r="A314" s="22"/>
      <c r="B314" s="161">
        <v>3</v>
      </c>
      <c r="C314" s="162" t="s">
        <v>96</v>
      </c>
      <c r="D314" s="193">
        <v>7.3</v>
      </c>
      <c r="E314" s="193">
        <v>3.3</v>
      </c>
      <c r="F314" s="194">
        <v>1.2170000000000001</v>
      </c>
      <c r="G314" s="194">
        <v>0.1331608040201</v>
      </c>
      <c r="H314" s="194">
        <v>9.6000000000000002E-2</v>
      </c>
      <c r="I314" s="22"/>
      <c r="J314" s="161">
        <v>3</v>
      </c>
      <c r="K314" s="162" t="s">
        <v>96</v>
      </c>
      <c r="L314" s="162">
        <v>43.6</v>
      </c>
      <c r="M314" s="205">
        <v>15.8</v>
      </c>
      <c r="N314" s="167">
        <v>1.77</v>
      </c>
      <c r="O314" s="167">
        <v>0.128</v>
      </c>
      <c r="P314" s="167">
        <v>8.1000000000000003E-2</v>
      </c>
    </row>
    <row r="315" spans="1:16" ht="14">
      <c r="A315" s="22"/>
      <c r="B315" s="161">
        <v>4</v>
      </c>
      <c r="C315" s="162" t="s">
        <v>99</v>
      </c>
      <c r="D315" s="193">
        <v>3.5</v>
      </c>
      <c r="E315" s="193">
        <v>3.8</v>
      </c>
      <c r="F315" s="194">
        <v>-8.1000000000000003E-2</v>
      </c>
      <c r="G315" s="194">
        <v>6.5000000000000002E-2</v>
      </c>
      <c r="H315" s="194">
        <v>0.113</v>
      </c>
      <c r="I315" s="22"/>
      <c r="J315" s="161">
        <v>4</v>
      </c>
      <c r="K315" s="162" t="s">
        <v>99</v>
      </c>
      <c r="L315" s="162">
        <v>27.8</v>
      </c>
      <c r="M315" s="205">
        <v>26.6</v>
      </c>
      <c r="N315" s="167">
        <v>4.3999999999999997E-2</v>
      </c>
      <c r="O315" s="167">
        <v>8.1000000000000003E-2</v>
      </c>
      <c r="P315" s="167">
        <v>0.13600000000000001</v>
      </c>
    </row>
    <row r="316" spans="1:16" ht="14">
      <c r="A316" s="22"/>
      <c r="B316" s="161">
        <v>5</v>
      </c>
      <c r="C316" s="161" t="s">
        <v>107</v>
      </c>
      <c r="D316" s="193">
        <v>2.8</v>
      </c>
      <c r="E316" s="193">
        <v>1.8</v>
      </c>
      <c r="F316" s="194">
        <v>0.52700000000000002</v>
      </c>
      <c r="G316" s="194">
        <v>5.1075376884422097E-2</v>
      </c>
      <c r="H316" s="194">
        <v>5.3999999999999999E-2</v>
      </c>
      <c r="I316" s="22"/>
      <c r="J316" s="161">
        <v>5</v>
      </c>
      <c r="K316" s="161" t="s">
        <v>107</v>
      </c>
      <c r="L316" s="162">
        <v>21.2</v>
      </c>
      <c r="M316" s="205">
        <v>11.1</v>
      </c>
      <c r="N316" s="167">
        <v>0.92</v>
      </c>
      <c r="O316" s="167">
        <v>6.2E-2</v>
      </c>
      <c r="P316" s="167">
        <v>5.7000000000000002E-2</v>
      </c>
    </row>
    <row r="317" spans="1:16" ht="14">
      <c r="A317" s="22"/>
      <c r="B317" s="161">
        <v>6</v>
      </c>
      <c r="C317" s="162" t="s">
        <v>105</v>
      </c>
      <c r="D317" s="193">
        <v>2.4</v>
      </c>
      <c r="E317" s="193">
        <v>1.2</v>
      </c>
      <c r="F317" s="194">
        <v>0.95099999999999996</v>
      </c>
      <c r="G317" s="194">
        <v>4.3778894472361801E-2</v>
      </c>
      <c r="H317" s="194">
        <v>3.5999999999999997E-2</v>
      </c>
      <c r="I317" s="22"/>
      <c r="J317" s="161">
        <v>6</v>
      </c>
      <c r="K317" s="162" t="s">
        <v>105</v>
      </c>
      <c r="L317" s="162">
        <v>16.600000000000001</v>
      </c>
      <c r="M317" s="205">
        <v>10.1</v>
      </c>
      <c r="N317" s="167">
        <v>0.65100000000000002</v>
      </c>
      <c r="O317" s="167">
        <v>4.9000000000000002E-2</v>
      </c>
      <c r="P317" s="167">
        <v>5.1999999999999998E-2</v>
      </c>
    </row>
    <row r="318" spans="1:16" ht="14">
      <c r="A318" s="22"/>
      <c r="B318" s="161">
        <v>7</v>
      </c>
      <c r="C318" s="162" t="s">
        <v>111</v>
      </c>
      <c r="D318" s="193">
        <v>2</v>
      </c>
      <c r="E318" s="193">
        <v>0.6</v>
      </c>
      <c r="F318" s="194">
        <v>2.222</v>
      </c>
      <c r="G318" s="194">
        <v>3.6999999999999998E-2</v>
      </c>
      <c r="H318" s="194">
        <v>1.9E-2</v>
      </c>
      <c r="I318" s="22"/>
      <c r="J318" s="161">
        <v>7</v>
      </c>
      <c r="K318" s="162" t="s">
        <v>111</v>
      </c>
      <c r="L318" s="162">
        <v>13.7</v>
      </c>
      <c r="M318" s="205">
        <v>5.4</v>
      </c>
      <c r="N318" s="167">
        <v>1.516</v>
      </c>
      <c r="O318" s="167">
        <v>0.04</v>
      </c>
      <c r="P318" s="167">
        <v>2.8000000000000001E-2</v>
      </c>
    </row>
    <row r="319" spans="1:16" ht="14">
      <c r="A319" s="22"/>
      <c r="B319" s="161">
        <v>8</v>
      </c>
      <c r="C319" s="162" t="s">
        <v>103</v>
      </c>
      <c r="D319" s="193">
        <v>1.6</v>
      </c>
      <c r="E319" s="193">
        <v>0.6</v>
      </c>
      <c r="F319" s="194">
        <v>1.5109999999999999</v>
      </c>
      <c r="G319" s="194">
        <v>2.91859296482412E-2</v>
      </c>
      <c r="H319" s="194">
        <v>1.9E-2</v>
      </c>
      <c r="I319" s="22"/>
      <c r="J319" s="161">
        <v>8</v>
      </c>
      <c r="K319" s="162" t="s">
        <v>103</v>
      </c>
      <c r="L319" s="162">
        <v>9.9</v>
      </c>
      <c r="M319" s="205">
        <v>4</v>
      </c>
      <c r="N319" s="167">
        <v>1.4950000000000001</v>
      </c>
      <c r="O319" s="167">
        <v>2.9000000000000001E-2</v>
      </c>
      <c r="P319" s="167">
        <v>0.02</v>
      </c>
    </row>
    <row r="320" spans="1:16" ht="14">
      <c r="A320" s="22"/>
      <c r="B320" s="161">
        <v>9</v>
      </c>
      <c r="C320" s="162" t="s">
        <v>114</v>
      </c>
      <c r="D320" s="193">
        <v>1</v>
      </c>
      <c r="E320" s="193">
        <v>0.4</v>
      </c>
      <c r="F320" s="194">
        <v>1.214</v>
      </c>
      <c r="G320" s="194">
        <v>1.8241206030150801E-2</v>
      </c>
      <c r="H320" s="194">
        <v>1.2999999999999999E-2</v>
      </c>
      <c r="I320" s="22"/>
      <c r="J320" s="161">
        <v>9</v>
      </c>
      <c r="K320" s="162" t="s">
        <v>114</v>
      </c>
      <c r="L320" s="162">
        <v>5.9</v>
      </c>
      <c r="M320" s="205">
        <v>1.1000000000000001</v>
      </c>
      <c r="N320" s="167">
        <v>4.1420000000000003</v>
      </c>
      <c r="O320" s="167">
        <v>1.7000000000000001E-2</v>
      </c>
      <c r="P320" s="167">
        <v>6.0000000000000001E-3</v>
      </c>
    </row>
    <row r="321" spans="1:16" ht="14">
      <c r="A321" s="22"/>
      <c r="B321" s="162">
        <v>10</v>
      </c>
      <c r="C321" s="162" t="s">
        <v>129</v>
      </c>
      <c r="D321" s="193">
        <v>0.7</v>
      </c>
      <c r="E321" s="193">
        <v>0.4</v>
      </c>
      <c r="F321" s="194">
        <v>0.92100000000000004</v>
      </c>
      <c r="G321" s="194">
        <v>1.27688442211055E-2</v>
      </c>
      <c r="H321" s="194">
        <v>1.0999999999999999E-2</v>
      </c>
      <c r="I321" s="22"/>
      <c r="J321" s="198">
        <v>10</v>
      </c>
      <c r="K321" s="209" t="s">
        <v>129</v>
      </c>
      <c r="L321" s="162">
        <v>4.5</v>
      </c>
      <c r="M321" s="205">
        <v>1.8</v>
      </c>
      <c r="N321" s="167">
        <v>1.5189999999999999</v>
      </c>
      <c r="O321" s="167">
        <v>1.2999999999999999E-2</v>
      </c>
      <c r="P321" s="167">
        <v>8.9999999999999993E-3</v>
      </c>
    </row>
    <row r="322" spans="1:16" ht="14">
      <c r="A322" s="22"/>
      <c r="B322" s="162" t="s">
        <v>118</v>
      </c>
      <c r="C322" s="162"/>
      <c r="D322" s="193">
        <v>4.8</v>
      </c>
      <c r="E322" s="193">
        <v>3.2</v>
      </c>
      <c r="F322" s="194">
        <v>0.505</v>
      </c>
      <c r="G322" s="194">
        <v>8.7557788944723602E-2</v>
      </c>
      <c r="H322" s="194">
        <v>9.4163934426229501E-2</v>
      </c>
      <c r="I322" s="22"/>
      <c r="J322" s="162" t="s">
        <v>39</v>
      </c>
      <c r="K322" s="162"/>
      <c r="L322" s="162">
        <v>30.3</v>
      </c>
      <c r="M322" s="205">
        <v>17.100000000000001</v>
      </c>
      <c r="N322" s="167">
        <v>0.76600000000000001</v>
      </c>
      <c r="O322" s="167">
        <v>8.8999999999999996E-2</v>
      </c>
      <c r="P322" s="167">
        <v>8.7999999999999995E-2</v>
      </c>
    </row>
    <row r="323" spans="1:16" ht="14">
      <c r="A323" s="22"/>
      <c r="B323" s="22" t="s">
        <v>48</v>
      </c>
      <c r="C323" s="22"/>
      <c r="D323" s="203">
        <v>54.7</v>
      </c>
      <c r="E323" s="203">
        <v>33.9</v>
      </c>
      <c r="F323" s="122">
        <v>0.61199999999999999</v>
      </c>
      <c r="G323" s="122">
        <v>1</v>
      </c>
      <c r="H323" s="122">
        <v>1</v>
      </c>
      <c r="I323" s="22"/>
      <c r="J323" s="22" t="s">
        <v>48</v>
      </c>
      <c r="K323" s="22"/>
      <c r="L323" s="22">
        <v>341.3</v>
      </c>
      <c r="M323" s="207">
        <v>194.9</v>
      </c>
      <c r="N323" s="122">
        <v>0.752</v>
      </c>
      <c r="O323" s="122">
        <v>1</v>
      </c>
      <c r="P323" s="122">
        <v>1</v>
      </c>
    </row>
    <row r="324" spans="1:16" ht="1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</row>
    <row r="325" spans="1:16" ht="14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</row>
    <row r="326" spans="1:16" ht="14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</row>
    <row r="327" spans="1:16" ht="14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</row>
    <row r="328" spans="1:16" ht="14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</row>
    <row r="329" spans="1:16" ht="14">
      <c r="A329" s="22"/>
      <c r="B329" s="22"/>
      <c r="C329" s="22"/>
      <c r="D329" s="22"/>
      <c r="E329" s="22"/>
      <c r="F329" s="22"/>
      <c r="G329" s="22"/>
      <c r="H329" s="22"/>
      <c r="I329" s="22"/>
      <c r="J329" s="72"/>
      <c r="K329" s="22"/>
      <c r="L329" s="22"/>
      <c r="M329" s="22"/>
      <c r="N329" s="22"/>
      <c r="O329" s="22"/>
      <c r="P329" s="22"/>
    </row>
    <row r="330" spans="1:16" ht="14">
      <c r="A330" s="22"/>
      <c r="B330" s="161" t="s">
        <v>198</v>
      </c>
      <c r="C330" s="161"/>
      <c r="D330" s="161"/>
      <c r="E330" s="161"/>
      <c r="F330" s="161"/>
      <c r="G330" s="161"/>
      <c r="H330" s="161"/>
      <c r="I330" s="22"/>
      <c r="J330" s="161" t="s">
        <v>199</v>
      </c>
      <c r="K330" s="161"/>
      <c r="L330" s="161"/>
      <c r="M330" s="161"/>
      <c r="N330" s="161"/>
      <c r="O330" s="161"/>
      <c r="P330" s="161"/>
    </row>
    <row r="331" spans="1:16" ht="14">
      <c r="A331" s="22"/>
      <c r="B331" s="161" t="s">
        <v>92</v>
      </c>
      <c r="C331" s="162" t="s">
        <v>123</v>
      </c>
      <c r="D331" s="163">
        <v>44774</v>
      </c>
      <c r="E331" s="163">
        <v>44409</v>
      </c>
      <c r="F331" s="162" t="s">
        <v>124</v>
      </c>
      <c r="G331" s="162" t="s">
        <v>133</v>
      </c>
      <c r="H331" s="162" t="s">
        <v>180</v>
      </c>
      <c r="I331" s="22"/>
      <c r="J331" s="161" t="s">
        <v>92</v>
      </c>
      <c r="K331" s="162" t="s">
        <v>123</v>
      </c>
      <c r="L331" s="163" t="s">
        <v>200</v>
      </c>
      <c r="M331" s="163" t="s">
        <v>200</v>
      </c>
      <c r="N331" s="164" t="s">
        <v>124</v>
      </c>
      <c r="O331" s="164" t="s">
        <v>133</v>
      </c>
      <c r="P331" s="164" t="s">
        <v>180</v>
      </c>
    </row>
    <row r="332" spans="1:16" ht="14">
      <c r="A332" s="22"/>
      <c r="B332" s="161">
        <v>1</v>
      </c>
      <c r="C332" s="162" t="s">
        <v>98</v>
      </c>
      <c r="D332" s="193">
        <v>18</v>
      </c>
      <c r="E332" s="193">
        <v>7.9</v>
      </c>
      <c r="F332" s="194">
        <v>1.286</v>
      </c>
      <c r="G332" s="194">
        <v>0.39300000000000002</v>
      </c>
      <c r="H332" s="194">
        <v>0.32700000000000001</v>
      </c>
      <c r="I332" s="22"/>
      <c r="J332" s="161">
        <v>1</v>
      </c>
      <c r="K332" s="162" t="s">
        <v>98</v>
      </c>
      <c r="L332" s="162">
        <v>102.2</v>
      </c>
      <c r="M332" s="205">
        <v>47.6</v>
      </c>
      <c r="N332" s="167">
        <v>1.1470588235294099</v>
      </c>
      <c r="O332" s="167">
        <v>0.35535465924895698</v>
      </c>
      <c r="P332" s="167">
        <v>0.29583592293349897</v>
      </c>
    </row>
    <row r="333" spans="1:16" ht="14">
      <c r="A333" s="22"/>
      <c r="B333" s="161">
        <v>2</v>
      </c>
      <c r="C333" s="162" t="s">
        <v>96</v>
      </c>
      <c r="D333" s="193">
        <v>6.5</v>
      </c>
      <c r="E333" s="193">
        <v>2.5</v>
      </c>
      <c r="F333" s="194">
        <v>1.587</v>
      </c>
      <c r="G333" s="194">
        <v>0.14299999999999999</v>
      </c>
      <c r="H333" s="194">
        <v>0.105</v>
      </c>
      <c r="I333" s="22"/>
      <c r="J333" s="161">
        <v>2</v>
      </c>
      <c r="K333" s="162" t="s">
        <v>100</v>
      </c>
      <c r="L333" s="162">
        <v>39.4</v>
      </c>
      <c r="M333" s="205">
        <v>35.799999999999997</v>
      </c>
      <c r="N333" s="167">
        <v>0.1</v>
      </c>
      <c r="O333" s="167">
        <v>0.13699582753824799</v>
      </c>
      <c r="P333" s="167">
        <v>0.223</v>
      </c>
    </row>
    <row r="334" spans="1:16" ht="14">
      <c r="A334" s="22"/>
      <c r="B334" s="161">
        <v>3</v>
      </c>
      <c r="C334" s="162" t="s">
        <v>100</v>
      </c>
      <c r="D334" s="193">
        <v>5</v>
      </c>
      <c r="E334" s="193">
        <v>4.3</v>
      </c>
      <c r="F334" s="194">
        <v>0.161</v>
      </c>
      <c r="G334" s="194">
        <v>0.11</v>
      </c>
      <c r="H334" s="194">
        <v>0.18099999999999999</v>
      </c>
      <c r="I334" s="22"/>
      <c r="J334" s="161">
        <v>3</v>
      </c>
      <c r="K334" s="162" t="s">
        <v>96</v>
      </c>
      <c r="L334" s="162">
        <v>36.5</v>
      </c>
      <c r="M334" s="205">
        <v>12.5</v>
      </c>
      <c r="N334" s="167">
        <v>1.923</v>
      </c>
      <c r="O334" s="167">
        <v>0.12691237830319901</v>
      </c>
      <c r="P334" s="167">
        <v>7.7688004972032307E-2</v>
      </c>
    </row>
    <row r="335" spans="1:16" ht="14">
      <c r="A335" s="22"/>
      <c r="B335" s="161">
        <v>4</v>
      </c>
      <c r="C335" s="162" t="s">
        <v>99</v>
      </c>
      <c r="D335" s="193">
        <v>3.1</v>
      </c>
      <c r="E335" s="193">
        <v>2.9</v>
      </c>
      <c r="F335" s="194">
        <v>7.6999999999999999E-2</v>
      </c>
      <c r="G335" s="194">
        <v>6.7833698030634604E-2</v>
      </c>
      <c r="H335" s="194">
        <v>0.12</v>
      </c>
      <c r="I335" s="22"/>
      <c r="J335" s="161">
        <v>4</v>
      </c>
      <c r="K335" s="162" t="s">
        <v>99</v>
      </c>
      <c r="L335" s="162">
        <v>24</v>
      </c>
      <c r="M335" s="205">
        <v>22.8</v>
      </c>
      <c r="N335" s="167">
        <v>5.2631578947368397E-2</v>
      </c>
      <c r="O335" s="167">
        <v>8.3449235048678697E-2</v>
      </c>
      <c r="P335" s="167">
        <v>0.14099999999999999</v>
      </c>
    </row>
    <row r="336" spans="1:16" ht="14">
      <c r="A336" s="22"/>
      <c r="B336" s="161">
        <v>5</v>
      </c>
      <c r="C336" s="161" t="s">
        <v>107</v>
      </c>
      <c r="D336" s="193">
        <v>2.2000000000000002</v>
      </c>
      <c r="E336" s="193">
        <v>1.5</v>
      </c>
      <c r="F336" s="194">
        <v>0.46899999999999997</v>
      </c>
      <c r="G336" s="194">
        <v>4.9000000000000002E-2</v>
      </c>
      <c r="H336" s="194">
        <v>6.25E-2</v>
      </c>
      <c r="I336" s="22"/>
      <c r="J336" s="161">
        <v>5</v>
      </c>
      <c r="K336" s="161" t="s">
        <v>107</v>
      </c>
      <c r="L336" s="162">
        <v>18.399999999999999</v>
      </c>
      <c r="M336" s="205">
        <v>9.1999999999999993</v>
      </c>
      <c r="N336" s="167">
        <v>0.99199999999999999</v>
      </c>
      <c r="O336" s="167">
        <v>6.3977746870653704E-2</v>
      </c>
      <c r="P336" s="167">
        <v>5.7178371659415798E-2</v>
      </c>
    </row>
    <row r="337" spans="1:16" ht="14">
      <c r="A337" s="22"/>
      <c r="B337" s="161">
        <v>6</v>
      </c>
      <c r="C337" s="162" t="s">
        <v>105</v>
      </c>
      <c r="D337" s="193">
        <v>2.1</v>
      </c>
      <c r="E337" s="193">
        <v>1</v>
      </c>
      <c r="F337" s="194">
        <v>0.95499999999999996</v>
      </c>
      <c r="G337" s="194">
        <v>4.4999999999999998E-2</v>
      </c>
      <c r="H337" s="194">
        <v>4.3999999999999997E-2</v>
      </c>
      <c r="I337" s="22"/>
      <c r="J337" s="161">
        <v>6</v>
      </c>
      <c r="K337" s="162" t="s">
        <v>105</v>
      </c>
      <c r="L337" s="162">
        <v>14.2</v>
      </c>
      <c r="M337" s="205">
        <v>8.9</v>
      </c>
      <c r="N337" s="167">
        <v>0.59699999999999998</v>
      </c>
      <c r="O337" s="167">
        <v>4.9374130737134897E-2</v>
      </c>
      <c r="P337" s="167">
        <v>5.5313859540087003E-2</v>
      </c>
    </row>
    <row r="338" spans="1:16" ht="14">
      <c r="A338" s="22"/>
      <c r="B338" s="161">
        <v>7</v>
      </c>
      <c r="C338" s="162" t="s">
        <v>111</v>
      </c>
      <c r="D338" s="193">
        <v>1.9</v>
      </c>
      <c r="E338" s="193">
        <v>0.7</v>
      </c>
      <c r="F338" s="194">
        <v>1.5669999999999999</v>
      </c>
      <c r="G338" s="194">
        <v>4.1575492341356698E-2</v>
      </c>
      <c r="H338" s="194">
        <v>3.1E-2</v>
      </c>
      <c r="I338" s="22"/>
      <c r="J338" s="161">
        <v>7</v>
      </c>
      <c r="K338" s="162" t="s">
        <v>111</v>
      </c>
      <c r="L338" s="162">
        <v>11.6</v>
      </c>
      <c r="M338" s="205">
        <v>4.8</v>
      </c>
      <c r="N338" s="167">
        <v>1.4119999999999999</v>
      </c>
      <c r="O338" s="167">
        <v>4.0333796940194698E-2</v>
      </c>
      <c r="P338" s="167">
        <v>2.98321939092604E-2</v>
      </c>
    </row>
    <row r="339" spans="1:16" ht="14">
      <c r="A339" s="22"/>
      <c r="B339" s="161">
        <v>8</v>
      </c>
      <c r="C339" s="162" t="s">
        <v>103</v>
      </c>
      <c r="D339" s="193">
        <v>1.4</v>
      </c>
      <c r="E339" s="193">
        <v>0.7</v>
      </c>
      <c r="F339" s="194">
        <v>1.1200000000000001</v>
      </c>
      <c r="G339" s="194">
        <v>0.03</v>
      </c>
      <c r="H339" s="194">
        <v>2.7E-2</v>
      </c>
      <c r="I339" s="22"/>
      <c r="J339" s="161">
        <v>8</v>
      </c>
      <c r="K339" s="162" t="s">
        <v>103</v>
      </c>
      <c r="L339" s="162">
        <v>8.4</v>
      </c>
      <c r="M339" s="205">
        <v>3.3</v>
      </c>
      <c r="N339" s="167">
        <v>1.536</v>
      </c>
      <c r="O339" s="167">
        <v>2.92072322670376E-2</v>
      </c>
      <c r="P339" s="167">
        <v>2.0509633312616501E-2</v>
      </c>
    </row>
    <row r="340" spans="1:16" ht="14">
      <c r="A340" s="22"/>
      <c r="B340" s="161">
        <v>9</v>
      </c>
      <c r="C340" s="162" t="s">
        <v>114</v>
      </c>
      <c r="D340" s="193">
        <v>0.9</v>
      </c>
      <c r="E340" s="193">
        <v>0.2</v>
      </c>
      <c r="F340" s="194">
        <v>4.1369999999999996</v>
      </c>
      <c r="G340" s="194">
        <v>1.9E-2</v>
      </c>
      <c r="H340" s="194">
        <v>7.0000000000000001E-3</v>
      </c>
      <c r="I340" s="22"/>
      <c r="J340" s="161">
        <v>9</v>
      </c>
      <c r="K340" s="162" t="s">
        <v>114</v>
      </c>
      <c r="L340" s="162">
        <v>4.9000000000000004</v>
      </c>
      <c r="M340" s="205">
        <v>0.7</v>
      </c>
      <c r="N340" s="167">
        <v>5.875</v>
      </c>
      <c r="O340" s="167">
        <v>1.70375521557719E-2</v>
      </c>
      <c r="P340" s="167">
        <v>4.3505282784338101E-3</v>
      </c>
    </row>
    <row r="341" spans="1:16" ht="14">
      <c r="A341" s="22"/>
      <c r="B341" s="162">
        <v>10</v>
      </c>
      <c r="C341" s="162" t="s">
        <v>129</v>
      </c>
      <c r="D341" s="193">
        <v>0.6</v>
      </c>
      <c r="E341" s="193">
        <v>0.3</v>
      </c>
      <c r="F341" s="194">
        <v>1.149</v>
      </c>
      <c r="G341" s="194">
        <v>1.3129102844638901E-2</v>
      </c>
      <c r="H341" s="194">
        <v>1.2E-2</v>
      </c>
      <c r="I341" s="22"/>
      <c r="J341" s="198">
        <v>10</v>
      </c>
      <c r="K341" s="209" t="s">
        <v>129</v>
      </c>
      <c r="L341" s="162">
        <v>3.9</v>
      </c>
      <c r="M341" s="205">
        <v>1.5</v>
      </c>
      <c r="N341" s="167">
        <v>1.5549999999999999</v>
      </c>
      <c r="O341" s="167">
        <v>1.35605006954103E-2</v>
      </c>
      <c r="P341" s="167">
        <v>9.3225605966438807E-3</v>
      </c>
    </row>
    <row r="342" spans="1:16" ht="14">
      <c r="A342" s="22"/>
      <c r="B342" s="162" t="s">
        <v>118</v>
      </c>
      <c r="C342" s="162"/>
      <c r="D342" s="193">
        <v>4.0999999999999996</v>
      </c>
      <c r="E342" s="193">
        <v>2</v>
      </c>
      <c r="F342" s="194">
        <v>1.0189999999999999</v>
      </c>
      <c r="G342" s="194">
        <v>8.8999999999999996E-2</v>
      </c>
      <c r="H342" s="194">
        <v>8.4000000000000005E-2</v>
      </c>
      <c r="I342" s="22"/>
      <c r="J342" s="162" t="s">
        <v>39</v>
      </c>
      <c r="K342" s="162"/>
      <c r="L342" s="162">
        <v>24.3</v>
      </c>
      <c r="M342" s="205">
        <v>13.9</v>
      </c>
      <c r="N342" s="167">
        <v>0.754</v>
      </c>
      <c r="O342" s="167">
        <v>8.4492350486787202E-2</v>
      </c>
      <c r="P342" s="167">
        <v>8.6389061528899899E-2</v>
      </c>
    </row>
    <row r="343" spans="1:16" ht="14">
      <c r="A343" s="22"/>
      <c r="B343" s="22" t="s">
        <v>48</v>
      </c>
      <c r="C343" s="22"/>
      <c r="D343" s="203">
        <v>45.7</v>
      </c>
      <c r="E343" s="203">
        <v>24</v>
      </c>
      <c r="F343" s="122">
        <v>0.90300000000000002</v>
      </c>
      <c r="G343" s="122">
        <v>1</v>
      </c>
      <c r="H343" s="122">
        <v>1</v>
      </c>
      <c r="I343" s="22"/>
      <c r="J343" s="22" t="s">
        <v>48</v>
      </c>
      <c r="K343" s="22"/>
      <c r="L343" s="22">
        <v>287.60000000000002</v>
      </c>
      <c r="M343" s="207">
        <v>160.9</v>
      </c>
      <c r="N343" s="122">
        <v>0.78744561839652005</v>
      </c>
      <c r="O343" s="122">
        <v>1</v>
      </c>
      <c r="P343" s="122">
        <v>1</v>
      </c>
    </row>
    <row r="344" spans="1:16" ht="1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</row>
    <row r="345" spans="1:16" ht="14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</row>
    <row r="346" spans="1:16" ht="14">
      <c r="A346" s="22"/>
      <c r="B346" s="22"/>
      <c r="C346" s="22"/>
      <c r="D346" s="22"/>
      <c r="E346" s="22"/>
      <c r="F346" s="22"/>
      <c r="G346" s="22"/>
      <c r="H346" s="22"/>
      <c r="I346" s="22"/>
      <c r="J346" s="72"/>
      <c r="K346" s="22"/>
      <c r="L346" s="22"/>
      <c r="M346" s="22"/>
      <c r="N346" s="22"/>
      <c r="O346" s="22"/>
      <c r="P346" s="22"/>
    </row>
    <row r="347" spans="1:16" ht="14">
      <c r="A347" s="22"/>
      <c r="B347" s="161" t="s">
        <v>201</v>
      </c>
      <c r="C347" s="161"/>
      <c r="D347" s="161"/>
      <c r="E347" s="161"/>
      <c r="F347" s="161"/>
      <c r="G347" s="161"/>
      <c r="H347" s="161"/>
      <c r="I347" s="22"/>
      <c r="J347" s="161" t="s">
        <v>202</v>
      </c>
      <c r="K347" s="161"/>
      <c r="L347" s="161"/>
      <c r="M347" s="161"/>
      <c r="N347" s="161"/>
      <c r="O347" s="161"/>
      <c r="P347" s="161"/>
    </row>
    <row r="348" spans="1:16" ht="14">
      <c r="A348" s="22"/>
      <c r="B348" s="161" t="s">
        <v>92</v>
      </c>
      <c r="C348" s="162" t="s">
        <v>123</v>
      </c>
      <c r="D348" s="163">
        <v>44743</v>
      </c>
      <c r="E348" s="163">
        <v>44378</v>
      </c>
      <c r="F348" s="162" t="s">
        <v>124</v>
      </c>
      <c r="G348" s="162" t="s">
        <v>133</v>
      </c>
      <c r="H348" s="162" t="s">
        <v>180</v>
      </c>
      <c r="I348" s="22"/>
      <c r="J348" s="161" t="s">
        <v>92</v>
      </c>
      <c r="K348" s="162" t="s">
        <v>123</v>
      </c>
      <c r="L348" s="163" t="s">
        <v>203</v>
      </c>
      <c r="M348" s="163" t="s">
        <v>203</v>
      </c>
      <c r="N348" s="164" t="s">
        <v>124</v>
      </c>
      <c r="O348" s="164" t="s">
        <v>133</v>
      </c>
      <c r="P348" s="164" t="s">
        <v>180</v>
      </c>
    </row>
    <row r="349" spans="1:16" ht="14">
      <c r="A349" s="22"/>
      <c r="B349" s="161">
        <v>1</v>
      </c>
      <c r="C349" s="162" t="s">
        <v>98</v>
      </c>
      <c r="D349" s="162">
        <v>13.3</v>
      </c>
      <c r="E349" s="193">
        <v>6.8</v>
      </c>
      <c r="F349" s="194">
        <v>0.94799999999999995</v>
      </c>
      <c r="G349" s="194">
        <v>0.33501259445843801</v>
      </c>
      <c r="H349" s="194">
        <v>0.314</v>
      </c>
      <c r="I349" s="22"/>
      <c r="J349" s="161">
        <v>1</v>
      </c>
      <c r="K349" s="162" t="s">
        <v>98</v>
      </c>
      <c r="L349" s="162">
        <v>83.6</v>
      </c>
      <c r="M349" s="205">
        <v>39.700000000000003</v>
      </c>
      <c r="N349" s="167">
        <v>1.1060000000000001</v>
      </c>
      <c r="O349" s="167">
        <v>0.34717607973421899</v>
      </c>
      <c r="P349" s="167">
        <v>0.29020467836257302</v>
      </c>
    </row>
    <row r="350" spans="1:16" ht="14">
      <c r="A350" s="22"/>
      <c r="B350" s="161">
        <v>2</v>
      </c>
      <c r="C350" s="162" t="s">
        <v>96</v>
      </c>
      <c r="D350" s="162">
        <v>6.4</v>
      </c>
      <c r="E350" s="193">
        <v>2.1</v>
      </c>
      <c r="F350" s="194">
        <v>2.056</v>
      </c>
      <c r="G350" s="194">
        <v>0.16200000000000001</v>
      </c>
      <c r="H350" s="194">
        <v>9.7000000000000003E-2</v>
      </c>
      <c r="I350" s="22"/>
      <c r="J350" s="161">
        <v>2</v>
      </c>
      <c r="K350" s="162" t="s">
        <v>100</v>
      </c>
      <c r="L350" s="162">
        <v>34.299999999999997</v>
      </c>
      <c r="M350" s="205">
        <v>31.5</v>
      </c>
      <c r="N350" s="167">
        <v>0.09</v>
      </c>
      <c r="O350" s="167">
        <v>0.142441860465116</v>
      </c>
      <c r="P350" s="167">
        <v>0.230263157894737</v>
      </c>
    </row>
    <row r="351" spans="1:16" ht="14">
      <c r="A351" s="22"/>
      <c r="B351" s="161">
        <v>3</v>
      </c>
      <c r="C351" s="162" t="s">
        <v>100</v>
      </c>
      <c r="D351" s="162">
        <v>4.4000000000000004</v>
      </c>
      <c r="E351" s="193">
        <v>4.0999999999999996</v>
      </c>
      <c r="F351" s="194">
        <v>5.8999999999999997E-2</v>
      </c>
      <c r="G351" s="194">
        <v>0.11</v>
      </c>
      <c r="H351" s="194">
        <v>0.19</v>
      </c>
      <c r="I351" s="22"/>
      <c r="J351" s="161">
        <v>3</v>
      </c>
      <c r="K351" s="162" t="s">
        <v>96</v>
      </c>
      <c r="L351" s="162">
        <v>30.3</v>
      </c>
      <c r="M351" s="205">
        <v>10</v>
      </c>
      <c r="N351" s="167">
        <v>2.0470000000000002</v>
      </c>
      <c r="O351" s="167">
        <v>0.125830564784053</v>
      </c>
      <c r="P351" s="167">
        <v>7.30994152046784E-2</v>
      </c>
    </row>
    <row r="352" spans="1:16" ht="14">
      <c r="A352" s="22"/>
      <c r="B352" s="161">
        <v>4</v>
      </c>
      <c r="C352" s="162" t="s">
        <v>99</v>
      </c>
      <c r="D352" s="162">
        <v>2.9</v>
      </c>
      <c r="E352" s="193">
        <v>2.6</v>
      </c>
      <c r="F352" s="194">
        <v>0.109</v>
      </c>
      <c r="G352" s="194">
        <v>7.1999999999999995E-2</v>
      </c>
      <c r="H352" s="194">
        <v>1.18</v>
      </c>
      <c r="I352" s="22"/>
      <c r="J352" s="161">
        <v>4</v>
      </c>
      <c r="K352" s="162" t="s">
        <v>99</v>
      </c>
      <c r="L352" s="162">
        <v>20.8</v>
      </c>
      <c r="M352" s="205">
        <v>19.899999999999999</v>
      </c>
      <c r="N352" s="167">
        <v>4.9000000000000002E-2</v>
      </c>
      <c r="O352" s="167">
        <v>8.6378737541528194E-2</v>
      </c>
      <c r="P352" s="167">
        <v>0.14546783625731</v>
      </c>
    </row>
    <row r="353" spans="1:16" ht="14">
      <c r="A353" s="22"/>
      <c r="B353" s="161">
        <v>5</v>
      </c>
      <c r="C353" s="161" t="s">
        <v>107</v>
      </c>
      <c r="D353" s="162">
        <v>2.4</v>
      </c>
      <c r="E353" s="193">
        <v>1.4</v>
      </c>
      <c r="F353" s="194">
        <v>0.66600000000000004</v>
      </c>
      <c r="G353" s="194">
        <v>6.0453400503778301E-2</v>
      </c>
      <c r="H353" s="194">
        <v>6.6000000000000003E-2</v>
      </c>
      <c r="I353" s="22"/>
      <c r="J353" s="161">
        <v>5</v>
      </c>
      <c r="K353" s="161" t="s">
        <v>107</v>
      </c>
      <c r="L353" s="162">
        <v>15.8</v>
      </c>
      <c r="M353" s="205">
        <v>7.6</v>
      </c>
      <c r="N353" s="167">
        <v>1.0780000000000001</v>
      </c>
      <c r="O353" s="167">
        <v>6.5614617940199293E-2</v>
      </c>
      <c r="P353" s="167">
        <v>5.5555555555555497E-2</v>
      </c>
    </row>
    <row r="354" spans="1:16" ht="14">
      <c r="A354" s="22"/>
      <c r="B354" s="161">
        <v>6</v>
      </c>
      <c r="C354" s="162" t="s">
        <v>111</v>
      </c>
      <c r="D354" s="162">
        <v>2.1</v>
      </c>
      <c r="E354" s="193">
        <v>0.7</v>
      </c>
      <c r="F354" s="194">
        <v>1.855</v>
      </c>
      <c r="G354" s="194">
        <v>5.3999999999999999E-2</v>
      </c>
      <c r="H354" s="194">
        <v>3.4000000000000002E-2</v>
      </c>
      <c r="I354" s="22"/>
      <c r="J354" s="161">
        <v>6</v>
      </c>
      <c r="K354" s="162" t="s">
        <v>105</v>
      </c>
      <c r="L354" s="162">
        <v>12.2</v>
      </c>
      <c r="M354" s="205">
        <v>7.8</v>
      </c>
      <c r="N354" s="167">
        <v>0.56299999999999994</v>
      </c>
      <c r="O354" s="167">
        <v>5.0664451827242503E-2</v>
      </c>
      <c r="P354" s="167">
        <v>5.7017543859649099E-2</v>
      </c>
    </row>
    <row r="355" spans="1:16" ht="14">
      <c r="A355" s="22"/>
      <c r="B355" s="161">
        <v>7</v>
      </c>
      <c r="C355" s="162" t="s">
        <v>204</v>
      </c>
      <c r="D355" s="162">
        <v>2</v>
      </c>
      <c r="E355" s="193">
        <v>1.2</v>
      </c>
      <c r="F355" s="194">
        <v>0.66300000000000003</v>
      </c>
      <c r="G355" s="194">
        <v>4.9000000000000002E-2</v>
      </c>
      <c r="H355" s="194">
        <v>5.3999999999999999E-2</v>
      </c>
      <c r="I355" s="22"/>
      <c r="J355" s="161">
        <v>7</v>
      </c>
      <c r="K355" s="162" t="s">
        <v>111</v>
      </c>
      <c r="L355" s="162">
        <v>10</v>
      </c>
      <c r="M355" s="205">
        <v>4.0999999999999996</v>
      </c>
      <c r="N355" s="167">
        <v>1.468</v>
      </c>
      <c r="O355" s="167">
        <v>4.1528239202657802E-2</v>
      </c>
      <c r="P355" s="167">
        <v>2.9970760233918099E-2</v>
      </c>
    </row>
    <row r="356" spans="1:16" ht="14">
      <c r="A356" s="22"/>
      <c r="B356" s="161">
        <v>8</v>
      </c>
      <c r="C356" s="162" t="s">
        <v>103</v>
      </c>
      <c r="D356" s="162">
        <v>1.5</v>
      </c>
      <c r="E356" s="193">
        <v>0.5</v>
      </c>
      <c r="F356" s="194">
        <v>2.1469999999999998</v>
      </c>
      <c r="G356" s="194">
        <v>3.7783375314861499E-2</v>
      </c>
      <c r="H356" s="194">
        <v>2.1999999999999999E-2</v>
      </c>
      <c r="I356" s="22"/>
      <c r="J356" s="161">
        <v>8</v>
      </c>
      <c r="K356" s="162" t="s">
        <v>103</v>
      </c>
      <c r="L356" s="162">
        <v>7</v>
      </c>
      <c r="M356" s="205">
        <v>2.7</v>
      </c>
      <c r="N356" s="167">
        <v>1.6339999999999999</v>
      </c>
      <c r="O356" s="167">
        <v>2.9069767441860499E-2</v>
      </c>
      <c r="P356" s="167">
        <v>1.9736842105263198E-2</v>
      </c>
    </row>
    <row r="357" spans="1:16" ht="14">
      <c r="A357" s="22"/>
      <c r="B357" s="161">
        <v>9</v>
      </c>
      <c r="C357" s="162" t="s">
        <v>114</v>
      </c>
      <c r="D357" s="162">
        <v>0.8</v>
      </c>
      <c r="E357" s="193">
        <v>0.1</v>
      </c>
      <c r="F357" s="194">
        <v>5.3209999999999997</v>
      </c>
      <c r="G357" s="194">
        <v>2.1000000000000001E-2</v>
      </c>
      <c r="H357" s="194">
        <v>6.0000000000000001E-3</v>
      </c>
      <c r="I357" s="22"/>
      <c r="J357" s="161">
        <v>9</v>
      </c>
      <c r="K357" s="162" t="s">
        <v>114</v>
      </c>
      <c r="L357" s="162">
        <v>3.9</v>
      </c>
      <c r="M357" s="205">
        <v>0.5</v>
      </c>
      <c r="N357" s="167">
        <v>6.3109999999999999</v>
      </c>
      <c r="O357" s="167">
        <v>1.6196013289036498E-2</v>
      </c>
      <c r="P357" s="167">
        <v>3.6549707602339201E-3</v>
      </c>
    </row>
    <row r="358" spans="1:16" ht="14">
      <c r="A358" s="22"/>
      <c r="B358" s="162">
        <v>10</v>
      </c>
      <c r="C358" s="162" t="s">
        <v>129</v>
      </c>
      <c r="D358" s="162">
        <v>0.6</v>
      </c>
      <c r="E358" s="193">
        <v>0.2</v>
      </c>
      <c r="F358" s="194">
        <v>2.1859999999999999</v>
      </c>
      <c r="G358" s="194">
        <v>1.4E-2</v>
      </c>
      <c r="H358" s="194">
        <v>8.0000000000000002E-3</v>
      </c>
      <c r="I358" s="22"/>
      <c r="J358" s="198">
        <v>10</v>
      </c>
      <c r="K358" s="209" t="s">
        <v>129</v>
      </c>
      <c r="L358" s="162">
        <v>3.2</v>
      </c>
      <c r="M358" s="205">
        <v>1.2</v>
      </c>
      <c r="N358" s="167">
        <v>1.59</v>
      </c>
      <c r="O358" s="167">
        <v>1.32890365448505E-2</v>
      </c>
      <c r="P358" s="167">
        <v>8.7719298245613996E-3</v>
      </c>
    </row>
    <row r="359" spans="1:16" ht="14">
      <c r="A359" s="22"/>
      <c r="B359" s="162" t="s">
        <v>118</v>
      </c>
      <c r="C359" s="162"/>
      <c r="D359" s="162">
        <v>3.4</v>
      </c>
      <c r="E359" s="193">
        <v>2</v>
      </c>
      <c r="F359" s="194">
        <v>0.71</v>
      </c>
      <c r="G359" s="194">
        <v>8.5000000000000006E-2</v>
      </c>
      <c r="H359" s="194">
        <v>9.0999999999999998E-2</v>
      </c>
      <c r="I359" s="22"/>
      <c r="J359" s="162" t="s">
        <v>39</v>
      </c>
      <c r="K359" s="162"/>
      <c r="L359" s="162">
        <v>19.600000000000001</v>
      </c>
      <c r="M359" s="205">
        <v>12</v>
      </c>
      <c r="N359" s="167">
        <v>0.64400000000000002</v>
      </c>
      <c r="O359" s="167">
        <v>8.1395348837209294E-2</v>
      </c>
      <c r="P359" s="167">
        <v>8.7719298245614002E-2</v>
      </c>
    </row>
    <row r="360" spans="1:16" ht="14">
      <c r="A360" s="22"/>
      <c r="B360" s="22" t="s">
        <v>48</v>
      </c>
      <c r="C360" s="22"/>
      <c r="D360" s="22">
        <v>39.700000000000003</v>
      </c>
      <c r="E360" s="203">
        <v>21.8</v>
      </c>
      <c r="F360" s="122">
        <v>0.82599999999999996</v>
      </c>
      <c r="G360" s="122">
        <v>1</v>
      </c>
      <c r="H360" s="122">
        <v>1</v>
      </c>
      <c r="I360" s="22"/>
      <c r="J360" s="22" t="s">
        <v>48</v>
      </c>
      <c r="K360" s="22"/>
      <c r="L360" s="22">
        <v>240.8</v>
      </c>
      <c r="M360" s="207">
        <v>136.80000000000001</v>
      </c>
      <c r="N360" s="122">
        <v>0.76</v>
      </c>
      <c r="O360" s="122">
        <v>1</v>
      </c>
      <c r="P360" s="122">
        <v>1</v>
      </c>
    </row>
    <row r="361" spans="1:16" ht="14">
      <c r="A361" s="22"/>
      <c r="B361" s="22"/>
      <c r="C361" s="22"/>
      <c r="D361" s="22"/>
      <c r="E361" s="22"/>
      <c r="F361" s="22"/>
      <c r="G361" s="22"/>
      <c r="H361" s="22"/>
      <c r="I361" s="22"/>
      <c r="J361" s="72"/>
      <c r="K361" s="22"/>
      <c r="L361" s="22"/>
      <c r="M361" s="22"/>
      <c r="N361" s="22"/>
      <c r="O361" s="22"/>
      <c r="P361" s="22"/>
    </row>
    <row r="362" spans="1:16" ht="14">
      <c r="A362" s="22"/>
      <c r="B362" s="161" t="s">
        <v>205</v>
      </c>
      <c r="C362" s="161"/>
      <c r="D362" s="161"/>
      <c r="E362" s="161"/>
      <c r="F362" s="161"/>
      <c r="G362" s="161"/>
      <c r="H362" s="161"/>
      <c r="I362" s="22"/>
      <c r="J362" s="161" t="s">
        <v>206</v>
      </c>
      <c r="K362" s="161"/>
      <c r="L362" s="161"/>
      <c r="M362" s="161"/>
      <c r="N362" s="161"/>
      <c r="O362" s="161"/>
      <c r="P362" s="161"/>
    </row>
    <row r="363" spans="1:16" ht="14">
      <c r="A363" s="22"/>
      <c r="B363" s="161" t="s">
        <v>92</v>
      </c>
      <c r="C363" s="162" t="s">
        <v>123</v>
      </c>
      <c r="D363" s="163">
        <v>44713</v>
      </c>
      <c r="E363" s="163">
        <v>44348</v>
      </c>
      <c r="F363" s="162" t="s">
        <v>124</v>
      </c>
      <c r="G363" s="162" t="s">
        <v>133</v>
      </c>
      <c r="H363" s="162" t="s">
        <v>180</v>
      </c>
      <c r="I363" s="22"/>
      <c r="J363" s="161" t="s">
        <v>92</v>
      </c>
      <c r="K363" s="162" t="s">
        <v>123</v>
      </c>
      <c r="L363" s="163" t="s">
        <v>207</v>
      </c>
      <c r="M363" s="163" t="s">
        <v>208</v>
      </c>
      <c r="N363" s="164" t="s">
        <v>124</v>
      </c>
      <c r="O363" s="164" t="s">
        <v>133</v>
      </c>
      <c r="P363" s="164" t="s">
        <v>180</v>
      </c>
    </row>
    <row r="364" spans="1:16" ht="14">
      <c r="A364" s="22"/>
      <c r="B364" s="161">
        <v>1</v>
      </c>
      <c r="C364" s="162" t="s">
        <v>98</v>
      </c>
      <c r="D364" s="162">
        <v>16.3</v>
      </c>
      <c r="E364" s="193">
        <v>7.74346793349169</v>
      </c>
      <c r="F364" s="194">
        <v>1.105</v>
      </c>
      <c r="G364" s="194">
        <v>0.36</v>
      </c>
      <c r="H364" s="194">
        <v>0.29399999999999998</v>
      </c>
      <c r="I364" s="22"/>
      <c r="J364" s="161">
        <v>1</v>
      </c>
      <c r="K364" s="162" t="s">
        <v>98</v>
      </c>
      <c r="L364" s="162">
        <v>70.900000000000006</v>
      </c>
      <c r="M364" s="205">
        <v>32.9</v>
      </c>
      <c r="N364" s="167">
        <v>1.1559999999999999</v>
      </c>
      <c r="O364" s="167">
        <v>0.34799999999999998</v>
      </c>
      <c r="P364" s="167">
        <v>0.28599999999999998</v>
      </c>
    </row>
    <row r="365" spans="1:16" ht="14">
      <c r="A365" s="22"/>
      <c r="B365" s="161">
        <v>2</v>
      </c>
      <c r="C365" s="162" t="s">
        <v>100</v>
      </c>
      <c r="D365" s="162">
        <v>7.2</v>
      </c>
      <c r="E365" s="193">
        <v>6.3829787234042596</v>
      </c>
      <c r="F365" s="194">
        <v>0.128</v>
      </c>
      <c r="G365" s="194">
        <v>0.16</v>
      </c>
      <c r="H365" s="194">
        <v>0.24299999999999999</v>
      </c>
      <c r="I365" s="22"/>
      <c r="J365" s="161">
        <v>2</v>
      </c>
      <c r="K365" s="162" t="s">
        <v>100</v>
      </c>
      <c r="L365" s="162">
        <v>29.2</v>
      </c>
      <c r="M365" s="205">
        <v>27.3</v>
      </c>
      <c r="N365" s="167">
        <v>6.9000000000000006E-2</v>
      </c>
      <c r="O365" s="167">
        <v>0.14399999999999999</v>
      </c>
      <c r="P365" s="167">
        <v>0.23799999999999999</v>
      </c>
    </row>
    <row r="366" spans="1:16" ht="14">
      <c r="A366" s="22"/>
      <c r="B366" s="161">
        <v>3</v>
      </c>
      <c r="C366" s="162" t="s">
        <v>96</v>
      </c>
      <c r="D366" s="162">
        <v>5.0999999999999996</v>
      </c>
      <c r="E366" s="193">
        <v>1.7441860465116299</v>
      </c>
      <c r="F366" s="194">
        <v>1.9239999999999999</v>
      </c>
      <c r="G366" s="194">
        <v>0.112</v>
      </c>
      <c r="H366" s="194">
        <v>6.6000000000000003E-2</v>
      </c>
      <c r="I366" s="22"/>
      <c r="J366" s="161">
        <v>3</v>
      </c>
      <c r="K366" s="162" t="s">
        <v>96</v>
      </c>
      <c r="L366" s="162">
        <v>24</v>
      </c>
      <c r="M366" s="205">
        <v>7.9</v>
      </c>
      <c r="N366" s="167">
        <v>2.0619999999999998</v>
      </c>
      <c r="O366" s="167">
        <v>0.11799999999999999</v>
      </c>
      <c r="P366" s="167">
        <v>6.8000000000000005E-2</v>
      </c>
    </row>
    <row r="367" spans="1:16" ht="14">
      <c r="A367" s="22"/>
      <c r="B367" s="161">
        <v>4</v>
      </c>
      <c r="C367" s="162" t="s">
        <v>99</v>
      </c>
      <c r="D367" s="162">
        <v>3.4</v>
      </c>
      <c r="E367" s="193">
        <v>3.9580908032596001</v>
      </c>
      <c r="F367" s="194">
        <v>-0.14099999999999999</v>
      </c>
      <c r="G367" s="194">
        <v>7.5999999999999998E-2</v>
      </c>
      <c r="H367" s="194">
        <v>0.152</v>
      </c>
      <c r="I367" s="22"/>
      <c r="J367" s="161">
        <v>4</v>
      </c>
      <c r="K367" s="162" t="s">
        <v>99</v>
      </c>
      <c r="L367" s="162">
        <v>19.5</v>
      </c>
      <c r="M367" s="205">
        <v>17.3</v>
      </c>
      <c r="N367" s="167">
        <v>0.125</v>
      </c>
      <c r="O367" s="167">
        <v>9.6000000000000002E-2</v>
      </c>
      <c r="P367" s="167">
        <v>0.15</v>
      </c>
    </row>
    <row r="368" spans="1:16" ht="14">
      <c r="A368" s="22"/>
      <c r="B368" s="161">
        <v>5</v>
      </c>
      <c r="C368" s="161" t="s">
        <v>107</v>
      </c>
      <c r="D368" s="162">
        <v>2.4</v>
      </c>
      <c r="E368" s="193">
        <v>1.4981273408239699</v>
      </c>
      <c r="F368" s="194">
        <v>0.60199999999999998</v>
      </c>
      <c r="G368" s="194">
        <v>5.2999999999999999E-2</v>
      </c>
      <c r="H368" s="194">
        <v>5.7000000000000002E-2</v>
      </c>
      <c r="I368" s="22"/>
      <c r="J368" s="161">
        <v>5</v>
      </c>
      <c r="K368" s="161" t="s">
        <v>107</v>
      </c>
      <c r="L368" s="162">
        <v>13.2</v>
      </c>
      <c r="M368" s="205">
        <v>6.2</v>
      </c>
      <c r="N368" s="167">
        <v>1.1439999999999999</v>
      </c>
      <c r="O368" s="167">
        <v>6.5000000000000002E-2</v>
      </c>
      <c r="P368" s="167">
        <v>5.2999999999999999E-2</v>
      </c>
    </row>
    <row r="369" spans="1:16" ht="14">
      <c r="A369" s="22"/>
      <c r="B369" s="161">
        <v>6</v>
      </c>
      <c r="C369" s="162" t="s">
        <v>105</v>
      </c>
      <c r="D369" s="162">
        <v>2.2000000000000002</v>
      </c>
      <c r="E369" s="193">
        <v>1.4221073044602499</v>
      </c>
      <c r="F369" s="194">
        <v>0.54700000000000004</v>
      </c>
      <c r="G369" s="194">
        <v>4.8000000000000001E-2</v>
      </c>
      <c r="H369" s="194">
        <v>5.2999999999999999E-2</v>
      </c>
      <c r="I369" s="22"/>
      <c r="J369" s="161">
        <v>6</v>
      </c>
      <c r="K369" s="162" t="s">
        <v>105</v>
      </c>
      <c r="L369" s="162">
        <v>10</v>
      </c>
      <c r="M369" s="205">
        <v>6.6</v>
      </c>
      <c r="N369" s="167">
        <v>0.50600000000000001</v>
      </c>
      <c r="O369" s="167">
        <v>4.9000000000000002E-2</v>
      </c>
      <c r="P369" s="167">
        <v>5.8000000000000003E-2</v>
      </c>
    </row>
    <row r="370" spans="1:16" ht="14">
      <c r="A370" s="22"/>
      <c r="B370" s="161">
        <v>7</v>
      </c>
      <c r="C370" s="162" t="s">
        <v>103</v>
      </c>
      <c r="D370" s="162">
        <v>1.7</v>
      </c>
      <c r="E370" s="193">
        <v>0.48878665899942503</v>
      </c>
      <c r="F370" s="194">
        <v>2.4780000000000002</v>
      </c>
      <c r="G370" s="194">
        <v>3.6999999999999998E-2</v>
      </c>
      <c r="H370" s="194">
        <v>1.7999999999999999E-2</v>
      </c>
      <c r="I370" s="22"/>
      <c r="J370" s="161">
        <v>7</v>
      </c>
      <c r="K370" s="162" t="s">
        <v>111</v>
      </c>
      <c r="L370" s="162">
        <v>8.4</v>
      </c>
      <c r="M370" s="205">
        <v>3.3</v>
      </c>
      <c r="N370" s="167">
        <v>1.5269999999999999</v>
      </c>
      <c r="O370" s="167">
        <v>4.1000000000000002E-2</v>
      </c>
      <c r="P370" s="167">
        <v>2.9000000000000001E-2</v>
      </c>
    </row>
    <row r="371" spans="1:16" ht="14">
      <c r="A371" s="22"/>
      <c r="B371" s="161">
        <v>8</v>
      </c>
      <c r="C371" s="162" t="s">
        <v>111</v>
      </c>
      <c r="D371" s="162">
        <v>1.5</v>
      </c>
      <c r="E371" s="193">
        <v>0.64571674558760195</v>
      </c>
      <c r="F371" s="194">
        <v>1.323</v>
      </c>
      <c r="G371" s="194">
        <v>3.4000000000000002E-2</v>
      </c>
      <c r="H371" s="194">
        <v>2.5000000000000001E-2</v>
      </c>
      <c r="I371" s="22"/>
      <c r="J371" s="161">
        <v>8</v>
      </c>
      <c r="K371" s="162" t="s">
        <v>103</v>
      </c>
      <c r="L371" s="162">
        <v>5.8</v>
      </c>
      <c r="M371" s="205">
        <v>2.2000000000000002</v>
      </c>
      <c r="N371" s="167">
        <v>1.65</v>
      </c>
      <c r="O371" s="167">
        <v>2.9000000000000001E-2</v>
      </c>
      <c r="P371" s="167">
        <v>1.9E-2</v>
      </c>
    </row>
    <row r="372" spans="1:16" ht="14">
      <c r="A372" s="22"/>
      <c r="B372" s="161">
        <v>9</v>
      </c>
      <c r="C372" s="162" t="s">
        <v>114</v>
      </c>
      <c r="D372" s="162">
        <v>0.7</v>
      </c>
      <c r="E372" s="193">
        <v>0.129942454056061</v>
      </c>
      <c r="F372" s="194">
        <v>4.3869999999999996</v>
      </c>
      <c r="G372" s="194">
        <v>1.7000000000000001E-2</v>
      </c>
      <c r="H372" s="194">
        <v>5.0000000000000001E-3</v>
      </c>
      <c r="I372" s="22"/>
      <c r="J372" s="161">
        <v>9</v>
      </c>
      <c r="K372" s="162" t="s">
        <v>114</v>
      </c>
      <c r="L372" s="162">
        <v>3.1</v>
      </c>
      <c r="M372" s="205">
        <v>0.4</v>
      </c>
      <c r="N372" s="167">
        <v>6.633</v>
      </c>
      <c r="O372" s="167">
        <v>1.4999999999999999E-2</v>
      </c>
      <c r="P372" s="167">
        <v>4.0000000000000001E-3</v>
      </c>
    </row>
    <row r="373" spans="1:16" ht="14">
      <c r="A373" s="22"/>
      <c r="B373" s="162">
        <v>10</v>
      </c>
      <c r="C373" s="162" t="s">
        <v>116</v>
      </c>
      <c r="D373" s="162">
        <v>0.6</v>
      </c>
      <c r="E373" s="193">
        <v>0.21413276231263401</v>
      </c>
      <c r="F373" s="194">
        <v>1.802</v>
      </c>
      <c r="G373" s="194">
        <v>1.4E-2</v>
      </c>
      <c r="H373" s="194">
        <v>8.9999999999999993E-3</v>
      </c>
      <c r="I373" s="22"/>
      <c r="J373" s="198">
        <v>10</v>
      </c>
      <c r="K373" s="209" t="s">
        <v>129</v>
      </c>
      <c r="L373" s="162">
        <v>2.6</v>
      </c>
      <c r="M373" s="205">
        <v>1</v>
      </c>
      <c r="N373" s="167">
        <v>1.4710000000000001</v>
      </c>
      <c r="O373" s="167">
        <v>1.2999999999999999E-2</v>
      </c>
      <c r="P373" s="167">
        <v>8.9999999999999993E-3</v>
      </c>
    </row>
    <row r="374" spans="1:16" ht="14">
      <c r="A374" s="22"/>
      <c r="B374" s="162" t="s">
        <v>118</v>
      </c>
      <c r="C374" s="162"/>
      <c r="D374" s="162">
        <v>4.0999999999999996</v>
      </c>
      <c r="E374" s="193">
        <v>2.1</v>
      </c>
      <c r="F374" s="194">
        <v>0.952380952380952</v>
      </c>
      <c r="G374" s="194">
        <v>0.09</v>
      </c>
      <c r="H374" s="194">
        <v>7.8E-2</v>
      </c>
      <c r="I374" s="22"/>
      <c r="J374" s="162" t="s">
        <v>39</v>
      </c>
      <c r="K374" s="162"/>
      <c r="L374" s="162">
        <v>16.8</v>
      </c>
      <c r="M374" s="205">
        <v>10</v>
      </c>
      <c r="N374" s="167">
        <v>0.68100000000000005</v>
      </c>
      <c r="O374" s="167">
        <v>8.2000000000000003E-2</v>
      </c>
      <c r="P374" s="167">
        <v>8.5999999999999702E-2</v>
      </c>
    </row>
    <row r="375" spans="1:16" ht="14">
      <c r="A375" s="22"/>
      <c r="B375" s="22" t="s">
        <v>48</v>
      </c>
      <c r="C375" s="22"/>
      <c r="D375" s="22">
        <v>45.2</v>
      </c>
      <c r="E375" s="203">
        <v>26.3</v>
      </c>
      <c r="F375" s="122">
        <v>0.71863117870722404</v>
      </c>
      <c r="G375" s="122">
        <v>1</v>
      </c>
      <c r="H375" s="122">
        <v>1</v>
      </c>
      <c r="I375" s="22"/>
      <c r="J375" s="22" t="s">
        <v>48</v>
      </c>
      <c r="K375" s="22"/>
      <c r="L375" s="22">
        <v>203.4</v>
      </c>
      <c r="M375" s="207">
        <v>115.1</v>
      </c>
      <c r="N375" s="122">
        <v>0.76800000000000002</v>
      </c>
      <c r="O375" s="122">
        <v>1</v>
      </c>
      <c r="P375" s="122">
        <v>1</v>
      </c>
    </row>
    <row r="376" spans="1:16" ht="14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</row>
    <row r="377" spans="1:16" ht="14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</row>
    <row r="378" spans="1:16" ht="14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</row>
    <row r="379" spans="1:16" ht="14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</row>
    <row r="380" spans="1:16" ht="14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</row>
    <row r="381" spans="1:16" ht="14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</row>
    <row r="382" spans="1:16" ht="14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</row>
    <row r="383" spans="1:16" ht="14">
      <c r="A383" s="22"/>
      <c r="B383" s="161" t="s">
        <v>209</v>
      </c>
      <c r="C383" s="161"/>
      <c r="D383" s="161"/>
      <c r="E383" s="161"/>
      <c r="F383" s="161"/>
      <c r="G383" s="161"/>
      <c r="H383" s="161"/>
      <c r="I383" s="22"/>
      <c r="J383" s="161" t="s">
        <v>210</v>
      </c>
      <c r="K383" s="161"/>
      <c r="L383" s="161"/>
      <c r="M383" s="161"/>
      <c r="N383" s="161"/>
      <c r="O383" s="161"/>
      <c r="P383" s="161"/>
    </row>
    <row r="384" spans="1:16" ht="14">
      <c r="A384" s="22"/>
      <c r="B384" s="161" t="s">
        <v>92</v>
      </c>
      <c r="C384" s="162" t="s">
        <v>123</v>
      </c>
      <c r="D384" s="163">
        <v>44682</v>
      </c>
      <c r="E384" s="163">
        <v>44317</v>
      </c>
      <c r="F384" s="162" t="s">
        <v>124</v>
      </c>
      <c r="G384" s="162" t="s">
        <v>133</v>
      </c>
      <c r="H384" s="162" t="s">
        <v>180</v>
      </c>
      <c r="I384" s="22"/>
      <c r="J384" s="161" t="s">
        <v>92</v>
      </c>
      <c r="K384" s="162" t="s">
        <v>123</v>
      </c>
      <c r="L384" s="163" t="s">
        <v>211</v>
      </c>
      <c r="M384" s="163" t="s">
        <v>211</v>
      </c>
      <c r="N384" s="164" t="s">
        <v>124</v>
      </c>
      <c r="O384" s="164" t="s">
        <v>133</v>
      </c>
      <c r="P384" s="164" t="s">
        <v>180</v>
      </c>
    </row>
    <row r="385" spans="1:16" ht="14">
      <c r="A385" s="22"/>
      <c r="B385" s="161">
        <v>1</v>
      </c>
      <c r="C385" s="162" t="s">
        <v>98</v>
      </c>
      <c r="D385" s="162">
        <v>11.4</v>
      </c>
      <c r="E385" s="193">
        <v>5.4886856042368803</v>
      </c>
      <c r="F385" s="210">
        <v>1.077</v>
      </c>
      <c r="G385" s="210">
        <v>0.33900000000000002</v>
      </c>
      <c r="H385" s="210">
        <v>0.25900000000000001</v>
      </c>
      <c r="I385" s="22"/>
      <c r="J385" s="161">
        <v>1</v>
      </c>
      <c r="K385" s="162" t="s">
        <v>98</v>
      </c>
      <c r="L385" s="162">
        <v>53.3</v>
      </c>
      <c r="M385" s="205">
        <v>25.129655822725098</v>
      </c>
      <c r="N385" s="167">
        <v>1.121</v>
      </c>
      <c r="O385" s="167">
        <v>0.33900000000000002</v>
      </c>
      <c r="P385" s="167">
        <v>0.28299999999999997</v>
      </c>
    </row>
    <row r="386" spans="1:16" ht="14">
      <c r="A386" s="22"/>
      <c r="B386" s="161">
        <v>2</v>
      </c>
      <c r="C386" s="162" t="s">
        <v>96</v>
      </c>
      <c r="D386" s="162">
        <v>4.2</v>
      </c>
      <c r="E386" s="193">
        <v>1.54468554615668</v>
      </c>
      <c r="F386" s="210">
        <v>1.7190000000000001</v>
      </c>
      <c r="G386" s="210">
        <v>0.125</v>
      </c>
      <c r="H386" s="210">
        <v>7.2999999999999995E-2</v>
      </c>
      <c r="I386" s="22"/>
      <c r="J386" s="161">
        <v>2</v>
      </c>
      <c r="K386" s="162" t="s">
        <v>100</v>
      </c>
      <c r="L386" s="162">
        <v>22.6</v>
      </c>
      <c r="M386" s="205">
        <v>20.945319740500501</v>
      </c>
      <c r="N386" s="167">
        <v>7.9000000000000001E-2</v>
      </c>
      <c r="O386" s="167">
        <v>0.14399999999999999</v>
      </c>
      <c r="P386" s="167">
        <v>0.23599999999999999</v>
      </c>
    </row>
    <row r="387" spans="1:16" ht="14">
      <c r="A387" s="22"/>
      <c r="B387" s="161">
        <v>3</v>
      </c>
      <c r="C387" s="162" t="s">
        <v>100</v>
      </c>
      <c r="D387" s="162">
        <v>4.2</v>
      </c>
      <c r="E387" s="193">
        <v>5.5851063829787204</v>
      </c>
      <c r="F387" s="210">
        <v>-0.248</v>
      </c>
      <c r="G387" s="210">
        <v>0.125</v>
      </c>
      <c r="H387" s="210">
        <v>0.26400000000000001</v>
      </c>
      <c r="I387" s="22"/>
      <c r="J387" s="161">
        <v>3</v>
      </c>
      <c r="K387" s="162" t="s">
        <v>96</v>
      </c>
      <c r="L387" s="162">
        <v>19</v>
      </c>
      <c r="M387" s="205">
        <v>6.1191626409017701</v>
      </c>
      <c r="N387" s="167">
        <v>2.105</v>
      </c>
      <c r="O387" s="167">
        <v>0.121</v>
      </c>
      <c r="P387" s="167">
        <v>6.9000000000000006E-2</v>
      </c>
    </row>
    <row r="388" spans="1:16" ht="14">
      <c r="A388" s="22"/>
      <c r="B388" s="161">
        <v>4</v>
      </c>
      <c r="C388" s="162" t="s">
        <v>99</v>
      </c>
      <c r="D388" s="162">
        <v>3.3</v>
      </c>
      <c r="E388" s="193">
        <v>3.1822565091610402</v>
      </c>
      <c r="F388" s="210">
        <v>3.6999999999999998E-2</v>
      </c>
      <c r="G388" s="210">
        <v>9.9000000000000005E-2</v>
      </c>
      <c r="H388" s="210">
        <v>0.151</v>
      </c>
      <c r="I388" s="22"/>
      <c r="J388" s="161">
        <v>4</v>
      </c>
      <c r="K388" s="162" t="s">
        <v>99</v>
      </c>
      <c r="L388" s="162">
        <v>16.5</v>
      </c>
      <c r="M388" s="205">
        <v>13.2743362831858</v>
      </c>
      <c r="N388" s="167">
        <v>0.24299999999999999</v>
      </c>
      <c r="O388" s="167">
        <v>0.105</v>
      </c>
      <c r="P388" s="167">
        <v>0.15</v>
      </c>
    </row>
    <row r="389" spans="1:16" ht="14">
      <c r="A389" s="22"/>
      <c r="B389" s="161">
        <v>5</v>
      </c>
      <c r="C389" s="161" t="s">
        <v>107</v>
      </c>
      <c r="D389" s="162">
        <v>2.2000000000000002</v>
      </c>
      <c r="E389" s="193">
        <v>1.0994502748625701</v>
      </c>
      <c r="F389" s="210">
        <v>1.0009999999999999</v>
      </c>
      <c r="G389" s="210">
        <v>6.6000000000000003E-2</v>
      </c>
      <c r="H389" s="210">
        <v>5.1999999999999998E-2</v>
      </c>
      <c r="I389" s="22"/>
      <c r="J389" s="161">
        <v>5</v>
      </c>
      <c r="K389" s="161" t="s">
        <v>107</v>
      </c>
      <c r="L389" s="162">
        <v>10.8</v>
      </c>
      <c r="M389" s="205">
        <v>4.6632124352331603</v>
      </c>
      <c r="N389" s="167">
        <v>1.3160000000000001</v>
      </c>
      <c r="O389" s="167">
        <v>6.8000000000000005E-2</v>
      </c>
      <c r="P389" s="167">
        <v>5.1999999999999998E-2</v>
      </c>
    </row>
    <row r="390" spans="1:16" ht="14">
      <c r="A390" s="22"/>
      <c r="B390" s="161">
        <v>6</v>
      </c>
      <c r="C390" s="162" t="s">
        <v>105</v>
      </c>
      <c r="D390" s="162">
        <v>1.7</v>
      </c>
      <c r="E390" s="193">
        <v>1.14864864864865</v>
      </c>
      <c r="F390" s="210">
        <v>0.48</v>
      </c>
      <c r="G390" s="210">
        <v>5.0999999999999997E-2</v>
      </c>
      <c r="H390" s="210">
        <v>5.3999999999999999E-2</v>
      </c>
      <c r="I390" s="22"/>
      <c r="J390" s="161">
        <v>6</v>
      </c>
      <c r="K390" s="162" t="s">
        <v>105</v>
      </c>
      <c r="L390" s="162">
        <v>6.9</v>
      </c>
      <c r="M390" s="205">
        <v>5.2075471698113196</v>
      </c>
      <c r="N390" s="167">
        <v>0.32500000000000001</v>
      </c>
      <c r="O390" s="167">
        <v>4.3999999999999997E-2</v>
      </c>
      <c r="P390" s="167">
        <v>5.8999999999999997E-2</v>
      </c>
    </row>
    <row r="391" spans="1:16" ht="14">
      <c r="A391" s="22"/>
      <c r="B391" s="161">
        <v>7</v>
      </c>
      <c r="C391" s="162" t="s">
        <v>111</v>
      </c>
      <c r="D391" s="162">
        <v>1.6</v>
      </c>
      <c r="E391" s="193">
        <v>0.78010726474890302</v>
      </c>
      <c r="F391" s="210">
        <v>1.0509999999999999</v>
      </c>
      <c r="G391" s="210">
        <v>4.7E-2</v>
      </c>
      <c r="H391" s="210">
        <v>3.5999999999999997E-2</v>
      </c>
      <c r="I391" s="22"/>
      <c r="J391" s="161">
        <v>7</v>
      </c>
      <c r="K391" s="162" t="s">
        <v>111</v>
      </c>
      <c r="L391" s="162">
        <v>6.7</v>
      </c>
      <c r="M391" s="205">
        <v>2.6346834447502898</v>
      </c>
      <c r="N391" s="167">
        <v>1.5429999999999999</v>
      </c>
      <c r="O391" s="167">
        <v>4.2999999999999997E-2</v>
      </c>
      <c r="P391" s="167">
        <v>0.03</v>
      </c>
    </row>
    <row r="392" spans="1:16" ht="14">
      <c r="A392" s="22"/>
      <c r="B392" s="161">
        <v>8</v>
      </c>
      <c r="C392" s="162" t="s">
        <v>103</v>
      </c>
      <c r="D392" s="162">
        <v>0.9</v>
      </c>
      <c r="E392" s="193">
        <v>0.384779820436084</v>
      </c>
      <c r="F392" s="210">
        <v>1.339</v>
      </c>
      <c r="G392" s="210">
        <v>2.8000000000000001E-2</v>
      </c>
      <c r="H392" s="210">
        <v>1.9E-2</v>
      </c>
      <c r="I392" s="22"/>
      <c r="J392" s="161">
        <v>8</v>
      </c>
      <c r="K392" s="162" t="s">
        <v>103</v>
      </c>
      <c r="L392" s="162">
        <v>4.2</v>
      </c>
      <c r="M392" s="205">
        <v>1.7156862745098</v>
      </c>
      <c r="N392" s="167">
        <v>1.448</v>
      </c>
      <c r="O392" s="167">
        <v>2.7E-2</v>
      </c>
      <c r="P392" s="167">
        <v>1.9E-2</v>
      </c>
    </row>
    <row r="393" spans="1:16" ht="14">
      <c r="A393" s="22"/>
      <c r="B393" s="161">
        <v>9</v>
      </c>
      <c r="C393" s="162" t="s">
        <v>114</v>
      </c>
      <c r="D393" s="162">
        <v>0.5</v>
      </c>
      <c r="E393" s="193">
        <v>6.7267590474909197E-2</v>
      </c>
      <c r="F393" s="210">
        <v>6.4329999999999998</v>
      </c>
      <c r="G393" s="210">
        <v>1.6E-2</v>
      </c>
      <c r="H393" s="210">
        <v>3.0000000000000001E-3</v>
      </c>
      <c r="I393" s="22"/>
      <c r="J393" s="161">
        <v>9</v>
      </c>
      <c r="K393" s="162" t="s">
        <v>114</v>
      </c>
      <c r="L393" s="162">
        <v>2.4</v>
      </c>
      <c r="M393" s="205">
        <v>0.27260336210813302</v>
      </c>
      <c r="N393" s="167">
        <v>7.8040000000000003</v>
      </c>
      <c r="O393" s="167">
        <v>1.4999999999999999E-2</v>
      </c>
      <c r="P393" s="167">
        <v>3.0000000000000001E-3</v>
      </c>
    </row>
    <row r="394" spans="1:16" ht="14">
      <c r="A394" s="22"/>
      <c r="B394" s="162">
        <v>10</v>
      </c>
      <c r="C394" s="162" t="s">
        <v>116</v>
      </c>
      <c r="D394" s="162">
        <v>0.5</v>
      </c>
      <c r="E394" s="193">
        <v>0.205170291341814</v>
      </c>
      <c r="F394" s="210">
        <v>1.4370000000000001</v>
      </c>
      <c r="G394" s="210">
        <v>1.4999999999999999E-2</v>
      </c>
      <c r="H394" s="210">
        <v>0.01</v>
      </c>
      <c r="I394" s="22"/>
      <c r="J394" s="198">
        <v>10</v>
      </c>
      <c r="K394" s="209" t="s">
        <v>129</v>
      </c>
      <c r="L394" s="162">
        <v>2</v>
      </c>
      <c r="M394" s="205">
        <v>0.78771169751870795</v>
      </c>
      <c r="N394" s="167">
        <v>1.5389999999999999</v>
      </c>
      <c r="O394" s="167">
        <v>1.2999999999999999E-2</v>
      </c>
      <c r="P394" s="167">
        <v>8.9999999999999993E-3</v>
      </c>
    </row>
    <row r="395" spans="1:16" ht="14">
      <c r="A395" s="22"/>
      <c r="B395" s="162" t="s">
        <v>118</v>
      </c>
      <c r="C395" s="162"/>
      <c r="D395" s="162">
        <v>3</v>
      </c>
      <c r="E395" s="193">
        <v>1.66852057842047</v>
      </c>
      <c r="F395" s="210">
        <v>0.79800000000000004</v>
      </c>
      <c r="G395" s="210">
        <v>0.09</v>
      </c>
      <c r="H395" s="210">
        <v>7.9000000000000001E-2</v>
      </c>
      <c r="I395" s="22"/>
      <c r="J395" s="162" t="s">
        <v>39</v>
      </c>
      <c r="K395" s="162"/>
      <c r="L395" s="162">
        <v>12.9</v>
      </c>
      <c r="M395" s="205">
        <v>7.9384615384615396</v>
      </c>
      <c r="N395" s="167">
        <v>0.625</v>
      </c>
      <c r="O395" s="167">
        <v>8.2000000000000003E-2</v>
      </c>
      <c r="P395" s="167">
        <v>8.8999999999999996E-2</v>
      </c>
    </row>
    <row r="396" spans="1:16" ht="14">
      <c r="A396" s="22"/>
      <c r="B396" s="22" t="s">
        <v>48</v>
      </c>
      <c r="C396" s="22"/>
      <c r="D396" s="22">
        <v>33.700000000000003</v>
      </c>
      <c r="E396" s="203">
        <v>21.275252525252501</v>
      </c>
      <c r="F396" s="75">
        <v>0.58399999999999996</v>
      </c>
      <c r="G396" s="75">
        <v>1</v>
      </c>
      <c r="H396" s="75">
        <v>1</v>
      </c>
      <c r="I396" s="22"/>
      <c r="J396" s="22" t="s">
        <v>48</v>
      </c>
      <c r="K396" s="22"/>
      <c r="L396" s="22">
        <v>157.4</v>
      </c>
      <c r="M396" s="207">
        <v>88.776085730400496</v>
      </c>
      <c r="N396" s="122">
        <v>0.77300000000000002</v>
      </c>
      <c r="O396" s="122">
        <v>1</v>
      </c>
      <c r="P396" s="122">
        <v>1</v>
      </c>
    </row>
    <row r="397" spans="1:16" ht="14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</row>
    <row r="398" spans="1:16" ht="14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</row>
    <row r="399" spans="1:16" ht="14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</row>
    <row r="400" spans="1:16" ht="14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</row>
    <row r="401" spans="1:16" ht="14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</row>
    <row r="402" spans="1:16" ht="14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</row>
    <row r="403" spans="1:16" ht="14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</row>
    <row r="404" spans="1:16" ht="14">
      <c r="A404" s="22"/>
      <c r="B404" s="161" t="s">
        <v>212</v>
      </c>
      <c r="C404" s="161"/>
      <c r="D404" s="161"/>
      <c r="E404" s="161"/>
      <c r="F404" s="161"/>
      <c r="G404" s="161"/>
      <c r="H404" s="161"/>
      <c r="I404" s="22"/>
      <c r="J404" s="161" t="s">
        <v>213</v>
      </c>
      <c r="K404" s="161"/>
      <c r="L404" s="161"/>
      <c r="M404" s="161"/>
      <c r="N404" s="161"/>
      <c r="O404" s="161"/>
      <c r="P404" s="161"/>
    </row>
    <row r="405" spans="1:16" ht="14">
      <c r="A405" s="22"/>
      <c r="B405" s="161" t="s">
        <v>92</v>
      </c>
      <c r="C405" s="162" t="s">
        <v>123</v>
      </c>
      <c r="D405" s="163">
        <v>44652</v>
      </c>
      <c r="E405" s="163">
        <v>44287</v>
      </c>
      <c r="F405" s="164" t="s">
        <v>124</v>
      </c>
      <c r="G405" s="164" t="s">
        <v>133</v>
      </c>
      <c r="H405" s="164" t="s">
        <v>180</v>
      </c>
      <c r="I405" s="22"/>
      <c r="J405" s="161" t="s">
        <v>92</v>
      </c>
      <c r="K405" s="162" t="s">
        <v>123</v>
      </c>
      <c r="L405" s="163" t="s">
        <v>214</v>
      </c>
      <c r="M405" s="163" t="s">
        <v>215</v>
      </c>
      <c r="N405" s="164" t="s">
        <v>124</v>
      </c>
      <c r="O405" s="164" t="s">
        <v>133</v>
      </c>
      <c r="P405" s="164" t="s">
        <v>180</v>
      </c>
    </row>
    <row r="406" spans="1:16" ht="14">
      <c r="A406" s="22"/>
      <c r="B406" s="161">
        <v>1</v>
      </c>
      <c r="C406" s="162" t="s">
        <v>98</v>
      </c>
      <c r="D406" s="162">
        <v>8</v>
      </c>
      <c r="E406" s="162">
        <v>5.4</v>
      </c>
      <c r="F406" s="167">
        <v>0.495</v>
      </c>
      <c r="G406" s="167">
        <v>0.29599999999999999</v>
      </c>
      <c r="H406" s="167">
        <v>0.30099999999999999</v>
      </c>
      <c r="I406" s="22"/>
      <c r="J406" s="161">
        <v>1</v>
      </c>
      <c r="K406" s="162" t="s">
        <v>98</v>
      </c>
      <c r="L406" s="162">
        <v>41.5</v>
      </c>
      <c r="M406" s="162">
        <v>19.399999999999999</v>
      </c>
      <c r="N406" s="167">
        <v>1.141</v>
      </c>
      <c r="O406" s="167">
        <v>0.33700000000000002</v>
      </c>
      <c r="P406" s="167">
        <v>0.28899999999999998</v>
      </c>
    </row>
    <row r="407" spans="1:16" ht="14">
      <c r="A407" s="22"/>
      <c r="B407" s="161">
        <v>2</v>
      </c>
      <c r="C407" s="162" t="s">
        <v>96</v>
      </c>
      <c r="D407" s="162">
        <v>4.3</v>
      </c>
      <c r="E407" s="162">
        <v>1.3</v>
      </c>
      <c r="F407" s="167">
        <v>2.33</v>
      </c>
      <c r="G407" s="167">
        <v>0.159</v>
      </c>
      <c r="H407" s="167">
        <v>7.2999999999999995E-2</v>
      </c>
      <c r="I407" s="22"/>
      <c r="J407" s="161">
        <v>2</v>
      </c>
      <c r="K407" s="162" t="s">
        <v>100</v>
      </c>
      <c r="L407" s="162">
        <v>18.3</v>
      </c>
      <c r="M407" s="162">
        <v>15.3</v>
      </c>
      <c r="N407" s="167">
        <v>0.191</v>
      </c>
      <c r="O407" s="167">
        <v>0.14899999999999999</v>
      </c>
      <c r="P407" s="167">
        <v>0.22900000000000001</v>
      </c>
    </row>
    <row r="408" spans="1:16" ht="14">
      <c r="A408" s="22"/>
      <c r="B408" s="161">
        <v>3</v>
      </c>
      <c r="C408" s="162" t="s">
        <v>100</v>
      </c>
      <c r="D408" s="162">
        <v>3.5</v>
      </c>
      <c r="E408" s="162">
        <v>4.5</v>
      </c>
      <c r="F408" s="167">
        <v>-0.22600000000000001</v>
      </c>
      <c r="G408" s="167">
        <v>0.128</v>
      </c>
      <c r="H408" s="167">
        <v>0.251</v>
      </c>
      <c r="I408" s="22"/>
      <c r="J408" s="161">
        <v>3</v>
      </c>
      <c r="K408" s="162" t="s">
        <v>96</v>
      </c>
      <c r="L408" s="162">
        <v>14.9</v>
      </c>
      <c r="M408" s="162">
        <v>4.5999999999999996</v>
      </c>
      <c r="N408" s="167">
        <v>2.2450000000000001</v>
      </c>
      <c r="O408" s="167">
        <v>0.121</v>
      </c>
      <c r="P408" s="167">
        <v>6.8000000000000005E-2</v>
      </c>
    </row>
    <row r="409" spans="1:16" ht="14">
      <c r="A409" s="22"/>
      <c r="B409" s="161">
        <v>4</v>
      </c>
      <c r="C409" s="162" t="s">
        <v>216</v>
      </c>
      <c r="D409" s="162">
        <v>3.2</v>
      </c>
      <c r="E409" s="162">
        <v>1.9</v>
      </c>
      <c r="F409" s="167">
        <v>0.70099999999999996</v>
      </c>
      <c r="G409" s="167">
        <v>0.11899999999999999</v>
      </c>
      <c r="H409" s="167">
        <v>0.106</v>
      </c>
      <c r="I409" s="22"/>
      <c r="J409" s="161">
        <v>4</v>
      </c>
      <c r="K409" s="162" t="s">
        <v>216</v>
      </c>
      <c r="L409" s="162">
        <v>13.3</v>
      </c>
      <c r="M409" s="162">
        <v>10.1</v>
      </c>
      <c r="N409" s="167">
        <v>0.313</v>
      </c>
      <c r="O409" s="167">
        <v>0.108</v>
      </c>
      <c r="P409" s="167">
        <v>0.151</v>
      </c>
    </row>
    <row r="410" spans="1:16" ht="14">
      <c r="A410" s="22"/>
      <c r="B410" s="161">
        <v>5</v>
      </c>
      <c r="C410" s="161" t="s">
        <v>107</v>
      </c>
      <c r="D410" s="162">
        <v>2.2000000000000002</v>
      </c>
      <c r="E410" s="162">
        <v>0.9</v>
      </c>
      <c r="F410" s="167">
        <v>1.375</v>
      </c>
      <c r="G410" s="167">
        <v>8.2000000000000003E-2</v>
      </c>
      <c r="H410" s="167">
        <v>5.2999999999999999E-2</v>
      </c>
      <c r="I410" s="22"/>
      <c r="J410" s="161">
        <v>5</v>
      </c>
      <c r="K410" s="161" t="s">
        <v>107</v>
      </c>
      <c r="L410" s="162">
        <v>8.6</v>
      </c>
      <c r="M410" s="162">
        <v>3.5</v>
      </c>
      <c r="N410" s="167">
        <v>1.413</v>
      </c>
      <c r="O410" s="167">
        <v>7.0000000000000007E-2</v>
      </c>
      <c r="P410" s="167">
        <v>5.2999999999999999E-2</v>
      </c>
    </row>
    <row r="411" spans="1:16" ht="14">
      <c r="A411" s="22"/>
      <c r="B411" s="161">
        <v>6</v>
      </c>
      <c r="C411" s="162" t="s">
        <v>105</v>
      </c>
      <c r="D411" s="162">
        <v>1.3</v>
      </c>
      <c r="E411" s="162">
        <v>1</v>
      </c>
      <c r="F411" s="167">
        <v>0.25900000000000001</v>
      </c>
      <c r="G411" s="167">
        <v>4.7E-2</v>
      </c>
      <c r="H411" s="167">
        <v>5.7000000000000002E-2</v>
      </c>
      <c r="I411" s="22"/>
      <c r="J411" s="161">
        <v>6</v>
      </c>
      <c r="K411" s="162" t="s">
        <v>111</v>
      </c>
      <c r="L411" s="162">
        <v>5.0999999999999996</v>
      </c>
      <c r="M411" s="162">
        <v>1.9</v>
      </c>
      <c r="N411" s="167">
        <v>1.7090000000000001</v>
      </c>
      <c r="O411" s="167">
        <v>4.1000000000000002E-2</v>
      </c>
      <c r="P411" s="167">
        <v>2.8000000000000001E-2</v>
      </c>
    </row>
    <row r="412" spans="1:16" ht="14">
      <c r="A412" s="22"/>
      <c r="B412" s="161">
        <v>7</v>
      </c>
      <c r="C412" s="162" t="s">
        <v>111</v>
      </c>
      <c r="D412" s="162">
        <v>0.9</v>
      </c>
      <c r="E412" s="162">
        <v>0.5</v>
      </c>
      <c r="F412" s="167">
        <v>0.81399999999999995</v>
      </c>
      <c r="G412" s="167">
        <v>3.5000000000000003E-2</v>
      </c>
      <c r="H412" s="167">
        <v>2.9000000000000001E-2</v>
      </c>
      <c r="I412" s="22"/>
      <c r="J412" s="161">
        <v>7</v>
      </c>
      <c r="K412" s="162" t="s">
        <v>105</v>
      </c>
      <c r="L412" s="162">
        <v>4.9000000000000004</v>
      </c>
      <c r="M412" s="162">
        <v>3.9</v>
      </c>
      <c r="N412" s="167">
        <v>0.26900000000000002</v>
      </c>
      <c r="O412" s="167">
        <v>0.04</v>
      </c>
      <c r="P412" s="167">
        <v>5.8000000000000003E-2</v>
      </c>
    </row>
    <row r="413" spans="1:16" ht="14">
      <c r="A413" s="22"/>
      <c r="B413" s="161">
        <v>8</v>
      </c>
      <c r="C413" s="162" t="s">
        <v>103</v>
      </c>
      <c r="D413" s="162">
        <v>0.7</v>
      </c>
      <c r="E413" s="162">
        <v>0.4</v>
      </c>
      <c r="F413" s="167">
        <v>0.749</v>
      </c>
      <c r="G413" s="167">
        <v>2.5999999999999999E-2</v>
      </c>
      <c r="H413" s="167">
        <v>2.3E-2</v>
      </c>
      <c r="I413" s="22"/>
      <c r="J413" s="161">
        <v>8</v>
      </c>
      <c r="K413" s="162" t="s">
        <v>103</v>
      </c>
      <c r="L413" s="162">
        <v>3.3</v>
      </c>
      <c r="M413" s="162">
        <v>1.3</v>
      </c>
      <c r="N413" s="167">
        <v>1.484</v>
      </c>
      <c r="O413" s="167">
        <v>2.7E-2</v>
      </c>
      <c r="P413" s="167">
        <v>0.02</v>
      </c>
    </row>
    <row r="414" spans="1:16" ht="14">
      <c r="A414" s="22"/>
      <c r="B414" s="161">
        <v>9</v>
      </c>
      <c r="C414" s="162" t="s">
        <v>114</v>
      </c>
      <c r="D414" s="162">
        <v>0.4</v>
      </c>
      <c r="E414" s="162">
        <v>0.1</v>
      </c>
      <c r="F414" s="167">
        <v>7.0940000000000003</v>
      </c>
      <c r="G414" s="167">
        <v>1.7000000000000001E-2</v>
      </c>
      <c r="H414" s="167">
        <v>3.0000000000000001E-3</v>
      </c>
      <c r="I414" s="22"/>
      <c r="J414" s="161">
        <v>9</v>
      </c>
      <c r="K414" s="162" t="s">
        <v>114</v>
      </c>
      <c r="L414" s="162">
        <v>1.7</v>
      </c>
      <c r="M414" s="162">
        <v>0.2</v>
      </c>
      <c r="N414" s="167">
        <v>7.7030000000000003</v>
      </c>
      <c r="O414" s="167">
        <v>1.4E-2</v>
      </c>
      <c r="P414" s="167">
        <v>3.0000000000000001E-3</v>
      </c>
    </row>
    <row r="415" spans="1:16" ht="14">
      <c r="A415" s="22"/>
      <c r="B415" s="162">
        <v>10</v>
      </c>
      <c r="C415" s="162" t="s">
        <v>129</v>
      </c>
      <c r="D415" s="162">
        <v>0.3</v>
      </c>
      <c r="E415" s="162">
        <v>0.1</v>
      </c>
      <c r="F415" s="167">
        <v>1.3140000000000001</v>
      </c>
      <c r="G415" s="167">
        <v>1.2999999999999999E-2</v>
      </c>
      <c r="H415" s="167">
        <v>8.0000000000000002E-3</v>
      </c>
      <c r="I415" s="22"/>
      <c r="J415" s="214">
        <v>10</v>
      </c>
      <c r="K415" s="162" t="s">
        <v>129</v>
      </c>
      <c r="L415" s="162">
        <v>1.6</v>
      </c>
      <c r="M415" s="162">
        <v>0.7</v>
      </c>
      <c r="N415" s="167">
        <v>1.3879999999999999</v>
      </c>
      <c r="O415" s="167">
        <v>1.2999999999999999E-2</v>
      </c>
      <c r="P415" s="167">
        <v>0.01</v>
      </c>
    </row>
    <row r="416" spans="1:16" ht="14">
      <c r="A416" s="22"/>
      <c r="B416" s="162" t="s">
        <v>118</v>
      </c>
      <c r="C416" s="162"/>
      <c r="D416" s="162">
        <v>2.2000000000000002</v>
      </c>
      <c r="E416" s="162">
        <v>1.7</v>
      </c>
      <c r="F416" s="167">
        <v>0.26300000000000001</v>
      </c>
      <c r="G416" s="167">
        <v>0.08</v>
      </c>
      <c r="H416" s="167">
        <v>9.6000000000000002E-2</v>
      </c>
      <c r="I416" s="22"/>
      <c r="J416" s="162"/>
      <c r="K416" s="162" t="s">
        <v>39</v>
      </c>
      <c r="L416" s="162">
        <v>9.9</v>
      </c>
      <c r="M416" s="162">
        <v>6.2</v>
      </c>
      <c r="N416" s="167">
        <v>0.60399999999999998</v>
      </c>
      <c r="O416" s="167">
        <v>0.08</v>
      </c>
      <c r="P416" s="167">
        <v>9.1999999999999998E-2</v>
      </c>
    </row>
    <row r="417" spans="1:16" ht="14">
      <c r="A417" s="22"/>
      <c r="B417" s="22" t="s">
        <v>48</v>
      </c>
      <c r="C417" s="22"/>
      <c r="D417" s="22">
        <v>27.1</v>
      </c>
      <c r="E417" s="22">
        <v>17.8</v>
      </c>
      <c r="F417" s="122">
        <v>0.52300000000000002</v>
      </c>
      <c r="G417" s="122">
        <v>1</v>
      </c>
      <c r="H417" s="122">
        <v>1</v>
      </c>
      <c r="I417" s="22"/>
      <c r="J417" s="22" t="s">
        <v>48</v>
      </c>
      <c r="K417" s="22"/>
      <c r="L417" s="22">
        <v>122.9</v>
      </c>
      <c r="M417" s="22">
        <v>67</v>
      </c>
      <c r="N417" s="122">
        <v>0.83399999999999996</v>
      </c>
      <c r="O417" s="122">
        <v>1</v>
      </c>
      <c r="P417" s="122">
        <v>1</v>
      </c>
    </row>
    <row r="418" spans="1:16" ht="14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</row>
    <row r="419" spans="1:16" ht="14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</row>
    <row r="420" spans="1:16" ht="14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</row>
    <row r="421" spans="1:16" ht="14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</row>
    <row r="422" spans="1:16" ht="14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</row>
    <row r="423" spans="1:16" ht="14">
      <c r="A423" s="22"/>
      <c r="B423" s="20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</row>
    <row r="424" spans="1:16" ht="14">
      <c r="A424" s="22"/>
      <c r="B424" s="161" t="s">
        <v>217</v>
      </c>
      <c r="C424" s="161"/>
      <c r="D424" s="161"/>
      <c r="E424" s="161"/>
      <c r="F424" s="161"/>
      <c r="G424" s="161"/>
      <c r="H424" s="161"/>
      <c r="I424" s="22"/>
      <c r="J424" s="162" t="s">
        <v>218</v>
      </c>
      <c r="K424" s="162"/>
      <c r="L424" s="162"/>
      <c r="M424" s="162"/>
      <c r="N424" s="162"/>
      <c r="O424" s="162"/>
      <c r="P424" s="162"/>
    </row>
    <row r="425" spans="1:16" ht="14">
      <c r="A425" s="22"/>
      <c r="B425" s="161" t="s">
        <v>92</v>
      </c>
      <c r="C425" s="162" t="s">
        <v>123</v>
      </c>
      <c r="D425" s="211">
        <v>44621</v>
      </c>
      <c r="E425" s="211">
        <v>44256</v>
      </c>
      <c r="F425" s="164" t="s">
        <v>124</v>
      </c>
      <c r="G425" s="164" t="s">
        <v>133</v>
      </c>
      <c r="H425" s="164" t="s">
        <v>180</v>
      </c>
      <c r="I425" s="22"/>
      <c r="J425" s="162" t="s">
        <v>92</v>
      </c>
      <c r="K425" s="162" t="s">
        <v>123</v>
      </c>
      <c r="L425" s="215" t="s">
        <v>219</v>
      </c>
      <c r="M425" s="215" t="s">
        <v>220</v>
      </c>
      <c r="N425" s="213" t="s">
        <v>124</v>
      </c>
      <c r="O425" s="216" t="s">
        <v>133</v>
      </c>
      <c r="P425" s="213" t="s">
        <v>180</v>
      </c>
    </row>
    <row r="426" spans="1:16" ht="14">
      <c r="A426" s="22"/>
      <c r="B426" s="161">
        <v>1</v>
      </c>
      <c r="C426" s="162" t="s">
        <v>98</v>
      </c>
      <c r="D426" s="164">
        <v>14.9</v>
      </c>
      <c r="E426" s="164">
        <v>6.9</v>
      </c>
      <c r="F426" s="167">
        <v>1.157</v>
      </c>
      <c r="G426" s="167">
        <v>0.35899999999999999</v>
      </c>
      <c r="H426" s="167">
        <v>0.29499999999999998</v>
      </c>
      <c r="I426" s="22"/>
      <c r="J426" s="162">
        <v>1</v>
      </c>
      <c r="K426" s="162" t="s">
        <v>98</v>
      </c>
      <c r="L426" s="213">
        <v>33.299999999999997</v>
      </c>
      <c r="M426" s="213">
        <v>14</v>
      </c>
      <c r="N426" s="195">
        <v>1.377</v>
      </c>
      <c r="O426" s="217">
        <v>0.35</v>
      </c>
      <c r="P426" s="195">
        <v>0.28499999999999998</v>
      </c>
    </row>
    <row r="427" spans="1:16" ht="14">
      <c r="A427" s="22"/>
      <c r="B427" s="161">
        <v>2</v>
      </c>
      <c r="C427" s="162" t="s">
        <v>100</v>
      </c>
      <c r="D427" s="164">
        <v>7.7</v>
      </c>
      <c r="E427" s="164">
        <v>5.5</v>
      </c>
      <c r="F427" s="167">
        <v>0.39400000000000002</v>
      </c>
      <c r="G427" s="167">
        <v>0.186</v>
      </c>
      <c r="H427" s="167">
        <v>0.23599999999999999</v>
      </c>
      <c r="I427" s="22"/>
      <c r="J427" s="162">
        <v>2</v>
      </c>
      <c r="K427" s="162" t="s">
        <v>100</v>
      </c>
      <c r="L427" s="213">
        <v>15.1</v>
      </c>
      <c r="M427" s="213">
        <v>10.9</v>
      </c>
      <c r="N427" s="195">
        <v>0.39100000000000001</v>
      </c>
      <c r="O427" s="217">
        <v>0.159</v>
      </c>
      <c r="P427" s="195">
        <v>0.221</v>
      </c>
    </row>
    <row r="428" spans="1:16" ht="14">
      <c r="A428" s="22"/>
      <c r="B428" s="161">
        <v>3</v>
      </c>
      <c r="C428" s="162" t="s">
        <v>96</v>
      </c>
      <c r="D428" s="164">
        <v>4.2</v>
      </c>
      <c r="E428" s="164">
        <v>1.5</v>
      </c>
      <c r="F428" s="167">
        <v>1.764</v>
      </c>
      <c r="G428" s="167">
        <v>0.1</v>
      </c>
      <c r="H428" s="167">
        <v>6.4000000000000001E-2</v>
      </c>
      <c r="I428" s="22"/>
      <c r="J428" s="162">
        <v>3</v>
      </c>
      <c r="K428" s="162" t="s">
        <v>96</v>
      </c>
      <c r="L428" s="213">
        <v>10.5</v>
      </c>
      <c r="M428" s="213">
        <v>3.3</v>
      </c>
      <c r="N428" s="195">
        <v>2.2040000000000002</v>
      </c>
      <c r="O428" s="217">
        <v>0.111</v>
      </c>
      <c r="P428" s="195">
        <v>6.7000000000000004E-2</v>
      </c>
    </row>
    <row r="429" spans="1:16" ht="14">
      <c r="A429" s="22"/>
      <c r="B429" s="161">
        <v>4</v>
      </c>
      <c r="C429" s="162" t="s">
        <v>216</v>
      </c>
      <c r="D429" s="164">
        <v>3.6</v>
      </c>
      <c r="E429" s="164">
        <v>3.7</v>
      </c>
      <c r="F429" s="167">
        <v>-0.03</v>
      </c>
      <c r="G429" s="167">
        <v>8.6999999999999994E-2</v>
      </c>
      <c r="H429" s="167">
        <v>0.158</v>
      </c>
      <c r="I429" s="22"/>
      <c r="J429" s="162">
        <v>4</v>
      </c>
      <c r="K429" s="162" t="s">
        <v>216</v>
      </c>
      <c r="L429" s="213">
        <v>9.4</v>
      </c>
      <c r="M429" s="213">
        <v>8.1999999999999993</v>
      </c>
      <c r="N429" s="195">
        <v>0.14299999999999999</v>
      </c>
      <c r="O429" s="217">
        <v>9.9000000000000005E-2</v>
      </c>
      <c r="P429" s="195">
        <v>0.16700000000000001</v>
      </c>
    </row>
    <row r="430" spans="1:16" ht="14">
      <c r="A430" s="22"/>
      <c r="B430" s="161">
        <v>5</v>
      </c>
      <c r="C430" s="161" t="s">
        <v>107</v>
      </c>
      <c r="D430" s="164">
        <v>2.6</v>
      </c>
      <c r="E430" s="164">
        <v>1.2</v>
      </c>
      <c r="F430" s="167">
        <v>1.1619999999999999</v>
      </c>
      <c r="G430" s="167">
        <v>6.4000000000000001E-2</v>
      </c>
      <c r="H430" s="167">
        <v>5.1999999999999998E-2</v>
      </c>
      <c r="I430" s="22"/>
      <c r="J430" s="162">
        <v>5</v>
      </c>
      <c r="K430" s="162" t="s">
        <v>107</v>
      </c>
      <c r="L430" s="213">
        <v>6.3</v>
      </c>
      <c r="M430" s="213">
        <v>2.6</v>
      </c>
      <c r="N430" s="195">
        <v>1.419</v>
      </c>
      <c r="O430" s="217">
        <v>6.6000000000000003E-2</v>
      </c>
      <c r="P430" s="195">
        <v>5.2999999999999999E-2</v>
      </c>
    </row>
    <row r="431" spans="1:16" ht="14">
      <c r="A431" s="22"/>
      <c r="B431" s="161">
        <v>6</v>
      </c>
      <c r="C431" s="162" t="s">
        <v>111</v>
      </c>
      <c r="D431" s="164">
        <v>1.8</v>
      </c>
      <c r="E431" s="164">
        <v>0.5</v>
      </c>
      <c r="F431" s="167">
        <v>2.3820000000000001</v>
      </c>
      <c r="G431" s="167">
        <v>4.3999999999999997E-2</v>
      </c>
      <c r="H431" s="167">
        <v>2.3E-2</v>
      </c>
      <c r="I431" s="22"/>
      <c r="J431" s="162">
        <v>6</v>
      </c>
      <c r="K431" s="161" t="s">
        <v>111</v>
      </c>
      <c r="L431" s="213">
        <v>4.2</v>
      </c>
      <c r="M431" s="213">
        <v>1.4</v>
      </c>
      <c r="N431" s="195">
        <v>2.0870000000000002</v>
      </c>
      <c r="O431" s="217">
        <v>4.3999999999999997E-2</v>
      </c>
      <c r="P431" s="195">
        <v>2.8000000000000001E-2</v>
      </c>
    </row>
    <row r="432" spans="1:16" ht="14">
      <c r="A432" s="22"/>
      <c r="B432" s="161">
        <v>7</v>
      </c>
      <c r="C432" s="162" t="s">
        <v>105</v>
      </c>
      <c r="D432" s="164">
        <v>1.6</v>
      </c>
      <c r="E432" s="164">
        <v>1.3</v>
      </c>
      <c r="F432" s="167">
        <v>0.2</v>
      </c>
      <c r="G432" s="167">
        <v>3.8899999999999997E-2</v>
      </c>
      <c r="H432" s="167">
        <v>5.6000000000000001E-2</v>
      </c>
      <c r="I432" s="22"/>
      <c r="J432" s="162">
        <v>7</v>
      </c>
      <c r="K432" s="162" t="s">
        <v>105</v>
      </c>
      <c r="L432" s="213">
        <v>3.6</v>
      </c>
      <c r="M432" s="213">
        <v>2.8</v>
      </c>
      <c r="N432" s="195">
        <v>0.26200000000000001</v>
      </c>
      <c r="O432" s="217">
        <v>3.7999999999999999E-2</v>
      </c>
      <c r="P432" s="195">
        <v>5.8000000000000003E-2</v>
      </c>
    </row>
    <row r="433" spans="1:16" ht="14">
      <c r="A433" s="22"/>
      <c r="B433" s="161">
        <v>8</v>
      </c>
      <c r="C433" s="162" t="s">
        <v>103</v>
      </c>
      <c r="D433" s="164">
        <v>0.9</v>
      </c>
      <c r="E433" s="164">
        <v>0.4</v>
      </c>
      <c r="F433" s="167">
        <v>1.244</v>
      </c>
      <c r="G433" s="167">
        <v>2.1999999999999999E-2</v>
      </c>
      <c r="H433" s="167">
        <v>1.7999999999999999E-2</v>
      </c>
      <c r="I433" s="22"/>
      <c r="J433" s="162">
        <v>8</v>
      </c>
      <c r="K433" s="162" t="s">
        <v>103</v>
      </c>
      <c r="L433" s="213">
        <v>2.6</v>
      </c>
      <c r="M433" s="213">
        <v>0.9</v>
      </c>
      <c r="N433" s="195">
        <v>1.7989999999999999</v>
      </c>
      <c r="O433" s="217">
        <v>2.7E-2</v>
      </c>
      <c r="P433" s="195">
        <v>1.9E-2</v>
      </c>
    </row>
    <row r="434" spans="1:16" ht="14">
      <c r="A434" s="22"/>
      <c r="B434" s="161">
        <v>9</v>
      </c>
      <c r="C434" s="162" t="s">
        <v>129</v>
      </c>
      <c r="D434" s="164">
        <v>0.5</v>
      </c>
      <c r="E434" s="164">
        <v>0.2</v>
      </c>
      <c r="F434" s="167">
        <v>1.1339999999999999</v>
      </c>
      <c r="G434" s="167">
        <v>1.2E-2</v>
      </c>
      <c r="H434" s="167">
        <v>0.01</v>
      </c>
      <c r="I434" s="22"/>
      <c r="J434" s="162">
        <v>9</v>
      </c>
      <c r="K434" s="162" t="s">
        <v>129</v>
      </c>
      <c r="L434" s="213">
        <v>1.3</v>
      </c>
      <c r="M434" s="213">
        <v>0.5</v>
      </c>
      <c r="N434" s="195">
        <v>1.375</v>
      </c>
      <c r="O434" s="217">
        <v>1.2999999999999999E-2</v>
      </c>
      <c r="P434" s="195">
        <v>1.0999999999999999E-2</v>
      </c>
    </row>
    <row r="435" spans="1:16" ht="14">
      <c r="A435" s="22"/>
      <c r="B435" s="162">
        <v>10</v>
      </c>
      <c r="C435" s="162" t="s">
        <v>116</v>
      </c>
      <c r="D435" s="164">
        <v>0.5</v>
      </c>
      <c r="E435" s="164">
        <v>0.2</v>
      </c>
      <c r="F435" s="167">
        <v>1.2649999999999999</v>
      </c>
      <c r="G435" s="167">
        <v>1.0999999999999999E-2</v>
      </c>
      <c r="H435" s="167">
        <v>8.9999999999999993E-3</v>
      </c>
      <c r="I435" s="22"/>
      <c r="J435" s="162">
        <v>10</v>
      </c>
      <c r="K435" s="162" t="s">
        <v>116</v>
      </c>
      <c r="L435" s="218">
        <v>1.1000000000000001</v>
      </c>
      <c r="M435" s="213">
        <v>0.5</v>
      </c>
      <c r="N435" s="195">
        <v>1.3240000000000001</v>
      </c>
      <c r="O435" s="217">
        <v>1.2E-2</v>
      </c>
      <c r="P435" s="195">
        <v>0.01</v>
      </c>
    </row>
    <row r="436" spans="1:16" ht="14">
      <c r="A436" s="22"/>
      <c r="B436" s="162" t="s">
        <v>118</v>
      </c>
      <c r="C436" s="162"/>
      <c r="D436" s="164">
        <v>3.1</v>
      </c>
      <c r="E436" s="164">
        <v>1.8</v>
      </c>
      <c r="F436" s="167">
        <v>0.70399999999999996</v>
      </c>
      <c r="G436" s="167">
        <v>7.4999999999999997E-2</v>
      </c>
      <c r="H436" s="167">
        <v>7.8E-2</v>
      </c>
      <c r="I436" s="22"/>
      <c r="J436" s="162" t="s">
        <v>39</v>
      </c>
      <c r="K436" s="162"/>
      <c r="L436" s="213">
        <v>7.8</v>
      </c>
      <c r="M436" s="213">
        <v>4.0999999999999996</v>
      </c>
      <c r="N436" s="195">
        <v>0.89500000000000002</v>
      </c>
      <c r="O436" s="217">
        <v>8.2000000000000003E-2</v>
      </c>
      <c r="P436" s="195">
        <v>8.3000000000000004E-2</v>
      </c>
    </row>
    <row r="437" spans="1:16" ht="14">
      <c r="A437" s="22"/>
      <c r="B437" s="22" t="s">
        <v>48</v>
      </c>
      <c r="C437" s="22"/>
      <c r="D437" s="22">
        <v>41.4</v>
      </c>
      <c r="E437" s="22">
        <v>23.4</v>
      </c>
      <c r="F437" s="122">
        <v>0.77</v>
      </c>
      <c r="G437" s="122">
        <v>1</v>
      </c>
      <c r="H437" s="122">
        <v>1</v>
      </c>
      <c r="I437" s="22"/>
      <c r="J437" s="22" t="s">
        <v>48</v>
      </c>
      <c r="K437" s="22"/>
      <c r="L437" s="22">
        <v>95.1</v>
      </c>
      <c r="M437" s="22">
        <v>49.2</v>
      </c>
      <c r="N437" s="122">
        <v>0.93300000000000005</v>
      </c>
      <c r="O437" s="122">
        <v>1</v>
      </c>
      <c r="P437" s="122">
        <v>1</v>
      </c>
    </row>
    <row r="438" spans="1:16" ht="14">
      <c r="A438" s="22"/>
      <c r="B438" s="20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</row>
    <row r="439" spans="1:16" ht="14">
      <c r="A439" s="22"/>
      <c r="B439" s="161" t="s">
        <v>221</v>
      </c>
      <c r="C439" s="161"/>
      <c r="D439" s="161"/>
      <c r="E439" s="161"/>
      <c r="F439" s="161"/>
      <c r="G439" s="161"/>
      <c r="H439" s="161"/>
      <c r="I439" s="22"/>
      <c r="J439" s="162" t="s">
        <v>222</v>
      </c>
      <c r="K439" s="162"/>
      <c r="L439" s="162"/>
      <c r="M439" s="162"/>
      <c r="N439" s="162"/>
      <c r="O439" s="162"/>
      <c r="P439" s="162"/>
    </row>
    <row r="440" spans="1:16" ht="14">
      <c r="A440" s="22"/>
      <c r="B440" s="161" t="s">
        <v>92</v>
      </c>
      <c r="C440" s="162" t="s">
        <v>123</v>
      </c>
      <c r="D440" s="212">
        <v>44593</v>
      </c>
      <c r="E440" s="212">
        <v>44228</v>
      </c>
      <c r="F440" s="213" t="s">
        <v>124</v>
      </c>
      <c r="G440" s="213" t="s">
        <v>133</v>
      </c>
      <c r="H440" s="213" t="s">
        <v>180</v>
      </c>
      <c r="I440" s="22"/>
      <c r="J440" s="162" t="s">
        <v>92</v>
      </c>
      <c r="K440" s="162" t="s">
        <v>123</v>
      </c>
      <c r="L440" s="215" t="s">
        <v>223</v>
      </c>
      <c r="M440" s="215" t="s">
        <v>224</v>
      </c>
      <c r="N440" s="213" t="s">
        <v>124</v>
      </c>
      <c r="O440" s="219" t="s">
        <v>133</v>
      </c>
      <c r="P440" s="213" t="s">
        <v>180</v>
      </c>
    </row>
    <row r="441" spans="1:16" ht="14">
      <c r="A441" s="22"/>
      <c r="B441" s="161">
        <v>1</v>
      </c>
      <c r="C441" s="162" t="s">
        <v>98</v>
      </c>
      <c r="D441" s="213">
        <v>8.3000000000000007</v>
      </c>
      <c r="E441" s="213">
        <v>2.9</v>
      </c>
      <c r="F441" s="195">
        <v>1.921</v>
      </c>
      <c r="G441" s="195">
        <v>0.32200000000000001</v>
      </c>
      <c r="H441" s="195">
        <v>0.246</v>
      </c>
      <c r="I441" s="22"/>
      <c r="J441" s="162">
        <v>1</v>
      </c>
      <c r="K441" s="162" t="s">
        <v>98</v>
      </c>
      <c r="L441" s="213">
        <v>18.399999999999999</v>
      </c>
      <c r="M441" s="213">
        <v>7.1</v>
      </c>
      <c r="N441" s="195">
        <v>1.585</v>
      </c>
      <c r="O441" s="220">
        <v>0.34399999999999997</v>
      </c>
      <c r="P441" s="195">
        <v>0.27500000000000002</v>
      </c>
    </row>
    <row r="442" spans="1:16" ht="14">
      <c r="A442" s="22"/>
      <c r="B442" s="161">
        <v>2</v>
      </c>
      <c r="C442" s="162" t="s">
        <v>100</v>
      </c>
      <c r="D442" s="213">
        <v>4.0999999999999996</v>
      </c>
      <c r="E442" s="213">
        <v>3</v>
      </c>
      <c r="F442" s="195">
        <v>0.36399999999999999</v>
      </c>
      <c r="G442" s="195">
        <v>0.158</v>
      </c>
      <c r="H442" s="195">
        <v>0.25900000000000001</v>
      </c>
      <c r="I442" s="22"/>
      <c r="J442" s="162">
        <v>2</v>
      </c>
      <c r="K442" s="162" t="s">
        <v>100</v>
      </c>
      <c r="L442" s="213">
        <v>7.4</v>
      </c>
      <c r="M442" s="213">
        <v>5.4</v>
      </c>
      <c r="N442" s="195">
        <v>0.376</v>
      </c>
      <c r="O442" s="220">
        <v>0.13800000000000001</v>
      </c>
      <c r="P442" s="195">
        <v>0.20699999999999999</v>
      </c>
    </row>
    <row r="443" spans="1:16" ht="14">
      <c r="A443" s="22"/>
      <c r="B443" s="161">
        <v>3</v>
      </c>
      <c r="C443" s="162" t="s">
        <v>216</v>
      </c>
      <c r="D443" s="213">
        <v>3</v>
      </c>
      <c r="E443" s="213">
        <v>2</v>
      </c>
      <c r="F443" s="195">
        <v>0.499</v>
      </c>
      <c r="G443" s="195">
        <v>0.11700000000000001</v>
      </c>
      <c r="H443" s="195">
        <v>0.17499999999999999</v>
      </c>
      <c r="I443" s="22"/>
      <c r="J443" s="162">
        <v>3</v>
      </c>
      <c r="K443" s="162" t="s">
        <v>96</v>
      </c>
      <c r="L443" s="213">
        <v>6.4</v>
      </c>
      <c r="M443" s="213">
        <v>1.8</v>
      </c>
      <c r="N443" s="195">
        <v>2.5680000000000001</v>
      </c>
      <c r="O443" s="220">
        <v>0.11899999999999999</v>
      </c>
      <c r="P443" s="195">
        <v>6.9000000000000006E-2</v>
      </c>
    </row>
    <row r="444" spans="1:16" ht="14">
      <c r="A444" s="22"/>
      <c r="B444" s="161">
        <v>4</v>
      </c>
      <c r="C444" s="162" t="s">
        <v>96</v>
      </c>
      <c r="D444" s="213">
        <v>3</v>
      </c>
      <c r="E444" s="213">
        <v>0.6</v>
      </c>
      <c r="F444" s="195">
        <v>4.1120000000000001</v>
      </c>
      <c r="G444" s="195">
        <v>0.115</v>
      </c>
      <c r="H444" s="195">
        <v>0.05</v>
      </c>
      <c r="I444" s="22"/>
      <c r="J444" s="162">
        <v>4</v>
      </c>
      <c r="K444" s="162" t="s">
        <v>216</v>
      </c>
      <c r="L444" s="213">
        <v>5.8</v>
      </c>
      <c r="M444" s="213">
        <v>4.5</v>
      </c>
      <c r="N444" s="195">
        <v>0.28599999999999998</v>
      </c>
      <c r="O444" s="220">
        <v>0.108</v>
      </c>
      <c r="P444" s="195">
        <v>0.17399999999999999</v>
      </c>
    </row>
    <row r="445" spans="1:16" ht="14">
      <c r="A445" s="22"/>
      <c r="B445" s="161">
        <v>5</v>
      </c>
      <c r="C445" s="161" t="s">
        <v>107</v>
      </c>
      <c r="D445" s="213">
        <v>2.1</v>
      </c>
      <c r="E445" s="213">
        <v>0.8</v>
      </c>
      <c r="F445" s="195">
        <v>1.6739999999999999</v>
      </c>
      <c r="G445" s="195">
        <v>0.08</v>
      </c>
      <c r="H445" s="195">
        <v>6.7000000000000004E-2</v>
      </c>
      <c r="I445" s="22"/>
      <c r="J445" s="162">
        <v>5</v>
      </c>
      <c r="K445" s="162" t="s">
        <v>107</v>
      </c>
      <c r="L445" s="213">
        <v>3.5</v>
      </c>
      <c r="M445" s="213">
        <v>1.4</v>
      </c>
      <c r="N445" s="195">
        <v>1.522</v>
      </c>
      <c r="O445" s="220">
        <v>6.5000000000000002E-2</v>
      </c>
      <c r="P445" s="195">
        <v>5.3999999999999999E-2</v>
      </c>
    </row>
    <row r="446" spans="1:16" ht="14">
      <c r="A446" s="22"/>
      <c r="B446" s="161">
        <v>6</v>
      </c>
      <c r="C446" s="162" t="s">
        <v>111</v>
      </c>
      <c r="D446" s="213">
        <v>1.1000000000000001</v>
      </c>
      <c r="E446" s="213">
        <v>0.3</v>
      </c>
      <c r="F446" s="195">
        <v>2.863</v>
      </c>
      <c r="G446" s="195">
        <v>4.3999999999999997E-2</v>
      </c>
      <c r="H446" s="195">
        <v>2.5000000000000001E-2</v>
      </c>
      <c r="I446" s="22"/>
      <c r="J446" s="162">
        <v>6</v>
      </c>
      <c r="K446" s="161" t="s">
        <v>111</v>
      </c>
      <c r="L446" s="213">
        <v>2.4</v>
      </c>
      <c r="M446" s="213">
        <v>0.8</v>
      </c>
      <c r="N446" s="195">
        <v>1.891</v>
      </c>
      <c r="O446" s="220">
        <v>4.3999999999999997E-2</v>
      </c>
      <c r="P446" s="195">
        <v>3.2000000000000001E-2</v>
      </c>
    </row>
    <row r="447" spans="1:16" ht="14">
      <c r="A447" s="22"/>
      <c r="B447" s="161">
        <v>7</v>
      </c>
      <c r="C447" s="162" t="s">
        <v>105</v>
      </c>
      <c r="D447" s="213">
        <v>1</v>
      </c>
      <c r="E447" s="213">
        <v>0.8</v>
      </c>
      <c r="F447" s="195">
        <v>0.252</v>
      </c>
      <c r="G447" s="195">
        <v>3.6999999999999998E-2</v>
      </c>
      <c r="H447" s="195">
        <v>6.6000000000000003E-2</v>
      </c>
      <c r="I447" s="22"/>
      <c r="J447" s="162">
        <v>7</v>
      </c>
      <c r="K447" s="162" t="s">
        <v>105</v>
      </c>
      <c r="L447" s="213">
        <v>2</v>
      </c>
      <c r="M447" s="213">
        <v>1.5</v>
      </c>
      <c r="N447" s="195">
        <v>0.307</v>
      </c>
      <c r="O447" s="220">
        <v>3.7999999999999999E-2</v>
      </c>
      <c r="P447" s="195">
        <v>0.06</v>
      </c>
    </row>
    <row r="448" spans="1:16" ht="14">
      <c r="A448" s="22"/>
      <c r="B448" s="161">
        <v>8</v>
      </c>
      <c r="C448" s="162" t="s">
        <v>103</v>
      </c>
      <c r="D448" s="213">
        <v>0.7</v>
      </c>
      <c r="E448" s="213">
        <v>0.2</v>
      </c>
      <c r="F448" s="195">
        <v>3.1749999999999998</v>
      </c>
      <c r="G448" s="195">
        <v>2.7E-2</v>
      </c>
      <c r="H448" s="195">
        <v>1.4E-2</v>
      </c>
      <c r="I448" s="22"/>
      <c r="J448" s="162">
        <v>8</v>
      </c>
      <c r="K448" s="162" t="s">
        <v>103</v>
      </c>
      <c r="L448" s="213">
        <v>1.6</v>
      </c>
      <c r="M448" s="213">
        <v>0.5</v>
      </c>
      <c r="N448" s="195">
        <v>2.2519999999999998</v>
      </c>
      <c r="O448" s="220">
        <v>3.1E-2</v>
      </c>
      <c r="P448" s="195">
        <v>0.02</v>
      </c>
    </row>
    <row r="449" spans="1:16" ht="14">
      <c r="A449" s="22"/>
      <c r="B449" s="161">
        <v>9</v>
      </c>
      <c r="C449" s="162" t="s">
        <v>129</v>
      </c>
      <c r="D449" s="213">
        <v>0.3</v>
      </c>
      <c r="E449" s="213">
        <v>0.1</v>
      </c>
      <c r="F449" s="195">
        <v>1.7569999999999999</v>
      </c>
      <c r="G449" s="195">
        <v>1.2999999999999999E-2</v>
      </c>
      <c r="H449" s="195">
        <v>0.01</v>
      </c>
      <c r="I449" s="22"/>
      <c r="J449" s="162">
        <v>9</v>
      </c>
      <c r="K449" s="162" t="s">
        <v>129</v>
      </c>
      <c r="L449" s="213">
        <v>0.8</v>
      </c>
      <c r="M449" s="213">
        <v>0.3</v>
      </c>
      <c r="N449" s="195">
        <v>1.5660000000000001</v>
      </c>
      <c r="O449" s="220">
        <v>1.4E-2</v>
      </c>
      <c r="P449" s="195">
        <v>1.2E-2</v>
      </c>
    </row>
    <row r="450" spans="1:16" ht="14">
      <c r="A450" s="22"/>
      <c r="B450" s="198">
        <v>10</v>
      </c>
      <c r="C450" s="209" t="s">
        <v>225</v>
      </c>
      <c r="D450" s="221">
        <v>0.3</v>
      </c>
      <c r="E450" s="213">
        <v>0.3</v>
      </c>
      <c r="F450" s="195">
        <v>0.16600000000000001</v>
      </c>
      <c r="G450" s="195">
        <v>1.2E-2</v>
      </c>
      <c r="H450" s="195">
        <v>2.4E-2</v>
      </c>
      <c r="I450" s="22"/>
      <c r="J450" s="198">
        <v>10</v>
      </c>
      <c r="K450" s="209" t="s">
        <v>116</v>
      </c>
      <c r="L450" s="221">
        <v>0.6</v>
      </c>
      <c r="M450" s="213">
        <v>0.3</v>
      </c>
      <c r="N450" s="195">
        <v>1.365</v>
      </c>
      <c r="O450" s="220">
        <v>1.2E-2</v>
      </c>
      <c r="P450" s="195">
        <v>0.01</v>
      </c>
    </row>
    <row r="451" spans="1:16" ht="14">
      <c r="A451" s="22"/>
      <c r="B451" s="198" t="s">
        <v>118</v>
      </c>
      <c r="C451" s="209"/>
      <c r="D451" s="164">
        <v>2</v>
      </c>
      <c r="E451" s="218">
        <v>0.7</v>
      </c>
      <c r="F451" s="222">
        <v>1.637</v>
      </c>
      <c r="G451" s="195">
        <v>7.5999999999999998E-2</v>
      </c>
      <c r="H451" s="195">
        <v>6.4000000000000001E-2</v>
      </c>
      <c r="I451" s="22"/>
      <c r="J451" s="198" t="s">
        <v>118</v>
      </c>
      <c r="K451" s="209"/>
      <c r="L451" s="164">
        <v>4.7</v>
      </c>
      <c r="M451" s="218">
        <v>2.2999999999999998</v>
      </c>
      <c r="N451" s="222">
        <v>1.0449999999999999</v>
      </c>
      <c r="O451" s="226">
        <v>8.6999999999999994E-2</v>
      </c>
      <c r="P451" s="222">
        <v>8.7999999999999995E-2</v>
      </c>
    </row>
    <row r="452" spans="1:16" ht="14">
      <c r="A452" s="22"/>
      <c r="B452" s="22" t="s">
        <v>48</v>
      </c>
      <c r="C452" s="22"/>
      <c r="D452" s="22">
        <v>25.9</v>
      </c>
      <c r="E452" s="22">
        <v>11.6</v>
      </c>
      <c r="F452" s="122">
        <v>1.2330000000000001</v>
      </c>
      <c r="G452" s="122">
        <v>1</v>
      </c>
      <c r="H452" s="122">
        <v>1</v>
      </c>
      <c r="I452" s="22"/>
      <c r="J452" s="22" t="s">
        <v>48</v>
      </c>
      <c r="K452" s="22"/>
      <c r="L452" s="22">
        <v>53.5</v>
      </c>
      <c r="M452" s="22">
        <v>25.8</v>
      </c>
      <c r="N452" s="122">
        <v>1.069</v>
      </c>
      <c r="O452" s="122">
        <v>1</v>
      </c>
      <c r="P452" s="122">
        <v>1</v>
      </c>
    </row>
    <row r="453" spans="1:16" ht="14">
      <c r="A453" s="22"/>
      <c r="B453" s="20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</row>
    <row r="454" spans="1:16" ht="14">
      <c r="A454" s="22"/>
      <c r="B454" s="161" t="s">
        <v>226</v>
      </c>
      <c r="C454" s="161"/>
      <c r="D454" s="161"/>
      <c r="E454" s="161"/>
      <c r="F454" s="161"/>
      <c r="G454" s="161"/>
      <c r="H454" s="161"/>
      <c r="I454" s="22"/>
      <c r="J454" s="22"/>
      <c r="K454" s="22"/>
      <c r="L454" s="22"/>
      <c r="M454" s="22"/>
      <c r="N454" s="22"/>
      <c r="O454" s="22"/>
      <c r="P454" s="22"/>
    </row>
    <row r="455" spans="1:16" ht="14">
      <c r="A455" s="22"/>
      <c r="B455" s="161" t="s">
        <v>92</v>
      </c>
      <c r="C455" s="162" t="s">
        <v>123</v>
      </c>
      <c r="D455" s="163">
        <v>44562</v>
      </c>
      <c r="E455" s="163">
        <v>44197</v>
      </c>
      <c r="F455" s="216" t="s">
        <v>124</v>
      </c>
      <c r="G455" s="162" t="s">
        <v>133</v>
      </c>
      <c r="H455" s="162" t="s">
        <v>180</v>
      </c>
      <c r="I455" s="22"/>
      <c r="J455" s="22"/>
      <c r="K455" s="22"/>
      <c r="L455" s="22"/>
      <c r="M455" s="22"/>
      <c r="N455" s="22"/>
      <c r="O455" s="22"/>
      <c r="P455" s="22"/>
    </row>
    <row r="456" spans="1:16" ht="14">
      <c r="A456" s="22"/>
      <c r="B456" s="161">
        <v>1</v>
      </c>
      <c r="C456" s="162" t="s">
        <v>98</v>
      </c>
      <c r="D456" s="162">
        <v>10.1</v>
      </c>
      <c r="E456" s="162">
        <v>4.2</v>
      </c>
      <c r="F456" s="217">
        <v>1.40476190476191</v>
      </c>
      <c r="G456" s="194">
        <v>0.36594202898550698</v>
      </c>
      <c r="H456" s="194">
        <v>0.29577464788732399</v>
      </c>
      <c r="I456" s="22"/>
      <c r="J456" s="22"/>
      <c r="K456" s="22"/>
      <c r="L456" s="22"/>
      <c r="M456" s="22"/>
      <c r="N456" s="22"/>
      <c r="O456" s="22"/>
      <c r="P456" s="22"/>
    </row>
    <row r="457" spans="1:16" ht="14">
      <c r="A457" s="22"/>
      <c r="B457" s="161">
        <v>2</v>
      </c>
      <c r="C457" s="162" t="s">
        <v>96</v>
      </c>
      <c r="D457" s="162">
        <v>3.4</v>
      </c>
      <c r="E457" s="162">
        <v>1.2</v>
      </c>
      <c r="F457" s="217">
        <v>1.8333333333333299</v>
      </c>
      <c r="G457" s="194">
        <v>0.123188405797101</v>
      </c>
      <c r="H457" s="194">
        <v>8.4507042253521097E-2</v>
      </c>
      <c r="I457" s="22"/>
      <c r="J457" s="22"/>
      <c r="K457" s="22"/>
      <c r="L457" s="22"/>
      <c r="M457" s="22"/>
      <c r="N457" s="22"/>
      <c r="O457" s="22"/>
      <c r="P457" s="22"/>
    </row>
    <row r="458" spans="1:16" ht="14">
      <c r="A458" s="22"/>
      <c r="B458" s="161">
        <v>3</v>
      </c>
      <c r="C458" s="162" t="s">
        <v>100</v>
      </c>
      <c r="D458" s="162">
        <v>3.3</v>
      </c>
      <c r="E458" s="162">
        <v>2.4</v>
      </c>
      <c r="F458" s="217">
        <v>0.375</v>
      </c>
      <c r="G458" s="194">
        <v>0.119565217391304</v>
      </c>
      <c r="H458" s="194">
        <v>0.169014084507042</v>
      </c>
      <c r="I458" s="22"/>
      <c r="J458" s="22"/>
      <c r="K458" s="22"/>
      <c r="L458" s="22"/>
      <c r="M458" s="22"/>
      <c r="N458" s="22"/>
      <c r="O458" s="22"/>
      <c r="P458" s="22"/>
    </row>
    <row r="459" spans="1:16" ht="14">
      <c r="A459" s="22"/>
      <c r="B459" s="161">
        <v>4</v>
      </c>
      <c r="C459" s="162" t="s">
        <v>216</v>
      </c>
      <c r="D459" s="162">
        <v>2.8</v>
      </c>
      <c r="E459" s="162">
        <v>2.5</v>
      </c>
      <c r="F459" s="217">
        <v>0.12</v>
      </c>
      <c r="G459" s="194">
        <v>0.101449275362319</v>
      </c>
      <c r="H459" s="194">
        <v>0.176056338028169</v>
      </c>
      <c r="I459" s="22"/>
      <c r="J459" s="22"/>
      <c r="K459" s="22"/>
      <c r="L459" s="22"/>
      <c r="M459" s="22"/>
      <c r="N459" s="22"/>
      <c r="O459" s="22"/>
      <c r="P459" s="22"/>
    </row>
    <row r="460" spans="1:16" ht="14">
      <c r="A460" s="22"/>
      <c r="B460" s="161">
        <v>5</v>
      </c>
      <c r="C460" s="161" t="s">
        <v>107</v>
      </c>
      <c r="D460" s="162">
        <v>1.4</v>
      </c>
      <c r="E460" s="162">
        <v>0.6</v>
      </c>
      <c r="F460" s="217">
        <v>1.3333333333333299</v>
      </c>
      <c r="G460" s="194">
        <v>5.0724637681159403E-2</v>
      </c>
      <c r="H460" s="194">
        <v>4.22535211267605E-2</v>
      </c>
      <c r="I460" s="22"/>
      <c r="J460" s="22"/>
      <c r="K460" s="22"/>
      <c r="L460" s="22"/>
      <c r="M460" s="22"/>
      <c r="N460" s="22"/>
      <c r="O460" s="22"/>
      <c r="P460" s="22"/>
    </row>
    <row r="461" spans="1:16" ht="14">
      <c r="A461" s="22"/>
      <c r="B461" s="161">
        <v>6</v>
      </c>
      <c r="C461" s="162" t="s">
        <v>111</v>
      </c>
      <c r="D461" s="162">
        <v>1.3</v>
      </c>
      <c r="E461" s="162">
        <v>0.5</v>
      </c>
      <c r="F461" s="217">
        <v>1.6</v>
      </c>
      <c r="G461" s="194">
        <v>4.7101449275362299E-2</v>
      </c>
      <c r="H461" s="194">
        <v>3.5211267605633798E-2</v>
      </c>
      <c r="I461" s="22"/>
      <c r="J461" s="22"/>
      <c r="K461" s="22"/>
      <c r="L461" s="22"/>
      <c r="M461" s="22"/>
      <c r="N461" s="22"/>
      <c r="O461" s="22"/>
      <c r="P461" s="22"/>
    </row>
    <row r="462" spans="1:16" ht="14">
      <c r="A462" s="22"/>
      <c r="B462" s="161">
        <v>7</v>
      </c>
      <c r="C462" s="162" t="s">
        <v>105</v>
      </c>
      <c r="D462" s="162">
        <v>0.9</v>
      </c>
      <c r="E462" s="162">
        <v>0.7</v>
      </c>
      <c r="F462" s="217">
        <v>0.28571428571428598</v>
      </c>
      <c r="G462" s="194">
        <v>3.2608695652173898E-2</v>
      </c>
      <c r="H462" s="194">
        <v>4.92957746478873E-2</v>
      </c>
      <c r="I462" s="22"/>
      <c r="J462" s="22"/>
      <c r="K462" s="22"/>
      <c r="L462" s="22"/>
      <c r="M462" s="22"/>
      <c r="N462" s="22"/>
      <c r="O462" s="22"/>
      <c r="P462" s="22"/>
    </row>
    <row r="463" spans="1:16" ht="14">
      <c r="A463" s="22"/>
      <c r="B463" s="161">
        <v>8</v>
      </c>
      <c r="C463" s="162" t="s">
        <v>103</v>
      </c>
      <c r="D463" s="162">
        <v>0.9</v>
      </c>
      <c r="E463" s="162">
        <v>0.3</v>
      </c>
      <c r="F463" s="217">
        <v>2</v>
      </c>
      <c r="G463" s="194">
        <v>3.2608695652173898E-2</v>
      </c>
      <c r="H463" s="194">
        <v>2.1126760563380299E-2</v>
      </c>
      <c r="I463" s="22"/>
      <c r="J463" s="22"/>
      <c r="K463" s="22"/>
      <c r="L463" s="22"/>
      <c r="M463" s="22"/>
      <c r="N463" s="22"/>
      <c r="O463" s="22"/>
      <c r="P463" s="22"/>
    </row>
    <row r="464" spans="1:16" ht="14">
      <c r="A464" s="22"/>
      <c r="B464" s="198">
        <v>9</v>
      </c>
      <c r="C464" s="209" t="s">
        <v>129</v>
      </c>
      <c r="D464" s="162">
        <v>0.4</v>
      </c>
      <c r="E464" s="162">
        <v>0.2</v>
      </c>
      <c r="F464" s="217">
        <v>1</v>
      </c>
      <c r="G464" s="194">
        <v>1.4492753623188401E-2</v>
      </c>
      <c r="H464" s="194">
        <v>1.4084507042253501E-2</v>
      </c>
      <c r="I464" s="22"/>
      <c r="J464" s="22"/>
      <c r="K464" s="22"/>
      <c r="L464" s="22"/>
      <c r="M464" s="22"/>
      <c r="N464" s="22"/>
      <c r="O464" s="22"/>
      <c r="P464" s="22"/>
    </row>
    <row r="465" spans="1:16" ht="14">
      <c r="A465" s="22"/>
      <c r="B465" s="198" t="s">
        <v>118</v>
      </c>
      <c r="C465" s="209"/>
      <c r="D465" s="162">
        <v>3.1</v>
      </c>
      <c r="E465" s="162">
        <v>1.6</v>
      </c>
      <c r="F465" s="217">
        <v>0.9375</v>
      </c>
      <c r="G465" s="194">
        <v>0.11231884057971001</v>
      </c>
      <c r="H465" s="194">
        <v>0.11267605633802801</v>
      </c>
      <c r="I465" s="22"/>
      <c r="J465" s="22"/>
      <c r="K465" s="22"/>
      <c r="L465" s="22"/>
      <c r="M465" s="22"/>
      <c r="N465" s="22"/>
      <c r="O465" s="22"/>
      <c r="P465" s="22"/>
    </row>
    <row r="466" spans="1:16" ht="14">
      <c r="A466" s="22"/>
      <c r="B466" s="22" t="s">
        <v>48</v>
      </c>
      <c r="C466" s="22"/>
      <c r="D466" s="22">
        <v>27.6</v>
      </c>
      <c r="E466" s="22">
        <v>14.2</v>
      </c>
      <c r="F466" s="122">
        <v>0.94366197183098599</v>
      </c>
      <c r="G466" s="122">
        <v>1</v>
      </c>
      <c r="H466" s="122">
        <v>1</v>
      </c>
      <c r="I466" s="22"/>
      <c r="J466" s="22"/>
      <c r="K466" s="22"/>
      <c r="L466" s="22"/>
      <c r="M466" s="22"/>
      <c r="N466" s="22"/>
      <c r="O466" s="22"/>
      <c r="P466" s="22"/>
    </row>
    <row r="467" spans="1:16" ht="14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</row>
    <row r="468" spans="1:16" ht="14">
      <c r="A468" s="22"/>
      <c r="B468" s="20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</row>
    <row r="469" spans="1:16" ht="14">
      <c r="A469" s="22"/>
      <c r="B469" s="20" t="s">
        <v>227</v>
      </c>
      <c r="C469" s="20"/>
      <c r="D469" s="20"/>
      <c r="E469" s="20"/>
      <c r="F469" s="20"/>
      <c r="G469" s="20"/>
      <c r="H469" s="20"/>
      <c r="I469" s="22"/>
      <c r="J469" s="22" t="s">
        <v>228</v>
      </c>
      <c r="K469" s="22"/>
      <c r="L469" s="22"/>
      <c r="M469" s="22"/>
      <c r="N469" s="22"/>
      <c r="O469" s="22"/>
      <c r="P469" s="22"/>
    </row>
    <row r="470" spans="1:16" ht="14">
      <c r="A470" s="22"/>
      <c r="B470" s="20" t="s">
        <v>92</v>
      </c>
      <c r="C470" s="22" t="s">
        <v>123</v>
      </c>
      <c r="D470" s="223">
        <v>44531</v>
      </c>
      <c r="E470" s="223">
        <v>44166</v>
      </c>
      <c r="F470" s="224" t="s">
        <v>124</v>
      </c>
      <c r="G470" s="22" t="s">
        <v>180</v>
      </c>
      <c r="H470" s="22" t="s">
        <v>229</v>
      </c>
      <c r="I470" s="22"/>
      <c r="J470" s="22" t="s">
        <v>92</v>
      </c>
      <c r="K470" s="22" t="s">
        <v>123</v>
      </c>
      <c r="L470" s="94" t="s">
        <v>182</v>
      </c>
      <c r="M470" s="94" t="s">
        <v>230</v>
      </c>
      <c r="N470" s="224" t="s">
        <v>124</v>
      </c>
      <c r="O470" s="224" t="s">
        <v>180</v>
      </c>
      <c r="P470" s="224" t="s">
        <v>229</v>
      </c>
    </row>
    <row r="471" spans="1:16" ht="14">
      <c r="A471" s="22"/>
      <c r="B471" s="20">
        <v>1</v>
      </c>
      <c r="C471" s="22" t="s">
        <v>98</v>
      </c>
      <c r="D471" s="22">
        <v>16.5</v>
      </c>
      <c r="E471" s="22">
        <v>7.7</v>
      </c>
      <c r="F471" s="122">
        <v>1.153</v>
      </c>
      <c r="G471" s="122">
        <v>0.379</v>
      </c>
      <c r="H471" s="122">
        <v>0.26900000000000002</v>
      </c>
      <c r="I471" s="22"/>
      <c r="J471" s="22">
        <v>1</v>
      </c>
      <c r="K471" s="22" t="s">
        <v>98</v>
      </c>
      <c r="L471" s="203">
        <v>96.7</v>
      </c>
      <c r="M471" s="203">
        <v>36.200000000000003</v>
      </c>
      <c r="N471" s="77">
        <v>1.675</v>
      </c>
      <c r="O471" s="77">
        <v>0.32600000000000001</v>
      </c>
      <c r="P471" s="77">
        <v>0.246</v>
      </c>
    </row>
    <row r="472" spans="1:16" ht="14">
      <c r="A472" s="22"/>
      <c r="B472" s="20">
        <v>2</v>
      </c>
      <c r="C472" s="22" t="s">
        <v>100</v>
      </c>
      <c r="D472" s="22">
        <v>8.6</v>
      </c>
      <c r="E472" s="22">
        <v>7.2</v>
      </c>
      <c r="F472" s="122">
        <v>0.185</v>
      </c>
      <c r="G472" s="122">
        <v>0.19600000000000001</v>
      </c>
      <c r="H472" s="122">
        <v>0.254</v>
      </c>
      <c r="I472" s="22"/>
      <c r="J472" s="22">
        <v>2</v>
      </c>
      <c r="K472" s="22" t="s">
        <v>100</v>
      </c>
      <c r="L472" s="203">
        <v>60.2</v>
      </c>
      <c r="M472" s="203">
        <v>34.299999999999997</v>
      </c>
      <c r="N472" s="77">
        <v>0.755</v>
      </c>
      <c r="O472" s="77">
        <v>0.20300000000000001</v>
      </c>
      <c r="P472" s="77">
        <v>0.23400000000000001</v>
      </c>
    </row>
    <row r="473" spans="1:16" ht="14">
      <c r="A473" s="22"/>
      <c r="B473" s="20">
        <v>3</v>
      </c>
      <c r="C473" s="203" t="s">
        <v>96</v>
      </c>
      <c r="D473" s="22">
        <v>3.8</v>
      </c>
      <c r="E473" s="22">
        <v>2.1</v>
      </c>
      <c r="F473" s="122">
        <v>0.78500000000000003</v>
      </c>
      <c r="G473" s="122">
        <v>8.5999999999999993E-2</v>
      </c>
      <c r="H473" s="122">
        <v>7.3999999999999996E-2</v>
      </c>
      <c r="I473" s="22"/>
      <c r="J473" s="22">
        <v>3</v>
      </c>
      <c r="K473" s="22" t="s">
        <v>99</v>
      </c>
      <c r="L473" s="203">
        <v>36.1</v>
      </c>
      <c r="M473" s="203">
        <v>27</v>
      </c>
      <c r="N473" s="77">
        <v>0.33500000000000002</v>
      </c>
      <c r="O473" s="77">
        <v>0.122</v>
      </c>
      <c r="P473" s="77">
        <v>0.184</v>
      </c>
    </row>
    <row r="474" spans="1:16" ht="14">
      <c r="A474" s="22"/>
      <c r="B474" s="20">
        <v>4</v>
      </c>
      <c r="C474" s="20" t="s">
        <v>99</v>
      </c>
      <c r="D474" s="22">
        <v>3.7</v>
      </c>
      <c r="E474" s="22">
        <v>4.0999999999999996</v>
      </c>
      <c r="F474" s="122">
        <v>-0.08</v>
      </c>
      <c r="G474" s="122">
        <v>8.5999999999999993E-2</v>
      </c>
      <c r="H474" s="122">
        <v>0.14299999999999999</v>
      </c>
      <c r="I474" s="22"/>
      <c r="J474" s="22">
        <v>4</v>
      </c>
      <c r="K474" s="20" t="s">
        <v>96</v>
      </c>
      <c r="L474" s="203">
        <v>26.3</v>
      </c>
      <c r="M474" s="203">
        <v>9.8000000000000007</v>
      </c>
      <c r="N474" s="77">
        <v>1.677</v>
      </c>
      <c r="O474" s="77">
        <v>8.7999999999999995E-2</v>
      </c>
      <c r="P474" s="77">
        <v>6.7000000000000004E-2</v>
      </c>
    </row>
    <row r="475" spans="1:16" ht="14">
      <c r="A475" s="22"/>
      <c r="B475" s="20">
        <v>5</v>
      </c>
      <c r="C475" s="22" t="s">
        <v>106</v>
      </c>
      <c r="D475" s="22">
        <v>1.9</v>
      </c>
      <c r="E475" s="22">
        <v>1.4</v>
      </c>
      <c r="F475" s="122">
        <v>0.34799999999999998</v>
      </c>
      <c r="G475" s="122">
        <v>4.3999999999999997E-2</v>
      </c>
      <c r="H475" s="122">
        <v>0.05</v>
      </c>
      <c r="I475" s="22"/>
      <c r="J475" s="22">
        <v>5</v>
      </c>
      <c r="K475" s="22" t="s">
        <v>106</v>
      </c>
      <c r="L475" s="203">
        <v>16.7</v>
      </c>
      <c r="M475" s="203">
        <v>8.1</v>
      </c>
      <c r="N475" s="77">
        <v>1.075</v>
      </c>
      <c r="O475" s="77">
        <v>5.6000000000000001E-2</v>
      </c>
      <c r="P475" s="77">
        <v>5.5E-2</v>
      </c>
    </row>
    <row r="476" spans="1:16" ht="14">
      <c r="A476" s="22"/>
      <c r="B476" s="20">
        <v>6</v>
      </c>
      <c r="C476" s="22" t="s">
        <v>105</v>
      </c>
      <c r="D476" s="22">
        <v>1.6</v>
      </c>
      <c r="E476" s="22">
        <v>1.4</v>
      </c>
      <c r="F476" s="122">
        <v>0.14599999999999999</v>
      </c>
      <c r="G476" s="122">
        <v>4.3999999999999997E-2</v>
      </c>
      <c r="H476" s="122">
        <v>0.05</v>
      </c>
      <c r="I476" s="22"/>
      <c r="J476" s="22">
        <v>6</v>
      </c>
      <c r="K476" s="22" t="s">
        <v>105</v>
      </c>
      <c r="L476" s="203">
        <v>13.2</v>
      </c>
      <c r="M476" s="203">
        <v>8.5</v>
      </c>
      <c r="N476" s="77">
        <v>0.56000000000000005</v>
      </c>
      <c r="O476" s="77">
        <v>4.4999999999999998E-2</v>
      </c>
      <c r="P476" s="77">
        <v>5.8000000000000003E-2</v>
      </c>
    </row>
    <row r="477" spans="1:16" ht="14">
      <c r="A477" s="22"/>
      <c r="B477" s="20">
        <v>7</v>
      </c>
      <c r="C477" s="20" t="s">
        <v>111</v>
      </c>
      <c r="D477" s="22">
        <v>1.1000000000000001</v>
      </c>
      <c r="E477" s="22">
        <v>0.8</v>
      </c>
      <c r="F477" s="122">
        <v>0.45200000000000001</v>
      </c>
      <c r="G477" s="122">
        <v>2.5999999999999999E-2</v>
      </c>
      <c r="H477" s="122">
        <v>2.7E-2</v>
      </c>
      <c r="I477" s="22"/>
      <c r="J477" s="22">
        <v>7</v>
      </c>
      <c r="K477" s="20" t="s">
        <v>111</v>
      </c>
      <c r="L477" s="203">
        <v>7.9</v>
      </c>
      <c r="M477" s="203">
        <v>3.4</v>
      </c>
      <c r="N477" s="77">
        <v>1.3049999999999999</v>
      </c>
      <c r="O477" s="77">
        <v>2.7E-2</v>
      </c>
      <c r="P477" s="77">
        <v>2.3E-2</v>
      </c>
    </row>
    <row r="478" spans="1:16" ht="14">
      <c r="A478" s="22"/>
      <c r="B478" s="20">
        <v>8</v>
      </c>
      <c r="C478" s="20" t="s">
        <v>103</v>
      </c>
      <c r="D478" s="22">
        <v>1.1000000000000001</v>
      </c>
      <c r="E478" s="22">
        <v>0.5</v>
      </c>
      <c r="F478" s="122">
        <v>1.3540000000000001</v>
      </c>
      <c r="G478" s="122">
        <v>2.5000000000000001E-2</v>
      </c>
      <c r="H478" s="122">
        <v>1.6E-2</v>
      </c>
      <c r="I478" s="22"/>
      <c r="J478" s="22">
        <v>8</v>
      </c>
      <c r="K478" s="20" t="s">
        <v>103</v>
      </c>
      <c r="L478" s="203">
        <v>6.4</v>
      </c>
      <c r="M478" s="203">
        <v>2.4</v>
      </c>
      <c r="N478" s="77">
        <v>1.613</v>
      </c>
      <c r="O478" s="77">
        <v>2.1000000000000001E-2</v>
      </c>
      <c r="P478" s="77">
        <v>1.7000000000000001E-2</v>
      </c>
    </row>
    <row r="479" spans="1:16" ht="14">
      <c r="A479" s="22"/>
      <c r="B479" s="20">
        <v>9</v>
      </c>
      <c r="C479" s="20" t="s">
        <v>114</v>
      </c>
      <c r="D479" s="22">
        <v>0.7</v>
      </c>
      <c r="E479" s="207">
        <v>0.1</v>
      </c>
      <c r="F479" s="122">
        <v>6.226</v>
      </c>
      <c r="G479" s="122">
        <v>1.4999999999999999E-2</v>
      </c>
      <c r="H479" s="122">
        <v>3.0000000000000001E-3</v>
      </c>
      <c r="I479" s="22"/>
      <c r="J479" s="22">
        <v>9</v>
      </c>
      <c r="K479" s="20" t="s">
        <v>104</v>
      </c>
      <c r="L479" s="203">
        <v>4.2</v>
      </c>
      <c r="M479" s="203">
        <v>3.9</v>
      </c>
      <c r="N479" s="77">
        <v>7.8E-2</v>
      </c>
      <c r="O479" s="77">
        <v>1.4E-2</v>
      </c>
      <c r="P479" s="77">
        <v>2.7E-2</v>
      </c>
    </row>
    <row r="480" spans="1:16" ht="14">
      <c r="A480" s="22"/>
      <c r="B480" s="22">
        <v>10</v>
      </c>
      <c r="C480" s="22" t="s">
        <v>104</v>
      </c>
      <c r="D480" s="22">
        <v>0.6</v>
      </c>
      <c r="E480" s="22">
        <v>0.6</v>
      </c>
      <c r="F480" s="122">
        <v>5.2999999999999999E-2</v>
      </c>
      <c r="G480" s="122">
        <v>1.2999999999999999E-2</v>
      </c>
      <c r="H480" s="122">
        <v>0.02</v>
      </c>
      <c r="I480" s="22"/>
      <c r="J480" s="22">
        <v>10</v>
      </c>
      <c r="K480" s="22" t="s">
        <v>117</v>
      </c>
      <c r="L480" s="203">
        <v>3.1</v>
      </c>
      <c r="M480" s="203">
        <v>0.6</v>
      </c>
      <c r="N480" s="77">
        <v>4.3079999999999998</v>
      </c>
      <c r="O480" s="77">
        <v>0.01</v>
      </c>
      <c r="P480" s="77">
        <v>4.0000000000000001E-3</v>
      </c>
    </row>
    <row r="481" spans="1:16" ht="14">
      <c r="A481" s="22"/>
      <c r="B481" s="22"/>
      <c r="C481" s="22" t="s">
        <v>118</v>
      </c>
      <c r="D481" s="207">
        <v>4</v>
      </c>
      <c r="E481" s="22">
        <v>2.7</v>
      </c>
      <c r="F481" s="122">
        <v>0.51700000000000002</v>
      </c>
      <c r="G481" s="122">
        <v>9.2999999999999999E-2</v>
      </c>
      <c r="H481" s="122">
        <v>9.4E-2</v>
      </c>
      <c r="I481" s="22"/>
      <c r="J481" s="22"/>
      <c r="K481" s="22" t="s">
        <v>118</v>
      </c>
      <c r="L481" s="203">
        <v>26</v>
      </c>
      <c r="M481" s="203">
        <v>12.5</v>
      </c>
      <c r="N481" s="77">
        <v>1.071</v>
      </c>
      <c r="O481" s="77">
        <v>8.7999999999999995E-2</v>
      </c>
      <c r="P481" s="77">
        <v>8.5000000000000006E-2</v>
      </c>
    </row>
    <row r="482" spans="1:16" ht="14">
      <c r="A482" s="22"/>
      <c r="B482" s="22"/>
      <c r="C482" s="22" t="s">
        <v>48</v>
      </c>
      <c r="D482" s="22">
        <v>43.7</v>
      </c>
      <c r="E482" s="22">
        <v>28.5</v>
      </c>
      <c r="F482" s="75">
        <v>0.91900000000000004</v>
      </c>
      <c r="G482" s="122">
        <v>1</v>
      </c>
      <c r="H482" s="122">
        <v>1</v>
      </c>
      <c r="I482" s="22"/>
      <c r="J482" s="22"/>
      <c r="K482" s="22" t="s">
        <v>48</v>
      </c>
      <c r="L482" s="203">
        <v>296.8</v>
      </c>
      <c r="M482" s="203">
        <v>146.80000000000001</v>
      </c>
      <c r="N482" s="122">
        <v>1.0229999999999999</v>
      </c>
      <c r="O482" s="122">
        <v>1</v>
      </c>
      <c r="P482" s="122">
        <v>1</v>
      </c>
    </row>
    <row r="483" spans="1:16" ht="14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</row>
    <row r="484" spans="1:16" ht="14">
      <c r="A484" s="22"/>
      <c r="B484" s="20" t="s">
        <v>231</v>
      </c>
      <c r="C484" s="20"/>
      <c r="D484" s="20"/>
      <c r="E484" s="20"/>
      <c r="F484" s="20"/>
      <c r="G484" s="20"/>
      <c r="H484" s="20"/>
      <c r="I484" s="22"/>
      <c r="J484" s="22" t="s">
        <v>232</v>
      </c>
      <c r="K484" s="22"/>
      <c r="L484" s="22"/>
      <c r="M484" s="22"/>
      <c r="N484" s="22"/>
      <c r="O484" s="22"/>
      <c r="P484" s="22"/>
    </row>
    <row r="485" spans="1:16" ht="14">
      <c r="A485" s="22"/>
      <c r="B485" s="20" t="s">
        <v>92</v>
      </c>
      <c r="C485" s="22" t="s">
        <v>123</v>
      </c>
      <c r="D485" s="223">
        <v>44501</v>
      </c>
      <c r="E485" s="223">
        <v>44136</v>
      </c>
      <c r="F485" s="224" t="s">
        <v>124</v>
      </c>
      <c r="G485" s="22" t="s">
        <v>180</v>
      </c>
      <c r="H485" s="22" t="s">
        <v>229</v>
      </c>
      <c r="I485" s="22"/>
      <c r="J485" s="22" t="s">
        <v>92</v>
      </c>
      <c r="K485" s="22" t="s">
        <v>123</v>
      </c>
      <c r="L485" s="94" t="s">
        <v>187</v>
      </c>
      <c r="M485" s="94" t="s">
        <v>233</v>
      </c>
      <c r="N485" s="224" t="s">
        <v>124</v>
      </c>
      <c r="O485" s="224" t="s">
        <v>180</v>
      </c>
      <c r="P485" s="224" t="s">
        <v>229</v>
      </c>
    </row>
    <row r="486" spans="1:16" ht="14">
      <c r="A486" s="22"/>
      <c r="B486" s="20">
        <v>1</v>
      </c>
      <c r="C486" s="22" t="s">
        <v>98</v>
      </c>
      <c r="D486" s="22">
        <v>10.7</v>
      </c>
      <c r="E486" s="22">
        <v>3.6</v>
      </c>
      <c r="F486" s="122">
        <v>1.994</v>
      </c>
      <c r="G486" s="122">
        <v>0.34899999999999998</v>
      </c>
      <c r="H486" s="122">
        <v>0.224</v>
      </c>
      <c r="I486" s="22"/>
      <c r="J486" s="22">
        <v>1</v>
      </c>
      <c r="K486" s="22" t="s">
        <v>98</v>
      </c>
      <c r="L486" s="203">
        <v>67.099999999999994</v>
      </c>
      <c r="M486" s="203">
        <v>19.899999999999999</v>
      </c>
      <c r="N486" s="77">
        <v>2.3759999999999999</v>
      </c>
      <c r="O486" s="77">
        <v>0.28999999999999998</v>
      </c>
      <c r="P486" s="77">
        <v>0.19</v>
      </c>
    </row>
    <row r="487" spans="1:16" ht="14">
      <c r="A487" s="22"/>
      <c r="B487" s="20">
        <v>2</v>
      </c>
      <c r="C487" s="22" t="s">
        <v>100</v>
      </c>
      <c r="D487" s="22">
        <v>5.5</v>
      </c>
      <c r="E487" s="22">
        <v>4.0999999999999996</v>
      </c>
      <c r="F487" s="122">
        <v>0.34300000000000003</v>
      </c>
      <c r="G487" s="122">
        <v>0.17699999999999999</v>
      </c>
      <c r="H487" s="122">
        <v>0.253</v>
      </c>
      <c r="I487" s="22"/>
      <c r="J487" s="22">
        <v>2</v>
      </c>
      <c r="K487" s="22" t="s">
        <v>100</v>
      </c>
      <c r="L487" s="203">
        <v>51.3</v>
      </c>
      <c r="M487" s="203">
        <v>26.9</v>
      </c>
      <c r="N487" s="122">
        <v>0.90600000000000003</v>
      </c>
      <c r="O487" s="77">
        <v>0.222</v>
      </c>
      <c r="P487" s="77">
        <v>0.25700000000000001</v>
      </c>
    </row>
    <row r="488" spans="1:16" ht="14">
      <c r="A488" s="22"/>
      <c r="B488" s="20">
        <v>3</v>
      </c>
      <c r="C488" s="203" t="s">
        <v>96</v>
      </c>
      <c r="D488" s="22">
        <v>3.4</v>
      </c>
      <c r="E488" s="22">
        <v>1.3</v>
      </c>
      <c r="F488" s="122">
        <v>1.661</v>
      </c>
      <c r="G488" s="122">
        <v>0.111</v>
      </c>
      <c r="H488" s="122">
        <v>0.08</v>
      </c>
      <c r="I488" s="22"/>
      <c r="J488" s="22">
        <v>3</v>
      </c>
      <c r="K488" s="22" t="s">
        <v>99</v>
      </c>
      <c r="L488" s="203">
        <v>31.3</v>
      </c>
      <c r="M488" s="203">
        <v>23</v>
      </c>
      <c r="N488" s="224">
        <v>36.5</v>
      </c>
      <c r="O488" s="77">
        <v>0.13600000000000001</v>
      </c>
      <c r="P488" s="77">
        <v>0.219</v>
      </c>
    </row>
    <row r="489" spans="1:16" ht="14">
      <c r="A489" s="22"/>
      <c r="B489" s="20">
        <v>4</v>
      </c>
      <c r="C489" s="20" t="s">
        <v>99</v>
      </c>
      <c r="D489" s="22">
        <v>2.9</v>
      </c>
      <c r="E489" s="22">
        <v>2.5</v>
      </c>
      <c r="F489" s="122">
        <v>0.157</v>
      </c>
      <c r="G489" s="122">
        <v>9.2999999999999999E-2</v>
      </c>
      <c r="H489" s="122">
        <v>0.154</v>
      </c>
      <c r="I489" s="22"/>
      <c r="J489" s="22">
        <v>4</v>
      </c>
      <c r="K489" s="20" t="s">
        <v>96</v>
      </c>
      <c r="L489" s="203">
        <v>20.9</v>
      </c>
      <c r="M489" s="203">
        <v>6.2</v>
      </c>
      <c r="N489" s="77">
        <v>2.3809999999999998</v>
      </c>
      <c r="O489" s="77">
        <v>0.09</v>
      </c>
      <c r="P489" s="77">
        <v>5.8999999999999997E-2</v>
      </c>
    </row>
    <row r="490" spans="1:16" ht="14">
      <c r="A490" s="22"/>
      <c r="B490" s="20">
        <v>5</v>
      </c>
      <c r="C490" s="22" t="s">
        <v>106</v>
      </c>
      <c r="D490" s="22">
        <v>1.7</v>
      </c>
      <c r="E490" s="22">
        <v>0.8</v>
      </c>
      <c r="F490" s="122">
        <v>1.0900000000000001</v>
      </c>
      <c r="G490" s="122">
        <v>5.6000000000000001E-2</v>
      </c>
      <c r="H490" s="122">
        <v>5.1999999999999998E-2</v>
      </c>
      <c r="I490" s="22"/>
      <c r="J490" s="22">
        <v>5</v>
      </c>
      <c r="K490" s="22" t="s">
        <v>106</v>
      </c>
      <c r="L490" s="203">
        <v>13.1</v>
      </c>
      <c r="M490" s="203">
        <v>5.9</v>
      </c>
      <c r="N490" s="77">
        <v>1.232</v>
      </c>
      <c r="O490" s="77">
        <v>5.7000000000000002E-2</v>
      </c>
      <c r="P490" s="77">
        <v>5.6000000000000001E-2</v>
      </c>
    </row>
    <row r="491" spans="1:16" ht="14">
      <c r="A491" s="22"/>
      <c r="B491" s="20">
        <v>6</v>
      </c>
      <c r="C491" s="22" t="s">
        <v>105</v>
      </c>
      <c r="D491" s="22">
        <v>1.2</v>
      </c>
      <c r="E491" s="22">
        <v>0.9</v>
      </c>
      <c r="F491" s="122">
        <v>0.32</v>
      </c>
      <c r="G491" s="122">
        <v>3.9E-2</v>
      </c>
      <c r="H491" s="122">
        <v>5.7000000000000002E-2</v>
      </c>
      <c r="I491" s="22"/>
      <c r="J491" s="22">
        <v>6</v>
      </c>
      <c r="K491" s="22" t="s">
        <v>105</v>
      </c>
      <c r="L491" s="203">
        <v>11.1</v>
      </c>
      <c r="M491" s="203">
        <v>6.9</v>
      </c>
      <c r="N491" s="77">
        <v>0.61399999999999999</v>
      </c>
      <c r="O491" s="77">
        <v>4.8000000000000001E-2</v>
      </c>
      <c r="P491" s="77">
        <v>6.6000000000000003E-2</v>
      </c>
    </row>
    <row r="492" spans="1:16" ht="14">
      <c r="A492" s="22"/>
      <c r="B492" s="20">
        <v>7</v>
      </c>
      <c r="C492" s="20" t="s">
        <v>111</v>
      </c>
      <c r="D492" s="22">
        <v>0.8</v>
      </c>
      <c r="E492" s="22">
        <v>0.5</v>
      </c>
      <c r="F492" s="122">
        <v>0.59099999999999997</v>
      </c>
      <c r="G492" s="122">
        <v>2.7E-2</v>
      </c>
      <c r="H492" s="122">
        <v>3.2000000000000001E-2</v>
      </c>
      <c r="I492" s="22"/>
      <c r="J492" s="22">
        <v>7</v>
      </c>
      <c r="K492" s="20" t="s">
        <v>111</v>
      </c>
      <c r="L492" s="203">
        <v>6.8</v>
      </c>
      <c r="M492" s="203">
        <v>2.7</v>
      </c>
      <c r="N492" s="77">
        <v>1.5449999999999999</v>
      </c>
      <c r="O492" s="77">
        <v>2.9000000000000001E-2</v>
      </c>
      <c r="P492" s="77">
        <v>2.5000000000000001E-2</v>
      </c>
    </row>
    <row r="493" spans="1:16" ht="14">
      <c r="A493" s="22"/>
      <c r="B493" s="20">
        <v>8</v>
      </c>
      <c r="C493" s="20" t="s">
        <v>103</v>
      </c>
      <c r="D493" s="22">
        <v>0.6</v>
      </c>
      <c r="E493" s="22">
        <v>0.3</v>
      </c>
      <c r="F493" s="122">
        <v>1.1619999999999999</v>
      </c>
      <c r="G493" s="122">
        <v>1.9E-2</v>
      </c>
      <c r="H493" s="122">
        <v>1.7000000000000001E-2</v>
      </c>
      <c r="I493" s="22"/>
      <c r="J493" s="22">
        <v>8</v>
      </c>
      <c r="K493" s="20" t="s">
        <v>103</v>
      </c>
      <c r="L493" s="203">
        <v>4.3</v>
      </c>
      <c r="M493" s="203">
        <v>1.5</v>
      </c>
      <c r="N493" s="77">
        <v>1.9219999999999999</v>
      </c>
      <c r="O493" s="77">
        <v>1.9E-2</v>
      </c>
      <c r="P493" s="77">
        <v>1.4E-2</v>
      </c>
    </row>
    <row r="494" spans="1:16" ht="14">
      <c r="A494" s="22"/>
      <c r="B494" s="20">
        <v>9</v>
      </c>
      <c r="C494" s="20" t="s">
        <v>114</v>
      </c>
      <c r="D494" s="22">
        <v>0.4</v>
      </c>
      <c r="E494" s="207">
        <v>0</v>
      </c>
      <c r="F494" s="122">
        <v>13.765000000000001</v>
      </c>
      <c r="G494" s="122">
        <v>1.2999999999999999E-2</v>
      </c>
      <c r="H494" s="122">
        <v>2E-3</v>
      </c>
      <c r="I494" s="22"/>
      <c r="J494" s="22">
        <v>9</v>
      </c>
      <c r="K494" s="20" t="s">
        <v>104</v>
      </c>
      <c r="L494" s="203">
        <v>3.6</v>
      </c>
      <c r="M494" s="203">
        <v>3.3</v>
      </c>
      <c r="N494" s="77">
        <v>7.4999999999999997E-2</v>
      </c>
      <c r="O494" s="77">
        <v>1.4999999999999999E-2</v>
      </c>
      <c r="P494" s="77">
        <v>3.2000000000000001E-2</v>
      </c>
    </row>
    <row r="495" spans="1:16" ht="14">
      <c r="A495" s="22"/>
      <c r="B495" s="22">
        <v>10</v>
      </c>
      <c r="C495" s="22" t="s">
        <v>104</v>
      </c>
      <c r="D495" s="22">
        <v>0.4</v>
      </c>
      <c r="E495" s="22">
        <v>0.4</v>
      </c>
      <c r="F495" s="122">
        <v>1.2999999999999999E-2</v>
      </c>
      <c r="G495" s="122">
        <v>1.2999999999999999E-2</v>
      </c>
      <c r="H495" s="122">
        <v>2.5000000000000001E-2</v>
      </c>
      <c r="I495" s="22"/>
      <c r="J495" s="22">
        <v>10</v>
      </c>
      <c r="K495" s="22" t="s">
        <v>117</v>
      </c>
      <c r="L495" s="203">
        <v>2.5</v>
      </c>
      <c r="M495" s="203">
        <v>0.4</v>
      </c>
      <c r="N495" s="77">
        <v>5.9240000000000004</v>
      </c>
      <c r="O495" s="77">
        <v>1.0999999999999999E-2</v>
      </c>
      <c r="P495" s="77">
        <v>3.0000000000000001E-3</v>
      </c>
    </row>
    <row r="496" spans="1:16" ht="14">
      <c r="A496" s="22"/>
      <c r="B496" s="22"/>
      <c r="C496" s="22" t="s">
        <v>118</v>
      </c>
      <c r="D496" s="22">
        <v>3.1</v>
      </c>
      <c r="E496" s="22">
        <v>1.7</v>
      </c>
      <c r="F496" s="122">
        <v>0.87</v>
      </c>
      <c r="G496" s="122">
        <v>0.10199999999999999</v>
      </c>
      <c r="H496" s="122">
        <v>0.105</v>
      </c>
      <c r="I496" s="22"/>
      <c r="J496" s="22"/>
      <c r="K496" s="22" t="s">
        <v>118</v>
      </c>
      <c r="L496" s="203">
        <v>19.100000000000001</v>
      </c>
      <c r="M496" s="203">
        <v>8.1</v>
      </c>
      <c r="N496" s="77">
        <v>1.3480000000000001</v>
      </c>
      <c r="O496" s="77">
        <v>8.2000000000000003E-2</v>
      </c>
      <c r="P496" s="77">
        <v>7.8E-2</v>
      </c>
    </row>
    <row r="497" spans="1:16" ht="14">
      <c r="A497" s="22"/>
      <c r="B497" s="22"/>
      <c r="C497" s="22" t="s">
        <v>48</v>
      </c>
      <c r="D497" s="22">
        <v>30.8</v>
      </c>
      <c r="E497" s="22">
        <v>16.100000000000001</v>
      </c>
      <c r="F497" s="75">
        <v>0.91900000000000004</v>
      </c>
      <c r="G497" s="122">
        <v>1</v>
      </c>
      <c r="H497" s="122">
        <v>1</v>
      </c>
      <c r="I497" s="22"/>
      <c r="J497" s="22"/>
      <c r="K497" s="160" t="s">
        <v>48</v>
      </c>
      <c r="L497" s="203">
        <v>231.2</v>
      </c>
      <c r="M497" s="203">
        <v>104.7</v>
      </c>
      <c r="N497" s="122">
        <v>1.2090000000000001</v>
      </c>
      <c r="O497" s="122">
        <v>1</v>
      </c>
      <c r="P497" s="122">
        <v>1</v>
      </c>
    </row>
    <row r="498" spans="1:16" ht="14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 t="s">
        <v>234</v>
      </c>
      <c r="L498" s="22"/>
      <c r="M498" s="22"/>
      <c r="N498" s="22"/>
      <c r="O498" s="22"/>
      <c r="P498" s="22"/>
    </row>
    <row r="499" spans="1:16" ht="14">
      <c r="A499" s="22"/>
      <c r="B499" s="20" t="s">
        <v>235</v>
      </c>
      <c r="C499" s="20"/>
      <c r="D499" s="20"/>
      <c r="E499" s="20"/>
      <c r="F499" s="20"/>
      <c r="G499" s="20"/>
      <c r="H499" s="20"/>
      <c r="I499" s="22"/>
      <c r="J499" s="22" t="s">
        <v>236</v>
      </c>
      <c r="K499" s="22"/>
      <c r="L499" s="22"/>
      <c r="M499" s="22"/>
      <c r="N499" s="22"/>
      <c r="O499" s="22"/>
      <c r="P499" s="22"/>
    </row>
    <row r="500" spans="1:16" ht="14">
      <c r="A500" s="22"/>
      <c r="B500" s="20" t="s">
        <v>92</v>
      </c>
      <c r="C500" s="22" t="s">
        <v>123</v>
      </c>
      <c r="D500" s="223">
        <v>44470</v>
      </c>
      <c r="E500" s="223">
        <v>44105</v>
      </c>
      <c r="F500" s="224" t="s">
        <v>124</v>
      </c>
      <c r="G500" s="22" t="s">
        <v>180</v>
      </c>
      <c r="H500" s="22" t="s">
        <v>229</v>
      </c>
      <c r="I500" s="22"/>
      <c r="J500" s="22" t="s">
        <v>92</v>
      </c>
      <c r="K500" s="22" t="s">
        <v>123</v>
      </c>
      <c r="L500" s="94" t="s">
        <v>192</v>
      </c>
      <c r="M500" s="94" t="s">
        <v>237</v>
      </c>
      <c r="N500" s="224" t="s">
        <v>124</v>
      </c>
      <c r="O500" s="224" t="s">
        <v>180</v>
      </c>
      <c r="P500" s="224" t="s">
        <v>229</v>
      </c>
    </row>
    <row r="501" spans="1:16" ht="14">
      <c r="A501" s="22"/>
      <c r="B501" s="20">
        <v>1</v>
      </c>
      <c r="C501" s="22" t="s">
        <v>98</v>
      </c>
      <c r="D501" s="22">
        <v>8.9</v>
      </c>
      <c r="E501" s="22">
        <v>3.9</v>
      </c>
      <c r="F501" s="122">
        <v>1.3</v>
      </c>
      <c r="G501" s="122">
        <v>0.34200000000000003</v>
      </c>
      <c r="H501" s="122">
        <v>0.252</v>
      </c>
      <c r="I501" s="22"/>
      <c r="J501" s="22">
        <v>1</v>
      </c>
      <c r="K501" s="22" t="s">
        <v>98</v>
      </c>
      <c r="L501" s="203">
        <v>67.5</v>
      </c>
      <c r="M501" s="203">
        <v>23.4</v>
      </c>
      <c r="N501" s="77">
        <v>1.88</v>
      </c>
      <c r="O501" s="77">
        <v>0.312</v>
      </c>
      <c r="P501" s="77">
        <v>0.23400000000000001</v>
      </c>
    </row>
    <row r="502" spans="1:16" ht="14">
      <c r="A502" s="22"/>
      <c r="B502" s="20">
        <v>2</v>
      </c>
      <c r="C502" s="22" t="s">
        <v>100</v>
      </c>
      <c r="D502" s="22">
        <v>4.0999999999999996</v>
      </c>
      <c r="E502" s="22">
        <v>3.7</v>
      </c>
      <c r="F502" s="122">
        <v>0.126</v>
      </c>
      <c r="G502" s="122">
        <v>0.158</v>
      </c>
      <c r="H502" s="122">
        <v>0.23799999999999999</v>
      </c>
      <c r="I502" s="22"/>
      <c r="J502" s="22">
        <v>2</v>
      </c>
      <c r="K502" s="22" t="s">
        <v>100</v>
      </c>
      <c r="L502" s="203">
        <v>45.8</v>
      </c>
      <c r="M502" s="203">
        <v>23</v>
      </c>
      <c r="N502" s="122">
        <v>0.99399999999999999</v>
      </c>
      <c r="O502" s="77">
        <v>0.21199999999999999</v>
      </c>
      <c r="P502" s="77">
        <v>0.23</v>
      </c>
    </row>
    <row r="503" spans="1:16" ht="14">
      <c r="A503" s="22"/>
      <c r="B503" s="20">
        <v>3</v>
      </c>
      <c r="C503" s="203" t="s">
        <v>96</v>
      </c>
      <c r="D503" s="22">
        <v>3.2</v>
      </c>
      <c r="E503" s="22">
        <v>1.2</v>
      </c>
      <c r="F503" s="122">
        <v>1.724</v>
      </c>
      <c r="G503" s="122">
        <v>0.121</v>
      </c>
      <c r="H503" s="122">
        <v>7.5999999999999998E-2</v>
      </c>
      <c r="I503" s="22"/>
      <c r="J503" s="22">
        <v>3</v>
      </c>
      <c r="K503" s="22" t="s">
        <v>99</v>
      </c>
      <c r="L503" s="203">
        <v>28.5</v>
      </c>
      <c r="M503" s="203">
        <v>20.5</v>
      </c>
      <c r="N503" s="224">
        <v>38.9</v>
      </c>
      <c r="O503" s="77">
        <v>0.13200000000000001</v>
      </c>
      <c r="P503" s="77">
        <v>0.20499999999999999</v>
      </c>
    </row>
    <row r="504" spans="1:16" ht="14">
      <c r="A504" s="22"/>
      <c r="B504" s="20">
        <v>4</v>
      </c>
      <c r="C504" s="20" t="s">
        <v>99</v>
      </c>
      <c r="D504" s="22">
        <v>2.2000000000000002</v>
      </c>
      <c r="E504" s="22">
        <v>2.1</v>
      </c>
      <c r="F504" s="122">
        <v>1.7999999999999999E-2</v>
      </c>
      <c r="G504" s="122">
        <v>8.3000000000000004E-2</v>
      </c>
      <c r="H504" s="122">
        <v>0.13900000000000001</v>
      </c>
      <c r="I504" s="22"/>
      <c r="J504" s="22">
        <v>4</v>
      </c>
      <c r="K504" s="227" t="s">
        <v>96</v>
      </c>
      <c r="L504" s="203">
        <v>18.399999999999999</v>
      </c>
      <c r="M504" s="203">
        <v>6.2</v>
      </c>
      <c r="N504" s="77">
        <v>1.962</v>
      </c>
      <c r="O504" s="77">
        <v>8.5000000000000006E-2</v>
      </c>
      <c r="P504" s="77">
        <v>6.2E-2</v>
      </c>
    </row>
    <row r="505" spans="1:16" ht="14">
      <c r="A505" s="22"/>
      <c r="B505" s="20">
        <v>5</v>
      </c>
      <c r="C505" s="22" t="s">
        <v>106</v>
      </c>
      <c r="D505" s="22">
        <v>2</v>
      </c>
      <c r="E505" s="22">
        <v>1</v>
      </c>
      <c r="F505" s="122">
        <v>0.92800000000000005</v>
      </c>
      <c r="G505" s="122">
        <v>7.4999999999999997E-2</v>
      </c>
      <c r="H505" s="122">
        <v>6.6000000000000003E-2</v>
      </c>
      <c r="I505" s="22"/>
      <c r="J505" s="22">
        <v>5</v>
      </c>
      <c r="K505" s="22" t="s">
        <v>106</v>
      </c>
      <c r="L505" s="203">
        <v>12.6</v>
      </c>
      <c r="M505" s="203">
        <v>5.7</v>
      </c>
      <c r="N505" s="77">
        <v>1.202</v>
      </c>
      <c r="O505" s="77">
        <v>5.8000000000000003E-2</v>
      </c>
      <c r="P505" s="77">
        <v>5.7000000000000002E-2</v>
      </c>
    </row>
    <row r="506" spans="1:16" ht="14">
      <c r="A506" s="22"/>
      <c r="B506" s="20">
        <v>6</v>
      </c>
      <c r="C506" s="20" t="s">
        <v>105</v>
      </c>
      <c r="D506" s="22">
        <v>0.9</v>
      </c>
      <c r="E506" s="22">
        <v>0.8</v>
      </c>
      <c r="F506" s="122">
        <v>0.105</v>
      </c>
      <c r="G506" s="122">
        <v>3.5000000000000003E-2</v>
      </c>
      <c r="H506" s="122">
        <v>5.3999999999999999E-2</v>
      </c>
      <c r="I506" s="22"/>
      <c r="J506" s="22">
        <v>6</v>
      </c>
      <c r="K506" s="22" t="s">
        <v>105</v>
      </c>
      <c r="L506" s="203">
        <v>10</v>
      </c>
      <c r="M506" s="203">
        <v>6.1</v>
      </c>
      <c r="N506" s="77">
        <v>0.63600000000000001</v>
      </c>
      <c r="O506" s="77">
        <v>4.5999999999999999E-2</v>
      </c>
      <c r="P506" s="77">
        <v>6.0999999999999999E-2</v>
      </c>
    </row>
    <row r="507" spans="1:16" ht="14">
      <c r="A507" s="22"/>
      <c r="B507" s="20">
        <v>7</v>
      </c>
      <c r="C507" s="22" t="s">
        <v>103</v>
      </c>
      <c r="D507" s="22">
        <v>0.7</v>
      </c>
      <c r="E507" s="22">
        <v>0.2</v>
      </c>
      <c r="F507" s="122">
        <v>2.032</v>
      </c>
      <c r="G507" s="122">
        <v>2.7E-2</v>
      </c>
      <c r="H507" s="122">
        <v>1.4999999999999999E-2</v>
      </c>
      <c r="I507" s="22"/>
      <c r="J507" s="22">
        <v>7</v>
      </c>
      <c r="K507" s="20" t="s">
        <v>111</v>
      </c>
      <c r="L507" s="203">
        <v>6</v>
      </c>
      <c r="M507" s="203">
        <v>2.1</v>
      </c>
      <c r="N507" s="77">
        <v>1.782</v>
      </c>
      <c r="O507" s="77">
        <v>2.8000000000000001E-2</v>
      </c>
      <c r="P507" s="77">
        <v>2.1000000000000001E-2</v>
      </c>
    </row>
    <row r="508" spans="1:16" ht="14">
      <c r="A508" s="22"/>
      <c r="B508" s="20">
        <v>8</v>
      </c>
      <c r="C508" s="225" t="s">
        <v>111</v>
      </c>
      <c r="D508" s="22">
        <v>0.6</v>
      </c>
      <c r="E508" s="22">
        <v>0.5</v>
      </c>
      <c r="F508" s="122">
        <v>0.2</v>
      </c>
      <c r="G508" s="122">
        <v>2.1000000000000001E-2</v>
      </c>
      <c r="H508" s="122">
        <v>0.03</v>
      </c>
      <c r="I508" s="22"/>
      <c r="J508" s="22">
        <v>8</v>
      </c>
      <c r="K508" s="20" t="s">
        <v>103</v>
      </c>
      <c r="L508" s="203">
        <v>4.5999999999999996</v>
      </c>
      <c r="M508" s="203">
        <v>1.6</v>
      </c>
      <c r="N508" s="77">
        <v>1.7689999999999999</v>
      </c>
      <c r="O508" s="77">
        <v>2.1000000000000001E-2</v>
      </c>
      <c r="P508" s="77">
        <v>1.6E-2</v>
      </c>
    </row>
    <row r="509" spans="1:16" ht="14">
      <c r="A509" s="22"/>
      <c r="B509" s="20">
        <v>9</v>
      </c>
      <c r="C509" s="225" t="s">
        <v>117</v>
      </c>
      <c r="D509" s="22">
        <v>0.3</v>
      </c>
      <c r="E509" s="22">
        <v>0.1</v>
      </c>
      <c r="F509" s="122">
        <v>2.3490000000000002</v>
      </c>
      <c r="G509" s="122">
        <v>1.2999999999999999E-2</v>
      </c>
      <c r="H509" s="122">
        <v>6.0000000000000001E-3</v>
      </c>
      <c r="I509" s="22"/>
      <c r="J509" s="22">
        <v>9</v>
      </c>
      <c r="K509" s="225" t="s">
        <v>104</v>
      </c>
      <c r="L509" s="203">
        <v>3.2</v>
      </c>
      <c r="M509" s="203">
        <v>2.9</v>
      </c>
      <c r="N509" s="77">
        <v>8.2000000000000003E-2</v>
      </c>
      <c r="O509" s="77">
        <v>1.4999999999999999E-2</v>
      </c>
      <c r="P509" s="77">
        <v>2.9000000000000001E-2</v>
      </c>
    </row>
    <row r="510" spans="1:16" ht="14">
      <c r="A510" s="22"/>
      <c r="B510" s="22">
        <v>10</v>
      </c>
      <c r="C510" s="22" t="s">
        <v>238</v>
      </c>
      <c r="D510" s="22">
        <v>0.3</v>
      </c>
      <c r="E510" s="22">
        <v>0.1</v>
      </c>
      <c r="F510" s="122">
        <v>1.246</v>
      </c>
      <c r="G510" s="122">
        <v>1.2E-2</v>
      </c>
      <c r="H510" s="122">
        <v>8.9999999999999993E-3</v>
      </c>
      <c r="I510" s="22"/>
      <c r="J510" s="22">
        <v>10</v>
      </c>
      <c r="K510" s="22" t="s">
        <v>117</v>
      </c>
      <c r="L510" s="203">
        <v>2.1</v>
      </c>
      <c r="M510" s="203">
        <v>0.2</v>
      </c>
      <c r="N510" s="77">
        <v>8.9019999999999992</v>
      </c>
      <c r="O510" s="77">
        <v>0.01</v>
      </c>
      <c r="P510" s="77">
        <v>2E-3</v>
      </c>
    </row>
    <row r="511" spans="1:16" ht="14">
      <c r="A511" s="22"/>
      <c r="B511" s="22"/>
      <c r="C511" s="22" t="s">
        <v>118</v>
      </c>
      <c r="D511" s="22">
        <v>3</v>
      </c>
      <c r="E511" s="22">
        <v>1.8</v>
      </c>
      <c r="F511" s="122">
        <v>0.69499999999999995</v>
      </c>
      <c r="G511" s="122">
        <v>0.114</v>
      </c>
      <c r="H511" s="122">
        <v>0.114</v>
      </c>
      <c r="I511" s="22"/>
      <c r="J511" s="22"/>
      <c r="K511" s="22" t="s">
        <v>39</v>
      </c>
      <c r="L511" s="203">
        <v>17.600000000000001</v>
      </c>
      <c r="M511" s="203">
        <v>8.1999999999999993</v>
      </c>
      <c r="N511" s="77">
        <v>1.153</v>
      </c>
      <c r="O511" s="77">
        <v>8.1000000000000003E-2</v>
      </c>
      <c r="P511" s="77">
        <v>8.2000000000000003E-2</v>
      </c>
    </row>
    <row r="512" spans="1:16" ht="14">
      <c r="A512" s="22"/>
      <c r="B512" s="72"/>
      <c r="C512" s="22" t="s">
        <v>48</v>
      </c>
      <c r="D512" s="22">
        <v>26.2</v>
      </c>
      <c r="E512" s="22">
        <v>15.4</v>
      </c>
      <c r="F512" s="122">
        <v>0.7</v>
      </c>
      <c r="G512" s="122">
        <v>1</v>
      </c>
      <c r="H512" s="122">
        <v>1</v>
      </c>
      <c r="I512" s="22"/>
      <c r="J512" s="22"/>
      <c r="K512" s="22" t="s">
        <v>48</v>
      </c>
      <c r="L512" s="203">
        <v>216.2</v>
      </c>
      <c r="M512" s="203">
        <v>100.1</v>
      </c>
      <c r="N512" s="122">
        <v>1.161</v>
      </c>
      <c r="O512" s="122">
        <v>1</v>
      </c>
      <c r="P512" s="122">
        <v>1</v>
      </c>
    </row>
    <row r="513" spans="1:16" ht="14">
      <c r="A513" s="22" t="s">
        <v>239</v>
      </c>
      <c r="B513" s="22" t="s">
        <v>240</v>
      </c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</row>
    <row r="515" spans="1:16" ht="14">
      <c r="A515" s="22"/>
      <c r="B515" s="20" t="s">
        <v>241</v>
      </c>
      <c r="C515" s="20"/>
      <c r="D515" s="20"/>
      <c r="E515" s="20"/>
      <c r="F515" s="20"/>
      <c r="G515" s="20"/>
      <c r="H515" s="20"/>
      <c r="I515" s="22"/>
      <c r="J515" s="22" t="s">
        <v>242</v>
      </c>
      <c r="K515" s="22"/>
      <c r="L515" s="22"/>
      <c r="M515" s="22"/>
      <c r="N515" s="22"/>
      <c r="O515" s="22"/>
      <c r="P515" s="22"/>
    </row>
    <row r="516" spans="1:16" ht="14">
      <c r="A516" s="22"/>
      <c r="B516" s="20" t="s">
        <v>92</v>
      </c>
      <c r="C516" s="20" t="s">
        <v>123</v>
      </c>
      <c r="D516" s="223">
        <v>44440</v>
      </c>
      <c r="E516" s="223">
        <v>44075</v>
      </c>
      <c r="F516" s="224" t="s">
        <v>124</v>
      </c>
      <c r="G516" s="22" t="s">
        <v>180</v>
      </c>
      <c r="H516" s="22" t="s">
        <v>229</v>
      </c>
      <c r="I516" s="22"/>
      <c r="J516" s="22" t="s">
        <v>92</v>
      </c>
      <c r="K516" s="22" t="s">
        <v>123</v>
      </c>
      <c r="L516" s="94" t="s">
        <v>197</v>
      </c>
      <c r="M516" s="94" t="s">
        <v>243</v>
      </c>
      <c r="N516" s="224" t="s">
        <v>124</v>
      </c>
      <c r="O516" s="224" t="s">
        <v>180</v>
      </c>
      <c r="P516" s="224" t="s">
        <v>229</v>
      </c>
    </row>
    <row r="517" spans="1:16" ht="14">
      <c r="A517" s="22"/>
      <c r="B517" s="20">
        <v>1</v>
      </c>
      <c r="C517" s="20" t="s">
        <v>98</v>
      </c>
      <c r="D517" s="22">
        <v>10.6</v>
      </c>
      <c r="E517" s="22">
        <v>3.7</v>
      </c>
      <c r="F517" s="122">
        <v>1.835</v>
      </c>
      <c r="G517" s="122">
        <v>0.32100000000000001</v>
      </c>
      <c r="H517" s="122">
        <v>0.22</v>
      </c>
      <c r="I517" s="22"/>
      <c r="J517" s="22">
        <v>1</v>
      </c>
      <c r="K517" s="22" t="s">
        <v>98</v>
      </c>
      <c r="L517" s="203">
        <v>60.9</v>
      </c>
      <c r="M517" s="203">
        <v>19.5</v>
      </c>
      <c r="N517" s="77">
        <v>2.1160000000000001</v>
      </c>
      <c r="O517" s="77">
        <v>0.312</v>
      </c>
      <c r="P517" s="77">
        <v>0.23100000000000001</v>
      </c>
    </row>
    <row r="518" spans="1:16" ht="14">
      <c r="A518" s="22"/>
      <c r="B518" s="20">
        <v>2</v>
      </c>
      <c r="C518" s="20" t="s">
        <v>100</v>
      </c>
      <c r="D518" s="22">
        <v>7.8</v>
      </c>
      <c r="E518" s="22">
        <v>3.7</v>
      </c>
      <c r="F518" s="122">
        <v>1.107</v>
      </c>
      <c r="G518" s="122">
        <v>0.23699999999999999</v>
      </c>
      <c r="H518" s="122">
        <v>0.218</v>
      </c>
      <c r="I518" s="22"/>
      <c r="J518" s="22">
        <v>2</v>
      </c>
      <c r="K518" s="22" t="s">
        <v>100</v>
      </c>
      <c r="L518" s="203">
        <v>46.5</v>
      </c>
      <c r="M518" s="203">
        <v>19.3</v>
      </c>
      <c r="N518" s="122">
        <v>1.407</v>
      </c>
      <c r="O518" s="77">
        <v>0.23799999999999999</v>
      </c>
      <c r="P518" s="77">
        <v>0.22800000000000001</v>
      </c>
    </row>
    <row r="519" spans="1:16" ht="14">
      <c r="A519" s="22"/>
      <c r="B519" s="20">
        <v>3</v>
      </c>
      <c r="C519" s="20" t="s">
        <v>99</v>
      </c>
      <c r="D519" s="22">
        <v>4.3</v>
      </c>
      <c r="E519" s="22">
        <v>4.2</v>
      </c>
      <c r="F519" s="122">
        <v>1.0999999999999999E-2</v>
      </c>
      <c r="G519" s="122">
        <v>0.13</v>
      </c>
      <c r="H519" s="122">
        <v>0.25</v>
      </c>
      <c r="I519" s="22"/>
      <c r="J519" s="22">
        <v>3</v>
      </c>
      <c r="K519" s="22" t="s">
        <v>99</v>
      </c>
      <c r="L519" s="203">
        <v>26</v>
      </c>
      <c r="M519" s="203">
        <v>18.3</v>
      </c>
      <c r="N519" s="224">
        <v>41.5</v>
      </c>
      <c r="O519" s="77">
        <v>0.13300000000000001</v>
      </c>
      <c r="P519" s="77">
        <v>0.217</v>
      </c>
    </row>
    <row r="520" spans="1:16" ht="14">
      <c r="A520" s="22"/>
      <c r="B520" s="20">
        <v>4</v>
      </c>
      <c r="C520" s="227" t="s">
        <v>96</v>
      </c>
      <c r="D520" s="22">
        <v>2.9</v>
      </c>
      <c r="E520" s="22">
        <v>1.1000000000000001</v>
      </c>
      <c r="F520" s="122">
        <v>1.72</v>
      </c>
      <c r="G520" s="122">
        <v>0.09</v>
      </c>
      <c r="H520" s="122">
        <v>6.4000000000000001E-2</v>
      </c>
      <c r="I520" s="22"/>
      <c r="J520" s="22">
        <v>4</v>
      </c>
      <c r="K520" s="203" t="s">
        <v>96</v>
      </c>
      <c r="L520" s="203">
        <v>15.4</v>
      </c>
      <c r="M520" s="203">
        <v>5</v>
      </c>
      <c r="N520" s="77">
        <v>2.0670000000000002</v>
      </c>
      <c r="O520" s="77">
        <v>7.9000000000000001E-2</v>
      </c>
      <c r="P520" s="77">
        <v>5.8999999999999997E-2</v>
      </c>
    </row>
    <row r="521" spans="1:16" ht="14">
      <c r="A521" s="22"/>
      <c r="B521" s="20">
        <v>5</v>
      </c>
      <c r="C521" s="20" t="s">
        <v>106</v>
      </c>
      <c r="D521" s="22">
        <v>1.7</v>
      </c>
      <c r="E521" s="22">
        <v>1.1000000000000001</v>
      </c>
      <c r="F521" s="122">
        <v>0.627</v>
      </c>
      <c r="G521" s="122">
        <v>5.2999999999999999E-2</v>
      </c>
      <c r="H521" s="122">
        <v>6.3E-2</v>
      </c>
      <c r="I521" s="22"/>
      <c r="J521" s="22">
        <v>5</v>
      </c>
      <c r="K521" s="22" t="s">
        <v>106</v>
      </c>
      <c r="L521" s="203">
        <v>10.6</v>
      </c>
      <c r="M521" s="203">
        <v>4.7</v>
      </c>
      <c r="N521" s="77">
        <v>1.2509999999999999</v>
      </c>
      <c r="O521" s="77">
        <v>5.3999999999999999E-2</v>
      </c>
      <c r="P521" s="77">
        <v>5.6000000000000001E-2</v>
      </c>
    </row>
    <row r="522" spans="1:16" ht="14">
      <c r="A522" s="22"/>
      <c r="B522" s="20">
        <v>6</v>
      </c>
      <c r="C522" s="20" t="s">
        <v>105</v>
      </c>
      <c r="D522" s="22">
        <v>1</v>
      </c>
      <c r="E522" s="22">
        <v>0.8</v>
      </c>
      <c r="F522" s="122">
        <v>0.26300000000000001</v>
      </c>
      <c r="G522" s="122">
        <v>3.2000000000000001E-2</v>
      </c>
      <c r="H522" s="122">
        <v>4.9000000000000002E-2</v>
      </c>
      <c r="I522" s="22"/>
      <c r="J522" s="22">
        <v>6</v>
      </c>
      <c r="K522" s="22" t="s">
        <v>105</v>
      </c>
      <c r="L522" s="203">
        <v>9</v>
      </c>
      <c r="M522" s="203">
        <v>5.3</v>
      </c>
      <c r="N522" s="77">
        <v>0.71099999999999997</v>
      </c>
      <c r="O522" s="77">
        <v>4.5999999999999999E-2</v>
      </c>
      <c r="P522" s="77">
        <v>6.2E-2</v>
      </c>
    </row>
    <row r="523" spans="1:16" ht="14">
      <c r="A523" s="22"/>
      <c r="B523" s="20">
        <v>7</v>
      </c>
      <c r="C523" s="20" t="s">
        <v>111</v>
      </c>
      <c r="D523" s="22">
        <v>0.9</v>
      </c>
      <c r="E523" s="22">
        <v>0.5</v>
      </c>
      <c r="F523" s="122">
        <v>0.89200000000000002</v>
      </c>
      <c r="G523" s="122">
        <v>2.8000000000000001E-2</v>
      </c>
      <c r="H523" s="122">
        <v>2.9000000000000001E-2</v>
      </c>
      <c r="I523" s="22"/>
      <c r="J523" s="22">
        <v>7</v>
      </c>
      <c r="K523" s="20" t="s">
        <v>111</v>
      </c>
      <c r="L523" s="203">
        <v>5.6</v>
      </c>
      <c r="M523" s="203">
        <v>1.7</v>
      </c>
      <c r="N523" s="77">
        <v>2.3029999999999999</v>
      </c>
      <c r="O523" s="77">
        <v>2.9000000000000001E-2</v>
      </c>
      <c r="P523" s="77">
        <v>0.02</v>
      </c>
    </row>
    <row r="524" spans="1:16" ht="14">
      <c r="A524" s="22"/>
      <c r="B524" s="20">
        <v>8</v>
      </c>
      <c r="C524" s="20" t="s">
        <v>103</v>
      </c>
      <c r="D524" s="22">
        <v>0.7</v>
      </c>
      <c r="E524" s="22">
        <v>0.2</v>
      </c>
      <c r="F524" s="122">
        <v>2.63</v>
      </c>
      <c r="G524" s="122">
        <v>2.3E-2</v>
      </c>
      <c r="H524" s="122">
        <v>1.2E-2</v>
      </c>
      <c r="I524" s="22"/>
      <c r="J524" s="22">
        <v>8</v>
      </c>
      <c r="K524" s="20" t="s">
        <v>103</v>
      </c>
      <c r="L524" s="203">
        <v>4</v>
      </c>
      <c r="M524" s="203">
        <v>1.4</v>
      </c>
      <c r="N524" s="77">
        <v>1.798</v>
      </c>
      <c r="O524" s="77">
        <v>0.02</v>
      </c>
      <c r="P524" s="77">
        <v>1.7000000000000001E-2</v>
      </c>
    </row>
    <row r="525" spans="1:16" ht="14">
      <c r="A525" s="22"/>
      <c r="B525" s="20">
        <v>9</v>
      </c>
      <c r="C525" s="20" t="s">
        <v>244</v>
      </c>
      <c r="D525" s="22">
        <v>0.4</v>
      </c>
      <c r="E525" s="22">
        <v>0.1</v>
      </c>
      <c r="F525" s="122">
        <v>4.2220000000000004</v>
      </c>
      <c r="G525" s="122">
        <v>1.0999999999999999E-2</v>
      </c>
      <c r="H525" s="122">
        <v>4.0000000000000001E-3</v>
      </c>
      <c r="I525" s="22"/>
      <c r="J525" s="22">
        <v>9</v>
      </c>
      <c r="K525" s="22" t="s">
        <v>104</v>
      </c>
      <c r="L525" s="203">
        <v>2.9</v>
      </c>
      <c r="M525" s="203">
        <v>2.6</v>
      </c>
      <c r="N525" s="77">
        <v>8.5999999999999993E-2</v>
      </c>
      <c r="O525" s="77">
        <v>1.4999999999999999E-2</v>
      </c>
      <c r="P525" s="77">
        <v>3.1E-2</v>
      </c>
    </row>
    <row r="526" spans="1:16" ht="14">
      <c r="A526" s="22"/>
      <c r="B526" s="22">
        <v>10</v>
      </c>
      <c r="C526" s="22" t="s">
        <v>104</v>
      </c>
      <c r="D526" s="22">
        <v>0.3</v>
      </c>
      <c r="E526" s="22">
        <v>0.4</v>
      </c>
      <c r="F526" s="122">
        <v>-8.2000000000000003E-2</v>
      </c>
      <c r="G526" s="122">
        <v>0.01</v>
      </c>
      <c r="H526" s="122">
        <v>2.1999999999999999E-2</v>
      </c>
      <c r="I526" s="22"/>
      <c r="J526" s="22">
        <v>10</v>
      </c>
      <c r="K526" s="22" t="s">
        <v>112</v>
      </c>
      <c r="L526" s="203">
        <v>1.9</v>
      </c>
      <c r="M526" s="203">
        <v>1.5</v>
      </c>
      <c r="N526" s="77">
        <v>0.29299999999999998</v>
      </c>
      <c r="O526" s="77">
        <v>0.01</v>
      </c>
      <c r="P526" s="77">
        <v>1.7999999999999999E-2</v>
      </c>
    </row>
    <row r="527" spans="1:16" ht="14">
      <c r="A527" s="22"/>
      <c r="B527" s="22"/>
      <c r="C527" s="22" t="s">
        <v>118</v>
      </c>
      <c r="D527" s="22">
        <v>2.1</v>
      </c>
      <c r="E527" s="22">
        <v>1.2</v>
      </c>
      <c r="F527" s="122">
        <v>0.82899999999999996</v>
      </c>
      <c r="G527" s="122">
        <v>6.5000000000000002E-2</v>
      </c>
      <c r="H527" s="122">
        <v>6.9000000000000006E-2</v>
      </c>
      <c r="I527" s="22"/>
      <c r="J527" s="22"/>
      <c r="K527" s="22" t="s">
        <v>39</v>
      </c>
      <c r="L527" s="203">
        <v>12.6</v>
      </c>
      <c r="M527" s="203">
        <v>5.2</v>
      </c>
      <c r="N527" s="77">
        <v>1.423</v>
      </c>
      <c r="O527" s="77">
        <v>6.5000000000000002E-2</v>
      </c>
      <c r="P527" s="77">
        <v>6.2E-2</v>
      </c>
    </row>
    <row r="528" spans="1:16" ht="14">
      <c r="A528" s="22"/>
      <c r="B528" s="22"/>
      <c r="C528" s="22" t="s">
        <v>48</v>
      </c>
      <c r="D528" s="22">
        <v>32.9</v>
      </c>
      <c r="E528" s="22">
        <v>16.899999999999999</v>
      </c>
      <c r="F528" s="122">
        <v>0.94</v>
      </c>
      <c r="G528" s="122">
        <v>1</v>
      </c>
      <c r="H528" s="122">
        <v>1</v>
      </c>
      <c r="I528" s="22"/>
      <c r="J528" s="22"/>
      <c r="K528" s="22" t="s">
        <v>48</v>
      </c>
      <c r="L528" s="203">
        <v>195.4</v>
      </c>
      <c r="M528" s="203">
        <v>84.7</v>
      </c>
      <c r="N528" s="122">
        <v>1.3080000000000001</v>
      </c>
      <c r="O528" s="122">
        <v>1</v>
      </c>
      <c r="P528" s="122">
        <v>1</v>
      </c>
    </row>
    <row r="530" spans="1:16" ht="14">
      <c r="A530" s="22"/>
      <c r="B530" s="20" t="s">
        <v>245</v>
      </c>
      <c r="C530" s="20"/>
      <c r="D530" s="20"/>
      <c r="E530" s="20"/>
      <c r="F530" s="20"/>
      <c r="G530" s="20"/>
      <c r="H530" s="20"/>
      <c r="I530" s="22"/>
      <c r="J530" s="22" t="s">
        <v>246</v>
      </c>
      <c r="K530" s="22"/>
      <c r="L530" s="22"/>
      <c r="M530" s="22"/>
      <c r="N530" s="22"/>
      <c r="O530" s="22"/>
      <c r="P530" s="22"/>
    </row>
    <row r="531" spans="1:16" ht="14">
      <c r="A531" s="22"/>
      <c r="B531" s="20" t="s">
        <v>92</v>
      </c>
      <c r="C531" s="22" t="s">
        <v>123</v>
      </c>
      <c r="D531" s="223">
        <v>44409</v>
      </c>
      <c r="E531" s="223">
        <v>44044</v>
      </c>
      <c r="F531" s="224" t="s">
        <v>124</v>
      </c>
      <c r="G531" s="22" t="s">
        <v>180</v>
      </c>
      <c r="H531" s="22" t="s">
        <v>229</v>
      </c>
      <c r="I531" s="22"/>
      <c r="J531" s="22" t="s">
        <v>92</v>
      </c>
      <c r="K531" s="22" t="s">
        <v>123</v>
      </c>
      <c r="L531" s="94" t="s">
        <v>247</v>
      </c>
      <c r="M531" s="94" t="s">
        <v>248</v>
      </c>
      <c r="N531" s="224" t="s">
        <v>124</v>
      </c>
      <c r="O531" s="224" t="s">
        <v>180</v>
      </c>
      <c r="P531" s="224" t="s">
        <v>229</v>
      </c>
    </row>
    <row r="532" spans="1:16" ht="14">
      <c r="A532" s="22"/>
      <c r="B532" s="20">
        <v>1</v>
      </c>
      <c r="C532" s="22" t="s">
        <v>98</v>
      </c>
      <c r="D532" s="22">
        <v>8.6</v>
      </c>
      <c r="E532" s="22">
        <v>2.9</v>
      </c>
      <c r="F532" s="122">
        <v>1.9770000000000001</v>
      </c>
      <c r="G532" s="122">
        <v>0.34</v>
      </c>
      <c r="H532" s="122">
        <v>0.252</v>
      </c>
      <c r="I532" s="22"/>
      <c r="J532" s="22">
        <v>1</v>
      </c>
      <c r="K532" s="22" t="s">
        <v>98</v>
      </c>
      <c r="L532" s="203">
        <v>49.1</v>
      </c>
      <c r="M532" s="203">
        <v>15.8</v>
      </c>
      <c r="N532" s="77">
        <v>2.1080000000000001</v>
      </c>
      <c r="O532" s="77">
        <v>0.30299999999999999</v>
      </c>
      <c r="P532" s="77">
        <v>0.23400000000000001</v>
      </c>
    </row>
    <row r="533" spans="1:16" ht="14">
      <c r="A533" s="22"/>
      <c r="B533" s="20">
        <v>2</v>
      </c>
      <c r="C533" s="22" t="s">
        <v>100</v>
      </c>
      <c r="D533" s="22">
        <v>5.4</v>
      </c>
      <c r="E533" s="22">
        <v>2.4</v>
      </c>
      <c r="F533" s="122">
        <v>1.246</v>
      </c>
      <c r="G533" s="122">
        <v>0.215</v>
      </c>
      <c r="H533" s="122">
        <v>0.21099999999999999</v>
      </c>
      <c r="I533" s="22"/>
      <c r="J533" s="22">
        <v>2</v>
      </c>
      <c r="K533" s="22" t="s">
        <v>100</v>
      </c>
      <c r="L533" s="203">
        <v>39.700000000000003</v>
      </c>
      <c r="M533" s="203">
        <v>15.6</v>
      </c>
      <c r="N533" s="77">
        <v>1.544</v>
      </c>
      <c r="O533" s="77">
        <v>0.245</v>
      </c>
      <c r="P533" s="77">
        <v>0.23</v>
      </c>
    </row>
    <row r="534" spans="1:16" ht="14">
      <c r="A534" s="22"/>
      <c r="B534" s="20">
        <v>3</v>
      </c>
      <c r="C534" s="22" t="s">
        <v>99</v>
      </c>
      <c r="D534" s="22">
        <v>2.8</v>
      </c>
      <c r="E534" s="22">
        <v>2.2999999999999998</v>
      </c>
      <c r="F534" s="122">
        <v>0.22600000000000001</v>
      </c>
      <c r="G534" s="122">
        <v>0.111</v>
      </c>
      <c r="H534" s="122">
        <v>0.19900000000000001</v>
      </c>
      <c r="I534" s="22"/>
      <c r="J534" s="22">
        <v>3</v>
      </c>
      <c r="K534" s="22" t="s">
        <v>99</v>
      </c>
      <c r="L534" s="203">
        <v>21.5</v>
      </c>
      <c r="M534" s="203">
        <v>14.1</v>
      </c>
      <c r="N534" s="77">
        <v>0.52800000000000002</v>
      </c>
      <c r="O534" s="77">
        <v>0.13300000000000001</v>
      </c>
      <c r="P534" s="77">
        <v>0.20799999999999999</v>
      </c>
    </row>
    <row r="535" spans="1:16" ht="14">
      <c r="A535" s="22"/>
      <c r="B535" s="20">
        <v>4</v>
      </c>
      <c r="C535" s="203" t="s">
        <v>96</v>
      </c>
      <c r="D535" s="22">
        <v>2.5</v>
      </c>
      <c r="E535" s="22">
        <v>0.7</v>
      </c>
      <c r="F535" s="122">
        <v>2.569</v>
      </c>
      <c r="G535" s="122">
        <v>0.1</v>
      </c>
      <c r="H535" s="122">
        <v>6.2E-2</v>
      </c>
      <c r="I535" s="22"/>
      <c r="J535" s="22">
        <v>4</v>
      </c>
      <c r="K535" s="203" t="s">
        <v>96</v>
      </c>
      <c r="L535" s="203">
        <v>12.5</v>
      </c>
      <c r="M535" s="203">
        <v>4</v>
      </c>
      <c r="N535" s="77">
        <v>2.161</v>
      </c>
      <c r="O535" s="77">
        <v>7.6999999999999999E-2</v>
      </c>
      <c r="P535" s="77">
        <v>5.8000000000000003E-2</v>
      </c>
    </row>
    <row r="536" spans="1:16" ht="14">
      <c r="A536" s="22"/>
      <c r="B536" s="20">
        <v>5</v>
      </c>
      <c r="C536" s="22" t="s">
        <v>106</v>
      </c>
      <c r="D536" s="22">
        <v>1.4</v>
      </c>
      <c r="E536" s="22">
        <v>0.7</v>
      </c>
      <c r="F536" s="122">
        <v>1.0109999999999999</v>
      </c>
      <c r="G536" s="122">
        <v>5.5E-2</v>
      </c>
      <c r="H536" s="122">
        <v>0.06</v>
      </c>
      <c r="I536" s="22"/>
      <c r="J536" s="22">
        <v>5</v>
      </c>
      <c r="K536" s="22" t="s">
        <v>106</v>
      </c>
      <c r="L536" s="203">
        <v>8.8000000000000007</v>
      </c>
      <c r="M536" s="203">
        <v>3.7</v>
      </c>
      <c r="N536" s="77">
        <v>1.409</v>
      </c>
      <c r="O536" s="77">
        <v>5.3999999999999999E-2</v>
      </c>
      <c r="P536" s="77">
        <v>5.3999999999999999E-2</v>
      </c>
    </row>
    <row r="537" spans="1:16" ht="14">
      <c r="A537" s="22"/>
      <c r="B537" s="20">
        <v>6</v>
      </c>
      <c r="C537" s="22" t="s">
        <v>105</v>
      </c>
      <c r="D537" s="22">
        <v>0.9</v>
      </c>
      <c r="E537" s="22">
        <v>0.7</v>
      </c>
      <c r="F537" s="122">
        <v>0.22600000000000001</v>
      </c>
      <c r="G537" s="122">
        <v>3.4000000000000002E-2</v>
      </c>
      <c r="H537" s="122">
        <v>6.0999999999999999E-2</v>
      </c>
      <c r="I537" s="22"/>
      <c r="J537" s="22">
        <v>6</v>
      </c>
      <c r="K537" s="22" t="s">
        <v>105</v>
      </c>
      <c r="L537" s="203">
        <v>7.9</v>
      </c>
      <c r="M537" s="203">
        <v>4.4000000000000004</v>
      </c>
      <c r="N537" s="77">
        <v>0.77900000000000003</v>
      </c>
      <c r="O537" s="77">
        <v>4.9000000000000002E-2</v>
      </c>
      <c r="P537" s="77">
        <v>6.6000000000000003E-2</v>
      </c>
    </row>
    <row r="538" spans="1:16" ht="14">
      <c r="A538" s="22"/>
      <c r="B538" s="20">
        <v>7</v>
      </c>
      <c r="C538" s="20" t="s">
        <v>111</v>
      </c>
      <c r="D538" s="22">
        <v>0.7</v>
      </c>
      <c r="E538" s="22">
        <v>0.3</v>
      </c>
      <c r="F538" s="122">
        <v>1.7270000000000001</v>
      </c>
      <c r="G538" s="122">
        <v>2.9000000000000001E-2</v>
      </c>
      <c r="H538" s="122">
        <v>2.4E-2</v>
      </c>
      <c r="I538" s="22"/>
      <c r="J538" s="22">
        <v>7</v>
      </c>
      <c r="K538" s="20" t="s">
        <v>111</v>
      </c>
      <c r="L538" s="203">
        <v>4.5999999999999996</v>
      </c>
      <c r="M538" s="203">
        <v>1.2</v>
      </c>
      <c r="N538" s="77">
        <v>2.8809999999999998</v>
      </c>
      <c r="O538" s="77">
        <v>2.9000000000000001E-2</v>
      </c>
      <c r="P538" s="77">
        <v>1.7999999999999999E-2</v>
      </c>
    </row>
    <row r="539" spans="1:16" ht="14">
      <c r="A539" s="22"/>
      <c r="B539" s="20">
        <v>8</v>
      </c>
      <c r="C539" s="20" t="s">
        <v>103</v>
      </c>
      <c r="D539" s="22">
        <v>0.7</v>
      </c>
      <c r="E539" s="22">
        <v>0.2</v>
      </c>
      <c r="F539" s="122">
        <v>2.5510000000000002</v>
      </c>
      <c r="G539" s="122">
        <v>2.5999999999999999E-2</v>
      </c>
      <c r="H539" s="122">
        <v>1.6E-2</v>
      </c>
      <c r="I539" s="22"/>
      <c r="J539" s="22">
        <v>8</v>
      </c>
      <c r="K539" s="20" t="s">
        <v>103</v>
      </c>
      <c r="L539" s="203">
        <v>3.2</v>
      </c>
      <c r="M539" s="203">
        <v>1.2</v>
      </c>
      <c r="N539" s="77">
        <v>1.657</v>
      </c>
      <c r="O539" s="77">
        <v>0.02</v>
      </c>
      <c r="P539" s="77">
        <v>1.7999999999999999E-2</v>
      </c>
    </row>
    <row r="540" spans="1:16" ht="14">
      <c r="A540" s="22"/>
      <c r="B540" s="20">
        <v>9</v>
      </c>
      <c r="C540" s="20" t="s">
        <v>104</v>
      </c>
      <c r="D540" s="22">
        <v>0.3</v>
      </c>
      <c r="E540" s="22">
        <v>0.3</v>
      </c>
      <c r="F540" s="122">
        <v>2.3E-2</v>
      </c>
      <c r="G540" s="122">
        <v>0.01</v>
      </c>
      <c r="H540" s="122">
        <v>2.1999999999999999E-2</v>
      </c>
      <c r="I540" s="22"/>
      <c r="J540" s="22">
        <v>9</v>
      </c>
      <c r="K540" s="22" t="s">
        <v>104</v>
      </c>
      <c r="L540" s="203">
        <v>2.5</v>
      </c>
      <c r="M540" s="203">
        <v>2.2999999999999998</v>
      </c>
      <c r="N540" s="77">
        <v>0.109</v>
      </c>
      <c r="O540" s="77">
        <v>1.4999999999999999E-2</v>
      </c>
      <c r="P540" s="77">
        <v>3.3000000000000002E-2</v>
      </c>
    </row>
    <row r="541" spans="1:16" ht="14">
      <c r="A541" s="22"/>
      <c r="B541" s="22">
        <v>10</v>
      </c>
      <c r="C541" s="20" t="s">
        <v>117</v>
      </c>
      <c r="D541" s="22">
        <v>0.2</v>
      </c>
      <c r="E541" s="22">
        <v>0</v>
      </c>
      <c r="F541" s="122">
        <v>9.34</v>
      </c>
      <c r="G541" s="122">
        <v>8.9999999999999993E-3</v>
      </c>
      <c r="H541" s="122">
        <v>2E-3</v>
      </c>
      <c r="I541" s="22"/>
      <c r="J541" s="22">
        <v>10</v>
      </c>
      <c r="K541" s="22" t="s">
        <v>112</v>
      </c>
      <c r="L541" s="203">
        <v>1.7</v>
      </c>
      <c r="M541" s="203">
        <v>1.3</v>
      </c>
      <c r="N541" s="77">
        <v>0.33</v>
      </c>
      <c r="O541" s="77">
        <v>0.01</v>
      </c>
      <c r="P541" s="77">
        <v>1.9E-2</v>
      </c>
    </row>
    <row r="542" spans="1:16" ht="14">
      <c r="A542" s="22"/>
      <c r="B542" s="22"/>
      <c r="C542" s="20" t="s">
        <v>118</v>
      </c>
      <c r="D542" s="22">
        <v>1.8</v>
      </c>
      <c r="E542" s="22">
        <v>1</v>
      </c>
      <c r="F542" s="122">
        <v>0.73099999999999998</v>
      </c>
      <c r="G542" s="122">
        <v>7.0000000000000007E-2</v>
      </c>
      <c r="H542" s="122">
        <v>0.09</v>
      </c>
      <c r="I542" s="22"/>
      <c r="J542" s="22"/>
      <c r="K542" s="22" t="s">
        <v>39</v>
      </c>
      <c r="L542" s="203">
        <v>10.3</v>
      </c>
      <c r="M542" s="203">
        <v>4.2</v>
      </c>
      <c r="N542" s="77">
        <v>1.472</v>
      </c>
      <c r="O542" s="77">
        <v>6.4000000000000001E-2</v>
      </c>
      <c r="P542" s="77">
        <v>6.2E-2</v>
      </c>
    </row>
    <row r="543" spans="1:16" ht="14">
      <c r="A543" s="22"/>
      <c r="B543" s="22"/>
      <c r="C543" s="20" t="s">
        <v>48</v>
      </c>
      <c r="D543" s="22">
        <v>25.2</v>
      </c>
      <c r="E543" s="22">
        <v>11.4</v>
      </c>
      <c r="F543" s="122">
        <v>1.206</v>
      </c>
      <c r="G543" s="122">
        <v>1</v>
      </c>
      <c r="H543" s="122">
        <v>1</v>
      </c>
      <c r="I543" s="22"/>
      <c r="J543" s="22"/>
      <c r="K543" s="22" t="s">
        <v>48</v>
      </c>
      <c r="L543" s="203">
        <v>162</v>
      </c>
      <c r="M543" s="203">
        <v>67.7</v>
      </c>
      <c r="N543" s="122">
        <v>1.393</v>
      </c>
      <c r="O543" s="122">
        <v>1</v>
      </c>
      <c r="P543" s="122">
        <v>1</v>
      </c>
    </row>
    <row r="544" spans="1:16" ht="14">
      <c r="A544" s="22"/>
      <c r="B544" s="22"/>
      <c r="C544" s="20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</row>
    <row r="545" spans="1:16" ht="14">
      <c r="A545" s="22"/>
      <c r="B545" s="20" t="s">
        <v>249</v>
      </c>
      <c r="C545" s="20"/>
      <c r="D545" s="20"/>
      <c r="E545" s="20"/>
      <c r="F545" s="20"/>
      <c r="G545" s="20"/>
      <c r="H545" s="20"/>
      <c r="I545" s="22"/>
      <c r="J545" s="22" t="s">
        <v>250</v>
      </c>
      <c r="K545" s="22"/>
      <c r="L545" s="22"/>
      <c r="M545" s="22"/>
      <c r="N545" s="22"/>
      <c r="O545" s="22"/>
      <c r="P545" s="22"/>
    </row>
    <row r="546" spans="1:16" ht="14">
      <c r="A546" s="22"/>
      <c r="B546" s="20" t="s">
        <v>92</v>
      </c>
      <c r="C546" s="22" t="s">
        <v>123</v>
      </c>
      <c r="D546" s="223">
        <v>44378</v>
      </c>
      <c r="E546" s="223">
        <v>44013</v>
      </c>
      <c r="F546" s="224" t="s">
        <v>124</v>
      </c>
      <c r="G546" s="22" t="s">
        <v>180</v>
      </c>
      <c r="H546" s="22" t="s">
        <v>229</v>
      </c>
      <c r="I546" s="22"/>
      <c r="J546" s="22" t="s">
        <v>92</v>
      </c>
      <c r="K546" s="22" t="s">
        <v>123</v>
      </c>
      <c r="L546" s="94" t="s">
        <v>251</v>
      </c>
      <c r="M546" s="94" t="s">
        <v>252</v>
      </c>
      <c r="N546" s="224" t="s">
        <v>124</v>
      </c>
      <c r="O546" s="224" t="s">
        <v>180</v>
      </c>
      <c r="P546" s="224" t="s">
        <v>229</v>
      </c>
    </row>
    <row r="547" spans="1:16" ht="14">
      <c r="A547" s="22"/>
      <c r="B547" s="20">
        <v>1</v>
      </c>
      <c r="C547" s="22" t="s">
        <v>98</v>
      </c>
      <c r="D547" s="22">
        <v>7.4</v>
      </c>
      <c r="E547" s="22">
        <v>2.7</v>
      </c>
      <c r="F547" s="122">
        <v>1.6859999999999999</v>
      </c>
      <c r="G547" s="122">
        <v>0.32600000000000001</v>
      </c>
      <c r="H547" s="122">
        <v>0.24399999999999999</v>
      </c>
      <c r="I547" s="22"/>
      <c r="J547" s="22">
        <v>1</v>
      </c>
      <c r="K547" s="22" t="s">
        <v>98</v>
      </c>
      <c r="L547" s="203">
        <v>41.2</v>
      </c>
      <c r="M547" s="203">
        <v>12.9</v>
      </c>
      <c r="N547" s="77">
        <v>2.1829999999999998</v>
      </c>
      <c r="O547" s="77">
        <v>0.3</v>
      </c>
      <c r="P547" s="77">
        <v>0.23</v>
      </c>
    </row>
    <row r="548" spans="1:16" ht="14">
      <c r="A548" s="22"/>
      <c r="B548" s="20">
        <v>2</v>
      </c>
      <c r="C548" s="22" t="s">
        <v>100</v>
      </c>
      <c r="D548" s="22">
        <v>5.0999999999999996</v>
      </c>
      <c r="E548" s="22">
        <v>2.8</v>
      </c>
      <c r="F548" s="122">
        <v>0.80600000000000005</v>
      </c>
      <c r="G548" s="122">
        <v>0.22500000000000001</v>
      </c>
      <c r="H548" s="122">
        <v>0.25</v>
      </c>
      <c r="I548" s="22"/>
      <c r="J548" s="22">
        <v>2</v>
      </c>
      <c r="K548" s="22" t="s">
        <v>100</v>
      </c>
      <c r="L548" s="203">
        <v>33.200000000000003</v>
      </c>
      <c r="M548" s="203">
        <v>13.2</v>
      </c>
      <c r="N548" s="77">
        <v>1.5169999999999999</v>
      </c>
      <c r="O548" s="77">
        <v>0.24199999999999999</v>
      </c>
      <c r="P548" s="77">
        <v>0.23400000000000001</v>
      </c>
    </row>
    <row r="549" spans="1:16" ht="14">
      <c r="A549" s="22"/>
      <c r="B549" s="20">
        <v>3</v>
      </c>
      <c r="C549" s="22" t="s">
        <v>99</v>
      </c>
      <c r="D549" s="22">
        <v>2.5</v>
      </c>
      <c r="E549" s="22">
        <v>1.7</v>
      </c>
      <c r="F549" s="122">
        <v>0.46700000000000003</v>
      </c>
      <c r="G549" s="122">
        <v>0.109</v>
      </c>
      <c r="H549" s="122">
        <v>0.14899999999999999</v>
      </c>
      <c r="I549" s="22"/>
      <c r="J549" s="22">
        <v>3</v>
      </c>
      <c r="K549" s="22" t="s">
        <v>99</v>
      </c>
      <c r="L549" s="203">
        <v>19.600000000000001</v>
      </c>
      <c r="M549" s="203">
        <v>11.8</v>
      </c>
      <c r="N549" s="77">
        <v>0.65800000000000003</v>
      </c>
      <c r="O549" s="77">
        <v>0.14299999999999999</v>
      </c>
      <c r="P549" s="77">
        <v>0.21</v>
      </c>
    </row>
    <row r="550" spans="1:16" ht="14">
      <c r="A550" s="22"/>
      <c r="B550" s="20">
        <v>4</v>
      </c>
      <c r="C550" s="203" t="s">
        <v>96</v>
      </c>
      <c r="D550" s="22">
        <v>2.1</v>
      </c>
      <c r="E550" s="22">
        <v>0.7</v>
      </c>
      <c r="F550" s="122">
        <v>2.1829999999999998</v>
      </c>
      <c r="G550" s="122">
        <v>9.2999999999999999E-2</v>
      </c>
      <c r="H550" s="122">
        <v>5.8999999999999997E-2</v>
      </c>
      <c r="I550" s="22"/>
      <c r="J550" s="22">
        <v>4</v>
      </c>
      <c r="K550" s="203" t="s">
        <v>96</v>
      </c>
      <c r="L550" s="203">
        <v>10</v>
      </c>
      <c r="M550" s="203">
        <v>3.2</v>
      </c>
      <c r="N550" s="77">
        <v>2.0699999999999998</v>
      </c>
      <c r="O550" s="77">
        <v>7.2999999999999995E-2</v>
      </c>
      <c r="P550" s="77">
        <v>5.8000000000000003E-2</v>
      </c>
    </row>
    <row r="551" spans="1:16" ht="14">
      <c r="A551" s="22"/>
      <c r="B551" s="20">
        <v>5</v>
      </c>
      <c r="C551" s="22" t="s">
        <v>106</v>
      </c>
      <c r="D551" s="22">
        <v>1.3</v>
      </c>
      <c r="E551" s="22">
        <v>0.7</v>
      </c>
      <c r="F551" s="122">
        <v>0.90500000000000003</v>
      </c>
      <c r="G551" s="122">
        <v>5.8999999999999997E-2</v>
      </c>
      <c r="H551" s="122">
        <v>6.3E-2</v>
      </c>
      <c r="I551" s="22"/>
      <c r="J551" s="22">
        <v>5</v>
      </c>
      <c r="K551" s="22" t="s">
        <v>106</v>
      </c>
      <c r="L551" s="203">
        <v>7.4</v>
      </c>
      <c r="M551" s="203">
        <v>3</v>
      </c>
      <c r="N551" s="77">
        <v>1.478</v>
      </c>
      <c r="O551" s="77">
        <v>5.3999999999999999E-2</v>
      </c>
      <c r="P551" s="77">
        <v>5.2999999999999999E-2</v>
      </c>
    </row>
    <row r="552" spans="1:16" ht="14">
      <c r="A552" s="22"/>
      <c r="B552" s="20">
        <v>6</v>
      </c>
      <c r="C552" s="22" t="s">
        <v>105</v>
      </c>
      <c r="D552" s="22">
        <v>1</v>
      </c>
      <c r="E552" s="22">
        <v>0.9</v>
      </c>
      <c r="F552" s="122">
        <v>0.124</v>
      </c>
      <c r="G552" s="122">
        <v>4.3999999999999997E-2</v>
      </c>
      <c r="H552" s="122">
        <v>7.8E-2</v>
      </c>
      <c r="I552" s="22"/>
      <c r="J552" s="22">
        <v>6</v>
      </c>
      <c r="K552" s="22" t="s">
        <v>105</v>
      </c>
      <c r="L552" s="203">
        <v>7</v>
      </c>
      <c r="M552" s="203">
        <v>3.7</v>
      </c>
      <c r="N552" s="77">
        <v>0.86899999999999999</v>
      </c>
      <c r="O552" s="77">
        <v>5.0999999999999997E-2</v>
      </c>
      <c r="P552" s="77">
        <v>6.7000000000000004E-2</v>
      </c>
    </row>
    <row r="553" spans="1:16" ht="14">
      <c r="A553" s="22"/>
      <c r="B553" s="20">
        <v>7</v>
      </c>
      <c r="C553" s="20" t="s">
        <v>111</v>
      </c>
      <c r="D553" s="22">
        <v>0.7</v>
      </c>
      <c r="E553" s="22">
        <v>0.2</v>
      </c>
      <c r="F553" s="122">
        <v>3.5510000000000002</v>
      </c>
      <c r="G553" s="122">
        <v>3.3000000000000002E-2</v>
      </c>
      <c r="H553" s="122">
        <v>1.4999999999999999E-2</v>
      </c>
      <c r="I553" s="22"/>
      <c r="J553" s="22">
        <v>7</v>
      </c>
      <c r="K553" s="20" t="s">
        <v>111</v>
      </c>
      <c r="L553" s="203">
        <v>3.9</v>
      </c>
      <c r="M553" s="203">
        <v>0.9</v>
      </c>
      <c r="N553" s="77">
        <v>3.22</v>
      </c>
      <c r="O553" s="77">
        <v>2.8000000000000001E-2</v>
      </c>
      <c r="P553" s="77">
        <v>1.6E-2</v>
      </c>
    </row>
    <row r="554" spans="1:16" ht="14">
      <c r="A554" s="22"/>
      <c r="B554" s="20">
        <v>8</v>
      </c>
      <c r="C554" s="20" t="s">
        <v>103</v>
      </c>
      <c r="D554" s="22">
        <v>0.5</v>
      </c>
      <c r="E554" s="22">
        <v>0.4</v>
      </c>
      <c r="F554" s="122">
        <v>0.3</v>
      </c>
      <c r="G554" s="122">
        <v>2.1000000000000001E-2</v>
      </c>
      <c r="H554" s="122">
        <v>3.2000000000000001E-2</v>
      </c>
      <c r="I554" s="22"/>
      <c r="J554" s="22">
        <v>8</v>
      </c>
      <c r="K554" s="20" t="s">
        <v>103</v>
      </c>
      <c r="L554" s="203">
        <v>2.6</v>
      </c>
      <c r="M554" s="203">
        <v>1</v>
      </c>
      <c r="N554" s="77">
        <v>1.5620000000000001</v>
      </c>
      <c r="O554" s="77">
        <v>1.9E-2</v>
      </c>
      <c r="P554" s="77">
        <v>1.7999999999999999E-2</v>
      </c>
    </row>
    <row r="555" spans="1:16" ht="14">
      <c r="A555" s="22"/>
      <c r="B555" s="20">
        <v>9</v>
      </c>
      <c r="C555" s="22" t="s">
        <v>104</v>
      </c>
      <c r="D555" s="22">
        <v>0.3</v>
      </c>
      <c r="E555" s="22">
        <v>0.3</v>
      </c>
      <c r="F555" s="122">
        <v>-7.1999999999999995E-2</v>
      </c>
      <c r="G555" s="122">
        <v>1.2E-2</v>
      </c>
      <c r="H555" s="122">
        <v>2.5000000000000001E-2</v>
      </c>
      <c r="I555" s="22"/>
      <c r="J555" s="22">
        <v>9</v>
      </c>
      <c r="K555" s="22" t="s">
        <v>104</v>
      </c>
      <c r="L555" s="203">
        <v>2.2000000000000002</v>
      </c>
      <c r="M555" s="203">
        <v>2</v>
      </c>
      <c r="N555" s="77">
        <v>0.11799999999999999</v>
      </c>
      <c r="O555" s="77">
        <v>1.6E-2</v>
      </c>
      <c r="P555" s="77">
        <v>3.5999999999999997E-2</v>
      </c>
    </row>
    <row r="556" spans="1:16" ht="14">
      <c r="A556" s="22"/>
      <c r="B556" s="22">
        <v>10</v>
      </c>
      <c r="C556" s="22" t="s">
        <v>112</v>
      </c>
      <c r="D556" s="22">
        <v>0.2</v>
      </c>
      <c r="E556" s="22">
        <v>0.2</v>
      </c>
      <c r="F556" s="122">
        <v>0.17499999999999999</v>
      </c>
      <c r="G556" s="122">
        <v>0.01</v>
      </c>
      <c r="H556" s="122">
        <v>1.7000000000000001E-2</v>
      </c>
      <c r="I556" s="22"/>
      <c r="J556" s="22">
        <v>10</v>
      </c>
      <c r="K556" s="22" t="s">
        <v>112</v>
      </c>
      <c r="L556" s="203">
        <v>1.5</v>
      </c>
      <c r="M556" s="203">
        <v>1.1000000000000001</v>
      </c>
      <c r="N556" s="77">
        <v>0.34200000000000003</v>
      </c>
      <c r="O556" s="77">
        <v>1.0999999999999999E-2</v>
      </c>
      <c r="P556" s="77">
        <v>0.02</v>
      </c>
    </row>
    <row r="557" spans="1:16" ht="14">
      <c r="A557" s="22"/>
      <c r="B557" s="22"/>
      <c r="C557" s="22" t="s">
        <v>118</v>
      </c>
      <c r="D557" s="22">
        <v>1.5</v>
      </c>
      <c r="E557" s="22">
        <v>0.8</v>
      </c>
      <c r="F557" s="122">
        <v>1.0329999999999999</v>
      </c>
      <c r="G557" s="122">
        <v>6.8000000000000005E-2</v>
      </c>
      <c r="H557" s="122">
        <v>6.8000000000000005E-2</v>
      </c>
      <c r="I557" s="22"/>
      <c r="J557" s="22"/>
      <c r="K557" s="22" t="s">
        <v>39</v>
      </c>
      <c r="L557" s="203">
        <v>8.5</v>
      </c>
      <c r="M557" s="203">
        <v>3.3</v>
      </c>
      <c r="N557" s="77">
        <v>1.589</v>
      </c>
      <c r="O557" s="77">
        <v>6.2E-2</v>
      </c>
      <c r="P557" s="77">
        <v>5.8999999999999997E-2</v>
      </c>
    </row>
    <row r="558" spans="1:16" ht="14">
      <c r="A558" s="22"/>
      <c r="B558" s="22"/>
      <c r="C558" s="22" t="s">
        <v>48</v>
      </c>
      <c r="D558" s="22">
        <v>22.6</v>
      </c>
      <c r="E558" s="22">
        <v>11.2</v>
      </c>
      <c r="F558" s="122">
        <v>1.01</v>
      </c>
      <c r="G558" s="122">
        <v>1</v>
      </c>
      <c r="H558" s="122">
        <v>1</v>
      </c>
      <c r="I558" s="22"/>
      <c r="J558" s="22"/>
      <c r="K558" s="22" t="s">
        <v>48</v>
      </c>
      <c r="L558" s="203">
        <v>137.1</v>
      </c>
      <c r="M558" s="203">
        <v>56.3</v>
      </c>
      <c r="N558" s="122">
        <v>1.4359999999999999</v>
      </c>
      <c r="O558" s="122">
        <v>1</v>
      </c>
      <c r="P558" s="122">
        <v>1</v>
      </c>
    </row>
    <row r="559" spans="1:16" ht="14">
      <c r="A559" s="22"/>
      <c r="B559" s="20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</row>
    <row r="560" spans="1:16" ht="14">
      <c r="A560" s="22"/>
      <c r="B560" s="22" t="s">
        <v>253</v>
      </c>
      <c r="C560" s="22"/>
      <c r="D560" s="228"/>
      <c r="E560" s="228"/>
      <c r="F560" s="224"/>
      <c r="G560" s="224"/>
      <c r="H560" s="224"/>
      <c r="I560" s="22"/>
      <c r="J560" s="22" t="s">
        <v>254</v>
      </c>
      <c r="K560" s="22"/>
      <c r="L560" s="22"/>
      <c r="M560" s="22"/>
      <c r="N560" s="22"/>
      <c r="O560" s="22"/>
      <c r="P560" s="22"/>
    </row>
    <row r="561" spans="1:16" ht="14">
      <c r="A561" s="22"/>
      <c r="B561" s="22" t="s">
        <v>92</v>
      </c>
      <c r="C561" s="22" t="s">
        <v>123</v>
      </c>
      <c r="D561" s="223">
        <v>44348</v>
      </c>
      <c r="E561" s="223">
        <v>43983</v>
      </c>
      <c r="F561" s="77" t="s">
        <v>124</v>
      </c>
      <c r="G561" s="77" t="s">
        <v>180</v>
      </c>
      <c r="H561" s="77" t="s">
        <v>229</v>
      </c>
      <c r="I561" s="22"/>
      <c r="J561" s="22" t="s">
        <v>92</v>
      </c>
      <c r="K561" s="22" t="s">
        <v>123</v>
      </c>
      <c r="L561" s="94" t="s">
        <v>255</v>
      </c>
      <c r="M561" s="94" t="s">
        <v>256</v>
      </c>
      <c r="N561" s="224" t="s">
        <v>124</v>
      </c>
      <c r="O561" s="224" t="s">
        <v>180</v>
      </c>
      <c r="P561" s="224" t="s">
        <v>229</v>
      </c>
    </row>
    <row r="562" spans="1:16" ht="14">
      <c r="A562" s="22"/>
      <c r="B562" s="22">
        <v>1</v>
      </c>
      <c r="C562" s="22" t="s">
        <v>98</v>
      </c>
      <c r="D562" s="203">
        <v>7.7</v>
      </c>
      <c r="E562" s="203">
        <v>2.8</v>
      </c>
      <c r="F562" s="77">
        <v>1.75</v>
      </c>
      <c r="G562" s="77">
        <v>0.30099999999999999</v>
      </c>
      <c r="H562" s="77">
        <v>0.246</v>
      </c>
      <c r="I562" s="22"/>
      <c r="J562" s="22">
        <v>1</v>
      </c>
      <c r="K562" s="22" t="s">
        <v>98</v>
      </c>
      <c r="L562" s="203">
        <v>34.1</v>
      </c>
      <c r="M562" s="203">
        <v>10.199999999999999</v>
      </c>
      <c r="N562" s="77">
        <v>2.3420000000000001</v>
      </c>
      <c r="O562" s="77">
        <v>0.22700000000000001</v>
      </c>
      <c r="P562" s="77">
        <v>0.29899999999999999</v>
      </c>
    </row>
    <row r="563" spans="1:16" ht="14">
      <c r="A563" s="22"/>
      <c r="B563" s="22">
        <v>2</v>
      </c>
      <c r="C563" s="22" t="s">
        <v>100</v>
      </c>
      <c r="D563" s="203">
        <v>6.3</v>
      </c>
      <c r="E563" s="203">
        <v>2.7</v>
      </c>
      <c r="F563" s="77">
        <v>1.3340000000000001</v>
      </c>
      <c r="G563" s="77">
        <v>0.24803149606299199</v>
      </c>
      <c r="H563" s="77">
        <v>0.23799999999999999</v>
      </c>
      <c r="I563" s="22"/>
      <c r="J563" s="22">
        <v>2</v>
      </c>
      <c r="K563" s="22" t="s">
        <v>100</v>
      </c>
      <c r="L563" s="203">
        <v>28</v>
      </c>
      <c r="M563" s="203">
        <v>10.4</v>
      </c>
      <c r="N563" s="77">
        <v>1.698</v>
      </c>
      <c r="O563" s="77">
        <v>0.23100000000000001</v>
      </c>
      <c r="P563" s="77">
        <v>0.245</v>
      </c>
    </row>
    <row r="564" spans="1:16" ht="14">
      <c r="A564" s="22"/>
      <c r="B564" s="22">
        <v>3</v>
      </c>
      <c r="C564" s="22" t="s">
        <v>99</v>
      </c>
      <c r="D564" s="203">
        <v>4</v>
      </c>
      <c r="E564" s="203">
        <v>2.6</v>
      </c>
      <c r="F564" s="77">
        <v>0.53900000000000003</v>
      </c>
      <c r="G564" s="77">
        <v>0.159</v>
      </c>
      <c r="H564" s="77">
        <v>0.23200000000000001</v>
      </c>
      <c r="I564" s="22"/>
      <c r="J564" s="22">
        <v>3</v>
      </c>
      <c r="K564" s="22" t="s">
        <v>99</v>
      </c>
      <c r="L564" s="203">
        <v>17.100000000000001</v>
      </c>
      <c r="M564" s="203">
        <v>10.1</v>
      </c>
      <c r="N564" s="77">
        <v>0.69</v>
      </c>
      <c r="O564" s="77">
        <v>0.22500000000000001</v>
      </c>
      <c r="P564" s="77">
        <v>0.15</v>
      </c>
    </row>
    <row r="565" spans="1:16" ht="14">
      <c r="A565" s="22"/>
      <c r="B565" s="22">
        <v>4</v>
      </c>
      <c r="C565" s="203" t="s">
        <v>96</v>
      </c>
      <c r="D565" s="203">
        <v>1.7</v>
      </c>
      <c r="E565" s="203">
        <v>0.6</v>
      </c>
      <c r="F565" s="77">
        <v>1.863</v>
      </c>
      <c r="G565" s="77">
        <v>6.8000000000000005E-2</v>
      </c>
      <c r="H565" s="77">
        <v>5.2999999999999999E-2</v>
      </c>
      <c r="I565" s="22"/>
      <c r="J565" s="22">
        <v>4</v>
      </c>
      <c r="K565" s="22" t="s">
        <v>96</v>
      </c>
      <c r="L565" s="203">
        <v>7.8</v>
      </c>
      <c r="M565" s="231">
        <v>2.6</v>
      </c>
      <c r="N565" s="77">
        <v>2.036</v>
      </c>
      <c r="O565" s="77">
        <v>5.7000000000000002E-2</v>
      </c>
      <c r="P565" s="77">
        <v>6.9000000000000006E-2</v>
      </c>
    </row>
    <row r="566" spans="1:16" ht="14">
      <c r="A566" s="22"/>
      <c r="B566" s="22">
        <v>5</v>
      </c>
      <c r="C566" s="22" t="s">
        <v>106</v>
      </c>
      <c r="D566" s="203">
        <v>1.4</v>
      </c>
      <c r="E566" s="203">
        <v>0.5</v>
      </c>
      <c r="F566" s="77">
        <v>1.897</v>
      </c>
      <c r="G566" s="77">
        <v>5.3999999999999999E-2</v>
      </c>
      <c r="H566" s="77">
        <v>4.2000000000000003E-2</v>
      </c>
      <c r="I566" s="22"/>
      <c r="J566" s="22">
        <v>5</v>
      </c>
      <c r="K566" s="203" t="s">
        <v>105</v>
      </c>
      <c r="L566" s="203">
        <v>5.9</v>
      </c>
      <c r="M566" s="122">
        <v>2.9</v>
      </c>
      <c r="N566" s="77">
        <v>1.073</v>
      </c>
      <c r="O566" s="77">
        <v>6.4000000000000001E-2</v>
      </c>
      <c r="P566" s="77">
        <v>5.1999999999999998E-2</v>
      </c>
    </row>
    <row r="567" spans="1:16" ht="14">
      <c r="A567" s="22"/>
      <c r="B567" s="22">
        <v>6</v>
      </c>
      <c r="C567" s="22" t="s">
        <v>105</v>
      </c>
      <c r="D567" s="203">
        <v>1.2</v>
      </c>
      <c r="E567" s="203">
        <v>0.6</v>
      </c>
      <c r="F567" s="77">
        <v>1.077</v>
      </c>
      <c r="G567" s="77">
        <v>4.7244094488188997E-2</v>
      </c>
      <c r="H567" s="77">
        <v>5.0999999999999997E-2</v>
      </c>
      <c r="I567" s="22"/>
      <c r="J567" s="22">
        <v>6</v>
      </c>
      <c r="K567" s="22" t="s">
        <v>106</v>
      </c>
      <c r="L567" s="203">
        <v>5.9</v>
      </c>
      <c r="M567" s="203">
        <v>2.2999999999999998</v>
      </c>
      <c r="N567" s="77">
        <v>1.623</v>
      </c>
      <c r="O567" s="77">
        <v>0.05</v>
      </c>
      <c r="P567" s="77">
        <v>5.1999999999999998E-2</v>
      </c>
    </row>
    <row r="568" spans="1:16" ht="14">
      <c r="A568" s="22"/>
      <c r="B568" s="22">
        <v>7</v>
      </c>
      <c r="C568" s="20" t="s">
        <v>111</v>
      </c>
      <c r="D568" s="203">
        <v>0.6</v>
      </c>
      <c r="E568" s="203">
        <v>0.3</v>
      </c>
      <c r="F568" s="77">
        <v>1.3220000000000001</v>
      </c>
      <c r="G568" s="77">
        <v>2.5000000000000001E-2</v>
      </c>
      <c r="H568" s="77">
        <v>2.4E-2</v>
      </c>
      <c r="I568" s="22"/>
      <c r="J568" s="22">
        <v>7</v>
      </c>
      <c r="K568" s="22" t="s">
        <v>111</v>
      </c>
      <c r="L568" s="203">
        <v>3.2</v>
      </c>
      <c r="M568" s="203">
        <v>0.8</v>
      </c>
      <c r="N568" s="77">
        <v>3.1480000000000001</v>
      </c>
      <c r="O568" s="77">
        <v>1.7000000000000001E-2</v>
      </c>
      <c r="P568" s="77">
        <v>2.8000000000000001E-2</v>
      </c>
    </row>
    <row r="569" spans="1:16" ht="14">
      <c r="A569" s="22"/>
      <c r="B569" s="22">
        <v>8</v>
      </c>
      <c r="C569" s="20" t="s">
        <v>103</v>
      </c>
      <c r="D569" s="203">
        <v>0.5</v>
      </c>
      <c r="E569" s="203">
        <v>0.2</v>
      </c>
      <c r="F569" s="77">
        <v>1.3560000000000001</v>
      </c>
      <c r="G569" s="77">
        <v>1.9E-2</v>
      </c>
      <c r="H569" s="77">
        <v>1.7999999999999999E-2</v>
      </c>
      <c r="I569" s="22"/>
      <c r="J569" s="22">
        <v>8</v>
      </c>
      <c r="K569" s="20" t="s">
        <v>103</v>
      </c>
      <c r="L569" s="203">
        <v>2.2000000000000002</v>
      </c>
      <c r="M569" s="203">
        <v>0.7</v>
      </c>
      <c r="N569" s="77">
        <v>2.2570000000000001</v>
      </c>
      <c r="O569" s="77">
        <v>1.4999999999999999E-2</v>
      </c>
      <c r="P569" s="77">
        <v>1.9E-2</v>
      </c>
    </row>
    <row r="570" spans="1:16" ht="14">
      <c r="A570" s="22"/>
      <c r="B570" s="22">
        <v>9</v>
      </c>
      <c r="C570" s="22" t="s">
        <v>104</v>
      </c>
      <c r="D570" s="203">
        <v>0.3</v>
      </c>
      <c r="E570" s="203">
        <v>0.2</v>
      </c>
      <c r="F570" s="77">
        <v>0.32200000000000001</v>
      </c>
      <c r="G570" s="77">
        <v>1.2E-2</v>
      </c>
      <c r="H570" s="77">
        <v>0.02</v>
      </c>
      <c r="I570" s="22"/>
      <c r="J570" s="22">
        <v>9</v>
      </c>
      <c r="K570" s="20" t="s">
        <v>104</v>
      </c>
      <c r="L570" s="203">
        <v>2</v>
      </c>
      <c r="M570" s="203">
        <v>1.7</v>
      </c>
      <c r="N570" s="77">
        <v>0.14499999999999999</v>
      </c>
      <c r="O570" s="77">
        <v>3.7999999999999999E-2</v>
      </c>
      <c r="P570" s="77">
        <v>1.7000000000000001E-2</v>
      </c>
    </row>
    <row r="571" spans="1:16" ht="14">
      <c r="A571" s="22"/>
      <c r="B571" s="22">
        <v>10</v>
      </c>
      <c r="C571" s="22" t="s">
        <v>112</v>
      </c>
      <c r="D571" s="203">
        <v>0.2</v>
      </c>
      <c r="E571" s="203">
        <v>0.2</v>
      </c>
      <c r="F571" s="77">
        <v>0.23499999999999999</v>
      </c>
      <c r="G571" s="77">
        <v>8.0000000000000002E-3</v>
      </c>
      <c r="H571" s="77">
        <v>1.4999999999999999E-2</v>
      </c>
      <c r="I571" s="22"/>
      <c r="J571" s="22">
        <v>10</v>
      </c>
      <c r="K571" s="22" t="s">
        <v>112</v>
      </c>
      <c r="L571" s="203">
        <v>1.2</v>
      </c>
      <c r="M571" s="203">
        <v>0.9</v>
      </c>
      <c r="N571" s="77">
        <v>0.39500000000000002</v>
      </c>
      <c r="O571" s="77">
        <v>0.02</v>
      </c>
      <c r="P571" s="77">
        <v>1.0999999999999999E-2</v>
      </c>
    </row>
    <row r="572" spans="1:16" ht="14">
      <c r="A572" s="22"/>
      <c r="B572" s="22"/>
      <c r="C572" s="22" t="s">
        <v>39</v>
      </c>
      <c r="D572" s="203">
        <v>1.5</v>
      </c>
      <c r="E572" s="203">
        <v>0.7</v>
      </c>
      <c r="F572" s="77">
        <v>1.2310000000000001</v>
      </c>
      <c r="G572" s="77">
        <v>0.06</v>
      </c>
      <c r="H572" s="77">
        <v>0.06</v>
      </c>
      <c r="I572" s="22"/>
      <c r="J572" s="22"/>
      <c r="K572" s="22" t="s">
        <v>39</v>
      </c>
      <c r="L572" s="203">
        <v>6.7</v>
      </c>
      <c r="M572" s="203">
        <v>2.5</v>
      </c>
      <c r="N572" s="77">
        <v>1.643</v>
      </c>
      <c r="O572" s="77">
        <v>5.6000000000000001E-2</v>
      </c>
      <c r="P572" s="77">
        <v>5.8999999999999997E-2</v>
      </c>
    </row>
    <row r="573" spans="1:16" ht="14">
      <c r="A573" s="22"/>
      <c r="B573" s="22"/>
      <c r="C573" s="22" t="s">
        <v>48</v>
      </c>
      <c r="D573" s="94" t="s">
        <v>257</v>
      </c>
      <c r="E573" s="94" t="s">
        <v>258</v>
      </c>
      <c r="F573" s="122">
        <v>1.2470000000000001</v>
      </c>
      <c r="G573" s="122">
        <v>1</v>
      </c>
      <c r="H573" s="122">
        <v>1</v>
      </c>
      <c r="I573" s="22"/>
      <c r="J573" s="22"/>
      <c r="K573" s="22" t="s">
        <v>48</v>
      </c>
      <c r="L573" s="203">
        <v>114.1</v>
      </c>
      <c r="M573" s="203">
        <v>45</v>
      </c>
      <c r="N573" s="77">
        <v>1.5369999999999999</v>
      </c>
      <c r="O573" s="232">
        <v>1</v>
      </c>
      <c r="P573" s="232">
        <v>1.0009999999999999</v>
      </c>
    </row>
    <row r="575" spans="1:16" ht="14">
      <c r="A575" s="22"/>
      <c r="B575" s="20" t="s">
        <v>259</v>
      </c>
      <c r="C575" s="20"/>
      <c r="D575" s="20"/>
      <c r="E575" s="20"/>
      <c r="F575" s="20"/>
      <c r="G575" s="20"/>
      <c r="H575" s="20"/>
      <c r="I575" s="22"/>
      <c r="J575" s="22" t="s">
        <v>260</v>
      </c>
      <c r="K575" s="22"/>
      <c r="L575" s="22"/>
      <c r="M575" s="22"/>
      <c r="N575" s="22"/>
      <c r="O575" s="22"/>
      <c r="P575" s="22"/>
    </row>
    <row r="576" spans="1:16" ht="14">
      <c r="A576" s="22"/>
      <c r="B576" s="20" t="s">
        <v>92</v>
      </c>
      <c r="C576" s="20" t="s">
        <v>123</v>
      </c>
      <c r="D576" s="229">
        <v>44317</v>
      </c>
      <c r="E576" s="229">
        <v>43952</v>
      </c>
      <c r="F576" s="230" t="s">
        <v>124</v>
      </c>
      <c r="G576" s="20" t="s">
        <v>180</v>
      </c>
      <c r="H576" s="20" t="s">
        <v>229</v>
      </c>
      <c r="I576" s="22"/>
      <c r="J576" s="22" t="s">
        <v>92</v>
      </c>
      <c r="K576" s="22" t="s">
        <v>123</v>
      </c>
      <c r="L576" s="94" t="s">
        <v>261</v>
      </c>
      <c r="M576" s="94" t="s">
        <v>262</v>
      </c>
      <c r="N576" s="224" t="s">
        <v>124</v>
      </c>
      <c r="O576" s="224" t="s">
        <v>180</v>
      </c>
      <c r="P576" s="224" t="s">
        <v>229</v>
      </c>
    </row>
    <row r="577" spans="1:16" ht="14">
      <c r="A577" s="22"/>
      <c r="B577" s="20">
        <v>1</v>
      </c>
      <c r="C577" s="20" t="s">
        <v>98</v>
      </c>
      <c r="D577" s="227">
        <v>6.1</v>
      </c>
      <c r="E577" s="227">
        <v>1.9</v>
      </c>
      <c r="F577" s="233">
        <v>2.2749999999999999</v>
      </c>
      <c r="G577" s="234">
        <v>0.28899999999999998</v>
      </c>
      <c r="H577" s="234">
        <v>0.27700000000000002</v>
      </c>
      <c r="I577" s="22"/>
      <c r="J577" s="22">
        <v>1</v>
      </c>
      <c r="K577" s="22" t="s">
        <v>98</v>
      </c>
      <c r="L577" s="203">
        <v>27.6</v>
      </c>
      <c r="M577" s="203">
        <v>7.4</v>
      </c>
      <c r="N577" s="77">
        <v>2.7210000000000001</v>
      </c>
      <c r="O577" s="77">
        <v>0.312</v>
      </c>
      <c r="P577" s="77">
        <v>0.22</v>
      </c>
    </row>
    <row r="578" spans="1:16" ht="14">
      <c r="A578" s="22"/>
      <c r="B578" s="20">
        <v>2</v>
      </c>
      <c r="C578" s="20" t="s">
        <v>100</v>
      </c>
      <c r="D578" s="227">
        <v>5.3</v>
      </c>
      <c r="E578" s="227">
        <v>1.5</v>
      </c>
      <c r="F578" s="233">
        <v>2.4460000000000002</v>
      </c>
      <c r="G578" s="234">
        <v>0.251</v>
      </c>
      <c r="H578" s="234">
        <v>0.22800000000000001</v>
      </c>
      <c r="I578" s="22"/>
      <c r="J578" s="22">
        <v>2</v>
      </c>
      <c r="K578" s="22" t="s">
        <v>100</v>
      </c>
      <c r="L578" s="203">
        <v>20.6</v>
      </c>
      <c r="M578" s="203">
        <v>7.7</v>
      </c>
      <c r="N578" s="77">
        <v>1.667</v>
      </c>
      <c r="O578" s="77">
        <v>0.23100000000000001</v>
      </c>
      <c r="P578" s="77">
        <v>0.22800000000000001</v>
      </c>
    </row>
    <row r="579" spans="1:16" ht="14">
      <c r="A579" s="22"/>
      <c r="B579" s="20">
        <v>3</v>
      </c>
      <c r="C579" s="20" t="s">
        <v>99</v>
      </c>
      <c r="D579" s="227">
        <v>3.3</v>
      </c>
      <c r="E579" s="227">
        <v>1.1000000000000001</v>
      </c>
      <c r="F579" s="233">
        <v>2.0739999999999998</v>
      </c>
      <c r="G579" s="234">
        <v>0.158</v>
      </c>
      <c r="H579" s="234">
        <v>0.161</v>
      </c>
      <c r="I579" s="22"/>
      <c r="J579" s="22">
        <v>3</v>
      </c>
      <c r="K579" s="22" t="s">
        <v>99</v>
      </c>
      <c r="L579" s="203">
        <v>13</v>
      </c>
      <c r="M579" s="203">
        <v>7.5</v>
      </c>
      <c r="N579" s="77">
        <v>0.73499999999999999</v>
      </c>
      <c r="O579" s="77">
        <v>0.14699999999999999</v>
      </c>
      <c r="P579" s="77">
        <v>0.223</v>
      </c>
    </row>
    <row r="580" spans="1:16" ht="14">
      <c r="A580" s="22"/>
      <c r="B580" s="20">
        <v>4</v>
      </c>
      <c r="C580" s="20" t="s">
        <v>96</v>
      </c>
      <c r="D580" s="227">
        <v>1.5</v>
      </c>
      <c r="E580" s="227">
        <v>0.4</v>
      </c>
      <c r="F580" s="233">
        <v>2.7589999999999999</v>
      </c>
      <c r="G580" s="234">
        <v>7.1999999999999995E-2</v>
      </c>
      <c r="H580" s="234">
        <v>0.06</v>
      </c>
      <c r="I580" s="22"/>
      <c r="J580" s="22">
        <v>4</v>
      </c>
      <c r="K580" s="22" t="s">
        <v>96</v>
      </c>
      <c r="L580" s="203">
        <v>6.1</v>
      </c>
      <c r="M580" s="203">
        <v>2</v>
      </c>
      <c r="N580" s="77">
        <v>2.0739999999999998</v>
      </c>
      <c r="O580" s="77">
        <v>6.9000000000000006E-2</v>
      </c>
      <c r="P580" s="77">
        <v>5.8999999999999997E-2</v>
      </c>
    </row>
    <row r="581" spans="1:16" ht="14">
      <c r="A581" s="22"/>
      <c r="B581" s="20">
        <v>5</v>
      </c>
      <c r="C581" s="20" t="s">
        <v>105</v>
      </c>
      <c r="D581" s="227">
        <v>1</v>
      </c>
      <c r="E581" s="227">
        <v>0.3</v>
      </c>
      <c r="F581" s="233">
        <v>2.0539999999999998</v>
      </c>
      <c r="G581" s="234">
        <v>4.9000000000000002E-2</v>
      </c>
      <c r="H581" s="234">
        <v>5.0999999999999997E-2</v>
      </c>
      <c r="I581" s="22"/>
      <c r="J581" s="22">
        <v>5</v>
      </c>
      <c r="K581" s="22" t="s">
        <v>105</v>
      </c>
      <c r="L581" s="203">
        <v>4.7</v>
      </c>
      <c r="M581" s="203">
        <v>2.2999999999999998</v>
      </c>
      <c r="N581" s="77">
        <v>1.048</v>
      </c>
      <c r="O581" s="77">
        <v>5.2999999999999999E-2</v>
      </c>
      <c r="P581" s="77">
        <v>6.8000000000000005E-2</v>
      </c>
    </row>
    <row r="582" spans="1:16" ht="14">
      <c r="A582" s="22"/>
      <c r="B582" s="20">
        <v>6</v>
      </c>
      <c r="C582" s="20" t="s">
        <v>106</v>
      </c>
      <c r="D582" s="227">
        <v>1</v>
      </c>
      <c r="E582" s="227">
        <v>0.4</v>
      </c>
      <c r="F582" s="233">
        <v>1.5660000000000001</v>
      </c>
      <c r="G582" s="234">
        <v>4.8000000000000001E-2</v>
      </c>
      <c r="H582" s="234">
        <v>5.8000000000000003E-2</v>
      </c>
      <c r="I582" s="22"/>
      <c r="J582" s="22">
        <v>6</v>
      </c>
      <c r="K582" s="22" t="s">
        <v>106</v>
      </c>
      <c r="L582" s="203">
        <v>4.5</v>
      </c>
      <c r="M582" s="203">
        <v>1.8</v>
      </c>
      <c r="N582" s="77">
        <v>1.522</v>
      </c>
      <c r="O582" s="77">
        <v>5.0999999999999997E-2</v>
      </c>
      <c r="P582" s="77">
        <v>5.2999999999999999E-2</v>
      </c>
    </row>
    <row r="583" spans="1:16" ht="14">
      <c r="A583" s="22"/>
      <c r="B583" s="20">
        <v>7</v>
      </c>
      <c r="C583" s="20" t="s">
        <v>111</v>
      </c>
      <c r="D583" s="227">
        <v>0.7</v>
      </c>
      <c r="E583" s="227">
        <v>0.2</v>
      </c>
      <c r="F583" s="233">
        <v>2.371</v>
      </c>
      <c r="G583" s="234">
        <v>3.5000000000000003E-2</v>
      </c>
      <c r="H583" s="234">
        <v>3.3000000000000002E-2</v>
      </c>
      <c r="I583" s="22"/>
      <c r="J583" s="22">
        <v>7</v>
      </c>
      <c r="K583" s="22" t="s">
        <v>111</v>
      </c>
      <c r="L583" s="203">
        <v>2.5</v>
      </c>
      <c r="M583" s="203">
        <v>0.5</v>
      </c>
      <c r="N583" s="77">
        <v>4.1790000000000003</v>
      </c>
      <c r="O583" s="77">
        <v>2.8000000000000001E-2</v>
      </c>
      <c r="P583" s="77">
        <v>1.4E-2</v>
      </c>
    </row>
    <row r="584" spans="1:16" ht="14">
      <c r="A584" s="22"/>
      <c r="B584" s="20">
        <v>8</v>
      </c>
      <c r="C584" s="20" t="s">
        <v>103</v>
      </c>
      <c r="D584" s="227">
        <v>0.4</v>
      </c>
      <c r="E584" s="227">
        <v>0.1</v>
      </c>
      <c r="F584" s="233">
        <v>2.2749999999999999</v>
      </c>
      <c r="G584" s="234">
        <v>1.7999999999999999E-2</v>
      </c>
      <c r="H584" s="234">
        <v>1.7999999999999999E-2</v>
      </c>
      <c r="I584" s="22"/>
      <c r="J584" s="22">
        <v>8</v>
      </c>
      <c r="K584" s="22" t="s">
        <v>103</v>
      </c>
      <c r="L584" s="203">
        <v>1.7</v>
      </c>
      <c r="M584" s="203">
        <v>0.5</v>
      </c>
      <c r="N584" s="77">
        <v>2.6480000000000001</v>
      </c>
      <c r="O584" s="77">
        <v>1.9E-2</v>
      </c>
      <c r="P584" s="77">
        <v>1.4E-2</v>
      </c>
    </row>
    <row r="585" spans="1:16" ht="14">
      <c r="A585" s="22"/>
      <c r="B585" s="20">
        <v>9</v>
      </c>
      <c r="C585" s="20" t="s">
        <v>104</v>
      </c>
      <c r="D585" s="227">
        <v>0.3</v>
      </c>
      <c r="E585" s="227">
        <v>0.2</v>
      </c>
      <c r="F585" s="233">
        <v>0.747</v>
      </c>
      <c r="G585" s="234">
        <v>1.4999999999999999E-2</v>
      </c>
      <c r="H585" s="234">
        <v>2.7E-2</v>
      </c>
      <c r="I585" s="22"/>
      <c r="J585" s="22">
        <v>9</v>
      </c>
      <c r="K585" s="22" t="s">
        <v>104</v>
      </c>
      <c r="L585" s="203">
        <v>1.6</v>
      </c>
      <c r="M585" s="203">
        <v>1.5</v>
      </c>
      <c r="N585" s="77">
        <v>0.111</v>
      </c>
      <c r="O585" s="77">
        <v>1.9E-2</v>
      </c>
      <c r="P585" s="77">
        <v>4.3999999999999997E-2</v>
      </c>
    </row>
    <row r="586" spans="1:16" ht="14">
      <c r="A586" s="22"/>
      <c r="B586" s="20">
        <v>10</v>
      </c>
      <c r="C586" s="20" t="s">
        <v>112</v>
      </c>
      <c r="D586" s="227">
        <v>0.2</v>
      </c>
      <c r="E586" s="227">
        <v>0.1</v>
      </c>
      <c r="F586" s="233">
        <v>0.72699999999999998</v>
      </c>
      <c r="G586" s="234">
        <v>8.9999999999999993E-3</v>
      </c>
      <c r="H586" s="234">
        <v>1.7000000000000001E-2</v>
      </c>
      <c r="I586" s="22"/>
      <c r="J586" s="22">
        <v>10</v>
      </c>
      <c r="K586" s="22" t="s">
        <v>112</v>
      </c>
      <c r="L586" s="203">
        <v>1</v>
      </c>
      <c r="M586" s="203">
        <v>0.7</v>
      </c>
      <c r="N586" s="77">
        <v>0.42499999999999999</v>
      </c>
      <c r="O586" s="77">
        <v>1.0999999999999999E-2</v>
      </c>
      <c r="P586" s="77">
        <v>2.1000000000000001E-2</v>
      </c>
    </row>
    <row r="587" spans="1:16" ht="14">
      <c r="A587" s="22"/>
      <c r="B587" s="20"/>
      <c r="C587" s="20" t="s">
        <v>39</v>
      </c>
      <c r="D587" s="227">
        <v>1.2</v>
      </c>
      <c r="E587" s="227">
        <v>0.5</v>
      </c>
      <c r="F587" s="233">
        <v>1.3959999999999999</v>
      </c>
      <c r="G587" s="234">
        <v>5.5E-2</v>
      </c>
      <c r="H587" s="234">
        <v>7.1999999999999995E-2</v>
      </c>
      <c r="I587" s="22"/>
      <c r="J587" s="22"/>
      <c r="K587" s="22" t="s">
        <v>39</v>
      </c>
      <c r="L587" s="203">
        <v>5.2</v>
      </c>
      <c r="M587" s="203">
        <v>1.9</v>
      </c>
      <c r="N587" s="77">
        <v>1.792</v>
      </c>
      <c r="O587" s="77">
        <v>5.8999999999999997E-2</v>
      </c>
      <c r="P587" s="77">
        <v>5.5E-2</v>
      </c>
    </row>
    <row r="588" spans="1:16" ht="14">
      <c r="A588" s="22"/>
      <c r="B588" s="22"/>
      <c r="C588" s="22" t="s">
        <v>48</v>
      </c>
      <c r="D588" s="203">
        <v>21.1</v>
      </c>
      <c r="E588" s="203">
        <v>6.7</v>
      </c>
      <c r="F588" s="122">
        <v>2.1309999999999998</v>
      </c>
      <c r="G588" s="122">
        <v>1</v>
      </c>
      <c r="H588" s="122">
        <v>1</v>
      </c>
      <c r="I588" s="22"/>
      <c r="J588" s="22"/>
      <c r="K588" s="22" t="s">
        <v>48</v>
      </c>
      <c r="L588" s="203">
        <v>88.4</v>
      </c>
      <c r="M588" s="203">
        <v>33.6</v>
      </c>
      <c r="N588" s="122">
        <v>1.627</v>
      </c>
      <c r="O588" s="122">
        <v>1</v>
      </c>
      <c r="P588" s="122">
        <v>1</v>
      </c>
    </row>
    <row r="589" spans="1:16" ht="14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</row>
    <row r="590" spans="1:16" ht="14">
      <c r="A590" s="22"/>
      <c r="B590" s="20" t="s">
        <v>263</v>
      </c>
      <c r="C590" s="20"/>
      <c r="D590" s="20"/>
      <c r="E590" s="20"/>
      <c r="F590" s="20"/>
      <c r="G590" s="20"/>
      <c r="H590" s="20"/>
      <c r="I590" s="22"/>
      <c r="J590" s="22" t="s">
        <v>264</v>
      </c>
      <c r="K590" s="22"/>
      <c r="L590" s="22"/>
      <c r="M590" s="22"/>
      <c r="N590" s="22"/>
      <c r="O590" s="22"/>
      <c r="P590" s="22"/>
    </row>
    <row r="591" spans="1:16" ht="14">
      <c r="A591" s="22"/>
      <c r="B591" s="20" t="s">
        <v>92</v>
      </c>
      <c r="C591" s="22" t="s">
        <v>123</v>
      </c>
      <c r="D591" s="223">
        <v>44287</v>
      </c>
      <c r="E591" s="223">
        <v>43922</v>
      </c>
      <c r="F591" s="235" t="s">
        <v>124</v>
      </c>
      <c r="G591" s="22" t="s">
        <v>180</v>
      </c>
      <c r="H591" s="22" t="s">
        <v>229</v>
      </c>
      <c r="I591" s="22"/>
      <c r="J591" s="22" t="s">
        <v>92</v>
      </c>
      <c r="K591" s="22" t="s">
        <v>123</v>
      </c>
      <c r="L591" s="94" t="s">
        <v>215</v>
      </c>
      <c r="M591" s="94" t="s">
        <v>265</v>
      </c>
      <c r="N591" s="235" t="s">
        <v>124</v>
      </c>
      <c r="O591" s="235" t="s">
        <v>180</v>
      </c>
      <c r="P591" s="235" t="s">
        <v>229</v>
      </c>
    </row>
    <row r="592" spans="1:16" ht="14">
      <c r="A592" s="22"/>
      <c r="B592" s="20">
        <v>1</v>
      </c>
      <c r="C592" s="22" t="s">
        <v>98</v>
      </c>
      <c r="D592" s="22">
        <v>6.2</v>
      </c>
      <c r="E592" s="22">
        <v>2</v>
      </c>
      <c r="F592" s="122">
        <v>2.1349999999999998</v>
      </c>
      <c r="G592" s="122">
        <v>0.35199999999999998</v>
      </c>
      <c r="H592" s="122">
        <v>0.34200000000000003</v>
      </c>
      <c r="I592" s="22"/>
      <c r="J592" s="22">
        <v>1</v>
      </c>
      <c r="K592" s="22" t="s">
        <v>98</v>
      </c>
      <c r="L592" s="203">
        <v>21.4</v>
      </c>
      <c r="M592" s="203">
        <v>5.5</v>
      </c>
      <c r="N592" s="236">
        <v>2.859</v>
      </c>
      <c r="O592" s="236">
        <v>0.32500000000000001</v>
      </c>
      <c r="P592" s="236">
        <v>0.20699999999999999</v>
      </c>
    </row>
    <row r="593" spans="1:16" ht="14">
      <c r="A593" s="22"/>
      <c r="B593" s="20">
        <v>2</v>
      </c>
      <c r="C593" s="22" t="s">
        <v>100</v>
      </c>
      <c r="D593" s="22">
        <v>4.2</v>
      </c>
      <c r="E593" s="22">
        <v>0.9</v>
      </c>
      <c r="F593" s="122">
        <v>3.5550000000000002</v>
      </c>
      <c r="G593" s="122">
        <v>0.23899999999999999</v>
      </c>
      <c r="H593" s="122">
        <v>0.16</v>
      </c>
      <c r="I593" s="22"/>
      <c r="J593" s="22">
        <v>2</v>
      </c>
      <c r="K593" s="22" t="s">
        <v>100</v>
      </c>
      <c r="L593" s="203">
        <v>14.2</v>
      </c>
      <c r="M593" s="203">
        <v>6.1</v>
      </c>
      <c r="N593" s="236">
        <v>1.3260000000000001</v>
      </c>
      <c r="O593" s="236">
        <v>0.215</v>
      </c>
      <c r="P593" s="236">
        <v>0.22800000000000001</v>
      </c>
    </row>
    <row r="594" spans="1:16" ht="14">
      <c r="A594" s="22"/>
      <c r="B594" s="20">
        <v>3</v>
      </c>
      <c r="C594" s="22" t="s">
        <v>99</v>
      </c>
      <c r="D594" s="22">
        <v>1.7</v>
      </c>
      <c r="E594" s="22">
        <v>0.9</v>
      </c>
      <c r="F594" s="122">
        <v>0.76100000000000001</v>
      </c>
      <c r="G594" s="122">
        <v>9.5000000000000001E-2</v>
      </c>
      <c r="H594" s="122">
        <v>0.16400000000000001</v>
      </c>
      <c r="I594" s="22"/>
      <c r="J594" s="22">
        <v>3</v>
      </c>
      <c r="K594" s="22" t="s">
        <v>99</v>
      </c>
      <c r="L594" s="203">
        <v>9.6999999999999993</v>
      </c>
      <c r="M594" s="203">
        <v>6.4</v>
      </c>
      <c r="N594" s="236">
        <v>0.50700000000000001</v>
      </c>
      <c r="O594" s="236">
        <v>0.14699999999999999</v>
      </c>
      <c r="P594" s="236">
        <v>0.23899999999999999</v>
      </c>
    </row>
    <row r="595" spans="1:16" ht="14">
      <c r="A595" s="22"/>
      <c r="B595" s="20">
        <v>4</v>
      </c>
      <c r="C595" s="22" t="s">
        <v>266</v>
      </c>
      <c r="D595" s="22">
        <v>1.3</v>
      </c>
      <c r="E595" s="22">
        <v>0.6</v>
      </c>
      <c r="F595" s="122">
        <v>1.2569999999999999</v>
      </c>
      <c r="G595" s="122">
        <v>7.2999999999999995E-2</v>
      </c>
      <c r="H595" s="122">
        <v>9.8000000000000004E-2</v>
      </c>
      <c r="I595" s="22"/>
      <c r="J595" s="22">
        <v>4</v>
      </c>
      <c r="K595" s="22" t="s">
        <v>266</v>
      </c>
      <c r="L595" s="203">
        <v>4.5</v>
      </c>
      <c r="M595" s="203">
        <v>1.6</v>
      </c>
      <c r="N595" s="236">
        <v>1.8759999999999999</v>
      </c>
      <c r="O595" s="236">
        <v>6.9000000000000006E-2</v>
      </c>
      <c r="P595" s="236">
        <v>5.8999999999999997E-2</v>
      </c>
    </row>
    <row r="596" spans="1:16" ht="14">
      <c r="A596" s="22"/>
      <c r="B596" s="20">
        <v>5</v>
      </c>
      <c r="C596" s="20" t="s">
        <v>105</v>
      </c>
      <c r="D596" s="22">
        <v>0.9</v>
      </c>
      <c r="E596" s="22">
        <v>0.3</v>
      </c>
      <c r="F596" s="122">
        <v>2.2639999999999998</v>
      </c>
      <c r="G596" s="122">
        <v>4.9000000000000002E-2</v>
      </c>
      <c r="H596" s="122">
        <v>4.5999999999999999E-2</v>
      </c>
      <c r="I596" s="22"/>
      <c r="J596" s="22">
        <v>5</v>
      </c>
      <c r="K596" s="20" t="s">
        <v>105</v>
      </c>
      <c r="L596" s="203">
        <v>3.5</v>
      </c>
      <c r="M596" s="203">
        <v>1.9</v>
      </c>
      <c r="N596" s="77">
        <v>0.878</v>
      </c>
      <c r="O596" s="77">
        <v>5.3999999999999999E-2</v>
      </c>
      <c r="P596" s="77">
        <v>7.0000000000000007E-2</v>
      </c>
    </row>
    <row r="597" spans="1:16" ht="14">
      <c r="A597" s="22"/>
      <c r="B597" s="20">
        <v>6</v>
      </c>
      <c r="C597" s="20" t="s">
        <v>106</v>
      </c>
      <c r="D597" s="22">
        <v>0.8</v>
      </c>
      <c r="E597" s="22">
        <v>0.2</v>
      </c>
      <c r="F597" s="122">
        <v>2.4670000000000001</v>
      </c>
      <c r="G597" s="122">
        <v>4.8000000000000001E-2</v>
      </c>
      <c r="H597" s="122">
        <v>4.2000000000000003E-2</v>
      </c>
      <c r="I597" s="22"/>
      <c r="J597" s="22">
        <v>6</v>
      </c>
      <c r="K597" s="20" t="s">
        <v>106</v>
      </c>
      <c r="L597" s="203">
        <v>3.4</v>
      </c>
      <c r="M597" s="203">
        <v>1.4</v>
      </c>
      <c r="N597" s="77">
        <v>1.389</v>
      </c>
      <c r="O597" s="77">
        <v>5.0999999999999997E-2</v>
      </c>
      <c r="P597" s="77">
        <v>5.2999999999999999E-2</v>
      </c>
    </row>
    <row r="598" spans="1:16" ht="14">
      <c r="A598" s="22"/>
      <c r="B598" s="20">
        <v>7</v>
      </c>
      <c r="C598" s="22" t="s">
        <v>111</v>
      </c>
      <c r="D598" s="22">
        <v>0.5</v>
      </c>
      <c r="E598" s="22">
        <v>0.1</v>
      </c>
      <c r="F598" s="122">
        <v>2.5419999999999998</v>
      </c>
      <c r="G598" s="122">
        <v>2.8000000000000001E-2</v>
      </c>
      <c r="H598" s="122">
        <v>2.4E-2</v>
      </c>
      <c r="I598" s="22"/>
      <c r="J598" s="22">
        <v>7</v>
      </c>
      <c r="K598" s="22" t="s">
        <v>111</v>
      </c>
      <c r="L598" s="203">
        <v>1.8</v>
      </c>
      <c r="M598" s="203">
        <v>0.3</v>
      </c>
      <c r="N598" s="77">
        <v>5.6719999999999997</v>
      </c>
      <c r="O598" s="77">
        <v>2.7E-2</v>
      </c>
      <c r="P598" s="77">
        <v>0.01</v>
      </c>
    </row>
    <row r="599" spans="1:16" ht="14">
      <c r="A599" s="22"/>
      <c r="B599" s="20">
        <v>8</v>
      </c>
      <c r="C599" s="22" t="s">
        <v>103</v>
      </c>
      <c r="D599" s="22">
        <v>0.4</v>
      </c>
      <c r="E599" s="22">
        <v>0.1</v>
      </c>
      <c r="F599" s="122">
        <v>3.5190000000000001</v>
      </c>
      <c r="G599" s="122">
        <v>2.3E-2</v>
      </c>
      <c r="H599" s="122">
        <v>1.4999999999999999E-2</v>
      </c>
      <c r="I599" s="22"/>
      <c r="J599" s="22">
        <v>8</v>
      </c>
      <c r="K599" s="22" t="s">
        <v>104</v>
      </c>
      <c r="L599" s="203">
        <v>1.3</v>
      </c>
      <c r="M599" s="203">
        <v>1.3</v>
      </c>
      <c r="N599" s="77">
        <v>1.0999999999999999E-2</v>
      </c>
      <c r="O599" s="77">
        <v>0.02</v>
      </c>
      <c r="P599" s="77">
        <v>4.9000000000000002E-2</v>
      </c>
    </row>
    <row r="600" spans="1:16" ht="14">
      <c r="A600" s="22"/>
      <c r="B600" s="20">
        <v>9</v>
      </c>
      <c r="C600" s="22" t="s">
        <v>104</v>
      </c>
      <c r="D600" s="22">
        <v>0.3</v>
      </c>
      <c r="E600" s="22">
        <v>0.1</v>
      </c>
      <c r="F600" s="122">
        <v>1.32</v>
      </c>
      <c r="G600" s="122">
        <v>1.7000000000000001E-2</v>
      </c>
      <c r="H600" s="122">
        <v>2.1999999999999999E-2</v>
      </c>
      <c r="I600" s="22"/>
      <c r="J600" s="22">
        <v>9</v>
      </c>
      <c r="K600" s="22" t="s">
        <v>103</v>
      </c>
      <c r="L600" s="203">
        <v>1.3</v>
      </c>
      <c r="M600" s="203">
        <v>0.3</v>
      </c>
      <c r="N600" s="77">
        <v>2.83</v>
      </c>
      <c r="O600" s="77">
        <v>0.02</v>
      </c>
      <c r="P600" s="77">
        <v>1.2999999999999999E-2</v>
      </c>
    </row>
    <row r="601" spans="1:16" ht="14">
      <c r="A601" s="22"/>
      <c r="B601" s="22">
        <v>10</v>
      </c>
      <c r="C601" s="22" t="s">
        <v>112</v>
      </c>
      <c r="D601" s="22">
        <v>0.2</v>
      </c>
      <c r="E601" s="22">
        <v>0.1</v>
      </c>
      <c r="F601" s="122">
        <v>1.214</v>
      </c>
      <c r="G601" s="122">
        <v>1.2E-2</v>
      </c>
      <c r="H601" s="122">
        <v>1.6E-2</v>
      </c>
      <c r="I601" s="22"/>
      <c r="J601" s="22">
        <v>10</v>
      </c>
      <c r="K601" s="22" t="s">
        <v>112</v>
      </c>
      <c r="L601" s="203">
        <v>0.8</v>
      </c>
      <c r="M601" s="203">
        <v>0.6</v>
      </c>
      <c r="N601" s="77">
        <v>0.38700000000000001</v>
      </c>
      <c r="O601" s="77">
        <v>1.2999999999999999E-2</v>
      </c>
      <c r="P601" s="77">
        <v>2.1999999999999999E-2</v>
      </c>
    </row>
    <row r="602" spans="1:16" ht="14">
      <c r="A602" s="22"/>
      <c r="B602" s="22"/>
      <c r="C602" s="22" t="s">
        <v>118</v>
      </c>
      <c r="D602" s="22">
        <v>1.1000000000000001</v>
      </c>
      <c r="E602" s="22">
        <v>0.4</v>
      </c>
      <c r="F602" s="122">
        <v>1.8779999999999999</v>
      </c>
      <c r="G602" s="122">
        <v>6.6000000000000003E-2</v>
      </c>
      <c r="H602" s="122">
        <v>7.0000000000000007E-2</v>
      </c>
      <c r="I602" s="22"/>
      <c r="J602" s="22"/>
      <c r="K602" s="22" t="s">
        <v>39</v>
      </c>
      <c r="L602" s="203">
        <v>4</v>
      </c>
      <c r="M602" s="203">
        <v>1.4</v>
      </c>
      <c r="N602" s="77">
        <v>1.927</v>
      </c>
      <c r="O602" s="77">
        <v>6.0999999999999999E-2</v>
      </c>
      <c r="P602" s="77">
        <v>5.0999999999999997E-2</v>
      </c>
    </row>
    <row r="603" spans="1:16" ht="14">
      <c r="A603" s="22"/>
      <c r="B603" s="22"/>
      <c r="C603" s="22" t="s">
        <v>48</v>
      </c>
      <c r="D603" s="22">
        <v>17.5</v>
      </c>
      <c r="E603" s="22">
        <v>5.7</v>
      </c>
      <c r="F603" s="122">
        <v>2.052</v>
      </c>
      <c r="G603" s="122">
        <v>1</v>
      </c>
      <c r="H603" s="122">
        <v>1</v>
      </c>
      <c r="I603" s="22"/>
      <c r="J603" s="22"/>
      <c r="K603" s="22" t="s">
        <v>48</v>
      </c>
      <c r="L603" s="203">
        <v>65.900000000000006</v>
      </c>
      <c r="M603" s="203">
        <v>26.8</v>
      </c>
      <c r="N603" s="122">
        <v>1.4590000000000001</v>
      </c>
      <c r="O603" s="122">
        <v>1</v>
      </c>
      <c r="P603" s="122">
        <v>1</v>
      </c>
    </row>
    <row r="604" spans="1:16" ht="14">
      <c r="A604" s="22"/>
      <c r="B604" s="20"/>
      <c r="C604" s="20"/>
      <c r="D604" s="20"/>
      <c r="E604" s="20"/>
      <c r="F604" s="20"/>
      <c r="G604" s="20"/>
      <c r="H604" s="20"/>
      <c r="I604" s="22"/>
      <c r="J604" s="22"/>
      <c r="K604" s="22"/>
      <c r="L604" s="22"/>
      <c r="M604" s="22"/>
      <c r="N604" s="22"/>
      <c r="O604" s="22"/>
      <c r="P604" s="22"/>
    </row>
    <row r="605" spans="1:16" ht="14">
      <c r="A605" s="22"/>
      <c r="B605" s="20" t="s">
        <v>267</v>
      </c>
      <c r="C605" s="20"/>
      <c r="D605" s="20"/>
      <c r="E605" s="20"/>
      <c r="F605" s="20"/>
      <c r="G605" s="20"/>
      <c r="H605" s="20"/>
      <c r="I605" s="22"/>
      <c r="J605" s="22" t="s">
        <v>268</v>
      </c>
      <c r="K605" s="22"/>
      <c r="L605" s="22"/>
      <c r="M605" s="22"/>
      <c r="N605" s="22"/>
      <c r="O605" s="22"/>
      <c r="P605" s="22"/>
    </row>
    <row r="606" spans="1:16" ht="14">
      <c r="A606" s="22"/>
      <c r="B606" s="20" t="s">
        <v>92</v>
      </c>
      <c r="C606" s="22" t="s">
        <v>123</v>
      </c>
      <c r="D606" s="223">
        <v>44256</v>
      </c>
      <c r="E606" s="223">
        <v>43891</v>
      </c>
      <c r="F606" s="235" t="s">
        <v>124</v>
      </c>
      <c r="G606" s="22" t="s">
        <v>180</v>
      </c>
      <c r="H606" s="22" t="s">
        <v>229</v>
      </c>
      <c r="I606" s="22"/>
      <c r="J606" s="22" t="s">
        <v>92</v>
      </c>
      <c r="K606" s="22" t="s">
        <v>123</v>
      </c>
      <c r="L606" s="94" t="s">
        <v>220</v>
      </c>
      <c r="M606" s="94" t="s">
        <v>269</v>
      </c>
      <c r="N606" s="235" t="s">
        <v>124</v>
      </c>
      <c r="O606" s="235" t="s">
        <v>180</v>
      </c>
      <c r="P606" s="235" t="s">
        <v>229</v>
      </c>
    </row>
    <row r="607" spans="1:16" ht="14">
      <c r="A607" s="22"/>
      <c r="B607" s="20">
        <v>1</v>
      </c>
      <c r="C607" s="22" t="s">
        <v>98</v>
      </c>
      <c r="D607" s="22">
        <v>7</v>
      </c>
      <c r="E607" s="22">
        <v>1.4</v>
      </c>
      <c r="F607" s="122">
        <v>3.5950000000000002</v>
      </c>
      <c r="G607" s="122">
        <v>0.316</v>
      </c>
      <c r="H607" s="122">
        <v>0.16600000000000001</v>
      </c>
      <c r="I607" s="22"/>
      <c r="J607" s="22">
        <v>1</v>
      </c>
      <c r="K607" s="22" t="s">
        <v>98</v>
      </c>
      <c r="L607" s="203">
        <v>15.1</v>
      </c>
      <c r="M607" s="203">
        <v>3.6</v>
      </c>
      <c r="N607" s="236">
        <v>3.2080000000000002</v>
      </c>
      <c r="O607" s="236">
        <v>0.315</v>
      </c>
      <c r="P607" s="236">
        <v>0.17</v>
      </c>
    </row>
    <row r="608" spans="1:16" ht="14">
      <c r="A608" s="22"/>
      <c r="B608" s="20">
        <v>2</v>
      </c>
      <c r="C608" s="22" t="s">
        <v>100</v>
      </c>
      <c r="D608" s="22">
        <v>4.8</v>
      </c>
      <c r="E608" s="22">
        <v>1.9</v>
      </c>
      <c r="F608" s="122">
        <v>1.5629999999999999</v>
      </c>
      <c r="G608" s="122">
        <v>0.216</v>
      </c>
      <c r="H608" s="122">
        <v>0.217</v>
      </c>
      <c r="I608" s="22"/>
      <c r="J608" s="22">
        <v>2</v>
      </c>
      <c r="K608" s="22" t="s">
        <v>100</v>
      </c>
      <c r="L608" s="203">
        <v>9.8000000000000007</v>
      </c>
      <c r="M608" s="203">
        <v>5.2</v>
      </c>
      <c r="N608" s="236">
        <v>0.89300000000000002</v>
      </c>
      <c r="O608" s="236">
        <v>0.20499999999999999</v>
      </c>
      <c r="P608" s="236">
        <v>0.246</v>
      </c>
    </row>
    <row r="609" spans="1:16" ht="14">
      <c r="A609" s="22"/>
      <c r="B609" s="20">
        <v>3</v>
      </c>
      <c r="C609" s="22" t="s">
        <v>99</v>
      </c>
      <c r="D609" s="22">
        <v>3.6</v>
      </c>
      <c r="E609" s="22">
        <v>2.7</v>
      </c>
      <c r="F609" s="122">
        <v>0.36</v>
      </c>
      <c r="G609" s="122">
        <v>0.16400000000000001</v>
      </c>
      <c r="H609" s="122">
        <v>0.31</v>
      </c>
      <c r="I609" s="22"/>
      <c r="J609" s="22">
        <v>3</v>
      </c>
      <c r="K609" s="22" t="s">
        <v>99</v>
      </c>
      <c r="L609" s="203">
        <v>8</v>
      </c>
      <c r="M609" s="203">
        <v>5.5</v>
      </c>
      <c r="N609" s="236">
        <v>0.45900000000000002</v>
      </c>
      <c r="O609" s="236">
        <v>0.16700000000000001</v>
      </c>
      <c r="P609" s="236">
        <v>0.26</v>
      </c>
    </row>
    <row r="610" spans="1:16" ht="14">
      <c r="A610" s="22"/>
      <c r="B610" s="20">
        <v>4</v>
      </c>
      <c r="C610" s="22" t="s">
        <v>266</v>
      </c>
      <c r="D610" s="22">
        <v>1.5</v>
      </c>
      <c r="E610" s="22">
        <v>0.7</v>
      </c>
      <c r="F610" s="122">
        <v>1.238</v>
      </c>
      <c r="G610" s="122">
        <v>6.6000000000000003E-2</v>
      </c>
      <c r="H610" s="122">
        <v>7.5999999999999998E-2</v>
      </c>
      <c r="I610" s="22"/>
      <c r="J610" s="22">
        <v>4</v>
      </c>
      <c r="K610" s="22" t="s">
        <v>266</v>
      </c>
      <c r="L610" s="203">
        <v>3.2</v>
      </c>
      <c r="M610" s="203">
        <v>1</v>
      </c>
      <c r="N610" s="236">
        <v>2.2109999999999999</v>
      </c>
      <c r="O610" s="236">
        <v>6.8000000000000005E-2</v>
      </c>
      <c r="P610" s="236">
        <v>4.8000000000000001E-2</v>
      </c>
    </row>
    <row r="611" spans="1:16" ht="14">
      <c r="A611" s="22"/>
      <c r="B611" s="20">
        <v>5</v>
      </c>
      <c r="C611" s="20" t="s">
        <v>105</v>
      </c>
      <c r="D611" s="22">
        <v>1.2</v>
      </c>
      <c r="E611" s="22">
        <v>0.5</v>
      </c>
      <c r="F611" s="122">
        <v>1.1140000000000001</v>
      </c>
      <c r="G611" s="122">
        <v>5.1999999999999998E-2</v>
      </c>
      <c r="H611" s="122">
        <v>6.4000000000000001E-2</v>
      </c>
      <c r="I611" s="22"/>
      <c r="J611" s="22">
        <v>5</v>
      </c>
      <c r="K611" s="20" t="s">
        <v>105</v>
      </c>
      <c r="L611" s="203">
        <v>2.5</v>
      </c>
      <c r="M611" s="203">
        <v>1.6</v>
      </c>
      <c r="N611" s="236">
        <v>0.57199999999999995</v>
      </c>
      <c r="O611" s="236">
        <v>5.2999999999999999E-2</v>
      </c>
      <c r="P611" s="236">
        <v>7.6999999999999999E-2</v>
      </c>
    </row>
    <row r="612" spans="1:16" ht="14">
      <c r="A612" s="22"/>
      <c r="B612" s="20">
        <v>6</v>
      </c>
      <c r="C612" s="20" t="s">
        <v>106</v>
      </c>
      <c r="D612" s="22">
        <v>1.1000000000000001</v>
      </c>
      <c r="E612" s="22">
        <v>0.4</v>
      </c>
      <c r="F612" s="122">
        <v>1.758</v>
      </c>
      <c r="G612" s="122">
        <v>5.1999999999999998E-2</v>
      </c>
      <c r="H612" s="122">
        <v>4.8000000000000001E-2</v>
      </c>
      <c r="I612" s="22"/>
      <c r="J612" s="22">
        <v>6</v>
      </c>
      <c r="K612" s="20" t="s">
        <v>106</v>
      </c>
      <c r="L612" s="203">
        <v>2.4</v>
      </c>
      <c r="M612" s="203">
        <v>1.2</v>
      </c>
      <c r="N612" s="236">
        <v>1.0860000000000001</v>
      </c>
      <c r="O612" s="236">
        <v>5.0999999999999997E-2</v>
      </c>
      <c r="P612" s="236">
        <v>5.5E-2</v>
      </c>
    </row>
    <row r="613" spans="1:16" ht="14">
      <c r="A613" s="22"/>
      <c r="B613" s="20">
        <v>7</v>
      </c>
      <c r="C613" s="22" t="s">
        <v>111</v>
      </c>
      <c r="D613" s="22">
        <v>0.5</v>
      </c>
      <c r="E613" s="22">
        <v>0.1</v>
      </c>
      <c r="F613" s="122">
        <v>5.88</v>
      </c>
      <c r="G613" s="122">
        <v>2.3E-2</v>
      </c>
      <c r="H613" s="122">
        <v>8.9999999999999993E-3</v>
      </c>
      <c r="I613" s="22"/>
      <c r="J613" s="22">
        <v>7</v>
      </c>
      <c r="K613" s="22" t="s">
        <v>111</v>
      </c>
      <c r="L613" s="203">
        <v>1.3</v>
      </c>
      <c r="M613" s="203">
        <v>0.1</v>
      </c>
      <c r="N613" s="236">
        <v>9.1389999999999993</v>
      </c>
      <c r="O613" s="236">
        <v>2.7E-2</v>
      </c>
      <c r="P613" s="236">
        <v>6.0000000000000001E-3</v>
      </c>
    </row>
    <row r="614" spans="1:16" ht="14">
      <c r="A614" s="22"/>
      <c r="B614" s="20">
        <v>8</v>
      </c>
      <c r="C614" s="22" t="s">
        <v>104</v>
      </c>
      <c r="D614" s="22">
        <v>0.5</v>
      </c>
      <c r="E614" s="22">
        <v>0.4</v>
      </c>
      <c r="F614" s="122">
        <v>0.41799999999999998</v>
      </c>
      <c r="G614" s="122">
        <v>2.3E-2</v>
      </c>
      <c r="H614" s="122">
        <v>4.1000000000000002E-2</v>
      </c>
      <c r="I614" s="22"/>
      <c r="J614" s="22">
        <v>8</v>
      </c>
      <c r="K614" s="22" t="s">
        <v>104</v>
      </c>
      <c r="L614" s="203">
        <v>1</v>
      </c>
      <c r="M614" s="203">
        <v>1.2</v>
      </c>
      <c r="N614" s="236">
        <v>-0.13200000000000001</v>
      </c>
      <c r="O614" s="236">
        <v>2.1000000000000001E-2</v>
      </c>
      <c r="P614" s="236">
        <v>5.6000000000000001E-2</v>
      </c>
    </row>
    <row r="615" spans="1:16" ht="14">
      <c r="A615" s="22"/>
      <c r="B615" s="20">
        <v>9</v>
      </c>
      <c r="C615" s="22" t="s">
        <v>103</v>
      </c>
      <c r="D615" s="22">
        <v>0.4</v>
      </c>
      <c r="E615" s="22">
        <v>0.1</v>
      </c>
      <c r="F615" s="122">
        <v>6.4050000000000002</v>
      </c>
      <c r="G615" s="122">
        <v>1.7999999999999999E-2</v>
      </c>
      <c r="H615" s="122">
        <v>6.0000000000000001E-3</v>
      </c>
      <c r="I615" s="22"/>
      <c r="J615" s="22">
        <v>9</v>
      </c>
      <c r="K615" s="22" t="s">
        <v>103</v>
      </c>
      <c r="L615" s="203">
        <v>0.9</v>
      </c>
      <c r="M615" s="203">
        <v>0.3</v>
      </c>
      <c r="N615" s="236">
        <v>2.59</v>
      </c>
      <c r="O615" s="236">
        <v>1.9E-2</v>
      </c>
      <c r="P615" s="236">
        <v>1.2E-2</v>
      </c>
    </row>
    <row r="616" spans="1:16" ht="14">
      <c r="A616" s="22"/>
      <c r="B616" s="22">
        <v>10</v>
      </c>
      <c r="C616" s="22" t="s">
        <v>112</v>
      </c>
      <c r="D616" s="22">
        <v>0.2</v>
      </c>
      <c r="E616" s="22">
        <v>0.2</v>
      </c>
      <c r="F616" s="122">
        <v>0.48499999999999999</v>
      </c>
      <c r="G616" s="122">
        <v>1.0999999999999999E-2</v>
      </c>
      <c r="H616" s="122">
        <v>1.9E-2</v>
      </c>
      <c r="I616" s="22"/>
      <c r="J616" s="22">
        <v>10</v>
      </c>
      <c r="K616" s="22" t="s">
        <v>112</v>
      </c>
      <c r="L616" s="203">
        <v>0.6</v>
      </c>
      <c r="M616" s="203">
        <v>0.5</v>
      </c>
      <c r="N616" s="236">
        <v>0.20699999999999999</v>
      </c>
      <c r="O616" s="236">
        <v>1.2999999999999999E-2</v>
      </c>
      <c r="P616" s="236">
        <v>2.4E-2</v>
      </c>
    </row>
    <row r="617" spans="1:16" ht="14">
      <c r="A617" s="22"/>
      <c r="B617" s="22"/>
      <c r="C617" s="22" t="s">
        <v>118</v>
      </c>
      <c r="D617" s="22">
        <v>1.3</v>
      </c>
      <c r="E617" s="22">
        <v>0.4</v>
      </c>
      <c r="F617" s="122">
        <v>2.6280000000000001</v>
      </c>
      <c r="G617" s="122">
        <v>5.8000000000000003E-2</v>
      </c>
      <c r="H617" s="122">
        <v>4.1000000000000002E-2</v>
      </c>
      <c r="I617" s="22"/>
      <c r="J617" s="22"/>
      <c r="K617" s="22" t="s">
        <v>39</v>
      </c>
      <c r="L617" s="203">
        <v>2.9</v>
      </c>
      <c r="M617" s="203">
        <v>1</v>
      </c>
      <c r="N617" s="236">
        <v>1.9890000000000001</v>
      </c>
      <c r="O617" s="236">
        <v>0.06</v>
      </c>
      <c r="P617" s="236">
        <v>4.5999999999999999E-2</v>
      </c>
    </row>
    <row r="618" spans="1:16" ht="14">
      <c r="A618" s="22"/>
      <c r="B618" s="22"/>
      <c r="C618" s="22" t="s">
        <v>48</v>
      </c>
      <c r="D618" s="22">
        <v>22.1</v>
      </c>
      <c r="E618" s="22">
        <v>8.6</v>
      </c>
      <c r="F618" s="122">
        <v>1.5780000000000001</v>
      </c>
      <c r="G618" s="122">
        <v>1</v>
      </c>
      <c r="H618" s="122">
        <v>1</v>
      </c>
      <c r="I618" s="22"/>
      <c r="J618" s="235"/>
      <c r="K618" s="22" t="s">
        <v>48</v>
      </c>
      <c r="L618" s="203">
        <v>47.8</v>
      </c>
      <c r="M618" s="203">
        <v>21</v>
      </c>
      <c r="N618" s="122">
        <v>1.27</v>
      </c>
      <c r="O618" s="122">
        <v>1</v>
      </c>
      <c r="P618" s="122">
        <v>1</v>
      </c>
    </row>
    <row r="620" spans="1:16" ht="14">
      <c r="A620" s="22"/>
      <c r="B620" s="20" t="s">
        <v>270</v>
      </c>
      <c r="C620" s="20"/>
      <c r="D620" s="20"/>
      <c r="E620" s="20"/>
      <c r="F620" s="20"/>
      <c r="G620" s="20"/>
      <c r="H620" s="20"/>
      <c r="I620" s="22"/>
      <c r="J620" s="22" t="s">
        <v>271</v>
      </c>
      <c r="K620" s="22"/>
      <c r="L620" s="22"/>
      <c r="M620" s="22"/>
      <c r="N620" s="22"/>
      <c r="O620" s="22"/>
      <c r="P620" s="22"/>
    </row>
    <row r="621" spans="1:16" ht="14">
      <c r="A621" s="22"/>
      <c r="B621" s="20" t="s">
        <v>92</v>
      </c>
      <c r="C621" s="22" t="s">
        <v>123</v>
      </c>
      <c r="D621" s="223">
        <v>44228</v>
      </c>
      <c r="E621" s="223">
        <v>43862</v>
      </c>
      <c r="F621" s="235" t="s">
        <v>124</v>
      </c>
      <c r="G621" s="235" t="s">
        <v>180</v>
      </c>
      <c r="H621" s="235" t="s">
        <v>229</v>
      </c>
      <c r="I621" s="22"/>
      <c r="J621" s="22" t="s">
        <v>92</v>
      </c>
      <c r="K621" s="22" t="s">
        <v>123</v>
      </c>
      <c r="L621" s="94" t="s">
        <v>224</v>
      </c>
      <c r="M621" s="94" t="s">
        <v>272</v>
      </c>
      <c r="N621" s="235" t="s">
        <v>124</v>
      </c>
      <c r="O621" s="235" t="s">
        <v>180</v>
      </c>
      <c r="P621" s="235" t="s">
        <v>229</v>
      </c>
    </row>
    <row r="622" spans="1:16" ht="14">
      <c r="A622" s="22"/>
      <c r="B622" s="20">
        <v>1</v>
      </c>
      <c r="C622" s="22" t="s">
        <v>98</v>
      </c>
      <c r="D622" s="22">
        <v>3.1</v>
      </c>
      <c r="E622" s="22">
        <v>0.5</v>
      </c>
      <c r="F622" s="236">
        <v>4.7229999999999999</v>
      </c>
      <c r="G622" s="236">
        <v>0.27800000000000002</v>
      </c>
      <c r="H622" s="236">
        <v>0.10100000000000001</v>
      </c>
      <c r="I622" s="22"/>
      <c r="J622" s="22">
        <v>1</v>
      </c>
      <c r="K622" s="22" t="s">
        <v>98</v>
      </c>
      <c r="L622" s="203">
        <v>8</v>
      </c>
      <c r="M622" s="203">
        <v>2.1</v>
      </c>
      <c r="N622" s="236">
        <v>2.7210000000000001</v>
      </c>
      <c r="O622" s="236">
        <v>0.317</v>
      </c>
      <c r="P622" s="236">
        <v>0.17299999999999999</v>
      </c>
    </row>
    <row r="623" spans="1:16" ht="14">
      <c r="A623" s="22"/>
      <c r="B623" s="20">
        <v>2</v>
      </c>
      <c r="C623" s="22" t="s">
        <v>100</v>
      </c>
      <c r="D623" s="22">
        <v>2.6</v>
      </c>
      <c r="E623" s="22">
        <v>1.6</v>
      </c>
      <c r="F623" s="236">
        <v>0.621</v>
      </c>
      <c r="G623" s="236">
        <v>0.23400000000000001</v>
      </c>
      <c r="H623" s="236">
        <v>0.30199999999999999</v>
      </c>
      <c r="I623" s="22"/>
      <c r="J623" s="22">
        <v>2</v>
      </c>
      <c r="K623" s="22" t="s">
        <v>100</v>
      </c>
      <c r="L623" s="203">
        <v>4.8</v>
      </c>
      <c r="M623" s="203">
        <v>3.3</v>
      </c>
      <c r="N623" s="236">
        <v>0.45800000000000002</v>
      </c>
      <c r="O623" s="236">
        <v>0.192</v>
      </c>
      <c r="P623" s="236">
        <v>0.26600000000000001</v>
      </c>
    </row>
    <row r="624" spans="1:16" ht="14">
      <c r="A624" s="22"/>
      <c r="B624" s="20">
        <v>3</v>
      </c>
      <c r="C624" s="22" t="s">
        <v>99</v>
      </c>
      <c r="D624" s="22">
        <v>2.2000000000000002</v>
      </c>
      <c r="E624" s="22">
        <v>1.4</v>
      </c>
      <c r="F624" s="236">
        <v>0.55800000000000005</v>
      </c>
      <c r="G624" s="236">
        <v>0.19400000000000001</v>
      </c>
      <c r="H624" s="236">
        <v>0.26</v>
      </c>
      <c r="I624" s="22"/>
      <c r="J624" s="22">
        <v>3</v>
      </c>
      <c r="K624" s="22" t="s">
        <v>99</v>
      </c>
      <c r="L624" s="203">
        <v>4.3</v>
      </c>
      <c r="M624" s="203">
        <v>2.8</v>
      </c>
      <c r="N624" s="236">
        <v>0.54400000000000004</v>
      </c>
      <c r="O624" s="236">
        <v>0.17199999999999999</v>
      </c>
      <c r="P624" s="236">
        <v>0.22500000000000001</v>
      </c>
    </row>
    <row r="625" spans="1:16" ht="14">
      <c r="A625" s="22"/>
      <c r="B625" s="20">
        <v>4</v>
      </c>
      <c r="C625" s="22" t="s">
        <v>106</v>
      </c>
      <c r="D625" s="22">
        <v>0.7</v>
      </c>
      <c r="E625" s="22">
        <v>0.4</v>
      </c>
      <c r="F625" s="236">
        <v>0.66200000000000003</v>
      </c>
      <c r="G625" s="236">
        <v>6.3E-2</v>
      </c>
      <c r="H625" s="236">
        <v>7.9000000000000001E-2</v>
      </c>
      <c r="I625" s="22"/>
      <c r="J625" s="22">
        <v>4</v>
      </c>
      <c r="K625" s="22" t="s">
        <v>266</v>
      </c>
      <c r="L625" s="203">
        <v>1.8</v>
      </c>
      <c r="M625" s="203">
        <v>0.4</v>
      </c>
      <c r="N625" s="236">
        <v>4.0179999999999998</v>
      </c>
      <c r="O625" s="236">
        <v>7.0000000000000007E-2</v>
      </c>
      <c r="P625" s="236">
        <v>2.8000000000000001E-2</v>
      </c>
    </row>
    <row r="626" spans="1:16" ht="14">
      <c r="A626" s="22"/>
      <c r="B626" s="20">
        <v>5</v>
      </c>
      <c r="C626" s="20" t="s">
        <v>105</v>
      </c>
      <c r="D626" s="22">
        <v>0.6</v>
      </c>
      <c r="E626" s="22">
        <v>0.5</v>
      </c>
      <c r="F626" s="236">
        <v>0.23400000000000001</v>
      </c>
      <c r="G626" s="236">
        <v>5.7000000000000002E-2</v>
      </c>
      <c r="H626" s="236">
        <v>9.6000000000000002E-2</v>
      </c>
      <c r="I626" s="22"/>
      <c r="J626" s="22">
        <v>5</v>
      </c>
      <c r="K626" s="22" t="s">
        <v>105</v>
      </c>
      <c r="L626" s="203">
        <v>1.3</v>
      </c>
      <c r="M626" s="203">
        <v>1.1000000000000001</v>
      </c>
      <c r="N626" s="236">
        <v>0.23799999999999999</v>
      </c>
      <c r="O626" s="236">
        <v>5.2999999999999999E-2</v>
      </c>
      <c r="P626" s="236">
        <v>8.5999999999999993E-2</v>
      </c>
    </row>
    <row r="627" spans="1:16" ht="14">
      <c r="A627" s="22"/>
      <c r="B627" s="20">
        <v>6</v>
      </c>
      <c r="C627" s="20" t="s">
        <v>266</v>
      </c>
      <c r="D627" s="22">
        <v>0.6</v>
      </c>
      <c r="E627" s="22">
        <v>0.1</v>
      </c>
      <c r="F627" s="236">
        <v>4.8369999999999997</v>
      </c>
      <c r="G627" s="236">
        <v>5.0999999999999997E-2</v>
      </c>
      <c r="H627" s="236">
        <v>1.7999999999999999E-2</v>
      </c>
      <c r="I627" s="22"/>
      <c r="J627" s="22">
        <v>6</v>
      </c>
      <c r="K627" s="20" t="s">
        <v>106</v>
      </c>
      <c r="L627" s="203">
        <v>1.3</v>
      </c>
      <c r="M627" s="203">
        <v>0.7</v>
      </c>
      <c r="N627" s="236">
        <v>0.69</v>
      </c>
      <c r="O627" s="236">
        <v>0.05</v>
      </c>
      <c r="P627" s="236">
        <v>0.06</v>
      </c>
    </row>
    <row r="628" spans="1:16" ht="14">
      <c r="A628" s="22"/>
      <c r="B628" s="20">
        <v>7</v>
      </c>
      <c r="C628" s="22" t="s">
        <v>111</v>
      </c>
      <c r="D628" s="22">
        <v>0.3</v>
      </c>
      <c r="E628" s="22">
        <v>0</v>
      </c>
      <c r="F628" s="236" t="s">
        <v>115</v>
      </c>
      <c r="G628" s="236">
        <v>2.5000000000000001E-2</v>
      </c>
      <c r="H628" s="236">
        <v>1E-3</v>
      </c>
      <c r="I628" s="22"/>
      <c r="J628" s="22">
        <v>7</v>
      </c>
      <c r="K628" s="22" t="s">
        <v>111</v>
      </c>
      <c r="L628" s="203">
        <v>0.8</v>
      </c>
      <c r="M628" s="203">
        <v>0.1</v>
      </c>
      <c r="N628" s="236">
        <v>13.84</v>
      </c>
      <c r="O628" s="236">
        <v>0.03</v>
      </c>
      <c r="P628" s="236">
        <v>4.0000000000000001E-3</v>
      </c>
    </row>
    <row r="629" spans="1:16" ht="14">
      <c r="A629" s="22"/>
      <c r="B629" s="20">
        <v>8</v>
      </c>
      <c r="C629" s="22" t="s">
        <v>104</v>
      </c>
      <c r="D629" s="22">
        <v>0.3</v>
      </c>
      <c r="E629" s="22">
        <v>0.5</v>
      </c>
      <c r="F629" s="236">
        <v>-0.45500000000000002</v>
      </c>
      <c r="G629" s="236">
        <v>2.1999999999999999E-2</v>
      </c>
      <c r="H629" s="236">
        <v>8.5000000000000006E-2</v>
      </c>
      <c r="I629" s="22"/>
      <c r="J629" s="22">
        <v>8</v>
      </c>
      <c r="K629" s="22" t="s">
        <v>104</v>
      </c>
      <c r="L629" s="203">
        <v>0.5</v>
      </c>
      <c r="M629" s="203">
        <v>0.8</v>
      </c>
      <c r="N629" s="236">
        <v>-0.38200000000000001</v>
      </c>
      <c r="O629" s="236">
        <v>0.02</v>
      </c>
      <c r="P629" s="236">
        <v>6.6000000000000003E-2</v>
      </c>
    </row>
    <row r="630" spans="1:16" ht="14">
      <c r="A630" s="22"/>
      <c r="B630" s="20">
        <v>9</v>
      </c>
      <c r="C630" s="22" t="s">
        <v>103</v>
      </c>
      <c r="D630" s="22">
        <v>0.2</v>
      </c>
      <c r="E630" s="22">
        <v>0</v>
      </c>
      <c r="F630" s="236">
        <v>14.119</v>
      </c>
      <c r="G630" s="236">
        <v>1.4999999999999999E-2</v>
      </c>
      <c r="H630" s="236">
        <v>2E-3</v>
      </c>
      <c r="I630" s="22"/>
      <c r="J630" s="22">
        <v>9</v>
      </c>
      <c r="K630" s="22" t="s">
        <v>103</v>
      </c>
      <c r="L630" s="203">
        <v>0.5</v>
      </c>
      <c r="M630" s="203">
        <v>0.2</v>
      </c>
      <c r="N630" s="236">
        <v>1.532</v>
      </c>
      <c r="O630" s="236">
        <v>0.02</v>
      </c>
      <c r="P630" s="236">
        <v>1.6E-2</v>
      </c>
    </row>
    <row r="631" spans="1:16" ht="14">
      <c r="A631" s="22"/>
      <c r="B631" s="22">
        <v>10</v>
      </c>
      <c r="C631" s="22" t="s">
        <v>112</v>
      </c>
      <c r="D631" s="22">
        <v>0.2</v>
      </c>
      <c r="E631" s="22">
        <v>0.2</v>
      </c>
      <c r="F631" s="236">
        <v>3.1E-2</v>
      </c>
      <c r="G631" s="236">
        <v>1.4E-2</v>
      </c>
      <c r="H631" s="236">
        <v>2.9000000000000001E-2</v>
      </c>
      <c r="I631" s="22"/>
      <c r="J631" s="22">
        <v>10</v>
      </c>
      <c r="K631" s="22" t="s">
        <v>112</v>
      </c>
      <c r="L631" s="203">
        <v>0.3</v>
      </c>
      <c r="M631" s="203">
        <v>0.3</v>
      </c>
      <c r="N631" s="236">
        <v>3.5000000000000003E-2</v>
      </c>
      <c r="O631" s="236">
        <v>1.4E-2</v>
      </c>
      <c r="P631" s="236">
        <v>2.7E-2</v>
      </c>
    </row>
    <row r="632" spans="1:16" ht="14">
      <c r="A632" s="22"/>
      <c r="B632" s="22"/>
      <c r="C632" s="22" t="s">
        <v>118</v>
      </c>
      <c r="D632" s="22">
        <v>0.5</v>
      </c>
      <c r="E632" s="22">
        <v>0.1</v>
      </c>
      <c r="F632" s="236">
        <v>2.7149999999999999</v>
      </c>
      <c r="G632" s="236">
        <v>4.7E-2</v>
      </c>
      <c r="H632" s="236">
        <v>2.5999999999999999E-2</v>
      </c>
      <c r="I632" s="22"/>
      <c r="J632" s="22"/>
      <c r="K632" s="22" t="s">
        <v>39</v>
      </c>
      <c r="L632" s="203">
        <v>1.6</v>
      </c>
      <c r="M632" s="203">
        <v>0.6</v>
      </c>
      <c r="N632" s="236">
        <v>1.5549999999999999</v>
      </c>
      <c r="O632" s="236">
        <v>6.2E-2</v>
      </c>
      <c r="P632" s="236">
        <v>4.9000000000000002E-2</v>
      </c>
    </row>
    <row r="633" spans="1:16" ht="14">
      <c r="A633" s="22"/>
      <c r="B633" s="22"/>
      <c r="C633" s="22" t="s">
        <v>48</v>
      </c>
      <c r="D633" s="22">
        <v>11.2</v>
      </c>
      <c r="E633" s="22">
        <v>5.4</v>
      </c>
      <c r="F633" s="122">
        <v>1.0880000000000001</v>
      </c>
      <c r="G633" s="122">
        <v>1</v>
      </c>
      <c r="H633" s="122">
        <v>1</v>
      </c>
      <c r="I633" s="22"/>
      <c r="J633" s="235"/>
      <c r="K633" s="22" t="s">
        <v>48</v>
      </c>
      <c r="L633" s="203">
        <v>25.2</v>
      </c>
      <c r="M633" s="203">
        <v>12.5</v>
      </c>
      <c r="N633" s="122">
        <v>1.024</v>
      </c>
      <c r="O633" s="122">
        <v>1</v>
      </c>
      <c r="P633" s="122">
        <v>1</v>
      </c>
    </row>
    <row r="635" spans="1:16" ht="14">
      <c r="A635" s="22"/>
      <c r="B635" s="20" t="s">
        <v>273</v>
      </c>
      <c r="C635" s="20"/>
      <c r="D635" s="20"/>
      <c r="E635" s="20"/>
      <c r="F635" s="20"/>
      <c r="G635" s="20"/>
      <c r="H635" s="20"/>
      <c r="I635" s="22"/>
      <c r="J635" s="22"/>
      <c r="K635" s="22"/>
      <c r="L635" s="22"/>
      <c r="M635" s="22"/>
      <c r="N635" s="22"/>
      <c r="O635" s="22"/>
      <c r="P635" s="22"/>
    </row>
    <row r="636" spans="1:16" ht="14">
      <c r="A636" s="22"/>
      <c r="B636" s="20" t="s">
        <v>92</v>
      </c>
      <c r="C636" s="22" t="s">
        <v>123</v>
      </c>
      <c r="D636" s="223">
        <v>44197</v>
      </c>
      <c r="E636" s="223">
        <v>43831</v>
      </c>
      <c r="F636" s="235" t="s">
        <v>124</v>
      </c>
      <c r="G636" s="22" t="s">
        <v>180</v>
      </c>
      <c r="H636" s="22" t="s">
        <v>229</v>
      </c>
      <c r="I636" s="22"/>
      <c r="J636" s="22"/>
      <c r="K636" s="22"/>
      <c r="L636" s="22"/>
      <c r="M636" s="22"/>
      <c r="N636" s="22"/>
      <c r="O636" s="22"/>
      <c r="P636" s="22"/>
    </row>
    <row r="637" spans="1:16" ht="14">
      <c r="A637" s="22"/>
      <c r="B637" s="20">
        <v>1</v>
      </c>
      <c r="C637" s="22" t="s">
        <v>98</v>
      </c>
      <c r="D637" s="22">
        <v>4.3</v>
      </c>
      <c r="E637" s="22">
        <v>1.6</v>
      </c>
      <c r="F637" s="122">
        <v>1.6619999999999999</v>
      </c>
      <c r="G637" s="122">
        <v>0.312</v>
      </c>
      <c r="H637" s="122">
        <v>0.22800000000000001</v>
      </c>
      <c r="I637" s="22"/>
      <c r="J637" s="22"/>
      <c r="K637" s="22"/>
      <c r="L637" s="22"/>
      <c r="M637" s="22"/>
      <c r="N637" s="22"/>
      <c r="O637" s="22"/>
      <c r="P637" s="22"/>
    </row>
    <row r="638" spans="1:16" ht="14">
      <c r="A638" s="22"/>
      <c r="B638" s="20">
        <v>2</v>
      </c>
      <c r="C638" s="22" t="s">
        <v>100</v>
      </c>
      <c r="D638" s="22">
        <v>2.5</v>
      </c>
      <c r="E638" s="22">
        <v>1.7</v>
      </c>
      <c r="F638" s="122">
        <v>0.50600000000000001</v>
      </c>
      <c r="G638" s="122">
        <v>0.185</v>
      </c>
      <c r="H638" s="122">
        <v>0.23899999999999999</v>
      </c>
      <c r="I638" s="22"/>
      <c r="J638" s="22"/>
      <c r="K638" s="22"/>
      <c r="L638" s="22"/>
      <c r="M638" s="22"/>
      <c r="N638" s="22"/>
      <c r="O638" s="22"/>
      <c r="P638" s="22"/>
    </row>
    <row r="639" spans="1:16" ht="14">
      <c r="A639" s="22"/>
      <c r="B639" s="20">
        <v>3</v>
      </c>
      <c r="C639" s="22" t="s">
        <v>99</v>
      </c>
      <c r="D639" s="22">
        <v>2.1</v>
      </c>
      <c r="E639" s="22">
        <v>1.4</v>
      </c>
      <c r="F639" s="122">
        <v>0.51900000000000002</v>
      </c>
      <c r="G639" s="122">
        <v>0.156</v>
      </c>
      <c r="H639" s="122">
        <v>0.19900000000000001</v>
      </c>
      <c r="I639" s="22"/>
      <c r="J639" s="22"/>
      <c r="K639" s="22"/>
      <c r="L639" s="22"/>
      <c r="M639" s="22"/>
      <c r="N639" s="22"/>
      <c r="O639" s="22"/>
      <c r="P639" s="22"/>
    </row>
    <row r="640" spans="1:16" ht="14">
      <c r="A640" s="22"/>
      <c r="B640" s="20">
        <v>4</v>
      </c>
      <c r="C640" s="22" t="s">
        <v>266</v>
      </c>
      <c r="D640" s="22">
        <v>1.2</v>
      </c>
      <c r="E640" s="22">
        <v>0.3</v>
      </c>
      <c r="F640" s="122">
        <v>3.819</v>
      </c>
      <c r="G640" s="122">
        <v>8.8999999999999996E-2</v>
      </c>
      <c r="H640" s="122">
        <v>3.5999999999999997E-2</v>
      </c>
      <c r="I640" s="22"/>
      <c r="J640" s="22"/>
      <c r="K640" s="22"/>
      <c r="L640" s="22"/>
      <c r="M640" s="22"/>
      <c r="N640" s="22"/>
      <c r="O640" s="22"/>
      <c r="P640" s="22"/>
    </row>
    <row r="641" spans="1:16" ht="14">
      <c r="A641" s="22"/>
      <c r="B641" s="20">
        <v>5</v>
      </c>
      <c r="C641" s="20" t="s">
        <v>105</v>
      </c>
      <c r="D641" s="22">
        <v>0.7</v>
      </c>
      <c r="E641" s="22">
        <v>0.5</v>
      </c>
      <c r="F641" s="122">
        <v>0.186</v>
      </c>
      <c r="G641" s="122">
        <v>4.8000000000000001E-2</v>
      </c>
      <c r="H641" s="122">
        <v>7.8E-2</v>
      </c>
      <c r="I641" s="22"/>
      <c r="J641" s="22"/>
      <c r="K641" s="22"/>
      <c r="L641" s="22"/>
      <c r="M641" s="22"/>
      <c r="N641" s="22"/>
      <c r="O641" s="22"/>
      <c r="P641" s="22"/>
    </row>
    <row r="642" spans="1:16" ht="14">
      <c r="A642" s="22"/>
      <c r="B642" s="20">
        <v>6</v>
      </c>
      <c r="C642" s="22" t="s">
        <v>111</v>
      </c>
      <c r="D642" s="22">
        <v>0.6</v>
      </c>
      <c r="E642" s="22">
        <v>0</v>
      </c>
      <c r="F642" s="122">
        <v>10.871</v>
      </c>
      <c r="G642" s="122">
        <v>4.1000000000000002E-2</v>
      </c>
      <c r="H642" s="122">
        <v>7.0000000000000001E-3</v>
      </c>
      <c r="I642" s="22"/>
      <c r="J642" s="22"/>
      <c r="K642" s="22"/>
      <c r="L642" s="22"/>
      <c r="M642" s="22"/>
      <c r="N642" s="22"/>
      <c r="O642" s="22"/>
      <c r="P642" s="22"/>
    </row>
    <row r="643" spans="1:16" ht="14">
      <c r="A643" s="22"/>
      <c r="B643" s="20">
        <v>7</v>
      </c>
      <c r="C643" s="22" t="s">
        <v>106</v>
      </c>
      <c r="D643" s="22">
        <v>0.5</v>
      </c>
      <c r="E643" s="22">
        <v>0.3</v>
      </c>
      <c r="F643" s="122">
        <v>0.68500000000000005</v>
      </c>
      <c r="G643" s="122">
        <v>3.9E-2</v>
      </c>
      <c r="H643" s="122">
        <v>4.4999999999999998E-2</v>
      </c>
      <c r="I643" s="22"/>
      <c r="J643" s="22"/>
      <c r="K643" s="22"/>
      <c r="L643" s="22"/>
      <c r="M643" s="22"/>
      <c r="N643" s="22"/>
      <c r="O643" s="22"/>
      <c r="P643" s="22"/>
    </row>
    <row r="644" spans="1:16" ht="14">
      <c r="A644" s="22"/>
      <c r="B644" s="20">
        <v>8</v>
      </c>
      <c r="C644" s="22" t="s">
        <v>103</v>
      </c>
      <c r="D644" s="22">
        <v>0.3</v>
      </c>
      <c r="E644" s="22">
        <v>0.2</v>
      </c>
      <c r="F644" s="122">
        <v>0.68400000000000005</v>
      </c>
      <c r="G644" s="122">
        <v>2.3E-2</v>
      </c>
      <c r="H644" s="122">
        <v>2.7E-2</v>
      </c>
      <c r="I644" s="22"/>
      <c r="J644" s="22"/>
      <c r="K644" s="22"/>
      <c r="L644" s="22"/>
      <c r="M644" s="22"/>
      <c r="N644" s="22"/>
      <c r="O644" s="22"/>
      <c r="P644" s="22"/>
    </row>
    <row r="645" spans="1:16" ht="14">
      <c r="A645" s="22"/>
      <c r="B645" s="20">
        <v>9</v>
      </c>
      <c r="C645" s="22" t="s">
        <v>104</v>
      </c>
      <c r="D645" s="22">
        <v>0.2</v>
      </c>
      <c r="E645" s="22">
        <v>0.4</v>
      </c>
      <c r="F645" s="122">
        <v>-0.30499999999999999</v>
      </c>
      <c r="G645" s="122">
        <v>1.7999999999999999E-2</v>
      </c>
      <c r="H645" s="122">
        <v>5.0999999999999997E-2</v>
      </c>
      <c r="I645" s="22"/>
      <c r="J645" s="22"/>
      <c r="K645" s="22"/>
      <c r="L645" s="22"/>
      <c r="M645" s="22"/>
      <c r="N645" s="22"/>
      <c r="O645" s="22"/>
      <c r="P645" s="22"/>
    </row>
    <row r="646" spans="1:16" ht="14">
      <c r="A646" s="22"/>
      <c r="B646" s="22">
        <v>10</v>
      </c>
      <c r="C646" s="22" t="s">
        <v>112</v>
      </c>
      <c r="D646" s="22">
        <v>0.2</v>
      </c>
      <c r="E646" s="22">
        <v>0.2</v>
      </c>
      <c r="F646" s="122">
        <v>3.7999999999999999E-2</v>
      </c>
      <c r="G646" s="122">
        <v>1.4E-2</v>
      </c>
      <c r="H646" s="122">
        <v>2.5999999999999999E-2</v>
      </c>
      <c r="I646" s="22"/>
      <c r="J646" s="22"/>
      <c r="K646" s="22"/>
      <c r="L646" s="22"/>
      <c r="M646" s="22"/>
      <c r="N646" s="22"/>
      <c r="O646" s="22"/>
      <c r="P646" s="22"/>
    </row>
    <row r="647" spans="1:16" ht="14">
      <c r="A647" s="22"/>
      <c r="B647" s="22"/>
      <c r="C647" s="22" t="s">
        <v>118</v>
      </c>
      <c r="D647" s="22">
        <v>1</v>
      </c>
      <c r="E647" s="22">
        <v>0.5</v>
      </c>
      <c r="F647" s="122">
        <v>1.1990000000000001</v>
      </c>
      <c r="G647" s="122">
        <v>7.4999999999999997E-2</v>
      </c>
      <c r="H647" s="122">
        <v>6.6000000000000003E-2</v>
      </c>
      <c r="I647" s="22"/>
      <c r="J647" s="22"/>
      <c r="K647" s="22"/>
      <c r="L647" s="22"/>
      <c r="M647" s="22"/>
      <c r="N647" s="22"/>
      <c r="O647" s="22"/>
      <c r="P647" s="22"/>
    </row>
    <row r="648" spans="1:16" ht="14">
      <c r="A648" s="22"/>
      <c r="B648" s="22"/>
      <c r="C648" s="22" t="s">
        <v>48</v>
      </c>
      <c r="D648" s="22">
        <v>13.7</v>
      </c>
      <c r="E648" s="22">
        <v>7</v>
      </c>
      <c r="F648" s="122">
        <v>0.94</v>
      </c>
      <c r="G648" s="122">
        <v>1</v>
      </c>
      <c r="H648" s="122">
        <v>1</v>
      </c>
      <c r="I648" s="22"/>
      <c r="J648" s="235"/>
      <c r="K648" s="22"/>
      <c r="L648" s="22"/>
      <c r="M648" s="22"/>
      <c r="N648" s="22"/>
      <c r="O648" s="22"/>
      <c r="P648" s="22"/>
    </row>
    <row r="649" spans="1:16" ht="14">
      <c r="A649" s="22"/>
      <c r="B649" s="20"/>
      <c r="C649" s="22"/>
      <c r="D649" s="22"/>
      <c r="E649" s="22"/>
      <c r="F649" s="22"/>
      <c r="G649" s="22"/>
      <c r="H649" s="22"/>
      <c r="I649" s="22"/>
      <c r="J649" s="122"/>
      <c r="K649" s="22"/>
      <c r="L649" s="22"/>
      <c r="M649" s="22"/>
      <c r="N649" s="22"/>
      <c r="O649" s="22"/>
      <c r="P649" s="22"/>
    </row>
  </sheetData>
  <sortState xmlns:xlrd2="http://schemas.microsoft.com/office/spreadsheetml/2017/richdata2" ref="B100:H109">
    <sortCondition descending="1" ref="D100:D109"/>
  </sortState>
  <phoneticPr fontId="45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343"/>
  <sheetViews>
    <sheetView workbookViewId="0">
      <selection activeCell="I9" sqref="I9"/>
    </sheetView>
  </sheetViews>
  <sheetFormatPr baseColWidth="10" defaultColWidth="9" defaultRowHeight="14"/>
  <cols>
    <col min="1" max="1" width="8.83203125" customWidth="1"/>
    <col min="2" max="17" width="10.6640625" customWidth="1"/>
  </cols>
  <sheetData>
    <row r="1" spans="1:18">
      <c r="A1" s="160" t="s">
        <v>119</v>
      </c>
    </row>
    <row r="2" spans="1:18">
      <c r="B2" s="160" t="s">
        <v>274</v>
      </c>
    </row>
    <row r="3" spans="1:18">
      <c r="B3" s="160"/>
    </row>
    <row r="4" spans="1:18">
      <c r="B4" s="160"/>
    </row>
    <row r="5" spans="1:18">
      <c r="B5" s="160"/>
    </row>
    <row r="6" spans="1:18">
      <c r="B6" s="160" t="s">
        <v>275</v>
      </c>
      <c r="K6" s="160" t="s">
        <v>276</v>
      </c>
    </row>
    <row r="7" spans="1:18">
      <c r="B7" s="161" t="s">
        <v>92</v>
      </c>
      <c r="C7" s="162" t="s">
        <v>123</v>
      </c>
      <c r="D7" s="163">
        <v>45292</v>
      </c>
      <c r="E7" s="163">
        <v>44927</v>
      </c>
      <c r="F7" s="162" t="s">
        <v>124</v>
      </c>
      <c r="G7" s="162" t="s">
        <v>125</v>
      </c>
      <c r="H7" s="162" t="s">
        <v>126</v>
      </c>
      <c r="I7" s="22"/>
      <c r="K7" s="161" t="s">
        <v>92</v>
      </c>
      <c r="L7" s="162" t="s">
        <v>123</v>
      </c>
      <c r="M7" s="163" t="s">
        <v>127</v>
      </c>
      <c r="N7" s="163" t="s">
        <v>128</v>
      </c>
      <c r="O7" s="162" t="s">
        <v>124</v>
      </c>
      <c r="P7" s="162" t="s">
        <v>125</v>
      </c>
      <c r="Q7" s="162" t="s">
        <v>126</v>
      </c>
    </row>
    <row r="8" spans="1:18">
      <c r="B8" s="164">
        <v>1</v>
      </c>
      <c r="C8" s="162" t="s">
        <v>98</v>
      </c>
      <c r="D8" s="165">
        <f>M8-M25</f>
        <v>6.3999999999999995</v>
      </c>
      <c r="E8" s="165">
        <f>N8-N25</f>
        <v>5.1999999999999993</v>
      </c>
      <c r="F8" s="166">
        <f t="shared" ref="F8:F19" si="0">D8/E8-1</f>
        <v>0.23076923076923084</v>
      </c>
      <c r="G8" s="166">
        <f>D8/D$19</f>
        <v>0.26666666666666661</v>
      </c>
      <c r="H8" s="166">
        <f t="shared" ref="H8:H19" si="1">E8/E$19</f>
        <v>0.2536585365853658</v>
      </c>
      <c r="K8" s="164">
        <v>1</v>
      </c>
      <c r="L8" s="162" t="s">
        <v>98</v>
      </c>
      <c r="M8" s="165">
        <v>12.1</v>
      </c>
      <c r="N8" s="165">
        <v>9.6999999999999993</v>
      </c>
      <c r="O8" s="166">
        <f>M8/N8-1</f>
        <v>0.24742268041237114</v>
      </c>
      <c r="P8" s="166">
        <f>M8/M$19</f>
        <v>0.26190476190476186</v>
      </c>
      <c r="Q8" s="166">
        <f>N8/N$19</f>
        <v>0.25797872340425532</v>
      </c>
      <c r="R8" s="168"/>
    </row>
    <row r="9" spans="1:18">
      <c r="B9" s="164">
        <v>2</v>
      </c>
      <c r="C9" s="162" t="s">
        <v>101</v>
      </c>
      <c r="D9" s="165">
        <f t="shared" ref="D9:D19" si="2">M9-M26</f>
        <v>6.2999999999999989</v>
      </c>
      <c r="E9" s="165">
        <f t="shared" ref="E9:E19" si="3">N9-N26</f>
        <v>5.3</v>
      </c>
      <c r="F9" s="166">
        <f t="shared" si="0"/>
        <v>0.1886792452830186</v>
      </c>
      <c r="G9" s="166">
        <f t="shared" ref="G9:G19" si="4">D9/D$19</f>
        <v>0.2624999999999999</v>
      </c>
      <c r="H9" s="166">
        <f t="shared" si="1"/>
        <v>0.25853658536585367</v>
      </c>
      <c r="K9" s="164">
        <v>2</v>
      </c>
      <c r="L9" s="162" t="s">
        <v>101</v>
      </c>
      <c r="M9" s="165">
        <v>11.7</v>
      </c>
      <c r="N9" s="165">
        <v>9.5</v>
      </c>
      <c r="O9" s="166">
        <f t="shared" ref="O9:O19" si="5">M9/N9-1</f>
        <v>0.23157894736842088</v>
      </c>
      <c r="P9" s="166">
        <f t="shared" ref="P9:P19" si="6">M9/M$19</f>
        <v>0.25324675324675322</v>
      </c>
      <c r="Q9" s="166">
        <f t="shared" ref="Q9:Q19" si="7">N9/N$19</f>
        <v>0.25265957446808512</v>
      </c>
      <c r="R9" s="168"/>
    </row>
    <row r="10" spans="1:18">
      <c r="B10" s="164">
        <v>3</v>
      </c>
      <c r="C10" s="162" t="s">
        <v>99</v>
      </c>
      <c r="D10" s="165">
        <f t="shared" si="2"/>
        <v>3.2</v>
      </c>
      <c r="E10" s="165">
        <f t="shared" si="3"/>
        <v>3.7</v>
      </c>
      <c r="F10" s="166">
        <f t="shared" si="0"/>
        <v>-0.13513513513513509</v>
      </c>
      <c r="G10" s="166">
        <f t="shared" si="4"/>
        <v>0.13333333333333333</v>
      </c>
      <c r="H10" s="166">
        <f t="shared" si="1"/>
        <v>0.1804878048780488</v>
      </c>
      <c r="K10" s="164">
        <v>3</v>
      </c>
      <c r="L10" s="162" t="s">
        <v>99</v>
      </c>
      <c r="M10" s="165">
        <v>6.2</v>
      </c>
      <c r="N10" s="165">
        <v>7</v>
      </c>
      <c r="O10" s="166">
        <f t="shared" si="5"/>
        <v>-0.11428571428571421</v>
      </c>
      <c r="P10" s="166">
        <f t="shared" si="6"/>
        <v>0.13419913419913421</v>
      </c>
      <c r="Q10" s="166">
        <f t="shared" si="7"/>
        <v>0.18617021276595744</v>
      </c>
      <c r="R10" s="168"/>
    </row>
    <row r="11" spans="1:18">
      <c r="B11" s="164">
        <v>4</v>
      </c>
      <c r="C11" s="161" t="s">
        <v>105</v>
      </c>
      <c r="D11" s="165">
        <f t="shared" si="2"/>
        <v>2.7</v>
      </c>
      <c r="E11" s="165">
        <f t="shared" si="3"/>
        <v>1.8</v>
      </c>
      <c r="F11" s="166">
        <f t="shared" si="0"/>
        <v>0.5</v>
      </c>
      <c r="G11" s="166">
        <f t="shared" si="4"/>
        <v>0.11249999999999999</v>
      </c>
      <c r="H11" s="166">
        <f t="shared" si="1"/>
        <v>8.7804878048780496E-2</v>
      </c>
      <c r="K11" s="164">
        <v>4</v>
      </c>
      <c r="L11" s="161" t="s">
        <v>105</v>
      </c>
      <c r="M11" s="165">
        <v>5.2</v>
      </c>
      <c r="N11" s="165">
        <v>3.5</v>
      </c>
      <c r="O11" s="166">
        <f t="shared" si="5"/>
        <v>0.48571428571428577</v>
      </c>
      <c r="P11" s="166">
        <f t="shared" si="6"/>
        <v>0.11255411255411255</v>
      </c>
      <c r="Q11" s="166">
        <f t="shared" si="7"/>
        <v>9.3085106382978719E-2</v>
      </c>
      <c r="R11" s="168"/>
    </row>
    <row r="12" spans="1:18">
      <c r="B12" s="164">
        <v>5</v>
      </c>
      <c r="C12" s="162" t="s">
        <v>107</v>
      </c>
      <c r="D12" s="165">
        <f t="shared" si="2"/>
        <v>2.1</v>
      </c>
      <c r="E12" s="165">
        <f t="shared" si="3"/>
        <v>2.8</v>
      </c>
      <c r="F12" s="166">
        <f t="shared" si="0"/>
        <v>-0.24999999999999989</v>
      </c>
      <c r="G12" s="166">
        <f t="shared" si="4"/>
        <v>8.7499999999999994E-2</v>
      </c>
      <c r="H12" s="166">
        <f t="shared" si="1"/>
        <v>0.13658536585365852</v>
      </c>
      <c r="K12" s="164">
        <v>5</v>
      </c>
      <c r="L12" s="162" t="s">
        <v>107</v>
      </c>
      <c r="M12" s="165">
        <v>4.2</v>
      </c>
      <c r="N12" s="165">
        <v>4.5</v>
      </c>
      <c r="O12" s="166">
        <f t="shared" si="5"/>
        <v>-6.6666666666666652E-2</v>
      </c>
      <c r="P12" s="166">
        <f t="shared" si="6"/>
        <v>9.0909090909090912E-2</v>
      </c>
      <c r="Q12" s="166">
        <f t="shared" si="7"/>
        <v>0.11968085106382978</v>
      </c>
      <c r="R12" s="168"/>
    </row>
    <row r="13" spans="1:18">
      <c r="B13" s="164">
        <v>10</v>
      </c>
      <c r="C13" s="164" t="s">
        <v>96</v>
      </c>
      <c r="D13" s="165">
        <f t="shared" si="2"/>
        <v>0.8</v>
      </c>
      <c r="E13" s="165">
        <f t="shared" si="3"/>
        <v>0.39999999999999997</v>
      </c>
      <c r="F13" s="166">
        <f t="shared" si="0"/>
        <v>1.0000000000000004</v>
      </c>
      <c r="G13" s="166">
        <f t="shared" si="4"/>
        <v>3.3333333333333333E-2</v>
      </c>
      <c r="H13" s="166">
        <f t="shared" si="1"/>
        <v>1.9512195121951219E-2</v>
      </c>
      <c r="K13" s="164">
        <v>10</v>
      </c>
      <c r="L13" s="164" t="s">
        <v>96</v>
      </c>
      <c r="M13" s="165">
        <v>2</v>
      </c>
      <c r="N13" s="165">
        <v>0.7</v>
      </c>
      <c r="O13" s="166">
        <f t="shared" si="5"/>
        <v>1.8571428571428572</v>
      </c>
      <c r="P13" s="166">
        <f t="shared" si="6"/>
        <v>4.3290043290043288E-2</v>
      </c>
      <c r="Q13" s="166">
        <f t="shared" si="7"/>
        <v>1.8617021276595744E-2</v>
      </c>
      <c r="R13" s="168"/>
    </row>
    <row r="14" spans="1:18">
      <c r="B14" s="164">
        <v>6</v>
      </c>
      <c r="C14" s="164" t="s">
        <v>277</v>
      </c>
      <c r="D14" s="165">
        <f t="shared" si="2"/>
        <v>0.5</v>
      </c>
      <c r="E14" s="165">
        <f t="shared" si="3"/>
        <v>0.2</v>
      </c>
      <c r="F14" s="166">
        <f t="shared" si="0"/>
        <v>1.5</v>
      </c>
      <c r="G14" s="166">
        <f t="shared" si="4"/>
        <v>2.0833333333333329E-2</v>
      </c>
      <c r="H14" s="166">
        <f t="shared" si="1"/>
        <v>9.7560975609756097E-3</v>
      </c>
      <c r="K14" s="164">
        <v>6</v>
      </c>
      <c r="L14" s="164" t="s">
        <v>277</v>
      </c>
      <c r="M14" s="165">
        <v>1</v>
      </c>
      <c r="N14" s="165">
        <v>0.4</v>
      </c>
      <c r="O14" s="166">
        <f t="shared" si="5"/>
        <v>1.5</v>
      </c>
      <c r="P14" s="166">
        <f t="shared" si="6"/>
        <v>2.1645021645021644E-2</v>
      </c>
      <c r="Q14" s="166">
        <f t="shared" si="7"/>
        <v>1.0638297872340425E-2</v>
      </c>
      <c r="R14" s="168"/>
    </row>
    <row r="15" spans="1:18">
      <c r="B15" s="164">
        <v>7</v>
      </c>
      <c r="C15" s="164" t="s">
        <v>108</v>
      </c>
      <c r="D15" s="165">
        <f t="shared" si="2"/>
        <v>0.5</v>
      </c>
      <c r="E15" s="165">
        <f t="shared" si="3"/>
        <v>-0.7</v>
      </c>
      <c r="F15" s="166">
        <f t="shared" si="0"/>
        <v>-1.7142857142857144</v>
      </c>
      <c r="G15" s="166">
        <f t="shared" si="4"/>
        <v>2.0833333333333329E-2</v>
      </c>
      <c r="H15" s="166">
        <f t="shared" si="1"/>
        <v>-3.414634146341463E-2</v>
      </c>
      <c r="K15" s="164">
        <v>7</v>
      </c>
      <c r="L15" s="164" t="s">
        <v>108</v>
      </c>
      <c r="M15" s="165">
        <v>0.9</v>
      </c>
      <c r="N15" s="165">
        <v>0.3</v>
      </c>
      <c r="O15" s="166">
        <f t="shared" si="5"/>
        <v>2</v>
      </c>
      <c r="P15" s="166">
        <f t="shared" si="6"/>
        <v>1.948051948051948E-2</v>
      </c>
      <c r="Q15" s="166">
        <f t="shared" si="7"/>
        <v>7.9787234042553185E-3</v>
      </c>
      <c r="R15" s="168"/>
    </row>
    <row r="16" spans="1:18">
      <c r="B16" s="164">
        <v>8</v>
      </c>
      <c r="C16" s="162" t="s">
        <v>109</v>
      </c>
      <c r="D16" s="165">
        <f t="shared" si="2"/>
        <v>0.5</v>
      </c>
      <c r="E16" s="165">
        <f t="shared" si="3"/>
        <v>0.1</v>
      </c>
      <c r="F16" s="166">
        <f t="shared" si="0"/>
        <v>4</v>
      </c>
      <c r="G16" s="166">
        <f t="shared" si="4"/>
        <v>2.0833333333333329E-2</v>
      </c>
      <c r="H16" s="166">
        <f t="shared" si="1"/>
        <v>4.8780487804878049E-3</v>
      </c>
      <c r="K16" s="164">
        <v>8</v>
      </c>
      <c r="L16" s="162" t="s">
        <v>109</v>
      </c>
      <c r="M16" s="165">
        <v>0.8</v>
      </c>
      <c r="N16" s="165">
        <v>0.1</v>
      </c>
      <c r="O16" s="166">
        <f t="shared" si="5"/>
        <v>7</v>
      </c>
      <c r="P16" s="166">
        <f t="shared" si="6"/>
        <v>1.7316017316017316E-2</v>
      </c>
      <c r="Q16" s="166">
        <f t="shared" si="7"/>
        <v>2.6595744680851063E-3</v>
      </c>
      <c r="R16" s="168"/>
    </row>
    <row r="17" spans="2:18">
      <c r="B17" s="164">
        <v>9</v>
      </c>
      <c r="C17" s="164" t="s">
        <v>112</v>
      </c>
      <c r="D17" s="165">
        <f t="shared" si="2"/>
        <v>0.3</v>
      </c>
      <c r="E17" s="165">
        <f t="shared" si="3"/>
        <v>0.2</v>
      </c>
      <c r="F17" s="166">
        <f t="shared" si="0"/>
        <v>0.49999999999999978</v>
      </c>
      <c r="G17" s="166">
        <f t="shared" si="4"/>
        <v>1.2499999999999997E-2</v>
      </c>
      <c r="H17" s="166">
        <f t="shared" si="1"/>
        <v>9.7560975609756097E-3</v>
      </c>
      <c r="K17" s="164">
        <v>9</v>
      </c>
      <c r="L17" s="164" t="s">
        <v>112</v>
      </c>
      <c r="M17" s="165">
        <v>0.5</v>
      </c>
      <c r="N17" s="165">
        <v>0.4</v>
      </c>
      <c r="O17" s="166">
        <f t="shared" si="5"/>
        <v>0.25</v>
      </c>
      <c r="P17" s="166">
        <f t="shared" si="6"/>
        <v>1.0822510822510822E-2</v>
      </c>
      <c r="Q17" s="166">
        <f t="shared" si="7"/>
        <v>1.0638297872340425E-2</v>
      </c>
      <c r="R17" s="168"/>
    </row>
    <row r="18" spans="2:18">
      <c r="B18" s="277" t="s">
        <v>39</v>
      </c>
      <c r="C18" s="278"/>
      <c r="D18" s="165">
        <f t="shared" si="2"/>
        <v>0.79999999999999993</v>
      </c>
      <c r="E18" s="165">
        <f t="shared" si="3"/>
        <v>0.7</v>
      </c>
      <c r="F18" s="166">
        <f t="shared" si="0"/>
        <v>0.14285714285714279</v>
      </c>
      <c r="G18" s="166">
        <f t="shared" si="4"/>
        <v>3.3333333333333326E-2</v>
      </c>
      <c r="H18" s="166">
        <f t="shared" si="1"/>
        <v>3.414634146341463E-2</v>
      </c>
      <c r="K18" s="277" t="s">
        <v>39</v>
      </c>
      <c r="L18" s="278"/>
      <c r="M18" s="165">
        <v>1.7</v>
      </c>
      <c r="N18" s="165">
        <v>1.5</v>
      </c>
      <c r="O18" s="166">
        <f t="shared" si="5"/>
        <v>0.1333333333333333</v>
      </c>
      <c r="P18" s="166">
        <f t="shared" si="6"/>
        <v>3.6796536796536793E-2</v>
      </c>
      <c r="Q18" s="166">
        <f t="shared" si="7"/>
        <v>3.9893617021276591E-2</v>
      </c>
      <c r="R18" s="168"/>
    </row>
    <row r="19" spans="2:18">
      <c r="B19" s="277" t="s">
        <v>48</v>
      </c>
      <c r="C19" s="278"/>
      <c r="D19" s="165">
        <f t="shared" si="2"/>
        <v>24.000000000000004</v>
      </c>
      <c r="E19" s="165">
        <f t="shared" si="3"/>
        <v>20.5</v>
      </c>
      <c r="F19" s="166">
        <f t="shared" si="0"/>
        <v>0.17073170731707332</v>
      </c>
      <c r="G19" s="166">
        <f t="shared" si="4"/>
        <v>1</v>
      </c>
      <c r="H19" s="166">
        <f t="shared" si="1"/>
        <v>1</v>
      </c>
      <c r="K19" s="277" t="s">
        <v>48</v>
      </c>
      <c r="L19" s="278"/>
      <c r="M19" s="165">
        <v>46.2</v>
      </c>
      <c r="N19" s="165">
        <v>37.6</v>
      </c>
      <c r="O19" s="166">
        <f t="shared" si="5"/>
        <v>0.22872340425531923</v>
      </c>
      <c r="P19" s="166">
        <f t="shared" si="6"/>
        <v>1</v>
      </c>
      <c r="Q19" s="166">
        <f t="shared" si="7"/>
        <v>1</v>
      </c>
      <c r="R19" s="168"/>
    </row>
    <row r="20" spans="2:18">
      <c r="B20" s="160"/>
      <c r="K20" s="160"/>
    </row>
    <row r="21" spans="2:18">
      <c r="B21" s="160"/>
      <c r="K21" s="160"/>
    </row>
    <row r="22" spans="2:18">
      <c r="B22" s="160"/>
      <c r="K22" s="160"/>
    </row>
    <row r="23" spans="2:18">
      <c r="B23" s="160" t="s">
        <v>278</v>
      </c>
      <c r="K23" s="160" t="s">
        <v>278</v>
      </c>
    </row>
    <row r="24" spans="2:18">
      <c r="B24" s="161" t="s">
        <v>92</v>
      </c>
      <c r="C24" s="162" t="s">
        <v>123</v>
      </c>
      <c r="D24" s="163">
        <v>45292</v>
      </c>
      <c r="E24" s="163">
        <v>44927</v>
      </c>
      <c r="F24" s="162" t="s">
        <v>124</v>
      </c>
      <c r="G24" s="162" t="s">
        <v>125</v>
      </c>
      <c r="H24" s="162" t="s">
        <v>126</v>
      </c>
      <c r="I24" s="22"/>
      <c r="K24" s="161" t="s">
        <v>92</v>
      </c>
      <c r="L24" s="162" t="s">
        <v>123</v>
      </c>
      <c r="M24" s="163">
        <v>45292</v>
      </c>
      <c r="N24" s="163">
        <v>44927</v>
      </c>
      <c r="O24" s="162" t="s">
        <v>124</v>
      </c>
      <c r="P24" s="162" t="s">
        <v>125</v>
      </c>
      <c r="Q24" s="162" t="s">
        <v>126</v>
      </c>
    </row>
    <row r="25" spans="2:18">
      <c r="B25" s="164">
        <v>1</v>
      </c>
      <c r="C25" s="162" t="s">
        <v>98</v>
      </c>
      <c r="D25" s="165">
        <v>5.7</v>
      </c>
      <c r="E25" s="165">
        <v>4.5</v>
      </c>
      <c r="F25" s="166">
        <v>0.28499999999999998</v>
      </c>
      <c r="G25" s="166">
        <v>0.25800000000000001</v>
      </c>
      <c r="H25" s="166">
        <v>0.26200000000000001</v>
      </c>
      <c r="K25" s="164">
        <v>1</v>
      </c>
      <c r="L25" s="162" t="s">
        <v>98</v>
      </c>
      <c r="M25" s="165">
        <v>5.7</v>
      </c>
      <c r="N25" s="165">
        <v>4.5</v>
      </c>
      <c r="O25" s="166">
        <v>0.28499999999999998</v>
      </c>
      <c r="P25" s="166">
        <v>0.25800000000000001</v>
      </c>
      <c r="Q25" s="166">
        <v>0.26200000000000001</v>
      </c>
      <c r="R25" s="168"/>
    </row>
    <row r="26" spans="2:18">
      <c r="B26" s="164">
        <v>2</v>
      </c>
      <c r="C26" s="162" t="s">
        <v>101</v>
      </c>
      <c r="D26" s="165">
        <v>5.4</v>
      </c>
      <c r="E26" s="165">
        <v>4.2</v>
      </c>
      <c r="F26" s="166">
        <v>0.28499999999999998</v>
      </c>
      <c r="G26" s="166">
        <v>0.24399999999999999</v>
      </c>
      <c r="H26" s="166">
        <v>0.247</v>
      </c>
      <c r="K26" s="164">
        <v>2</v>
      </c>
      <c r="L26" s="162" t="s">
        <v>101</v>
      </c>
      <c r="M26" s="165">
        <v>5.4</v>
      </c>
      <c r="N26" s="165">
        <v>4.2</v>
      </c>
      <c r="O26" s="166">
        <v>0.28499999999999998</v>
      </c>
      <c r="P26" s="166">
        <v>0.24399999999999999</v>
      </c>
      <c r="Q26" s="166">
        <v>0.247</v>
      </c>
      <c r="R26" s="168"/>
    </row>
    <row r="27" spans="2:18">
      <c r="B27" s="164">
        <v>3</v>
      </c>
      <c r="C27" s="162" t="s">
        <v>99</v>
      </c>
      <c r="D27" s="165">
        <v>3</v>
      </c>
      <c r="E27" s="165">
        <v>3.3</v>
      </c>
      <c r="F27" s="166">
        <v>-9.5000000000000001E-2</v>
      </c>
      <c r="G27" s="166">
        <v>0.13600000000000001</v>
      </c>
      <c r="H27" s="166">
        <v>0.19500000000000001</v>
      </c>
      <c r="K27" s="164">
        <v>3</v>
      </c>
      <c r="L27" s="162" t="s">
        <v>99</v>
      </c>
      <c r="M27" s="165">
        <v>3</v>
      </c>
      <c r="N27" s="165">
        <v>3.3</v>
      </c>
      <c r="O27" s="166">
        <v>-9.5000000000000001E-2</v>
      </c>
      <c r="P27" s="166">
        <v>0.13600000000000001</v>
      </c>
      <c r="Q27" s="166">
        <v>0.19500000000000001</v>
      </c>
      <c r="R27" s="168"/>
    </row>
    <row r="28" spans="2:18">
      <c r="B28" s="164">
        <v>4</v>
      </c>
      <c r="C28" s="161" t="s">
        <v>105</v>
      </c>
      <c r="D28" s="165">
        <v>2.5</v>
      </c>
      <c r="E28" s="165">
        <v>1.7</v>
      </c>
      <c r="F28" s="166">
        <v>0.442</v>
      </c>
      <c r="G28" s="166">
        <v>0.111</v>
      </c>
      <c r="H28" s="166">
        <v>0.1</v>
      </c>
      <c r="K28" s="164">
        <v>4</v>
      </c>
      <c r="L28" s="161" t="s">
        <v>105</v>
      </c>
      <c r="M28" s="165">
        <v>2.5</v>
      </c>
      <c r="N28" s="165">
        <v>1.7</v>
      </c>
      <c r="O28" s="166">
        <v>0.442</v>
      </c>
      <c r="P28" s="166">
        <v>0.111</v>
      </c>
      <c r="Q28" s="166">
        <v>0.1</v>
      </c>
      <c r="R28" s="168"/>
    </row>
    <row r="29" spans="2:18">
      <c r="B29" s="164">
        <v>5</v>
      </c>
      <c r="C29" s="162" t="s">
        <v>107</v>
      </c>
      <c r="D29" s="165">
        <v>2.1</v>
      </c>
      <c r="E29" s="165">
        <v>1.7</v>
      </c>
      <c r="F29" s="166">
        <v>0.19500000000000001</v>
      </c>
      <c r="G29" s="166">
        <v>9.1999999999999998E-2</v>
      </c>
      <c r="H29" s="166">
        <v>0.10100000000000001</v>
      </c>
      <c r="K29" s="164">
        <v>5</v>
      </c>
      <c r="L29" s="162" t="s">
        <v>107</v>
      </c>
      <c r="M29" s="165">
        <v>2.1</v>
      </c>
      <c r="N29" s="165">
        <v>1.7</v>
      </c>
      <c r="O29" s="166">
        <v>0.19500000000000001</v>
      </c>
      <c r="P29" s="166">
        <v>9.1999999999999998E-2</v>
      </c>
      <c r="Q29" s="166">
        <v>0.10100000000000001</v>
      </c>
      <c r="R29" s="168"/>
    </row>
    <row r="30" spans="2:18">
      <c r="B30" s="164">
        <v>10</v>
      </c>
      <c r="C30" s="164" t="s">
        <v>96</v>
      </c>
      <c r="D30" s="165">
        <v>1.2</v>
      </c>
      <c r="E30" s="165">
        <v>0.3</v>
      </c>
      <c r="F30" s="166">
        <v>2.617</v>
      </c>
      <c r="G30" s="166">
        <v>5.1999999999999998E-2</v>
      </c>
      <c r="H30" s="166">
        <v>1.9E-2</v>
      </c>
      <c r="K30" s="164">
        <v>10</v>
      </c>
      <c r="L30" s="164" t="s">
        <v>96</v>
      </c>
      <c r="M30" s="165">
        <v>1.2</v>
      </c>
      <c r="N30" s="165">
        <v>0.3</v>
      </c>
      <c r="O30" s="166">
        <v>2.617</v>
      </c>
      <c r="P30" s="166">
        <v>5.1999999999999998E-2</v>
      </c>
      <c r="Q30" s="166">
        <v>1.9E-2</v>
      </c>
      <c r="R30" s="168"/>
    </row>
    <row r="31" spans="2:18">
      <c r="B31" s="164">
        <v>6</v>
      </c>
      <c r="C31" s="164" t="s">
        <v>277</v>
      </c>
      <c r="D31" s="165">
        <v>0.5</v>
      </c>
      <c r="E31" s="165">
        <v>0.2</v>
      </c>
      <c r="F31" s="166">
        <v>1.5029999999999999</v>
      </c>
      <c r="G31" s="166">
        <v>2.1999999999999999E-2</v>
      </c>
      <c r="H31" s="166">
        <v>1.0999999999999999E-2</v>
      </c>
      <c r="K31" s="164">
        <v>6</v>
      </c>
      <c r="L31" s="164" t="s">
        <v>277</v>
      </c>
      <c r="M31" s="165">
        <v>0.5</v>
      </c>
      <c r="N31" s="165">
        <v>0.2</v>
      </c>
      <c r="O31" s="166">
        <v>1.5029999999999999</v>
      </c>
      <c r="P31" s="166">
        <v>2.1999999999999999E-2</v>
      </c>
      <c r="Q31" s="166">
        <v>1.0999999999999999E-2</v>
      </c>
      <c r="R31" s="168"/>
    </row>
    <row r="32" spans="2:18">
      <c r="B32" s="164">
        <v>7</v>
      </c>
      <c r="C32" s="164" t="s">
        <v>108</v>
      </c>
      <c r="D32" s="165">
        <v>0.4</v>
      </c>
      <c r="E32" s="165">
        <v>1</v>
      </c>
      <c r="F32" s="166">
        <v>2.4750000000000001</v>
      </c>
      <c r="G32" s="166">
        <v>0.02</v>
      </c>
      <c r="H32" s="166">
        <v>7.0000000000000001E-3</v>
      </c>
      <c r="K32" s="164">
        <v>7</v>
      </c>
      <c r="L32" s="164" t="s">
        <v>108</v>
      </c>
      <c r="M32" s="165">
        <v>0.4</v>
      </c>
      <c r="N32" s="165">
        <v>1</v>
      </c>
      <c r="O32" s="166">
        <v>2.4750000000000001</v>
      </c>
      <c r="P32" s="166">
        <v>0.02</v>
      </c>
      <c r="Q32" s="166">
        <v>7.0000000000000001E-3</v>
      </c>
      <c r="R32" s="168"/>
    </row>
    <row r="33" spans="2:18">
      <c r="B33" s="164">
        <v>8</v>
      </c>
      <c r="C33" s="162" t="s">
        <v>109</v>
      </c>
      <c r="D33" s="165">
        <v>0.3</v>
      </c>
      <c r="E33" s="165">
        <v>0</v>
      </c>
      <c r="F33" s="166">
        <v>5.9429999999999996</v>
      </c>
      <c r="G33" s="166">
        <v>1.2E-2</v>
      </c>
      <c r="H33" s="166">
        <v>2E-3</v>
      </c>
      <c r="K33" s="164">
        <v>8</v>
      </c>
      <c r="L33" s="162" t="s">
        <v>109</v>
      </c>
      <c r="M33" s="165">
        <v>0.3</v>
      </c>
      <c r="N33" s="165">
        <v>0</v>
      </c>
      <c r="O33" s="166">
        <v>5.9429999999999996</v>
      </c>
      <c r="P33" s="166">
        <v>1.2E-2</v>
      </c>
      <c r="Q33" s="166">
        <v>2E-3</v>
      </c>
      <c r="R33" s="168"/>
    </row>
    <row r="34" spans="2:18">
      <c r="B34" s="164">
        <v>9</v>
      </c>
      <c r="C34" s="164" t="s">
        <v>112</v>
      </c>
      <c r="D34" s="165">
        <v>0.2</v>
      </c>
      <c r="E34" s="165">
        <v>0.2</v>
      </c>
      <c r="F34" s="166">
        <v>0.34</v>
      </c>
      <c r="G34" s="166">
        <v>1.0999999999999999E-2</v>
      </c>
      <c r="H34" s="166">
        <v>1.0999999999999999E-2</v>
      </c>
      <c r="K34" s="164">
        <v>9</v>
      </c>
      <c r="L34" s="164" t="s">
        <v>112</v>
      </c>
      <c r="M34" s="165">
        <v>0.2</v>
      </c>
      <c r="N34" s="165">
        <v>0.2</v>
      </c>
      <c r="O34" s="166">
        <v>0.34</v>
      </c>
      <c r="P34" s="166">
        <v>1.0999999999999999E-2</v>
      </c>
      <c r="Q34" s="166">
        <v>1.0999999999999999E-2</v>
      </c>
      <c r="R34" s="168"/>
    </row>
    <row r="35" spans="2:18">
      <c r="B35" s="277" t="s">
        <v>39</v>
      </c>
      <c r="C35" s="278"/>
      <c r="D35" s="165">
        <v>0.9</v>
      </c>
      <c r="E35" s="165">
        <v>0.8</v>
      </c>
      <c r="F35" s="166">
        <v>0.21099999999999999</v>
      </c>
      <c r="G35" s="166">
        <v>4.2000000000000003E-2</v>
      </c>
      <c r="H35" s="166">
        <v>4.4999999999999998E-2</v>
      </c>
      <c r="K35" s="277" t="s">
        <v>39</v>
      </c>
      <c r="L35" s="278"/>
      <c r="M35" s="165">
        <v>0.9</v>
      </c>
      <c r="N35" s="165">
        <v>0.8</v>
      </c>
      <c r="O35" s="166">
        <v>0.21099999999999999</v>
      </c>
      <c r="P35" s="166">
        <v>4.2000000000000003E-2</v>
      </c>
      <c r="Q35" s="166">
        <v>4.4999999999999998E-2</v>
      </c>
      <c r="R35" s="168"/>
    </row>
    <row r="36" spans="2:18">
      <c r="B36" s="277" t="s">
        <v>48</v>
      </c>
      <c r="C36" s="278"/>
      <c r="D36" s="165">
        <v>22.2</v>
      </c>
      <c r="E36" s="165">
        <v>17.100000000000001</v>
      </c>
      <c r="F36" s="166">
        <v>0.30099999999999999</v>
      </c>
      <c r="G36" s="166">
        <v>1</v>
      </c>
      <c r="H36" s="166">
        <f>E36/E$53</f>
        <v>0.51975683890577506</v>
      </c>
      <c r="K36" s="277" t="s">
        <v>48</v>
      </c>
      <c r="L36" s="278"/>
      <c r="M36" s="165">
        <v>22.2</v>
      </c>
      <c r="N36" s="165">
        <v>17.100000000000001</v>
      </c>
      <c r="O36" s="166">
        <v>0.30099999999999999</v>
      </c>
      <c r="P36" s="166">
        <v>1</v>
      </c>
      <c r="Q36" s="166">
        <f>N36/N$53</f>
        <v>7.6681614349775787E-2</v>
      </c>
      <c r="R36" s="168"/>
    </row>
    <row r="37" spans="2:18">
      <c r="B37" s="160"/>
      <c r="K37" s="160"/>
    </row>
    <row r="38" spans="2:18">
      <c r="B38" s="160"/>
      <c r="K38" s="160"/>
    </row>
    <row r="39" spans="2:18">
      <c r="B39" s="160"/>
      <c r="K39" s="160"/>
    </row>
    <row r="40" spans="2:18">
      <c r="B40" s="160" t="s">
        <v>279</v>
      </c>
      <c r="K40" s="160" t="s">
        <v>280</v>
      </c>
    </row>
    <row r="41" spans="2:18">
      <c r="B41" s="161" t="s">
        <v>92</v>
      </c>
      <c r="C41" s="162" t="s">
        <v>123</v>
      </c>
      <c r="D41" s="163">
        <v>45261</v>
      </c>
      <c r="E41" s="163">
        <v>44866</v>
      </c>
      <c r="F41" s="162" t="s">
        <v>124</v>
      </c>
      <c r="G41" s="162" t="s">
        <v>126</v>
      </c>
      <c r="H41" s="162" t="s">
        <v>133</v>
      </c>
      <c r="I41" s="22"/>
      <c r="K41" s="161" t="s">
        <v>92</v>
      </c>
      <c r="L41" s="162" t="s">
        <v>123</v>
      </c>
      <c r="M41" s="163" t="s">
        <v>134</v>
      </c>
      <c r="N41" s="163" t="s">
        <v>135</v>
      </c>
      <c r="O41" s="162" t="s">
        <v>124</v>
      </c>
      <c r="P41" s="162" t="s">
        <v>126</v>
      </c>
      <c r="Q41" s="162" t="s">
        <v>133</v>
      </c>
    </row>
    <row r="42" spans="2:18">
      <c r="B42" s="164">
        <v>1</v>
      </c>
      <c r="C42" s="162" t="s">
        <v>101</v>
      </c>
      <c r="D42" s="165">
        <f>M42-M59</f>
        <v>10.099999999999994</v>
      </c>
      <c r="E42" s="165">
        <f>N42-N59</f>
        <v>11.300000000000004</v>
      </c>
      <c r="F42" s="166">
        <f t="shared" ref="F42:F53" si="8">D42/E42-1</f>
        <v>-0.10619469026548756</v>
      </c>
      <c r="G42" s="166">
        <f>D42/$D$53</f>
        <v>0.27671232876712315</v>
      </c>
      <c r="H42" s="166">
        <f>E42/E$53</f>
        <v>0.34346504559270524</v>
      </c>
      <c r="K42" s="164">
        <v>1</v>
      </c>
      <c r="L42" s="162" t="s">
        <v>101</v>
      </c>
      <c r="M42" s="165">
        <v>88.6</v>
      </c>
      <c r="N42" s="165">
        <v>66.7</v>
      </c>
      <c r="O42" s="167">
        <v>0.32900000000000001</v>
      </c>
      <c r="P42" s="167">
        <v>0.27800000000000002</v>
      </c>
      <c r="Q42" s="167">
        <f>N42/N$53</f>
        <v>0.29910313901345292</v>
      </c>
      <c r="R42" s="168"/>
    </row>
    <row r="43" spans="2:18">
      <c r="B43" s="164">
        <v>2</v>
      </c>
      <c r="C43" s="162" t="s">
        <v>98</v>
      </c>
      <c r="D43" s="165">
        <f t="shared" ref="D43:D53" si="9">M43-M60</f>
        <v>9.3999999999999915</v>
      </c>
      <c r="E43" s="165">
        <f t="shared" ref="E43:E53" si="10">N43-N60</f>
        <v>8.8999999999999986</v>
      </c>
      <c r="F43" s="166">
        <f t="shared" si="8"/>
        <v>5.6179775280898125E-2</v>
      </c>
      <c r="G43" s="166">
        <f t="shared" ref="G43:G53" si="11">D43/$D$53</f>
        <v>0.25753424657534224</v>
      </c>
      <c r="H43" s="166">
        <f t="shared" ref="H43:H53" si="12">E43/E$53</f>
        <v>0.27051671732522786</v>
      </c>
      <c r="K43" s="164">
        <v>2</v>
      </c>
      <c r="L43" s="162" t="s">
        <v>98</v>
      </c>
      <c r="M43" s="165">
        <v>87.8</v>
      </c>
      <c r="N43" s="165">
        <v>50.9</v>
      </c>
      <c r="O43" s="167">
        <f t="shared" ref="O43:O45" si="13">(M43-N43)/N43</f>
        <v>0.72495088408644404</v>
      </c>
      <c r="P43" s="167">
        <f t="shared" ref="P43:P52" si="14">M43/M$53</f>
        <v>0.27489041953663118</v>
      </c>
      <c r="Q43" s="167">
        <f t="shared" ref="Q43:Q52" si="15">N43/N$53</f>
        <v>0.22825112107623319</v>
      </c>
      <c r="R43" s="168"/>
    </row>
    <row r="44" spans="2:18">
      <c r="B44" s="164">
        <v>3</v>
      </c>
      <c r="C44" s="162" t="s">
        <v>99</v>
      </c>
      <c r="D44" s="165">
        <f t="shared" si="9"/>
        <v>4.5</v>
      </c>
      <c r="E44" s="165">
        <f t="shared" si="10"/>
        <v>4.0000000000000036</v>
      </c>
      <c r="F44" s="166">
        <f t="shared" si="8"/>
        <v>0.12499999999999911</v>
      </c>
      <c r="G44" s="166">
        <f t="shared" si="11"/>
        <v>0.12328767123287671</v>
      </c>
      <c r="H44" s="166">
        <f t="shared" si="12"/>
        <v>0.12158054711246209</v>
      </c>
      <c r="K44" s="164">
        <v>3</v>
      </c>
      <c r="L44" s="162" t="s">
        <v>99</v>
      </c>
      <c r="M44" s="165">
        <v>44.6</v>
      </c>
      <c r="N44" s="165">
        <v>35.200000000000003</v>
      </c>
      <c r="O44" s="167">
        <v>0.28299999999999997</v>
      </c>
      <c r="P44" s="167">
        <f t="shared" si="14"/>
        <v>0.13963681903569194</v>
      </c>
      <c r="Q44" s="167">
        <f t="shared" si="15"/>
        <v>0.15784753363228701</v>
      </c>
      <c r="R44" s="168"/>
    </row>
    <row r="45" spans="2:18">
      <c r="B45" s="164">
        <v>4</v>
      </c>
      <c r="C45" s="161" t="s">
        <v>107</v>
      </c>
      <c r="D45" s="165">
        <f t="shared" si="9"/>
        <v>3.4000000000000021</v>
      </c>
      <c r="E45" s="165">
        <f t="shared" si="10"/>
        <v>2.8000000000000007</v>
      </c>
      <c r="F45" s="166">
        <f t="shared" si="8"/>
        <v>0.21428571428571463</v>
      </c>
      <c r="G45" s="166">
        <f t="shared" si="11"/>
        <v>9.3150684931506911E-2</v>
      </c>
      <c r="H45" s="166">
        <f t="shared" si="12"/>
        <v>8.5106382978723416E-2</v>
      </c>
      <c r="K45" s="164">
        <v>4</v>
      </c>
      <c r="L45" s="161" t="s">
        <v>107</v>
      </c>
      <c r="M45" s="165">
        <v>34.1</v>
      </c>
      <c r="N45" s="165">
        <v>29.8</v>
      </c>
      <c r="O45" s="167">
        <f t="shared" si="13"/>
        <v>0.14429530201342283</v>
      </c>
      <c r="P45" s="167">
        <f t="shared" si="14"/>
        <v>0.10676268002504698</v>
      </c>
      <c r="Q45" s="167">
        <f t="shared" si="15"/>
        <v>0.13363228699551569</v>
      </c>
      <c r="R45" s="168"/>
    </row>
    <row r="46" spans="2:18">
      <c r="B46" s="164">
        <v>5</v>
      </c>
      <c r="C46" s="162" t="s">
        <v>105</v>
      </c>
      <c r="D46" s="165">
        <f t="shared" si="9"/>
        <v>4.2999999999999972</v>
      </c>
      <c r="E46" s="165">
        <f t="shared" si="10"/>
        <v>3.5</v>
      </c>
      <c r="F46" s="166">
        <f t="shared" si="8"/>
        <v>0.22857142857142776</v>
      </c>
      <c r="G46" s="166">
        <f t="shared" si="11"/>
        <v>0.11780821917808211</v>
      </c>
      <c r="H46" s="166">
        <f t="shared" si="12"/>
        <v>0.10638297872340424</v>
      </c>
      <c r="K46" s="164">
        <v>5</v>
      </c>
      <c r="L46" s="162" t="s">
        <v>105</v>
      </c>
      <c r="M46" s="165">
        <v>32.4</v>
      </c>
      <c r="N46" s="165">
        <v>23.6</v>
      </c>
      <c r="O46" s="167">
        <v>0.372</v>
      </c>
      <c r="P46" s="167">
        <v>0.10199999999999999</v>
      </c>
      <c r="Q46" s="167">
        <f t="shared" si="15"/>
        <v>0.10582959641255606</v>
      </c>
      <c r="R46" s="168"/>
    </row>
    <row r="47" spans="2:18">
      <c r="B47" s="164">
        <v>10</v>
      </c>
      <c r="C47" s="164" t="s">
        <v>96</v>
      </c>
      <c r="D47" s="165">
        <f t="shared" si="9"/>
        <v>1.5</v>
      </c>
      <c r="E47" s="165">
        <f t="shared" si="10"/>
        <v>0.39999999999999991</v>
      </c>
      <c r="F47" s="166">
        <f t="shared" si="8"/>
        <v>2.7500000000000009</v>
      </c>
      <c r="G47" s="166">
        <f t="shared" si="11"/>
        <v>4.1095890410958902E-2</v>
      </c>
      <c r="H47" s="166">
        <f t="shared" si="12"/>
        <v>1.2158054711246195E-2</v>
      </c>
      <c r="K47" s="164">
        <v>6</v>
      </c>
      <c r="L47" s="164" t="s">
        <v>96</v>
      </c>
      <c r="M47" s="165">
        <v>6.8</v>
      </c>
      <c r="N47" s="165">
        <v>1.4</v>
      </c>
      <c r="O47" s="167">
        <v>3.948</v>
      </c>
      <c r="P47" s="167">
        <f t="shared" si="14"/>
        <v>2.1289918597370072E-2</v>
      </c>
      <c r="Q47" s="167">
        <f t="shared" si="15"/>
        <v>6.2780269058295961E-3</v>
      </c>
      <c r="R47" s="168"/>
    </row>
    <row r="48" spans="2:18">
      <c r="B48" s="164">
        <v>6</v>
      </c>
      <c r="C48" s="164" t="s">
        <v>108</v>
      </c>
      <c r="D48" s="165">
        <f t="shared" si="9"/>
        <v>0.79999999999999982</v>
      </c>
      <c r="E48" s="165">
        <f t="shared" si="10"/>
        <v>0.39999999999999991</v>
      </c>
      <c r="F48" s="166">
        <f t="shared" si="8"/>
        <v>1</v>
      </c>
      <c r="G48" s="166">
        <f t="shared" si="11"/>
        <v>2.1917808219178079E-2</v>
      </c>
      <c r="H48" s="166">
        <f t="shared" si="12"/>
        <v>1.2158054711246195E-2</v>
      </c>
      <c r="K48" s="164">
        <v>7</v>
      </c>
      <c r="L48" s="162" t="s">
        <v>108</v>
      </c>
      <c r="M48" s="165">
        <v>5.2</v>
      </c>
      <c r="N48" s="165">
        <v>2</v>
      </c>
      <c r="O48" s="167">
        <v>1.633</v>
      </c>
      <c r="P48" s="167">
        <f t="shared" si="14"/>
        <v>1.6280525986224172E-2</v>
      </c>
      <c r="Q48" s="167">
        <f t="shared" si="15"/>
        <v>8.9686098654708519E-3</v>
      </c>
      <c r="R48" s="168"/>
    </row>
    <row r="49" spans="2:18">
      <c r="B49" s="164">
        <v>7</v>
      </c>
      <c r="C49" s="164" t="s">
        <v>277</v>
      </c>
      <c r="D49" s="165">
        <f t="shared" si="9"/>
        <v>0.5</v>
      </c>
      <c r="E49" s="165">
        <f t="shared" si="10"/>
        <v>0.30000000000000004</v>
      </c>
      <c r="F49" s="166">
        <f t="shared" si="8"/>
        <v>0.66666666666666652</v>
      </c>
      <c r="G49" s="166">
        <f t="shared" si="11"/>
        <v>1.3698630136986301E-2</v>
      </c>
      <c r="H49" s="166">
        <f t="shared" si="12"/>
        <v>9.11854103343465E-3</v>
      </c>
      <c r="K49" s="164">
        <v>8</v>
      </c>
      <c r="L49" s="162" t="s">
        <v>277</v>
      </c>
      <c r="M49" s="165">
        <v>4.7</v>
      </c>
      <c r="N49" s="165">
        <v>1.8</v>
      </c>
      <c r="O49" s="167">
        <v>1.6379999999999999</v>
      </c>
      <c r="P49" s="167">
        <f t="shared" si="14"/>
        <v>1.4715090795241078E-2</v>
      </c>
      <c r="Q49" s="167">
        <f t="shared" si="15"/>
        <v>8.0717488789237672E-3</v>
      </c>
      <c r="R49" s="168"/>
    </row>
    <row r="50" spans="2:18">
      <c r="B50" s="164">
        <v>8</v>
      </c>
      <c r="C50" s="162" t="s">
        <v>225</v>
      </c>
      <c r="D50" s="165">
        <f t="shared" si="9"/>
        <v>0.30000000000000027</v>
      </c>
      <c r="E50" s="165">
        <f t="shared" si="10"/>
        <v>0.5</v>
      </c>
      <c r="F50" s="166">
        <f t="shared" si="8"/>
        <v>-0.39999999999999947</v>
      </c>
      <c r="G50" s="166">
        <f t="shared" si="11"/>
        <v>8.2191780821917887E-3</v>
      </c>
      <c r="H50" s="166">
        <f t="shared" si="12"/>
        <v>1.5197568389057748E-2</v>
      </c>
      <c r="K50" s="164">
        <v>9</v>
      </c>
      <c r="L50" s="162" t="s">
        <v>225</v>
      </c>
      <c r="M50" s="165">
        <v>3.6</v>
      </c>
      <c r="N50" s="165">
        <v>4.2</v>
      </c>
      <c r="O50" s="167">
        <v>-0.152</v>
      </c>
      <c r="P50" s="167">
        <f t="shared" si="14"/>
        <v>1.1271133375078273E-2</v>
      </c>
      <c r="Q50" s="167">
        <f t="shared" si="15"/>
        <v>1.883408071748879E-2</v>
      </c>
      <c r="R50" s="168"/>
    </row>
    <row r="51" spans="2:18">
      <c r="B51" s="164">
        <v>9</v>
      </c>
      <c r="C51" s="164" t="s">
        <v>112</v>
      </c>
      <c r="D51" s="165">
        <f t="shared" si="9"/>
        <v>0.29999999999999982</v>
      </c>
      <c r="E51" s="165">
        <f t="shared" si="10"/>
        <v>0.19999999999999996</v>
      </c>
      <c r="F51" s="166">
        <f t="shared" si="8"/>
        <v>0.49999999999999933</v>
      </c>
      <c r="G51" s="166">
        <f t="shared" si="11"/>
        <v>8.2191780821917765E-3</v>
      </c>
      <c r="H51" s="166">
        <f t="shared" si="12"/>
        <v>6.0790273556230977E-3</v>
      </c>
      <c r="K51" s="164">
        <v>10</v>
      </c>
      <c r="L51" s="164" t="s">
        <v>112</v>
      </c>
      <c r="M51" s="165">
        <v>2.8</v>
      </c>
      <c r="N51" s="165">
        <v>2</v>
      </c>
      <c r="O51" s="167">
        <v>0.38900000000000001</v>
      </c>
      <c r="P51" s="167">
        <f t="shared" si="14"/>
        <v>8.7664370695053218E-3</v>
      </c>
      <c r="Q51" s="167">
        <f t="shared" si="15"/>
        <v>8.9686098654708519E-3</v>
      </c>
      <c r="R51" s="168"/>
    </row>
    <row r="52" spans="2:18">
      <c r="B52" s="277" t="s">
        <v>39</v>
      </c>
      <c r="C52" s="278"/>
      <c r="D52" s="165">
        <f t="shared" si="9"/>
        <v>1.1999999999999993</v>
      </c>
      <c r="E52" s="165">
        <f t="shared" si="10"/>
        <v>0.70000000000000018</v>
      </c>
      <c r="F52" s="166">
        <f t="shared" si="8"/>
        <v>0.71428571428571286</v>
      </c>
      <c r="G52" s="166">
        <f t="shared" si="11"/>
        <v>3.2876712328767106E-2</v>
      </c>
      <c r="H52" s="166">
        <f t="shared" si="12"/>
        <v>2.1276595744680854E-2</v>
      </c>
      <c r="K52" s="279" t="s">
        <v>39</v>
      </c>
      <c r="L52" s="279"/>
      <c r="M52" s="165">
        <v>8.6999999999999993</v>
      </c>
      <c r="N52" s="165">
        <v>5.4</v>
      </c>
      <c r="O52" s="167">
        <v>0.60699999999999998</v>
      </c>
      <c r="P52" s="167">
        <f t="shared" si="14"/>
        <v>2.7238572323105822E-2</v>
      </c>
      <c r="Q52" s="167">
        <f t="shared" si="15"/>
        <v>2.4215246636771302E-2</v>
      </c>
      <c r="R52" s="168"/>
    </row>
    <row r="53" spans="2:18">
      <c r="B53" s="277" t="s">
        <v>48</v>
      </c>
      <c r="C53" s="278"/>
      <c r="D53" s="165">
        <f t="shared" si="9"/>
        <v>36.5</v>
      </c>
      <c r="E53" s="165">
        <f t="shared" si="10"/>
        <v>32.900000000000006</v>
      </c>
      <c r="F53" s="166">
        <f t="shared" si="8"/>
        <v>0.10942249240121571</v>
      </c>
      <c r="G53" s="166">
        <f t="shared" si="11"/>
        <v>1</v>
      </c>
      <c r="H53" s="166">
        <f t="shared" si="12"/>
        <v>1</v>
      </c>
      <c r="K53" s="279" t="s">
        <v>48</v>
      </c>
      <c r="L53" s="279"/>
      <c r="M53" s="165">
        <v>319.39999999999998</v>
      </c>
      <c r="N53" s="165">
        <v>223</v>
      </c>
      <c r="O53" s="167">
        <v>0.432</v>
      </c>
      <c r="P53" s="167">
        <v>1</v>
      </c>
      <c r="Q53" s="167">
        <v>1</v>
      </c>
      <c r="R53" s="168"/>
    </row>
    <row r="54" spans="2:18">
      <c r="B54" s="160"/>
      <c r="K54" s="160"/>
    </row>
    <row r="55" spans="2:18">
      <c r="B55" s="160"/>
      <c r="K55" s="160"/>
    </row>
    <row r="56" spans="2:18">
      <c r="B56" s="160"/>
      <c r="K56" s="160"/>
    </row>
    <row r="57" spans="2:18">
      <c r="B57" s="160" t="s">
        <v>281</v>
      </c>
      <c r="K57" s="160" t="s">
        <v>282</v>
      </c>
    </row>
    <row r="58" spans="2:18">
      <c r="B58" s="161" t="s">
        <v>92</v>
      </c>
      <c r="C58" s="162" t="s">
        <v>123</v>
      </c>
      <c r="D58" s="163">
        <v>45231</v>
      </c>
      <c r="E58" s="163">
        <v>44866</v>
      </c>
      <c r="F58" s="162" t="s">
        <v>124</v>
      </c>
      <c r="G58" s="162" t="s">
        <v>126</v>
      </c>
      <c r="H58" s="162" t="s">
        <v>133</v>
      </c>
      <c r="I58" s="22"/>
      <c r="K58" s="161" t="s">
        <v>92</v>
      </c>
      <c r="L58" s="162" t="s">
        <v>123</v>
      </c>
      <c r="M58" s="163" t="s">
        <v>138</v>
      </c>
      <c r="N58" s="163" t="s">
        <v>139</v>
      </c>
      <c r="O58" s="162" t="s">
        <v>124</v>
      </c>
      <c r="P58" s="162" t="s">
        <v>126</v>
      </c>
      <c r="Q58" s="162" t="s">
        <v>133</v>
      </c>
    </row>
    <row r="59" spans="2:18">
      <c r="B59" s="164">
        <v>1</v>
      </c>
      <c r="C59" s="162" t="s">
        <v>101</v>
      </c>
      <c r="D59" s="165">
        <f t="shared" ref="D59:D64" si="16">M59-M76</f>
        <v>8</v>
      </c>
      <c r="E59" s="165">
        <f t="shared" ref="E59:E64" si="17">N59-N76</f>
        <v>7.3999999999999986</v>
      </c>
      <c r="F59" s="166">
        <f t="shared" ref="F59:F70" si="18">D59/E59-1</f>
        <v>8.1081081081081363E-2</v>
      </c>
      <c r="G59" s="166">
        <f t="shared" ref="G59:G70" si="19">D59/$D$87</f>
        <v>0.30188679245283018</v>
      </c>
      <c r="H59" s="166">
        <f t="shared" ref="H59:H70" si="20">E59/$E$87</f>
        <v>0.38341968911917068</v>
      </c>
      <c r="K59" s="164">
        <v>1</v>
      </c>
      <c r="L59" s="162" t="s">
        <v>101</v>
      </c>
      <c r="M59" s="165">
        <v>78.5</v>
      </c>
      <c r="N59" s="165">
        <v>55.4</v>
      </c>
      <c r="O59" s="167">
        <f>(M59-N59)/N59</f>
        <v>0.4169675090252708</v>
      </c>
      <c r="P59" s="167">
        <f>M59/M$70</f>
        <v>0.27748320961470485</v>
      </c>
      <c r="Q59" s="167">
        <v>0.29142556549184601</v>
      </c>
      <c r="R59" s="168"/>
    </row>
    <row r="60" spans="2:18">
      <c r="B60" s="164">
        <v>2</v>
      </c>
      <c r="C60" s="162" t="s">
        <v>98</v>
      </c>
      <c r="D60" s="165">
        <f t="shared" si="16"/>
        <v>8.1000000000000085</v>
      </c>
      <c r="E60" s="165">
        <f t="shared" si="17"/>
        <v>5.7999999999999972</v>
      </c>
      <c r="F60" s="166">
        <f t="shared" si="18"/>
        <v>0.39655172413793327</v>
      </c>
      <c r="G60" s="166">
        <f t="shared" si="19"/>
        <v>0.30566037735849089</v>
      </c>
      <c r="H60" s="166">
        <f t="shared" si="20"/>
        <v>0.30051813471502559</v>
      </c>
      <c r="K60" s="164">
        <v>2</v>
      </c>
      <c r="L60" s="162" t="s">
        <v>98</v>
      </c>
      <c r="M60" s="165">
        <v>78.400000000000006</v>
      </c>
      <c r="N60" s="165">
        <v>42</v>
      </c>
      <c r="O60" s="167">
        <f>(M60-N60)/N60</f>
        <v>0.86666666666666681</v>
      </c>
      <c r="P60" s="167">
        <f t="shared" ref="P60:P68" si="21">M60/M$70</f>
        <v>0.27712972781901735</v>
      </c>
      <c r="Q60" s="167">
        <v>0.22093634928984701</v>
      </c>
      <c r="R60" s="168"/>
    </row>
    <row r="61" spans="2:18">
      <c r="B61" s="164">
        <v>3</v>
      </c>
      <c r="C61" s="162" t="s">
        <v>99</v>
      </c>
      <c r="D61" s="165">
        <f t="shared" si="16"/>
        <v>3</v>
      </c>
      <c r="E61" s="165">
        <f t="shared" si="17"/>
        <v>3.0999999999999979</v>
      </c>
      <c r="F61" s="166">
        <f t="shared" si="18"/>
        <v>-3.2258064516128337E-2</v>
      </c>
      <c r="G61" s="166">
        <f t="shared" si="19"/>
        <v>0.11320754716981132</v>
      </c>
      <c r="H61" s="166">
        <f t="shared" si="20"/>
        <v>0.16062176165803088</v>
      </c>
      <c r="K61" s="164">
        <v>3</v>
      </c>
      <c r="L61" s="162" t="s">
        <v>99</v>
      </c>
      <c r="M61" s="165">
        <v>40.1</v>
      </c>
      <c r="N61" s="165">
        <v>31.2</v>
      </c>
      <c r="O61" s="167">
        <v>0.28299999999999997</v>
      </c>
      <c r="P61" s="167">
        <f t="shared" si="21"/>
        <v>0.14174620007069638</v>
      </c>
      <c r="Q61" s="167">
        <v>0.16412414518674401</v>
      </c>
      <c r="R61" s="168"/>
    </row>
    <row r="62" spans="2:18">
      <c r="B62" s="164">
        <v>4</v>
      </c>
      <c r="C62" s="161" t="s">
        <v>107</v>
      </c>
      <c r="D62" s="165">
        <f t="shared" si="16"/>
        <v>3</v>
      </c>
      <c r="E62" s="165">
        <f t="shared" si="17"/>
        <v>2.8000000000000007</v>
      </c>
      <c r="F62" s="166">
        <f t="shared" si="18"/>
        <v>7.1428571428571175E-2</v>
      </c>
      <c r="G62" s="166">
        <f t="shared" si="19"/>
        <v>0.11320754716981132</v>
      </c>
      <c r="H62" s="166">
        <f t="shared" si="20"/>
        <v>0.14507772020725385</v>
      </c>
      <c r="K62" s="164">
        <v>4</v>
      </c>
      <c r="L62" s="161" t="s">
        <v>107</v>
      </c>
      <c r="M62" s="165">
        <v>30.7</v>
      </c>
      <c r="N62" s="165">
        <v>27</v>
      </c>
      <c r="O62" s="167">
        <f>(M62-N62)/N62</f>
        <v>0.13703703703703701</v>
      </c>
      <c r="P62" s="167">
        <v>0.108</v>
      </c>
      <c r="Q62" s="167">
        <v>0.14203051025775901</v>
      </c>
      <c r="R62" s="168"/>
    </row>
    <row r="63" spans="2:18">
      <c r="B63" s="164">
        <v>5</v>
      </c>
      <c r="C63" s="162" t="s">
        <v>105</v>
      </c>
      <c r="D63" s="165">
        <f t="shared" si="16"/>
        <v>3.1000000000000014</v>
      </c>
      <c r="E63" s="165">
        <f t="shared" si="17"/>
        <v>2.7000000000000028</v>
      </c>
      <c r="F63" s="166">
        <f t="shared" si="18"/>
        <v>0.14814814814814747</v>
      </c>
      <c r="G63" s="166">
        <f t="shared" si="19"/>
        <v>0.11698113207547176</v>
      </c>
      <c r="H63" s="166">
        <f t="shared" si="20"/>
        <v>0.13989637305699487</v>
      </c>
      <c r="K63" s="164">
        <v>5</v>
      </c>
      <c r="L63" s="162" t="s">
        <v>105</v>
      </c>
      <c r="M63" s="165">
        <v>28.1</v>
      </c>
      <c r="N63" s="165">
        <v>20.100000000000001</v>
      </c>
      <c r="O63" s="167">
        <f>(M63-N63)/N63</f>
        <v>0.39800995024875618</v>
      </c>
      <c r="P63" s="167">
        <f t="shared" si="21"/>
        <v>9.9328384588193722E-2</v>
      </c>
      <c r="Q63" s="167">
        <v>0.10573382430299801</v>
      </c>
      <c r="R63" s="168"/>
    </row>
    <row r="64" spans="2:18">
      <c r="B64" s="164">
        <v>10</v>
      </c>
      <c r="C64" s="164" t="s">
        <v>96</v>
      </c>
      <c r="D64" s="165">
        <f t="shared" si="16"/>
        <v>0.59999999999999964</v>
      </c>
      <c r="E64" s="165">
        <f t="shared" si="17"/>
        <v>0.19999999999999996</v>
      </c>
      <c r="F64" s="166">
        <f t="shared" si="18"/>
        <v>1.9999999999999987</v>
      </c>
      <c r="G64" s="166">
        <f t="shared" si="19"/>
        <v>2.2641509433962252E-2</v>
      </c>
      <c r="H64" s="166">
        <f t="shared" si="20"/>
        <v>1.0362694300518126E-2</v>
      </c>
      <c r="K64" s="164">
        <v>6</v>
      </c>
      <c r="L64" s="164" t="s">
        <v>96</v>
      </c>
      <c r="M64" s="165">
        <v>5.3</v>
      </c>
      <c r="N64" s="165">
        <v>1</v>
      </c>
      <c r="O64" s="167">
        <v>4.4870000000000001</v>
      </c>
      <c r="P64" s="167">
        <f t="shared" si="21"/>
        <v>1.8734535171438672E-2</v>
      </c>
      <c r="Q64" s="167">
        <v>5.2603892688058897E-3</v>
      </c>
      <c r="R64" s="168"/>
    </row>
    <row r="65" spans="2:18">
      <c r="B65" s="164">
        <v>6</v>
      </c>
      <c r="C65" s="164" t="s">
        <v>108</v>
      </c>
      <c r="D65" s="165">
        <f>M65-M83</f>
        <v>0.80000000000000027</v>
      </c>
      <c r="E65" s="165">
        <f>N65-N83</f>
        <v>0.20000000000000018</v>
      </c>
      <c r="F65" s="166">
        <f t="shared" si="18"/>
        <v>2.9999999999999978</v>
      </c>
      <c r="G65" s="166">
        <f t="shared" si="19"/>
        <v>3.018867924528303E-2</v>
      </c>
      <c r="H65" s="166">
        <f t="shared" si="20"/>
        <v>1.0362694300518139E-2</v>
      </c>
      <c r="K65" s="164">
        <v>7</v>
      </c>
      <c r="L65" s="162" t="s">
        <v>108</v>
      </c>
      <c r="M65" s="165">
        <v>4.4000000000000004</v>
      </c>
      <c r="N65" s="165">
        <v>1.6</v>
      </c>
      <c r="O65" s="167">
        <v>1.6639999999999999</v>
      </c>
      <c r="P65" s="167">
        <v>1.4999999999999999E-2</v>
      </c>
      <c r="Q65" s="167">
        <v>8.9999999999999993E-3</v>
      </c>
      <c r="R65" s="168"/>
    </row>
    <row r="66" spans="2:18">
      <c r="B66" s="164">
        <v>7</v>
      </c>
      <c r="C66" s="164" t="s">
        <v>277</v>
      </c>
      <c r="D66" s="165">
        <f>M66-M82</f>
        <v>0.5</v>
      </c>
      <c r="E66" s="165">
        <f>N66-N82</f>
        <v>0.19999999999999996</v>
      </c>
      <c r="F66" s="166">
        <f t="shared" si="18"/>
        <v>1.5000000000000004</v>
      </c>
      <c r="G66" s="166">
        <f t="shared" si="19"/>
        <v>1.8867924528301886E-2</v>
      </c>
      <c r="H66" s="166">
        <f t="shared" si="20"/>
        <v>1.0362694300518126E-2</v>
      </c>
      <c r="K66" s="164">
        <v>8</v>
      </c>
      <c r="L66" s="162" t="s">
        <v>277</v>
      </c>
      <c r="M66" s="165">
        <v>4.2</v>
      </c>
      <c r="N66" s="165">
        <v>1.5</v>
      </c>
      <c r="O66" s="167">
        <v>1.702</v>
      </c>
      <c r="P66" s="167">
        <f t="shared" si="21"/>
        <v>1.484623541887593E-2</v>
      </c>
      <c r="Q66" s="167">
        <v>7.8905839032088407E-3</v>
      </c>
      <c r="R66" s="168"/>
    </row>
    <row r="67" spans="2:18">
      <c r="B67" s="164">
        <v>8</v>
      </c>
      <c r="C67" s="162" t="s">
        <v>225</v>
      </c>
      <c r="D67" s="165">
        <f>M67-M84</f>
        <v>0.29999999999999982</v>
      </c>
      <c r="E67" s="165">
        <f t="shared" ref="E67:E70" si="22">N67-N84</f>
        <v>0.40000000000000036</v>
      </c>
      <c r="F67" s="166">
        <f t="shared" si="18"/>
        <v>-0.25000000000000111</v>
      </c>
      <c r="G67" s="166">
        <f t="shared" si="19"/>
        <v>1.1320754716981126E-2</v>
      </c>
      <c r="H67" s="166">
        <f t="shared" si="20"/>
        <v>2.0725388601036277E-2</v>
      </c>
      <c r="K67" s="164">
        <v>9</v>
      </c>
      <c r="L67" s="162" t="s">
        <v>225</v>
      </c>
      <c r="M67" s="165">
        <v>3.3</v>
      </c>
      <c r="N67" s="165">
        <v>3.7</v>
      </c>
      <c r="O67" s="167">
        <v>-0.1</v>
      </c>
      <c r="P67" s="167">
        <f t="shared" si="21"/>
        <v>1.166489925768823E-2</v>
      </c>
      <c r="Q67" s="167">
        <v>0.02</v>
      </c>
      <c r="R67" s="168"/>
    </row>
    <row r="68" spans="2:18">
      <c r="B68" s="164">
        <v>9</v>
      </c>
      <c r="C68" s="164" t="s">
        <v>112</v>
      </c>
      <c r="D68" s="165">
        <f t="shared" ref="D68:D70" si="23">M68-M85</f>
        <v>0.20000000000000018</v>
      </c>
      <c r="E68" s="165">
        <f t="shared" si="22"/>
        <v>0.10000000000000009</v>
      </c>
      <c r="F68" s="166">
        <f t="shared" si="18"/>
        <v>1</v>
      </c>
      <c r="G68" s="166">
        <f t="shared" si="19"/>
        <v>7.5471698113207617E-3</v>
      </c>
      <c r="H68" s="166">
        <f t="shared" si="20"/>
        <v>5.1813471502590693E-3</v>
      </c>
      <c r="K68" s="164">
        <v>10</v>
      </c>
      <c r="L68" s="164" t="s">
        <v>112</v>
      </c>
      <c r="M68" s="165">
        <v>2.5</v>
      </c>
      <c r="N68" s="165">
        <v>1.8</v>
      </c>
      <c r="O68" s="167">
        <v>0.36199999999999999</v>
      </c>
      <c r="P68" s="167">
        <f t="shared" si="21"/>
        <v>8.8370448921880531E-3</v>
      </c>
      <c r="Q68" s="167">
        <v>0.01</v>
      </c>
      <c r="R68" s="168"/>
    </row>
    <row r="69" spans="2:18">
      <c r="B69" s="277" t="s">
        <v>39</v>
      </c>
      <c r="C69" s="278"/>
      <c r="D69" s="165">
        <f t="shared" si="23"/>
        <v>1</v>
      </c>
      <c r="E69" s="165">
        <f t="shared" si="22"/>
        <v>0.60000000000000053</v>
      </c>
      <c r="F69" s="166">
        <f t="shared" si="18"/>
        <v>0.66666666666666519</v>
      </c>
      <c r="G69" s="166">
        <f t="shared" si="19"/>
        <v>3.7735849056603772E-2</v>
      </c>
      <c r="H69" s="166">
        <f t="shared" si="20"/>
        <v>3.1088082901554414E-2</v>
      </c>
      <c r="K69" s="279" t="s">
        <v>39</v>
      </c>
      <c r="L69" s="279"/>
      <c r="M69" s="165">
        <v>7.5</v>
      </c>
      <c r="N69" s="165">
        <v>4.7</v>
      </c>
      <c r="O69" s="167">
        <f>(M69-N69)/N69</f>
        <v>0.5957446808510638</v>
      </c>
      <c r="P69" s="167">
        <v>2.5999999999999999E-2</v>
      </c>
      <c r="Q69" s="167">
        <v>2.4E-2</v>
      </c>
      <c r="R69" s="168"/>
    </row>
    <row r="70" spans="2:18">
      <c r="B70" s="277" t="s">
        <v>48</v>
      </c>
      <c r="C70" s="278"/>
      <c r="D70" s="165">
        <f t="shared" si="23"/>
        <v>28.399999999999977</v>
      </c>
      <c r="E70" s="165">
        <f t="shared" si="22"/>
        <v>23.599999999999994</v>
      </c>
      <c r="F70" s="166">
        <f t="shared" si="18"/>
        <v>0.20338983050847381</v>
      </c>
      <c r="G70" s="166">
        <f t="shared" si="19"/>
        <v>1.0716981132075463</v>
      </c>
      <c r="H70" s="166">
        <f t="shared" si="20"/>
        <v>1.2227979274611389</v>
      </c>
      <c r="K70" s="279" t="s">
        <v>48</v>
      </c>
      <c r="L70" s="279"/>
      <c r="M70" s="165">
        <v>282.89999999999998</v>
      </c>
      <c r="N70" s="165">
        <v>190.1</v>
      </c>
      <c r="O70" s="167">
        <v>0.52800000000000002</v>
      </c>
      <c r="P70" s="167">
        <v>1</v>
      </c>
      <c r="Q70" s="167">
        <v>1</v>
      </c>
      <c r="R70" s="168"/>
    </row>
    <row r="71" spans="2:18">
      <c r="B71" s="160"/>
    </row>
    <row r="72" spans="2:18">
      <c r="B72" s="160"/>
    </row>
    <row r="73" spans="2:18">
      <c r="B73" s="160"/>
    </row>
    <row r="74" spans="2:18">
      <c r="B74" s="160" t="s">
        <v>283</v>
      </c>
      <c r="K74" s="160" t="s">
        <v>284</v>
      </c>
    </row>
    <row r="75" spans="2:18">
      <c r="B75" s="161" t="s">
        <v>92</v>
      </c>
      <c r="C75" s="162" t="s">
        <v>123</v>
      </c>
      <c r="D75" s="163">
        <v>45200</v>
      </c>
      <c r="E75" s="163">
        <v>44835</v>
      </c>
      <c r="F75" s="162" t="s">
        <v>124</v>
      </c>
      <c r="G75" s="162" t="s">
        <v>126</v>
      </c>
      <c r="H75" s="162" t="s">
        <v>133</v>
      </c>
      <c r="I75" s="22"/>
      <c r="K75" s="161" t="s">
        <v>92</v>
      </c>
      <c r="L75" s="162" t="s">
        <v>123</v>
      </c>
      <c r="M75" s="163" t="s">
        <v>142</v>
      </c>
      <c r="N75" s="163" t="s">
        <v>143</v>
      </c>
      <c r="O75" s="162" t="s">
        <v>124</v>
      </c>
      <c r="P75" s="162" t="s">
        <v>126</v>
      </c>
      <c r="Q75" s="162" t="s">
        <v>133</v>
      </c>
    </row>
    <row r="76" spans="2:18">
      <c r="B76" s="164">
        <v>1</v>
      </c>
      <c r="C76" s="162" t="s">
        <v>101</v>
      </c>
      <c r="D76" s="165">
        <f>M76-M93</f>
        <v>6.4000000000000057</v>
      </c>
      <c r="E76" s="165">
        <f>N76-N93</f>
        <v>5.1000000000000014</v>
      </c>
      <c r="F76" s="166">
        <f>D76/E76-1</f>
        <v>0.2549019607843146</v>
      </c>
      <c r="G76" s="166">
        <f>D76/$D$87</f>
        <v>0.24150943396226437</v>
      </c>
      <c r="H76" s="166">
        <f>E76/$E$87</f>
        <v>0.26424870466321237</v>
      </c>
      <c r="K76" s="164">
        <v>1</v>
      </c>
      <c r="L76" s="162" t="s">
        <v>101</v>
      </c>
      <c r="M76" s="165">
        <v>70.5</v>
      </c>
      <c r="N76" s="165">
        <v>48</v>
      </c>
      <c r="O76" s="167">
        <v>0.47</v>
      </c>
      <c r="P76" s="167">
        <v>0.27700000000000002</v>
      </c>
      <c r="Q76" s="167">
        <v>0.217</v>
      </c>
      <c r="R76" s="168"/>
    </row>
    <row r="77" spans="2:18">
      <c r="B77" s="164">
        <v>2</v>
      </c>
      <c r="C77" s="162" t="s">
        <v>98</v>
      </c>
      <c r="D77" s="165">
        <f t="shared" ref="D77:D87" si="24">M77-M94</f>
        <v>6.2999999999999972</v>
      </c>
      <c r="E77" s="165">
        <f t="shared" ref="E77:E87" si="25">N77-N94</f>
        <v>4.9000000000000021</v>
      </c>
      <c r="F77" s="166">
        <f t="shared" ref="F77:F87" si="26">D77/E77-1</f>
        <v>0.28571428571428448</v>
      </c>
      <c r="G77" s="166">
        <f t="shared" ref="G77:G87" si="27">D77/$D$87</f>
        <v>0.23773584905660367</v>
      </c>
      <c r="H77" s="166">
        <f t="shared" ref="H77:H87" si="28">E77/$E$87</f>
        <v>0.25388601036269426</v>
      </c>
      <c r="K77" s="164">
        <v>2</v>
      </c>
      <c r="L77" s="162" t="s">
        <v>98</v>
      </c>
      <c r="M77" s="165">
        <v>70.3</v>
      </c>
      <c r="N77" s="165">
        <v>36.200000000000003</v>
      </c>
      <c r="O77" s="167">
        <v>0.94299999999999995</v>
      </c>
      <c r="P77" s="167">
        <v>0.27600000000000002</v>
      </c>
      <c r="Q77" s="167">
        <v>0.217</v>
      </c>
      <c r="R77" s="168"/>
    </row>
    <row r="78" spans="2:18">
      <c r="B78" s="164">
        <v>3</v>
      </c>
      <c r="C78" s="162" t="s">
        <v>99</v>
      </c>
      <c r="D78" s="165">
        <f t="shared" si="24"/>
        <v>3.5</v>
      </c>
      <c r="E78" s="165">
        <f t="shared" si="25"/>
        <v>2.9000000000000021</v>
      </c>
      <c r="F78" s="166">
        <f t="shared" si="26"/>
        <v>0.20689655172413701</v>
      </c>
      <c r="G78" s="166">
        <f t="shared" si="27"/>
        <v>0.13207547169811321</v>
      </c>
      <c r="H78" s="166">
        <f t="shared" si="28"/>
        <v>0.15025906735751299</v>
      </c>
      <c r="K78" s="164">
        <v>3</v>
      </c>
      <c r="L78" s="162" t="s">
        <v>99</v>
      </c>
      <c r="M78" s="165">
        <v>37.1</v>
      </c>
      <c r="N78" s="165">
        <v>28.1</v>
      </c>
      <c r="O78" s="167">
        <v>0.317</v>
      </c>
      <c r="P78" s="167">
        <v>0.14599999999999999</v>
      </c>
      <c r="Q78" s="167">
        <v>0.16900000000000001</v>
      </c>
      <c r="R78" s="168"/>
    </row>
    <row r="79" spans="2:18">
      <c r="B79" s="164">
        <v>4</v>
      </c>
      <c r="C79" s="161" t="s">
        <v>107</v>
      </c>
      <c r="D79" s="165">
        <f t="shared" si="24"/>
        <v>3.3000000000000007</v>
      </c>
      <c r="E79" s="165">
        <f t="shared" si="25"/>
        <v>2.8000000000000007</v>
      </c>
      <c r="F79" s="166">
        <f t="shared" si="26"/>
        <v>0.1785714285714286</v>
      </c>
      <c r="G79" s="166">
        <f t="shared" si="27"/>
        <v>0.12452830188679248</v>
      </c>
      <c r="H79" s="166">
        <f t="shared" si="28"/>
        <v>0.14507772020725385</v>
      </c>
      <c r="K79" s="164">
        <v>4</v>
      </c>
      <c r="L79" s="161" t="s">
        <v>107</v>
      </c>
      <c r="M79" s="165">
        <v>27.7</v>
      </c>
      <c r="N79" s="165">
        <v>24.2</v>
      </c>
      <c r="O79" s="167">
        <v>0.14199999999999999</v>
      </c>
      <c r="P79" s="167">
        <v>0.109</v>
      </c>
      <c r="Q79" s="167">
        <v>0.14599999999999999</v>
      </c>
      <c r="R79" s="168"/>
    </row>
    <row r="80" spans="2:18">
      <c r="B80" s="164">
        <v>5</v>
      </c>
      <c r="C80" s="162" t="s">
        <v>105</v>
      </c>
      <c r="D80" s="165">
        <f t="shared" si="24"/>
        <v>3.3999999999999986</v>
      </c>
      <c r="E80" s="165">
        <f t="shared" si="25"/>
        <v>2.0999999999999979</v>
      </c>
      <c r="F80" s="166">
        <f t="shared" si="26"/>
        <v>0.61904761904761996</v>
      </c>
      <c r="G80" s="166">
        <f t="shared" si="27"/>
        <v>0.12830188679245277</v>
      </c>
      <c r="H80" s="166">
        <f t="shared" si="28"/>
        <v>0.10880829015544025</v>
      </c>
      <c r="K80" s="164">
        <v>5</v>
      </c>
      <c r="L80" s="162" t="s">
        <v>105</v>
      </c>
      <c r="M80" s="165">
        <v>25</v>
      </c>
      <c r="N80" s="165">
        <v>17.399999999999999</v>
      </c>
      <c r="O80" s="167">
        <v>0.436</v>
      </c>
      <c r="P80" s="167">
        <v>9.8000000000000004E-2</v>
      </c>
      <c r="Q80" s="167">
        <v>0.105</v>
      </c>
      <c r="R80" s="168"/>
    </row>
    <row r="81" spans="2:18">
      <c r="B81" s="164">
        <v>10</v>
      </c>
      <c r="C81" s="164" t="s">
        <v>96</v>
      </c>
      <c r="D81" s="165">
        <f t="shared" si="24"/>
        <v>0.60000000000000053</v>
      </c>
      <c r="E81" s="165">
        <f t="shared" si="25"/>
        <v>0.20000000000000007</v>
      </c>
      <c r="F81" s="166">
        <f t="shared" si="26"/>
        <v>2.0000000000000018</v>
      </c>
      <c r="G81" s="166">
        <f t="shared" si="27"/>
        <v>2.2641509433962283E-2</v>
      </c>
      <c r="H81" s="166">
        <f t="shared" si="28"/>
        <v>1.0362694300518132E-2</v>
      </c>
      <c r="K81" s="164">
        <v>6</v>
      </c>
      <c r="L81" s="164" t="s">
        <v>96</v>
      </c>
      <c r="M81" s="165">
        <v>4.7</v>
      </c>
      <c r="N81" s="165">
        <v>0.8</v>
      </c>
      <c r="O81" s="167">
        <v>5.2489999999999997</v>
      </c>
      <c r="P81" s="167">
        <v>1.7999999999999999E-2</v>
      </c>
      <c r="Q81" s="167">
        <v>5.0000000000000001E-3</v>
      </c>
      <c r="R81" s="168"/>
    </row>
    <row r="82" spans="2:18">
      <c r="B82" s="164">
        <v>6</v>
      </c>
      <c r="C82" s="164" t="s">
        <v>277</v>
      </c>
      <c r="D82" s="165">
        <f t="shared" si="24"/>
        <v>0.40000000000000036</v>
      </c>
      <c r="E82" s="165">
        <f t="shared" si="25"/>
        <v>0.10000000000000009</v>
      </c>
      <c r="F82" s="166">
        <f t="shared" si="26"/>
        <v>3</v>
      </c>
      <c r="G82" s="166">
        <f t="shared" si="27"/>
        <v>1.5094339622641523E-2</v>
      </c>
      <c r="H82" s="166">
        <f t="shared" si="28"/>
        <v>5.1813471502590693E-3</v>
      </c>
      <c r="K82" s="164">
        <v>7</v>
      </c>
      <c r="L82" s="164" t="s">
        <v>277</v>
      </c>
      <c r="M82" s="165">
        <v>3.7</v>
      </c>
      <c r="N82" s="165">
        <v>1.3</v>
      </c>
      <c r="O82" s="167">
        <v>1.7869999999999999</v>
      </c>
      <c r="P82" s="167">
        <v>1.4999999999999999E-2</v>
      </c>
      <c r="Q82" s="167">
        <v>8.0000000000000002E-3</v>
      </c>
      <c r="R82" s="168"/>
    </row>
    <row r="83" spans="2:18">
      <c r="B83" s="164">
        <v>7</v>
      </c>
      <c r="C83" s="164" t="s">
        <v>108</v>
      </c>
      <c r="D83" s="165">
        <f>M83-M101</f>
        <v>0.60000000000000009</v>
      </c>
      <c r="E83" s="165">
        <f>N83-N101</f>
        <v>0.19999999999999996</v>
      </c>
      <c r="F83" s="166">
        <f t="shared" si="26"/>
        <v>2.0000000000000013</v>
      </c>
      <c r="G83" s="166">
        <f t="shared" si="27"/>
        <v>2.2641509433962266E-2</v>
      </c>
      <c r="H83" s="166">
        <f t="shared" si="28"/>
        <v>1.0362694300518126E-2</v>
      </c>
      <c r="K83" s="164">
        <v>8</v>
      </c>
      <c r="L83" s="162" t="s">
        <v>108</v>
      </c>
      <c r="M83" s="165">
        <v>3.6</v>
      </c>
      <c r="N83" s="165">
        <v>1.4</v>
      </c>
      <c r="O83" s="167">
        <v>1.6279999999999999</v>
      </c>
      <c r="P83" s="167">
        <v>1.4E-2</v>
      </c>
      <c r="Q83" s="167">
        <v>8.0000000000000002E-3</v>
      </c>
      <c r="R83" s="168"/>
    </row>
    <row r="84" spans="2:18">
      <c r="B84" s="164">
        <v>8</v>
      </c>
      <c r="C84" s="162" t="s">
        <v>225</v>
      </c>
      <c r="D84" s="165">
        <f>M84-M100</f>
        <v>0.29999999999999982</v>
      </c>
      <c r="E84" s="165">
        <f t="shared" si="25"/>
        <v>2.0999999999999996</v>
      </c>
      <c r="F84" s="166">
        <f t="shared" si="26"/>
        <v>-0.85714285714285721</v>
      </c>
      <c r="G84" s="166">
        <f t="shared" si="27"/>
        <v>1.1320754716981126E-2</v>
      </c>
      <c r="H84" s="166">
        <f t="shared" si="28"/>
        <v>0.10880829015544033</v>
      </c>
      <c r="K84" s="164">
        <v>9</v>
      </c>
      <c r="L84" s="162" t="s">
        <v>225</v>
      </c>
      <c r="M84" s="165">
        <v>3</v>
      </c>
      <c r="N84" s="165">
        <v>3.3</v>
      </c>
      <c r="O84" s="167">
        <v>-7.5999999999999998E-2</v>
      </c>
      <c r="P84" s="167">
        <v>1.2E-2</v>
      </c>
      <c r="Q84" s="167">
        <v>0.02</v>
      </c>
      <c r="R84" s="168"/>
    </row>
    <row r="85" spans="2:18">
      <c r="B85" s="164">
        <v>9</v>
      </c>
      <c r="C85" s="164" t="s">
        <v>112</v>
      </c>
      <c r="D85" s="165">
        <f t="shared" si="24"/>
        <v>0.29999999999999982</v>
      </c>
      <c r="E85" s="165">
        <f t="shared" si="25"/>
        <v>0.19999999999999996</v>
      </c>
      <c r="F85" s="166">
        <f t="shared" si="26"/>
        <v>0.49999999999999933</v>
      </c>
      <c r="G85" s="166">
        <f t="shared" si="27"/>
        <v>1.1320754716981126E-2</v>
      </c>
      <c r="H85" s="166">
        <f t="shared" si="28"/>
        <v>1.0362694300518126E-2</v>
      </c>
      <c r="K85" s="164">
        <v>10</v>
      </c>
      <c r="L85" s="164" t="s">
        <v>112</v>
      </c>
      <c r="M85" s="165">
        <v>2.2999999999999998</v>
      </c>
      <c r="N85" s="165">
        <v>1.7</v>
      </c>
      <c r="O85" s="167">
        <v>0.35799999999999998</v>
      </c>
      <c r="P85" s="167">
        <v>8.9999999999999993E-3</v>
      </c>
      <c r="Q85" s="167">
        <v>0.01</v>
      </c>
      <c r="R85" s="168"/>
    </row>
    <row r="86" spans="2:18">
      <c r="B86" s="277" t="s">
        <v>39</v>
      </c>
      <c r="C86" s="278"/>
      <c r="D86" s="165">
        <f t="shared" si="24"/>
        <v>1.2000000000000002</v>
      </c>
      <c r="E86" s="165">
        <f t="shared" si="25"/>
        <v>0.49999999999999956</v>
      </c>
      <c r="F86" s="166">
        <f t="shared" si="26"/>
        <v>1.4000000000000026</v>
      </c>
      <c r="G86" s="166">
        <f t="shared" si="27"/>
        <v>4.5283018867924532E-2</v>
      </c>
      <c r="H86" s="166">
        <f t="shared" si="28"/>
        <v>2.5906735751295297E-2</v>
      </c>
      <c r="K86" s="279" t="s">
        <v>39</v>
      </c>
      <c r="L86" s="279"/>
      <c r="M86" s="165">
        <v>6.5</v>
      </c>
      <c r="N86" s="165">
        <v>4.0999999999999996</v>
      </c>
      <c r="O86" s="167">
        <v>0.59399999999999997</v>
      </c>
      <c r="P86" s="167">
        <v>2.5999999999999999E-2</v>
      </c>
      <c r="Q86" s="167">
        <v>2.5000000000000001E-2</v>
      </c>
      <c r="R86" s="168"/>
    </row>
    <row r="87" spans="2:18">
      <c r="B87" s="277" t="s">
        <v>48</v>
      </c>
      <c r="C87" s="278"/>
      <c r="D87" s="165">
        <f t="shared" si="24"/>
        <v>26.5</v>
      </c>
      <c r="E87" s="165">
        <f t="shared" si="25"/>
        <v>19.300000000000011</v>
      </c>
      <c r="F87" s="166">
        <f t="shared" si="26"/>
        <v>0.37305699481865195</v>
      </c>
      <c r="G87" s="166">
        <f t="shared" si="27"/>
        <v>1</v>
      </c>
      <c r="H87" s="166">
        <f t="shared" si="28"/>
        <v>1</v>
      </c>
      <c r="K87" s="279" t="s">
        <v>48</v>
      </c>
      <c r="L87" s="279"/>
      <c r="M87" s="165">
        <v>254.5</v>
      </c>
      <c r="N87" s="165">
        <v>166.5</v>
      </c>
      <c r="O87" s="167">
        <v>0.52800000000000002</v>
      </c>
      <c r="P87" s="167">
        <v>1</v>
      </c>
      <c r="Q87" s="167">
        <v>1</v>
      </c>
      <c r="R87" s="168"/>
    </row>
    <row r="88" spans="2:18">
      <c r="B88" s="169"/>
      <c r="C88" s="169"/>
      <c r="D88" s="170"/>
      <c r="E88" s="170"/>
      <c r="F88" s="171"/>
      <c r="G88" s="171"/>
      <c r="H88" s="171"/>
      <c r="K88" s="169"/>
      <c r="L88" s="169"/>
      <c r="M88" s="170"/>
      <c r="N88" s="170"/>
      <c r="O88" s="176"/>
      <c r="P88" s="176"/>
      <c r="Q88" s="176"/>
      <c r="R88" s="168"/>
    </row>
    <row r="89" spans="2:18">
      <c r="B89" s="169"/>
      <c r="C89" s="169"/>
      <c r="D89" s="170"/>
      <c r="E89" s="170"/>
      <c r="F89" s="171"/>
      <c r="G89" s="171"/>
      <c r="H89" s="171"/>
      <c r="K89" s="169"/>
      <c r="L89" s="169"/>
      <c r="M89" s="170"/>
      <c r="N89" s="170"/>
      <c r="O89" s="176"/>
      <c r="P89" s="176"/>
      <c r="Q89" s="176"/>
      <c r="R89" s="168"/>
    </row>
    <row r="90" spans="2:18">
      <c r="B90" s="160"/>
    </row>
    <row r="91" spans="2:18">
      <c r="B91" s="160" t="s">
        <v>285</v>
      </c>
      <c r="K91" s="160" t="s">
        <v>286</v>
      </c>
    </row>
    <row r="92" spans="2:18">
      <c r="B92" s="161" t="s">
        <v>92</v>
      </c>
      <c r="C92" s="162" t="s">
        <v>123</v>
      </c>
      <c r="D92" s="163">
        <v>45170</v>
      </c>
      <c r="E92" s="163">
        <v>44805</v>
      </c>
      <c r="F92" s="162" t="s">
        <v>124</v>
      </c>
      <c r="G92" s="162" t="s">
        <v>126</v>
      </c>
      <c r="H92" s="162" t="s">
        <v>133</v>
      </c>
      <c r="I92" s="22"/>
      <c r="K92" s="161" t="s">
        <v>92</v>
      </c>
      <c r="L92" s="162" t="s">
        <v>123</v>
      </c>
      <c r="M92" s="163" t="s">
        <v>146</v>
      </c>
      <c r="N92" s="163" t="s">
        <v>147</v>
      </c>
      <c r="O92" s="162" t="s">
        <v>124</v>
      </c>
      <c r="P92" s="162" t="s">
        <v>126</v>
      </c>
      <c r="Q92" s="162" t="s">
        <v>133</v>
      </c>
    </row>
    <row r="93" spans="2:18">
      <c r="B93" s="164">
        <v>1</v>
      </c>
      <c r="C93" s="162" t="s">
        <v>101</v>
      </c>
      <c r="D93" s="165">
        <f>M93-M110</f>
        <v>7.7999999999999972</v>
      </c>
      <c r="E93" s="165">
        <f t="shared" ref="E93:E104" si="29">N93-N110</f>
        <v>7.6999999999999957</v>
      </c>
      <c r="F93" s="166">
        <f>D93/E93-1</f>
        <v>1.2987012987013102E-2</v>
      </c>
      <c r="G93" s="166">
        <f>D93/$D$104</f>
        <v>0.25657894736842091</v>
      </c>
      <c r="H93" s="166">
        <f>E93/$E$104</f>
        <v>0.33624454148471611</v>
      </c>
      <c r="K93" s="164">
        <v>1</v>
      </c>
      <c r="L93" s="162" t="s">
        <v>101</v>
      </c>
      <c r="M93" s="165">
        <v>64.099999999999994</v>
      </c>
      <c r="N93" s="165">
        <v>42.9</v>
      </c>
      <c r="O93" s="167">
        <v>0.49199999999999999</v>
      </c>
      <c r="P93" s="167">
        <v>0.28114035087719302</v>
      </c>
      <c r="Q93" s="167">
        <v>0.29144021739130399</v>
      </c>
      <c r="R93" s="168"/>
    </row>
    <row r="94" spans="2:18">
      <c r="B94" s="164">
        <v>2</v>
      </c>
      <c r="C94" s="162" t="s">
        <v>98</v>
      </c>
      <c r="D94" s="165">
        <f t="shared" ref="D94:D104" si="30">M94-M111</f>
        <v>9.2999999999999972</v>
      </c>
      <c r="E94" s="165">
        <f t="shared" si="29"/>
        <v>5.4000000000000021</v>
      </c>
      <c r="F94" s="166">
        <f t="shared" ref="F94:F104" si="31">D94/E94-1</f>
        <v>0.72222222222222099</v>
      </c>
      <c r="G94" s="166">
        <f t="shared" ref="G94:G104" si="32">D94/$D$104</f>
        <v>0.30592105263157882</v>
      </c>
      <c r="H94" s="166">
        <f t="shared" ref="H94:H104" si="33">E94/$E$104</f>
        <v>0.23580786026200892</v>
      </c>
      <c r="K94" s="164">
        <v>2</v>
      </c>
      <c r="L94" s="162" t="s">
        <v>98</v>
      </c>
      <c r="M94" s="165">
        <v>64</v>
      </c>
      <c r="N94" s="165">
        <v>31.3</v>
      </c>
      <c r="O94" s="167">
        <v>1.0489999999999999</v>
      </c>
      <c r="P94" s="167">
        <v>0.28070175438596501</v>
      </c>
      <c r="Q94" s="167">
        <v>0.21199999999999999</v>
      </c>
      <c r="R94" s="168"/>
    </row>
    <row r="95" spans="2:18">
      <c r="B95" s="164">
        <v>3</v>
      </c>
      <c r="C95" s="162" t="s">
        <v>99</v>
      </c>
      <c r="D95" s="165">
        <f t="shared" si="30"/>
        <v>3.2000000000000028</v>
      </c>
      <c r="E95" s="165">
        <f t="shared" si="29"/>
        <v>3.1999999999999993</v>
      </c>
      <c r="F95" s="166">
        <f t="shared" si="31"/>
        <v>0</v>
      </c>
      <c r="G95" s="166">
        <f t="shared" si="32"/>
        <v>0.10526315789473692</v>
      </c>
      <c r="H95" s="166">
        <f t="shared" si="33"/>
        <v>0.13973799126637557</v>
      </c>
      <c r="K95" s="164">
        <v>3</v>
      </c>
      <c r="L95" s="162" t="s">
        <v>99</v>
      </c>
      <c r="M95" s="165">
        <v>33.6</v>
      </c>
      <c r="N95" s="165">
        <v>25.2</v>
      </c>
      <c r="O95" s="167">
        <v>0.33200000000000002</v>
      </c>
      <c r="P95" s="167">
        <v>0.14736842105263201</v>
      </c>
      <c r="Q95" s="167">
        <v>0.171195652173913</v>
      </c>
      <c r="R95" s="168"/>
    </row>
    <row r="96" spans="2:18">
      <c r="B96" s="164">
        <v>4</v>
      </c>
      <c r="C96" s="161" t="s">
        <v>107</v>
      </c>
      <c r="D96" s="165">
        <f t="shared" si="30"/>
        <v>2.7999999999999972</v>
      </c>
      <c r="E96" s="165">
        <f t="shared" si="29"/>
        <v>2.7999999999999972</v>
      </c>
      <c r="F96" s="166">
        <f t="shared" si="31"/>
        <v>0</v>
      </c>
      <c r="G96" s="166">
        <f t="shared" si="32"/>
        <v>9.2105263157894621E-2</v>
      </c>
      <c r="H96" s="166">
        <f t="shared" si="33"/>
        <v>0.12227074235807853</v>
      </c>
      <c r="K96" s="164">
        <v>4</v>
      </c>
      <c r="L96" s="161" t="s">
        <v>107</v>
      </c>
      <c r="M96" s="165">
        <v>24.4</v>
      </c>
      <c r="N96" s="165">
        <v>21.4</v>
      </c>
      <c r="O96" s="167">
        <v>0.13700000000000001</v>
      </c>
      <c r="P96" s="167">
        <v>0.107017543859649</v>
      </c>
      <c r="Q96" s="167">
        <v>0.14538043478260901</v>
      </c>
      <c r="R96" s="168"/>
    </row>
    <row r="97" spans="2:18">
      <c r="B97" s="164">
        <v>5</v>
      </c>
      <c r="C97" s="162" t="s">
        <v>105</v>
      </c>
      <c r="D97" s="165">
        <f t="shared" si="30"/>
        <v>4.1000000000000014</v>
      </c>
      <c r="E97" s="165">
        <f t="shared" si="29"/>
        <v>2.2000000000000011</v>
      </c>
      <c r="F97" s="166">
        <f t="shared" si="31"/>
        <v>0.86363636363636331</v>
      </c>
      <c r="G97" s="166">
        <f t="shared" si="32"/>
        <v>0.13486842105263161</v>
      </c>
      <c r="H97" s="166">
        <f t="shared" si="33"/>
        <v>9.6069868995633273E-2</v>
      </c>
      <c r="K97" s="164">
        <v>5</v>
      </c>
      <c r="L97" s="162" t="s">
        <v>105</v>
      </c>
      <c r="M97" s="165">
        <v>21.6</v>
      </c>
      <c r="N97" s="165">
        <v>15.3</v>
      </c>
      <c r="O97" s="167">
        <v>0.41399999999999998</v>
      </c>
      <c r="P97" s="167">
        <v>9.4736842105263203E-2</v>
      </c>
      <c r="Q97" s="167">
        <v>0.103940217391304</v>
      </c>
      <c r="R97" s="168"/>
    </row>
    <row r="98" spans="2:18">
      <c r="B98" s="164">
        <v>10</v>
      </c>
      <c r="C98" s="164" t="s">
        <v>96</v>
      </c>
      <c r="D98" s="165">
        <f t="shared" si="30"/>
        <v>0.79999999999999982</v>
      </c>
      <c r="E98" s="165">
        <f t="shared" si="29"/>
        <v>0</v>
      </c>
      <c r="F98" s="166" t="s">
        <v>115</v>
      </c>
      <c r="G98" s="166">
        <f t="shared" si="32"/>
        <v>2.6315789473684199E-2</v>
      </c>
      <c r="H98" s="166">
        <f t="shared" si="33"/>
        <v>0</v>
      </c>
      <c r="K98" s="164">
        <v>6</v>
      </c>
      <c r="L98" s="164" t="s">
        <v>96</v>
      </c>
      <c r="M98" s="165">
        <v>4.0999999999999996</v>
      </c>
      <c r="N98" s="165">
        <v>0.6</v>
      </c>
      <c r="O98" s="167">
        <v>5.3940000000000001</v>
      </c>
      <c r="P98" s="167">
        <v>1.7982456140350898E-2</v>
      </c>
      <c r="Q98" s="167">
        <v>4.0760869565217399E-3</v>
      </c>
      <c r="R98" s="168"/>
    </row>
    <row r="99" spans="2:18">
      <c r="B99" s="164">
        <v>6</v>
      </c>
      <c r="C99" s="164" t="s">
        <v>277</v>
      </c>
      <c r="D99" s="165">
        <f t="shared" si="30"/>
        <v>0.5</v>
      </c>
      <c r="E99" s="165">
        <f t="shared" si="29"/>
        <v>9.9999999999999867E-2</v>
      </c>
      <c r="F99" s="166">
        <f>D99/E99-1</f>
        <v>4.0000000000000071</v>
      </c>
      <c r="G99" s="166">
        <f t="shared" si="32"/>
        <v>1.6447368421052627E-2</v>
      </c>
      <c r="H99" s="166">
        <f t="shared" si="33"/>
        <v>4.3668122270742312E-3</v>
      </c>
      <c r="K99" s="164">
        <v>7</v>
      </c>
      <c r="L99" s="164" t="s">
        <v>277</v>
      </c>
      <c r="M99" s="165">
        <v>3.3</v>
      </c>
      <c r="N99" s="165">
        <v>1.2</v>
      </c>
      <c r="O99" s="167">
        <v>1.7330000000000001</v>
      </c>
      <c r="P99" s="167">
        <v>1.44736842105263E-2</v>
      </c>
      <c r="Q99" s="167">
        <v>8.1521739130434798E-3</v>
      </c>
      <c r="R99" s="168"/>
    </row>
    <row r="100" spans="2:18">
      <c r="B100" s="164">
        <v>7</v>
      </c>
      <c r="C100" s="164" t="s">
        <v>225</v>
      </c>
      <c r="D100" s="165">
        <f t="shared" si="30"/>
        <v>0.30000000000000027</v>
      </c>
      <c r="E100" s="165">
        <f t="shared" si="29"/>
        <v>0.5</v>
      </c>
      <c r="F100" s="166">
        <f t="shared" si="31"/>
        <v>-0.39999999999999947</v>
      </c>
      <c r="G100" s="166">
        <f t="shared" si="32"/>
        <v>9.8684210526315853E-3</v>
      </c>
      <c r="H100" s="166">
        <f t="shared" si="33"/>
        <v>2.1834061135371188E-2</v>
      </c>
      <c r="K100" s="164">
        <v>8</v>
      </c>
      <c r="L100" s="164" t="s">
        <v>225</v>
      </c>
      <c r="M100" s="165">
        <v>2.7</v>
      </c>
      <c r="N100" s="165">
        <v>3</v>
      </c>
      <c r="O100" s="167">
        <v>-8.7999999999999995E-2</v>
      </c>
      <c r="P100" s="167">
        <v>1.2E-2</v>
      </c>
      <c r="Q100" s="167">
        <v>0.02</v>
      </c>
      <c r="R100" s="168"/>
    </row>
    <row r="101" spans="2:18">
      <c r="B101" s="164">
        <v>8</v>
      </c>
      <c r="C101" s="162" t="s">
        <v>108</v>
      </c>
      <c r="D101" s="165">
        <f t="shared" si="30"/>
        <v>0.70000000000000018</v>
      </c>
      <c r="E101" s="165">
        <f t="shared" si="29"/>
        <v>0.29999999999999993</v>
      </c>
      <c r="F101" s="166">
        <f t="shared" si="31"/>
        <v>1.3333333333333344</v>
      </c>
      <c r="G101" s="166">
        <f t="shared" si="32"/>
        <v>2.3026315789473686E-2</v>
      </c>
      <c r="H101" s="166">
        <f t="shared" si="33"/>
        <v>1.310043668122271E-2</v>
      </c>
      <c r="K101" s="164">
        <v>9</v>
      </c>
      <c r="L101" s="162" t="s">
        <v>108</v>
      </c>
      <c r="M101" s="165">
        <v>3</v>
      </c>
      <c r="N101" s="165">
        <v>1.2</v>
      </c>
      <c r="O101" s="167">
        <v>1.5840000000000001</v>
      </c>
      <c r="P101" s="167">
        <v>1.2999999999999999E-2</v>
      </c>
      <c r="Q101" s="167">
        <v>8.0000000000000002E-3</v>
      </c>
      <c r="R101" s="168"/>
    </row>
    <row r="102" spans="2:18">
      <c r="B102" s="164">
        <v>9</v>
      </c>
      <c r="C102" s="164" t="s">
        <v>112</v>
      </c>
      <c r="D102" s="165">
        <f t="shared" si="30"/>
        <v>0.30000000000000004</v>
      </c>
      <c r="E102" s="165">
        <f t="shared" si="29"/>
        <v>0.19999999999999996</v>
      </c>
      <c r="F102" s="166">
        <f t="shared" si="31"/>
        <v>0.50000000000000067</v>
      </c>
      <c r="G102" s="166">
        <f t="shared" si="32"/>
        <v>9.8684210526315784E-3</v>
      </c>
      <c r="H102" s="166">
        <f t="shared" si="33"/>
        <v>8.7336244541484729E-3</v>
      </c>
      <c r="K102" s="164">
        <v>10</v>
      </c>
      <c r="L102" s="164" t="s">
        <v>112</v>
      </c>
      <c r="M102" s="165">
        <v>2</v>
      </c>
      <c r="N102" s="165">
        <v>1.5</v>
      </c>
      <c r="O102" s="167">
        <v>0.34799999999999998</v>
      </c>
      <c r="P102" s="167">
        <v>8.7719298245613996E-3</v>
      </c>
      <c r="Q102" s="167">
        <v>1.0190217391304299E-2</v>
      </c>
      <c r="R102" s="168"/>
    </row>
    <row r="103" spans="2:18">
      <c r="B103" s="277" t="s">
        <v>39</v>
      </c>
      <c r="C103" s="278"/>
      <c r="D103" s="165">
        <f t="shared" si="30"/>
        <v>0.70000000000000018</v>
      </c>
      <c r="E103" s="165">
        <f t="shared" si="29"/>
        <v>0.60000000000000009</v>
      </c>
      <c r="F103" s="166">
        <f t="shared" si="31"/>
        <v>0.16666666666666674</v>
      </c>
      <c r="G103" s="166">
        <f t="shared" si="32"/>
        <v>2.3026315789473686E-2</v>
      </c>
      <c r="H103" s="166">
        <f t="shared" si="33"/>
        <v>2.6200873362445427E-2</v>
      </c>
      <c r="K103" s="279" t="s">
        <v>39</v>
      </c>
      <c r="L103" s="279"/>
      <c r="M103" s="165">
        <v>5.3</v>
      </c>
      <c r="N103" s="165">
        <v>3.6</v>
      </c>
      <c r="O103" s="167">
        <v>0.47099999999999997</v>
      </c>
      <c r="P103" s="167">
        <v>2.3245614035087701E-2</v>
      </c>
      <c r="Q103" s="167">
        <v>2.5000000000000001E-2</v>
      </c>
      <c r="R103" s="168"/>
    </row>
    <row r="104" spans="2:18">
      <c r="B104" s="277" t="s">
        <v>48</v>
      </c>
      <c r="C104" s="278"/>
      <c r="D104" s="165">
        <f t="shared" si="30"/>
        <v>30.400000000000006</v>
      </c>
      <c r="E104" s="165">
        <f t="shared" si="29"/>
        <v>22.899999999999991</v>
      </c>
      <c r="F104" s="166">
        <f t="shared" si="31"/>
        <v>0.32751091703056834</v>
      </c>
      <c r="G104" s="166">
        <f t="shared" si="32"/>
        <v>1</v>
      </c>
      <c r="H104" s="166">
        <f t="shared" si="33"/>
        <v>1</v>
      </c>
      <c r="K104" s="279" t="s">
        <v>48</v>
      </c>
      <c r="L104" s="279"/>
      <c r="M104" s="165">
        <v>228</v>
      </c>
      <c r="N104" s="165">
        <v>147.19999999999999</v>
      </c>
      <c r="O104" s="167">
        <v>0.54900000000000004</v>
      </c>
      <c r="P104" s="167">
        <v>1</v>
      </c>
      <c r="Q104" s="167">
        <v>1</v>
      </c>
      <c r="R104" s="168"/>
    </row>
    <row r="105" spans="2:18">
      <c r="B105" s="169"/>
      <c r="C105" s="169"/>
      <c r="D105" s="172"/>
      <c r="E105" s="172"/>
      <c r="F105" s="173"/>
      <c r="G105" s="173"/>
      <c r="H105" s="173"/>
      <c r="I105" s="173"/>
      <c r="K105" s="169"/>
      <c r="L105" s="169"/>
      <c r="M105" s="177"/>
      <c r="N105" s="178"/>
      <c r="O105" s="179"/>
      <c r="P105" s="179"/>
      <c r="Q105" s="179"/>
    </row>
    <row r="106" spans="2:18">
      <c r="B106" s="160"/>
    </row>
    <row r="107" spans="2:18">
      <c r="B107" s="160"/>
      <c r="K107" s="160"/>
    </row>
    <row r="108" spans="2:18">
      <c r="B108" s="160" t="s">
        <v>287</v>
      </c>
      <c r="K108" s="160" t="s">
        <v>288</v>
      </c>
    </row>
    <row r="109" spans="2:18">
      <c r="B109" s="161" t="s">
        <v>92</v>
      </c>
      <c r="C109" s="162" t="s">
        <v>123</v>
      </c>
      <c r="D109" s="163">
        <v>45139</v>
      </c>
      <c r="E109" s="163">
        <v>44774</v>
      </c>
      <c r="F109" s="162" t="s">
        <v>124</v>
      </c>
      <c r="G109" s="162" t="s">
        <v>126</v>
      </c>
      <c r="H109" s="162" t="s">
        <v>133</v>
      </c>
      <c r="I109" s="22"/>
      <c r="K109" s="161" t="s">
        <v>92</v>
      </c>
      <c r="L109" s="162" t="s">
        <v>123</v>
      </c>
      <c r="M109" s="163" t="s">
        <v>150</v>
      </c>
      <c r="N109" s="163" t="s">
        <v>151</v>
      </c>
      <c r="O109" s="162" t="s">
        <v>124</v>
      </c>
      <c r="P109" s="162" t="s">
        <v>126</v>
      </c>
      <c r="Q109" s="162" t="s">
        <v>133</v>
      </c>
    </row>
    <row r="110" spans="2:18">
      <c r="B110" s="164">
        <v>1</v>
      </c>
      <c r="C110" s="162" t="s">
        <v>101</v>
      </c>
      <c r="D110" s="165">
        <f>M110-M127</f>
        <v>8.7999999999999972</v>
      </c>
      <c r="E110" s="165">
        <f>N110-N127</f>
        <v>4.6000000000000014</v>
      </c>
      <c r="F110" s="166">
        <f>D110/E110-1</f>
        <v>0.91304347826086829</v>
      </c>
      <c r="G110" s="166">
        <f>D110/$D$121</f>
        <v>0.30240549828178692</v>
      </c>
      <c r="H110" s="166">
        <f>E110/$E$121</f>
        <v>0.27380952380952395</v>
      </c>
      <c r="I110" s="180"/>
      <c r="K110" s="164">
        <v>1</v>
      </c>
      <c r="L110" s="162" t="s">
        <v>101</v>
      </c>
      <c r="M110" s="164">
        <v>56.3</v>
      </c>
      <c r="N110" s="181">
        <v>35.200000000000003</v>
      </c>
      <c r="O110" s="167">
        <v>0.59699999999999998</v>
      </c>
      <c r="P110" s="167">
        <v>0.28499999999999998</v>
      </c>
      <c r="Q110" s="167">
        <v>0.28299999999999997</v>
      </c>
    </row>
    <row r="111" spans="2:18">
      <c r="B111" s="164">
        <v>2</v>
      </c>
      <c r="C111" s="162" t="s">
        <v>98</v>
      </c>
      <c r="D111" s="165">
        <f>M111-M128</f>
        <v>8.3000000000000043</v>
      </c>
      <c r="E111" s="165">
        <f t="shared" ref="E111:E121" si="34">N111-N128</f>
        <v>3.6999999999999993</v>
      </c>
      <c r="F111" s="166">
        <f t="shared" ref="F111:F121" si="35">D111/E111-1</f>
        <v>1.2432432432432448</v>
      </c>
      <c r="G111" s="166">
        <f t="shared" ref="G111:G121" si="36">D111/$D$121</f>
        <v>0.28522336769759471</v>
      </c>
      <c r="H111" s="166">
        <f t="shared" ref="H111:H121" si="37">E111/$E$121</f>
        <v>0.22023809523809523</v>
      </c>
      <c r="I111" s="180"/>
      <c r="K111" s="164">
        <v>2</v>
      </c>
      <c r="L111" s="162" t="s">
        <v>98</v>
      </c>
      <c r="M111" s="164">
        <v>54.7</v>
      </c>
      <c r="N111" s="181">
        <v>25.9</v>
      </c>
      <c r="O111" s="167">
        <v>1.111</v>
      </c>
      <c r="P111" s="167">
        <v>0.27700000000000002</v>
      </c>
      <c r="Q111" s="167">
        <v>0.20799999999999999</v>
      </c>
    </row>
    <row r="112" spans="2:18">
      <c r="B112" s="164">
        <v>3</v>
      </c>
      <c r="C112" s="162" t="s">
        <v>99</v>
      </c>
      <c r="D112" s="165">
        <f t="shared" ref="D112:D121" si="38">M112-M129</f>
        <v>4</v>
      </c>
      <c r="E112" s="165">
        <f t="shared" si="34"/>
        <v>3.1000000000000014</v>
      </c>
      <c r="F112" s="166">
        <f t="shared" si="35"/>
        <v>0.29032258064516059</v>
      </c>
      <c r="G112" s="166">
        <f t="shared" si="36"/>
        <v>0.13745704467353956</v>
      </c>
      <c r="H112" s="166">
        <f t="shared" si="37"/>
        <v>0.18452380952380965</v>
      </c>
      <c r="I112" s="180"/>
      <c r="K112" s="164">
        <v>3</v>
      </c>
      <c r="L112" s="162" t="s">
        <v>99</v>
      </c>
      <c r="M112" s="164">
        <v>30.4</v>
      </c>
      <c r="N112" s="181">
        <v>22</v>
      </c>
      <c r="O112" s="167">
        <v>0.38400000000000001</v>
      </c>
      <c r="P112" s="167">
        <v>0.154</v>
      </c>
      <c r="Q112" s="167">
        <v>0.17699999999999999</v>
      </c>
    </row>
    <row r="113" spans="2:17">
      <c r="B113" s="164">
        <v>4</v>
      </c>
      <c r="C113" s="161" t="s">
        <v>107</v>
      </c>
      <c r="D113" s="165">
        <f t="shared" si="38"/>
        <v>2.7000000000000028</v>
      </c>
      <c r="E113" s="165">
        <f t="shared" si="34"/>
        <v>2.3000000000000007</v>
      </c>
      <c r="F113" s="166">
        <f t="shared" si="35"/>
        <v>0.17391304347826164</v>
      </c>
      <c r="G113" s="166">
        <f t="shared" si="36"/>
        <v>9.278350515463929E-2</v>
      </c>
      <c r="H113" s="166">
        <f t="shared" si="37"/>
        <v>0.13690476190476197</v>
      </c>
      <c r="I113" s="180"/>
      <c r="K113" s="164">
        <v>4</v>
      </c>
      <c r="L113" s="161" t="s">
        <v>107</v>
      </c>
      <c r="M113" s="164">
        <v>21.6</v>
      </c>
      <c r="N113" s="181">
        <v>18.600000000000001</v>
      </c>
      <c r="O113" s="167">
        <v>0.161</v>
      </c>
      <c r="P113" s="167">
        <v>0.109</v>
      </c>
      <c r="Q113" s="167">
        <v>0.15</v>
      </c>
    </row>
    <row r="114" spans="2:17">
      <c r="B114" s="164">
        <v>5</v>
      </c>
      <c r="C114" s="162" t="s">
        <v>105</v>
      </c>
      <c r="D114" s="165">
        <f t="shared" si="38"/>
        <v>2.5999999999999996</v>
      </c>
      <c r="E114" s="165">
        <f t="shared" si="34"/>
        <v>1.9000000000000004</v>
      </c>
      <c r="F114" s="166">
        <f t="shared" si="35"/>
        <v>0.36842105263157854</v>
      </c>
      <c r="G114" s="166">
        <f t="shared" si="36"/>
        <v>8.9347079037800689E-2</v>
      </c>
      <c r="H114" s="166">
        <f t="shared" si="37"/>
        <v>0.11309523809523814</v>
      </c>
      <c r="I114" s="180"/>
      <c r="K114" s="164">
        <v>5</v>
      </c>
      <c r="L114" s="162" t="s">
        <v>105</v>
      </c>
      <c r="M114" s="164">
        <v>17.5</v>
      </c>
      <c r="N114" s="181">
        <v>13.1</v>
      </c>
      <c r="O114" s="167">
        <v>0.33</v>
      </c>
      <c r="P114" s="167">
        <v>8.8999999999999996E-2</v>
      </c>
      <c r="Q114" s="167">
        <v>0.106</v>
      </c>
    </row>
    <row r="115" spans="2:17">
      <c r="B115" s="164">
        <v>10</v>
      </c>
      <c r="C115" s="164" t="s">
        <v>96</v>
      </c>
      <c r="D115" s="165">
        <f t="shared" si="38"/>
        <v>0.59999999999999964</v>
      </c>
      <c r="E115" s="165">
        <f t="shared" si="34"/>
        <v>9.9999999999999978E-2</v>
      </c>
      <c r="F115" s="166">
        <f t="shared" si="35"/>
        <v>4.9999999999999973</v>
      </c>
      <c r="G115" s="166">
        <f t="shared" si="36"/>
        <v>2.0618556701030921E-2</v>
      </c>
      <c r="H115" s="166">
        <f t="shared" si="37"/>
        <v>5.9523809523809521E-3</v>
      </c>
      <c r="I115" s="180"/>
      <c r="K115" s="164">
        <v>6</v>
      </c>
      <c r="L115" s="164" t="s">
        <v>96</v>
      </c>
      <c r="M115" s="164">
        <v>3.3</v>
      </c>
      <c r="N115" s="181">
        <v>0.6</v>
      </c>
      <c r="O115" s="167">
        <v>4.7270000000000003</v>
      </c>
      <c r="P115" s="167">
        <v>1.7000000000000001E-2</v>
      </c>
      <c r="Q115" s="167">
        <v>5.0000000000000001E-3</v>
      </c>
    </row>
    <row r="116" spans="2:17">
      <c r="B116" s="164">
        <v>6</v>
      </c>
      <c r="C116" s="164" t="s">
        <v>277</v>
      </c>
      <c r="D116" s="165">
        <f t="shared" si="38"/>
        <v>0.5</v>
      </c>
      <c r="E116" s="165">
        <f t="shared" si="34"/>
        <v>0.10000000000000009</v>
      </c>
      <c r="F116" s="166">
        <f t="shared" si="35"/>
        <v>3.9999999999999956</v>
      </c>
      <c r="G116" s="166">
        <f t="shared" si="36"/>
        <v>1.7182130584192445E-2</v>
      </c>
      <c r="H116" s="166">
        <f t="shared" si="37"/>
        <v>5.952380952380959E-3</v>
      </c>
      <c r="I116" s="180"/>
      <c r="K116" s="164">
        <v>7</v>
      </c>
      <c r="L116" s="164" t="s">
        <v>277</v>
      </c>
      <c r="M116" s="164">
        <v>2.8</v>
      </c>
      <c r="N116" s="181">
        <v>1.1000000000000001</v>
      </c>
      <c r="O116" s="167">
        <v>1.611</v>
      </c>
      <c r="P116" s="167">
        <v>1.4E-2</v>
      </c>
      <c r="Q116" s="167">
        <v>8.9999999999999993E-3</v>
      </c>
    </row>
    <row r="117" spans="2:17">
      <c r="B117" s="164">
        <v>7</v>
      </c>
      <c r="C117" s="164" t="s">
        <v>225</v>
      </c>
      <c r="D117" s="165">
        <f t="shared" si="38"/>
        <v>0.29999999999999982</v>
      </c>
      <c r="E117" s="165">
        <f t="shared" si="34"/>
        <v>0.29999999999999982</v>
      </c>
      <c r="F117" s="166">
        <f t="shared" si="35"/>
        <v>0</v>
      </c>
      <c r="G117" s="166">
        <f t="shared" si="36"/>
        <v>1.030927835051546E-2</v>
      </c>
      <c r="H117" s="166">
        <f t="shared" si="37"/>
        <v>1.7857142857142849E-2</v>
      </c>
      <c r="I117" s="180"/>
      <c r="K117" s="164">
        <v>8</v>
      </c>
      <c r="L117" s="164" t="s">
        <v>225</v>
      </c>
      <c r="M117" s="164">
        <v>2.4</v>
      </c>
      <c r="N117" s="181">
        <v>2.5</v>
      </c>
      <c r="O117" s="167">
        <v>-7.2999999999999995E-2</v>
      </c>
      <c r="P117" s="167">
        <v>1.2E-2</v>
      </c>
      <c r="Q117" s="167">
        <v>0.02</v>
      </c>
    </row>
    <row r="118" spans="2:17">
      <c r="B118" s="164">
        <v>8</v>
      </c>
      <c r="C118" s="162" t="s">
        <v>108</v>
      </c>
      <c r="D118" s="165">
        <f t="shared" si="38"/>
        <v>0.49999999999999978</v>
      </c>
      <c r="E118" s="165">
        <f t="shared" si="34"/>
        <v>0.20000000000000007</v>
      </c>
      <c r="F118" s="166">
        <f t="shared" si="35"/>
        <v>1.4999999999999982</v>
      </c>
      <c r="G118" s="166">
        <f t="shared" si="36"/>
        <v>1.7182130584192434E-2</v>
      </c>
      <c r="H118" s="166">
        <f t="shared" si="37"/>
        <v>1.1904761904761911E-2</v>
      </c>
      <c r="I118" s="180"/>
      <c r="K118" s="164">
        <v>9</v>
      </c>
      <c r="L118" s="162" t="s">
        <v>108</v>
      </c>
      <c r="M118" s="164">
        <v>2.2999999999999998</v>
      </c>
      <c r="N118" s="181">
        <v>0.9</v>
      </c>
      <c r="O118" s="167">
        <v>1.5640000000000001</v>
      </c>
      <c r="P118" s="167">
        <v>1.2E-2</v>
      </c>
      <c r="Q118" s="167">
        <v>7.0000000000000001E-3</v>
      </c>
    </row>
    <row r="119" spans="2:17">
      <c r="B119" s="164">
        <v>9</v>
      </c>
      <c r="C119" s="164" t="s">
        <v>112</v>
      </c>
      <c r="D119" s="165">
        <f t="shared" si="38"/>
        <v>0.19999999999999996</v>
      </c>
      <c r="E119" s="165">
        <f t="shared" si="34"/>
        <v>0.10000000000000009</v>
      </c>
      <c r="F119" s="166">
        <f t="shared" si="35"/>
        <v>0.99999999999999778</v>
      </c>
      <c r="G119" s="166">
        <f t="shared" si="36"/>
        <v>6.8728522336769758E-3</v>
      </c>
      <c r="H119" s="166">
        <f t="shared" si="37"/>
        <v>5.952380952380959E-3</v>
      </c>
      <c r="I119" s="180"/>
      <c r="K119" s="164">
        <v>10</v>
      </c>
      <c r="L119" s="164" t="s">
        <v>112</v>
      </c>
      <c r="M119" s="164">
        <v>1.7</v>
      </c>
      <c r="N119" s="181">
        <v>1.3</v>
      </c>
      <c r="O119" s="167">
        <v>0.31</v>
      </c>
      <c r="P119" s="167">
        <v>8.9999999999999993E-3</v>
      </c>
      <c r="Q119" s="167">
        <v>1.0999999999999999E-2</v>
      </c>
    </row>
    <row r="120" spans="2:17">
      <c r="B120" s="277" t="s">
        <v>39</v>
      </c>
      <c r="C120" s="278"/>
      <c r="D120" s="165">
        <f t="shared" si="38"/>
        <v>0.69999999999999973</v>
      </c>
      <c r="E120" s="165">
        <f t="shared" si="34"/>
        <v>0.39999999999999991</v>
      </c>
      <c r="F120" s="166">
        <f t="shared" si="35"/>
        <v>0.74999999999999978</v>
      </c>
      <c r="G120" s="166">
        <f t="shared" si="36"/>
        <v>2.405498281786941E-2</v>
      </c>
      <c r="H120" s="166">
        <f t="shared" si="37"/>
        <v>2.3809523809523808E-2</v>
      </c>
      <c r="I120" s="173"/>
      <c r="K120" s="279" t="s">
        <v>39</v>
      </c>
      <c r="L120" s="279"/>
      <c r="M120" s="164">
        <v>4.5999999999999996</v>
      </c>
      <c r="N120" s="181">
        <v>3</v>
      </c>
      <c r="O120" s="167">
        <v>0.52600000000000002</v>
      </c>
      <c r="P120" s="167">
        <v>2.3E-2</v>
      </c>
      <c r="Q120" s="167">
        <v>2.4E-2</v>
      </c>
    </row>
    <row r="121" spans="2:17">
      <c r="B121" s="277" t="s">
        <v>48</v>
      </c>
      <c r="C121" s="278"/>
      <c r="D121" s="165">
        <f t="shared" si="38"/>
        <v>29.099999999999994</v>
      </c>
      <c r="E121" s="165">
        <f t="shared" si="34"/>
        <v>16.799999999999997</v>
      </c>
      <c r="F121" s="166">
        <f t="shared" si="35"/>
        <v>0.73214285714285721</v>
      </c>
      <c r="G121" s="166">
        <f t="shared" si="36"/>
        <v>1</v>
      </c>
      <c r="H121" s="166">
        <f t="shared" si="37"/>
        <v>1</v>
      </c>
      <c r="I121" s="173"/>
      <c r="K121" s="279" t="s">
        <v>48</v>
      </c>
      <c r="L121" s="279"/>
      <c r="M121" s="164">
        <v>197.6</v>
      </c>
      <c r="N121" s="181">
        <v>124.3</v>
      </c>
      <c r="O121" s="167">
        <v>0.58899999999999997</v>
      </c>
      <c r="P121" s="167">
        <v>1</v>
      </c>
      <c r="Q121" s="167">
        <v>1</v>
      </c>
    </row>
    <row r="122" spans="2:17">
      <c r="B122" s="169"/>
      <c r="C122" s="169"/>
      <c r="D122" s="172"/>
      <c r="E122" s="172"/>
      <c r="F122" s="173"/>
      <c r="G122" s="173"/>
      <c r="H122" s="173"/>
      <c r="I122" s="173"/>
      <c r="K122" s="169"/>
      <c r="L122" s="169"/>
      <c r="M122" s="177"/>
      <c r="N122" s="178"/>
      <c r="O122" s="179"/>
      <c r="P122" s="179"/>
      <c r="Q122" s="179"/>
    </row>
    <row r="123" spans="2:17">
      <c r="B123" s="160"/>
    </row>
    <row r="124" spans="2:17">
      <c r="B124" s="160"/>
      <c r="K124" s="160"/>
    </row>
    <row r="125" spans="2:17">
      <c r="B125" s="160" t="s">
        <v>289</v>
      </c>
      <c r="K125" s="160" t="s">
        <v>290</v>
      </c>
    </row>
    <row r="126" spans="2:17">
      <c r="B126" s="161" t="s">
        <v>92</v>
      </c>
      <c r="C126" s="162" t="s">
        <v>123</v>
      </c>
      <c r="D126" s="163">
        <v>45108</v>
      </c>
      <c r="E126" s="163">
        <v>44743</v>
      </c>
      <c r="F126" s="162" t="s">
        <v>124</v>
      </c>
      <c r="G126" s="162" t="s">
        <v>126</v>
      </c>
      <c r="H126" s="162" t="s">
        <v>133</v>
      </c>
      <c r="I126" s="22"/>
      <c r="K126" s="161" t="s">
        <v>92</v>
      </c>
      <c r="L126" s="162" t="s">
        <v>123</v>
      </c>
      <c r="M126" s="163" t="s">
        <v>291</v>
      </c>
      <c r="N126" s="163" t="s">
        <v>203</v>
      </c>
      <c r="O126" s="162" t="s">
        <v>124</v>
      </c>
      <c r="P126" s="162" t="s">
        <v>126</v>
      </c>
      <c r="Q126" s="162" t="s">
        <v>133</v>
      </c>
    </row>
    <row r="127" spans="2:17">
      <c r="B127" s="164">
        <v>1</v>
      </c>
      <c r="C127" s="162" t="s">
        <v>101</v>
      </c>
      <c r="D127" s="174">
        <f>M127-M144</f>
        <v>6.3999999999999986</v>
      </c>
      <c r="E127" s="174">
        <f>N127-N144</f>
        <v>4.1000000000000014</v>
      </c>
      <c r="F127" s="175">
        <f>(D127-E127)/E127</f>
        <v>0.56097560975609673</v>
      </c>
      <c r="G127" s="175">
        <f>D127/$D$138</f>
        <v>0.25196850393700776</v>
      </c>
      <c r="H127" s="175">
        <f t="shared" ref="H127:H138" si="39">E127/$E$138</f>
        <v>0.25949367088607611</v>
      </c>
      <c r="I127" s="180"/>
      <c r="K127" s="164">
        <v>1</v>
      </c>
      <c r="L127" s="162" t="s">
        <v>101</v>
      </c>
      <c r="M127" s="182">
        <v>47.5</v>
      </c>
      <c r="N127" s="183">
        <v>30.6</v>
      </c>
      <c r="O127" s="184">
        <v>0.55000000000000004</v>
      </c>
      <c r="P127" s="184">
        <v>0.28199999999999997</v>
      </c>
      <c r="Q127" s="184">
        <v>0.28499999999999998</v>
      </c>
    </row>
    <row r="128" spans="2:17">
      <c r="B128" s="164">
        <v>2</v>
      </c>
      <c r="C128" s="162" t="s">
        <v>98</v>
      </c>
      <c r="D128" s="174">
        <f>M128-M145</f>
        <v>7.5</v>
      </c>
      <c r="E128" s="174">
        <f t="shared" ref="E128:E138" si="40">N128-N145</f>
        <v>3.3999999999999986</v>
      </c>
      <c r="F128" s="175">
        <f t="shared" ref="F128:F138" si="41">(D128-E128)/E128</f>
        <v>1.2058823529411773</v>
      </c>
      <c r="G128" s="175">
        <f t="shared" ref="G128:G138" si="42">D128/$D$138</f>
        <v>0.29527559055118102</v>
      </c>
      <c r="H128" s="175">
        <f t="shared" si="39"/>
        <v>0.21518987341772147</v>
      </c>
      <c r="I128" s="180"/>
      <c r="K128" s="164">
        <v>2</v>
      </c>
      <c r="L128" s="162" t="s">
        <v>98</v>
      </c>
      <c r="M128" s="182">
        <v>46.4</v>
      </c>
      <c r="N128" s="183">
        <v>22.2</v>
      </c>
      <c r="O128" s="184">
        <v>1.093</v>
      </c>
      <c r="P128" s="184">
        <v>0.27600000000000002</v>
      </c>
      <c r="Q128" s="184">
        <v>0.20599999999999999</v>
      </c>
    </row>
    <row r="129" spans="2:17">
      <c r="B129" s="164">
        <v>3</v>
      </c>
      <c r="C129" s="162" t="s">
        <v>99</v>
      </c>
      <c r="D129" s="174">
        <f t="shared" ref="D129:D138" si="43">M129-M146</f>
        <v>3.6999999999999993</v>
      </c>
      <c r="E129" s="174">
        <f t="shared" si="40"/>
        <v>2.6999999999999993</v>
      </c>
      <c r="F129" s="175">
        <f t="shared" si="41"/>
        <v>0.37037037037037046</v>
      </c>
      <c r="G129" s="175">
        <f t="shared" si="42"/>
        <v>0.14566929133858261</v>
      </c>
      <c r="H129" s="175">
        <f t="shared" si="39"/>
        <v>0.17088607594936708</v>
      </c>
      <c r="I129" s="180"/>
      <c r="K129" s="164">
        <v>3</v>
      </c>
      <c r="L129" s="162" t="s">
        <v>99</v>
      </c>
      <c r="M129" s="182">
        <v>26.4</v>
      </c>
      <c r="N129" s="183">
        <v>18.899999999999999</v>
      </c>
      <c r="O129" s="184">
        <v>0.39300000000000002</v>
      </c>
      <c r="P129" s="184">
        <v>0.156</v>
      </c>
      <c r="Q129" s="184">
        <v>0.17599999999999999</v>
      </c>
    </row>
    <row r="130" spans="2:17">
      <c r="B130" s="164">
        <v>4</v>
      </c>
      <c r="C130" s="161" t="s">
        <v>107</v>
      </c>
      <c r="D130" s="174">
        <f t="shared" si="43"/>
        <v>3.0999999999999979</v>
      </c>
      <c r="E130" s="174">
        <f t="shared" si="40"/>
        <v>2.6000000000000014</v>
      </c>
      <c r="F130" s="175">
        <f t="shared" si="41"/>
        <v>0.19230769230769085</v>
      </c>
      <c r="G130" s="175">
        <f t="shared" si="42"/>
        <v>0.12204724409448808</v>
      </c>
      <c r="H130" s="175">
        <f t="shared" si="39"/>
        <v>0.16455696202531658</v>
      </c>
      <c r="I130" s="180"/>
      <c r="K130" s="164">
        <v>4</v>
      </c>
      <c r="L130" s="161" t="s">
        <v>107</v>
      </c>
      <c r="M130" s="182">
        <v>18.899999999999999</v>
      </c>
      <c r="N130" s="183">
        <v>16.3</v>
      </c>
      <c r="O130" s="184">
        <v>0.159</v>
      </c>
      <c r="P130" s="184">
        <v>0.112</v>
      </c>
      <c r="Q130" s="184">
        <v>0.152</v>
      </c>
    </row>
    <row r="131" spans="2:17">
      <c r="B131" s="164">
        <v>5</v>
      </c>
      <c r="C131" s="162" t="s">
        <v>105</v>
      </c>
      <c r="D131" s="174">
        <f t="shared" si="43"/>
        <v>2.4000000000000004</v>
      </c>
      <c r="E131" s="174">
        <f t="shared" si="40"/>
        <v>1.5</v>
      </c>
      <c r="F131" s="175">
        <f t="shared" si="41"/>
        <v>0.6000000000000002</v>
      </c>
      <c r="G131" s="175">
        <f t="shared" si="42"/>
        <v>9.4488188976377951E-2</v>
      </c>
      <c r="H131" s="175">
        <f t="shared" si="39"/>
        <v>9.4936708860759514E-2</v>
      </c>
      <c r="I131" s="180"/>
      <c r="K131" s="164">
        <v>5</v>
      </c>
      <c r="L131" s="162" t="s">
        <v>105</v>
      </c>
      <c r="M131" s="182">
        <v>14.9</v>
      </c>
      <c r="N131" s="183">
        <v>11.2</v>
      </c>
      <c r="O131" s="184">
        <v>0.32600000000000001</v>
      </c>
      <c r="P131" s="184">
        <v>8.7999999999999995E-2</v>
      </c>
      <c r="Q131" s="184">
        <v>0.105</v>
      </c>
    </row>
    <row r="132" spans="2:17">
      <c r="B132" s="164">
        <v>6</v>
      </c>
      <c r="C132" s="164" t="s">
        <v>96</v>
      </c>
      <c r="D132" s="174">
        <f t="shared" si="43"/>
        <v>0.40000000000000036</v>
      </c>
      <c r="E132" s="174">
        <f t="shared" si="40"/>
        <v>0.2</v>
      </c>
      <c r="F132" s="175">
        <f t="shared" si="41"/>
        <v>1.0000000000000016</v>
      </c>
      <c r="G132" s="175">
        <f t="shared" si="42"/>
        <v>1.5748031496063002E-2</v>
      </c>
      <c r="H132" s="175">
        <f t="shared" si="39"/>
        <v>1.2658227848101269E-2</v>
      </c>
      <c r="I132" s="180"/>
      <c r="K132" s="164">
        <v>6</v>
      </c>
      <c r="L132" s="164" t="s">
        <v>96</v>
      </c>
      <c r="M132" s="182">
        <v>2.7</v>
      </c>
      <c r="N132" s="183">
        <v>0.5</v>
      </c>
      <c r="O132" s="184">
        <v>4.4160000000000004</v>
      </c>
      <c r="P132" s="184">
        <v>1.6E-2</v>
      </c>
      <c r="Q132" s="184">
        <v>5.0000000000000001E-3</v>
      </c>
    </row>
    <row r="133" spans="2:17">
      <c r="B133" s="164">
        <v>7</v>
      </c>
      <c r="C133" s="164" t="s">
        <v>277</v>
      </c>
      <c r="D133" s="174">
        <f t="shared" si="43"/>
        <v>0.39999999999999991</v>
      </c>
      <c r="E133" s="174">
        <f t="shared" si="40"/>
        <v>0.19999999999999996</v>
      </c>
      <c r="F133" s="175">
        <f t="shared" si="41"/>
        <v>1</v>
      </c>
      <c r="G133" s="175">
        <f t="shared" si="42"/>
        <v>1.5748031496062985E-2</v>
      </c>
      <c r="H133" s="175">
        <f t="shared" si="39"/>
        <v>1.2658227848101266E-2</v>
      </c>
      <c r="I133" s="180"/>
      <c r="K133" s="164">
        <v>7</v>
      </c>
      <c r="L133" s="164" t="s">
        <v>277</v>
      </c>
      <c r="M133" s="182">
        <v>2.2999999999999998</v>
      </c>
      <c r="N133" s="183">
        <v>1</v>
      </c>
      <c r="O133" s="184">
        <v>1.3979999999999999</v>
      </c>
      <c r="P133" s="184">
        <v>1.4E-2</v>
      </c>
      <c r="Q133" s="184">
        <v>8.9999999999999993E-3</v>
      </c>
    </row>
    <row r="134" spans="2:17">
      <c r="B134" s="164">
        <v>8</v>
      </c>
      <c r="C134" s="164" t="s">
        <v>225</v>
      </c>
      <c r="D134" s="174">
        <f t="shared" si="43"/>
        <v>0.20000000000000018</v>
      </c>
      <c r="E134" s="174">
        <f t="shared" si="40"/>
        <v>0.30000000000000027</v>
      </c>
      <c r="F134" s="175">
        <f t="shared" si="41"/>
        <v>-0.33333333333333331</v>
      </c>
      <c r="G134" s="175">
        <f t="shared" si="42"/>
        <v>7.8740157480315012E-3</v>
      </c>
      <c r="H134" s="175">
        <f t="shared" si="39"/>
        <v>1.898734177215192E-2</v>
      </c>
      <c r="I134" s="180"/>
      <c r="K134" s="164">
        <v>8</v>
      </c>
      <c r="L134" s="164" t="s">
        <v>225</v>
      </c>
      <c r="M134" s="182">
        <v>2.1</v>
      </c>
      <c r="N134" s="183">
        <v>2.2000000000000002</v>
      </c>
      <c r="O134" s="184">
        <v>-2.4E-2</v>
      </c>
      <c r="P134" s="184">
        <v>1.2999999999999999E-2</v>
      </c>
      <c r="Q134" s="184">
        <v>0.02</v>
      </c>
    </row>
    <row r="135" spans="2:17">
      <c r="B135" s="164">
        <v>9</v>
      </c>
      <c r="C135" s="162" t="s">
        <v>108</v>
      </c>
      <c r="D135" s="174">
        <f t="shared" si="43"/>
        <v>0.40000000000000013</v>
      </c>
      <c r="E135" s="174">
        <f t="shared" si="40"/>
        <v>9.9999999999999978E-2</v>
      </c>
      <c r="F135" s="175">
        <f t="shared" si="41"/>
        <v>3.0000000000000022</v>
      </c>
      <c r="G135" s="175">
        <f t="shared" si="42"/>
        <v>1.5748031496062995E-2</v>
      </c>
      <c r="H135" s="175">
        <f t="shared" si="39"/>
        <v>6.3291139240506328E-3</v>
      </c>
      <c r="I135" s="180"/>
      <c r="K135" s="164">
        <v>9</v>
      </c>
      <c r="L135" s="162" t="s">
        <v>108</v>
      </c>
      <c r="M135" s="182">
        <v>1.8</v>
      </c>
      <c r="N135" s="183">
        <v>0.7</v>
      </c>
      <c r="O135" s="184">
        <v>11.448</v>
      </c>
      <c r="P135" s="184">
        <v>1.0999999999999999E-2</v>
      </c>
      <c r="Q135" s="184">
        <v>7.0000000000000001E-3</v>
      </c>
    </row>
    <row r="136" spans="2:17">
      <c r="B136" s="164">
        <v>10</v>
      </c>
      <c r="C136" s="164" t="s">
        <v>112</v>
      </c>
      <c r="D136" s="174">
        <f t="shared" si="43"/>
        <v>0.19999999999999996</v>
      </c>
      <c r="E136" s="174">
        <f t="shared" si="40"/>
        <v>0.19999999999999996</v>
      </c>
      <c r="F136" s="175">
        <f t="shared" si="41"/>
        <v>0</v>
      </c>
      <c r="G136" s="175">
        <f t="shared" si="42"/>
        <v>7.8740157480314925E-3</v>
      </c>
      <c r="H136" s="175">
        <f t="shared" si="39"/>
        <v>1.2658227848101266E-2</v>
      </c>
      <c r="I136" s="180"/>
      <c r="K136" s="164">
        <v>10</v>
      </c>
      <c r="L136" s="164" t="s">
        <v>112</v>
      </c>
      <c r="M136" s="182">
        <v>1.5</v>
      </c>
      <c r="N136" s="183">
        <v>1.2</v>
      </c>
      <c r="O136" s="184">
        <v>0.27600000000000002</v>
      </c>
      <c r="P136" s="184">
        <v>8.9999999999999993E-3</v>
      </c>
      <c r="Q136" s="184">
        <v>1.0999999999999999E-2</v>
      </c>
    </row>
    <row r="137" spans="2:17">
      <c r="B137" s="277" t="s">
        <v>39</v>
      </c>
      <c r="C137" s="278"/>
      <c r="D137" s="174">
        <f t="shared" si="43"/>
        <v>0.60000000000000009</v>
      </c>
      <c r="E137" s="174">
        <f t="shared" si="40"/>
        <v>0.39999999999999991</v>
      </c>
      <c r="F137" s="175">
        <f t="shared" si="41"/>
        <v>0.50000000000000056</v>
      </c>
      <c r="G137" s="175">
        <f t="shared" si="42"/>
        <v>2.3622047244094488E-2</v>
      </c>
      <c r="H137" s="175">
        <f t="shared" si="39"/>
        <v>2.5316455696202531E-2</v>
      </c>
      <c r="I137" s="173"/>
      <c r="K137" s="279" t="s">
        <v>39</v>
      </c>
      <c r="L137" s="279"/>
      <c r="M137" s="182">
        <v>3.9</v>
      </c>
      <c r="N137" s="183">
        <v>2.6</v>
      </c>
      <c r="O137" s="184">
        <v>5.3550000000000004</v>
      </c>
      <c r="P137" s="184">
        <v>2.3E-2</v>
      </c>
      <c r="Q137" s="184">
        <v>2.4E-2</v>
      </c>
    </row>
    <row r="138" spans="2:17">
      <c r="B138" s="277" t="s">
        <v>48</v>
      </c>
      <c r="C138" s="278"/>
      <c r="D138" s="174">
        <f t="shared" si="43"/>
        <v>25.400000000000006</v>
      </c>
      <c r="E138" s="174">
        <f t="shared" si="40"/>
        <v>15.799999999999997</v>
      </c>
      <c r="F138" s="175">
        <f t="shared" si="41"/>
        <v>0.60759493670886144</v>
      </c>
      <c r="G138" s="175">
        <f t="shared" si="42"/>
        <v>1</v>
      </c>
      <c r="H138" s="175">
        <f t="shared" si="39"/>
        <v>1</v>
      </c>
      <c r="I138" s="173"/>
      <c r="K138" s="279" t="s">
        <v>48</v>
      </c>
      <c r="L138" s="279"/>
      <c r="M138" s="182">
        <v>168.5</v>
      </c>
      <c r="N138" s="183">
        <v>107.5</v>
      </c>
      <c r="O138" s="184">
        <v>0.56799999999999995</v>
      </c>
      <c r="P138" s="184">
        <v>1</v>
      </c>
      <c r="Q138" s="184">
        <v>1</v>
      </c>
    </row>
    <row r="139" spans="2:17">
      <c r="B139" s="160"/>
    </row>
    <row r="140" spans="2:17">
      <c r="B140" s="160"/>
    </row>
    <row r="141" spans="2:17">
      <c r="B141" s="160"/>
    </row>
    <row r="142" spans="2:17">
      <c r="B142" s="160" t="s">
        <v>292</v>
      </c>
      <c r="K142" s="160" t="s">
        <v>293</v>
      </c>
    </row>
    <row r="143" spans="2:17">
      <c r="B143" s="161" t="s">
        <v>92</v>
      </c>
      <c r="C143" s="162" t="s">
        <v>123</v>
      </c>
      <c r="D143" s="163">
        <v>45078</v>
      </c>
      <c r="E143" s="163">
        <v>44713</v>
      </c>
      <c r="F143" s="162" t="s">
        <v>124</v>
      </c>
      <c r="G143" s="162" t="s">
        <v>126</v>
      </c>
      <c r="H143" s="162" t="s">
        <v>133</v>
      </c>
      <c r="I143" s="22"/>
      <c r="K143" s="161" t="s">
        <v>92</v>
      </c>
      <c r="L143" s="162" t="s">
        <v>123</v>
      </c>
      <c r="M143" s="163" t="s">
        <v>294</v>
      </c>
      <c r="N143" s="163" t="s">
        <v>295</v>
      </c>
      <c r="O143" s="162" t="s">
        <v>124</v>
      </c>
      <c r="P143" s="162" t="s">
        <v>126</v>
      </c>
      <c r="Q143" s="162" t="s">
        <v>133</v>
      </c>
    </row>
    <row r="144" spans="2:17">
      <c r="B144" s="164">
        <v>1</v>
      </c>
      <c r="C144" s="162" t="s">
        <v>101</v>
      </c>
      <c r="D144" s="174">
        <f t="shared" ref="D144:E149" si="44">M144-M161</f>
        <v>10.600000000000001</v>
      </c>
      <c r="E144" s="174">
        <f t="shared" si="44"/>
        <v>6.5</v>
      </c>
      <c r="F144" s="175">
        <f t="shared" ref="F144:F148" si="45">(D144-E144)/E144</f>
        <v>0.63076923076923097</v>
      </c>
      <c r="G144" s="175">
        <f>D144/$D$155</f>
        <v>0.33650793650793653</v>
      </c>
      <c r="H144" s="175">
        <f>E144/$E$155</f>
        <v>0.35135135135135137</v>
      </c>
      <c r="I144" s="180"/>
      <c r="K144" s="164">
        <v>1</v>
      </c>
      <c r="L144" s="162" t="s">
        <v>101</v>
      </c>
      <c r="M144" s="182">
        <v>41.1</v>
      </c>
      <c r="N144" s="183">
        <v>26.5</v>
      </c>
      <c r="O144" s="184">
        <v>0.55100000000000005</v>
      </c>
      <c r="P144" s="184">
        <v>0.28699999999999998</v>
      </c>
      <c r="Q144" s="184">
        <v>0.28899999999999998</v>
      </c>
    </row>
    <row r="145" spans="2:17">
      <c r="B145" s="164">
        <v>2</v>
      </c>
      <c r="C145" s="162" t="s">
        <v>98</v>
      </c>
      <c r="D145" s="174">
        <f t="shared" si="44"/>
        <v>8.3999999999999986</v>
      </c>
      <c r="E145" s="174">
        <f t="shared" si="44"/>
        <v>3.9000000000000004</v>
      </c>
      <c r="F145" s="175">
        <f t="shared" si="45"/>
        <v>1.1538461538461533</v>
      </c>
      <c r="G145" s="175">
        <f t="shared" ref="G145:G155" si="46">D145/$D$155</f>
        <v>0.26666666666666661</v>
      </c>
      <c r="H145" s="175">
        <f t="shared" ref="H145:H155" si="47">E145/$E$155</f>
        <v>0.21081081081081082</v>
      </c>
      <c r="I145" s="180"/>
      <c r="K145" s="164">
        <v>2</v>
      </c>
      <c r="L145" s="162" t="s">
        <v>98</v>
      </c>
      <c r="M145" s="182">
        <v>38.9</v>
      </c>
      <c r="N145" s="183">
        <v>18.8</v>
      </c>
      <c r="O145" s="184">
        <v>1.071</v>
      </c>
      <c r="P145" s="184">
        <v>0.27200000000000002</v>
      </c>
      <c r="Q145" s="184">
        <v>0.20499999999999999</v>
      </c>
    </row>
    <row r="146" spans="2:17">
      <c r="B146" s="164">
        <v>3</v>
      </c>
      <c r="C146" s="162" t="s">
        <v>99</v>
      </c>
      <c r="D146" s="174">
        <f t="shared" si="44"/>
        <v>3.8000000000000007</v>
      </c>
      <c r="E146" s="174">
        <f t="shared" si="44"/>
        <v>2.5</v>
      </c>
      <c r="F146" s="175">
        <f t="shared" si="45"/>
        <v>0.52000000000000024</v>
      </c>
      <c r="G146" s="175">
        <f t="shared" si="46"/>
        <v>0.12063492063492066</v>
      </c>
      <c r="H146" s="175">
        <f t="shared" si="47"/>
        <v>0.13513513513513514</v>
      </c>
      <c r="I146" s="180"/>
      <c r="K146" s="164">
        <v>3</v>
      </c>
      <c r="L146" s="162" t="s">
        <v>99</v>
      </c>
      <c r="M146" s="182">
        <v>22.7</v>
      </c>
      <c r="N146" s="183">
        <v>16.2</v>
      </c>
      <c r="O146" s="184">
        <v>0.40100000000000002</v>
      </c>
      <c r="P146" s="184">
        <v>0.158</v>
      </c>
      <c r="Q146" s="184">
        <v>0.17599999999999999</v>
      </c>
    </row>
    <row r="147" spans="2:17">
      <c r="B147" s="164">
        <v>4</v>
      </c>
      <c r="C147" s="161" t="s">
        <v>107</v>
      </c>
      <c r="D147" s="174">
        <f t="shared" si="44"/>
        <v>3.5</v>
      </c>
      <c r="E147" s="174">
        <f t="shared" si="44"/>
        <v>2.2999999999999989</v>
      </c>
      <c r="F147" s="175">
        <f t="shared" si="45"/>
        <v>0.52173913043478326</v>
      </c>
      <c r="G147" s="175">
        <f t="shared" si="46"/>
        <v>0.1111111111111111</v>
      </c>
      <c r="H147" s="175">
        <f t="shared" si="47"/>
        <v>0.12432432432432426</v>
      </c>
      <c r="I147" s="180"/>
      <c r="K147" s="164">
        <v>4</v>
      </c>
      <c r="L147" s="161" t="s">
        <v>107</v>
      </c>
      <c r="M147" s="182">
        <v>15.8</v>
      </c>
      <c r="N147" s="183">
        <v>13.7</v>
      </c>
      <c r="O147" s="184">
        <v>0.157</v>
      </c>
      <c r="P147" s="184">
        <v>0.111</v>
      </c>
      <c r="Q147" s="184">
        <v>0.14899999999999999</v>
      </c>
    </row>
    <row r="148" spans="2:17">
      <c r="B148" s="164">
        <v>5</v>
      </c>
      <c r="C148" s="162" t="s">
        <v>105</v>
      </c>
      <c r="D148" s="174">
        <f t="shared" si="44"/>
        <v>2.6999999999999993</v>
      </c>
      <c r="E148" s="174">
        <f t="shared" si="44"/>
        <v>2.0999999999999996</v>
      </c>
      <c r="F148" s="175">
        <f t="shared" si="45"/>
        <v>0.28571428571428559</v>
      </c>
      <c r="G148" s="175">
        <f t="shared" si="46"/>
        <v>8.5714285714285687E-2</v>
      </c>
      <c r="H148" s="175">
        <f t="shared" si="47"/>
        <v>0.11351351351351349</v>
      </c>
      <c r="I148" s="180"/>
      <c r="K148" s="164">
        <v>5</v>
      </c>
      <c r="L148" s="162" t="s">
        <v>105</v>
      </c>
      <c r="M148" s="182">
        <v>12.5</v>
      </c>
      <c r="N148" s="183">
        <v>9.6999999999999993</v>
      </c>
      <c r="O148" s="184">
        <v>0.28799999999999998</v>
      </c>
      <c r="P148" s="184">
        <v>8.6999999999999994E-2</v>
      </c>
      <c r="Q148" s="184">
        <v>0.106</v>
      </c>
    </row>
    <row r="149" spans="2:17">
      <c r="B149" s="164">
        <v>6</v>
      </c>
      <c r="C149" s="164" t="s">
        <v>96</v>
      </c>
      <c r="D149" s="174">
        <f t="shared" si="44"/>
        <v>0.59999999999999987</v>
      </c>
      <c r="E149" s="174">
        <f t="shared" si="44"/>
        <v>0</v>
      </c>
      <c r="F149" s="175" t="e">
        <f t="shared" ref="F149:F155" si="48">(D149-E149)/E149</f>
        <v>#DIV/0!</v>
      </c>
      <c r="G149" s="175">
        <f t="shared" si="46"/>
        <v>1.9047619047619042E-2</v>
      </c>
      <c r="H149" s="175">
        <f t="shared" si="47"/>
        <v>0</v>
      </c>
      <c r="I149" s="180"/>
      <c r="K149" s="164">
        <v>6</v>
      </c>
      <c r="L149" s="164" t="s">
        <v>96</v>
      </c>
      <c r="M149" s="182">
        <v>2.2999999999999998</v>
      </c>
      <c r="N149" s="183">
        <v>0.3</v>
      </c>
      <c r="O149" s="184">
        <v>5.8840000000000003</v>
      </c>
      <c r="P149" s="184">
        <v>1.6E-2</v>
      </c>
      <c r="Q149" s="184">
        <v>4.0000000000000001E-3</v>
      </c>
    </row>
    <row r="150" spans="2:17">
      <c r="B150" s="164">
        <v>7</v>
      </c>
      <c r="C150" s="164" t="s">
        <v>277</v>
      </c>
      <c r="D150" s="174">
        <f>M150-M168</f>
        <v>0.39999999999999991</v>
      </c>
      <c r="E150" s="174">
        <f>N150-N168</f>
        <v>0.20000000000000007</v>
      </c>
      <c r="F150" s="175">
        <f t="shared" si="48"/>
        <v>0.99999999999999889</v>
      </c>
      <c r="G150" s="175">
        <f t="shared" si="46"/>
        <v>1.2698412698412695E-2</v>
      </c>
      <c r="H150" s="175">
        <f t="shared" si="47"/>
        <v>1.0810810810810815E-2</v>
      </c>
      <c r="I150" s="180"/>
      <c r="K150" s="164">
        <v>7</v>
      </c>
      <c r="L150" s="164" t="s">
        <v>277</v>
      </c>
      <c r="M150" s="182">
        <v>1.9</v>
      </c>
      <c r="N150" s="183">
        <v>0.8</v>
      </c>
      <c r="O150" s="184">
        <v>1.2390000000000001</v>
      </c>
      <c r="P150" s="184">
        <v>1.2999999999999999E-2</v>
      </c>
      <c r="Q150" s="184">
        <v>8.9999999999999993E-3</v>
      </c>
    </row>
    <row r="151" spans="2:17">
      <c r="B151" s="164">
        <v>8</v>
      </c>
      <c r="C151" s="164" t="s">
        <v>225</v>
      </c>
      <c r="D151" s="174">
        <f>M151-M167</f>
        <v>0.29999999999999982</v>
      </c>
      <c r="E151" s="174">
        <f>N151-N167</f>
        <v>0.29999999999999982</v>
      </c>
      <c r="F151" s="175">
        <f t="shared" si="48"/>
        <v>0</v>
      </c>
      <c r="G151" s="175">
        <f t="shared" si="46"/>
        <v>9.5238095238095177E-3</v>
      </c>
      <c r="H151" s="175">
        <f t="shared" si="47"/>
        <v>1.6216216216216207E-2</v>
      </c>
      <c r="I151" s="180"/>
      <c r="K151" s="164">
        <v>8</v>
      </c>
      <c r="L151" s="164" t="s">
        <v>225</v>
      </c>
      <c r="M151" s="182">
        <v>1.9</v>
      </c>
      <c r="N151" s="183">
        <v>1.9</v>
      </c>
      <c r="O151" s="184">
        <v>1.2999999999999999E-2</v>
      </c>
      <c r="P151" s="184">
        <v>1.2999999999999999E-2</v>
      </c>
      <c r="Q151" s="184">
        <v>0.02</v>
      </c>
    </row>
    <row r="152" spans="2:17">
      <c r="B152" s="164">
        <v>9</v>
      </c>
      <c r="C152" s="162" t="s">
        <v>108</v>
      </c>
      <c r="D152" s="174">
        <f t="shared" ref="D152:E155" si="49">M152-M169</f>
        <v>0.39999999999999991</v>
      </c>
      <c r="E152" s="174">
        <f t="shared" si="49"/>
        <v>9.9999999999999978E-2</v>
      </c>
      <c r="F152" s="175">
        <f t="shared" si="48"/>
        <v>3</v>
      </c>
      <c r="G152" s="175">
        <f t="shared" si="46"/>
        <v>1.2698412698412695E-2</v>
      </c>
      <c r="H152" s="175">
        <f t="shared" si="47"/>
        <v>5.405405405405404E-3</v>
      </c>
      <c r="I152" s="180"/>
      <c r="K152" s="164">
        <v>9</v>
      </c>
      <c r="L152" s="162" t="s">
        <v>108</v>
      </c>
      <c r="M152" s="182">
        <v>1.4</v>
      </c>
      <c r="N152" s="183">
        <v>0.6</v>
      </c>
      <c r="O152" s="184">
        <v>1.431</v>
      </c>
      <c r="P152" s="184">
        <v>0.01</v>
      </c>
      <c r="Q152" s="184">
        <v>7.0000000000000001E-3</v>
      </c>
    </row>
    <row r="153" spans="2:17">
      <c r="B153" s="164">
        <v>10</v>
      </c>
      <c r="C153" s="164" t="s">
        <v>112</v>
      </c>
      <c r="D153" s="174">
        <f t="shared" si="49"/>
        <v>0.30000000000000004</v>
      </c>
      <c r="E153" s="174">
        <f t="shared" si="49"/>
        <v>9.9999999999999978E-2</v>
      </c>
      <c r="F153" s="175">
        <f t="shared" si="48"/>
        <v>2.0000000000000013</v>
      </c>
      <c r="G153" s="175">
        <f t="shared" si="46"/>
        <v>9.5238095238095247E-3</v>
      </c>
      <c r="H153" s="175">
        <f t="shared" si="47"/>
        <v>5.405405405405404E-3</v>
      </c>
      <c r="I153" s="180"/>
      <c r="K153" s="164">
        <v>10</v>
      </c>
      <c r="L153" s="164" t="s">
        <v>112</v>
      </c>
      <c r="M153" s="182">
        <v>1.3</v>
      </c>
      <c r="N153" s="183">
        <v>1</v>
      </c>
      <c r="O153" s="184">
        <v>0.22900000000000001</v>
      </c>
      <c r="P153" s="184">
        <v>8.9999999999999993E-3</v>
      </c>
      <c r="Q153" s="184">
        <v>1.0999999999999999E-2</v>
      </c>
    </row>
    <row r="154" spans="2:17">
      <c r="B154" s="277" t="s">
        <v>39</v>
      </c>
      <c r="C154" s="278"/>
      <c r="D154" s="174">
        <f t="shared" si="49"/>
        <v>0.69999999999999973</v>
      </c>
      <c r="E154" s="174">
        <f t="shared" si="49"/>
        <v>0.40000000000000013</v>
      </c>
      <c r="F154" s="175">
        <f t="shared" si="48"/>
        <v>0.74999999999999878</v>
      </c>
      <c r="G154" s="175">
        <f t="shared" si="46"/>
        <v>2.2222222222222213E-2</v>
      </c>
      <c r="H154" s="175">
        <f t="shared" si="47"/>
        <v>2.162162162162163E-2</v>
      </c>
      <c r="I154" s="173"/>
      <c r="K154" s="279" t="s">
        <v>39</v>
      </c>
      <c r="L154" s="279"/>
      <c r="M154" s="182">
        <v>3.3</v>
      </c>
      <c r="N154" s="183">
        <v>2.2000000000000002</v>
      </c>
      <c r="O154" s="184">
        <v>0.497</v>
      </c>
      <c r="P154" s="184">
        <v>2.3E-2</v>
      </c>
      <c r="Q154" s="184">
        <v>2.4E-2</v>
      </c>
    </row>
    <row r="155" spans="2:17">
      <c r="B155" s="277" t="s">
        <v>48</v>
      </c>
      <c r="C155" s="278"/>
      <c r="D155" s="174">
        <f t="shared" si="49"/>
        <v>31.5</v>
      </c>
      <c r="E155" s="174">
        <f t="shared" si="49"/>
        <v>18.5</v>
      </c>
      <c r="F155" s="175">
        <f t="shared" si="48"/>
        <v>0.70270270270270274</v>
      </c>
      <c r="G155" s="175">
        <f t="shared" si="46"/>
        <v>1</v>
      </c>
      <c r="H155" s="175">
        <f t="shared" si="47"/>
        <v>1</v>
      </c>
      <c r="I155" s="173"/>
      <c r="K155" s="279" t="s">
        <v>48</v>
      </c>
      <c r="L155" s="279"/>
      <c r="M155" s="182">
        <v>143.1</v>
      </c>
      <c r="N155" s="183">
        <v>91.7</v>
      </c>
      <c r="O155" s="184">
        <v>0.56000000000000005</v>
      </c>
      <c r="P155" s="184">
        <v>1</v>
      </c>
      <c r="Q155" s="184">
        <v>1</v>
      </c>
    </row>
    <row r="156" spans="2:17">
      <c r="B156" s="160"/>
    </row>
    <row r="157" spans="2:17">
      <c r="B157" s="160"/>
    </row>
    <row r="158" spans="2:17">
      <c r="B158" s="160"/>
    </row>
    <row r="159" spans="2:17">
      <c r="B159" s="160" t="s">
        <v>296</v>
      </c>
      <c r="K159" s="160" t="s">
        <v>297</v>
      </c>
    </row>
    <row r="160" spans="2:17">
      <c r="B160" s="161" t="s">
        <v>92</v>
      </c>
      <c r="C160" s="162" t="s">
        <v>123</v>
      </c>
      <c r="D160" s="163">
        <v>45047</v>
      </c>
      <c r="E160" s="163">
        <v>44682</v>
      </c>
      <c r="F160" s="162" t="s">
        <v>124</v>
      </c>
      <c r="G160" s="162" t="s">
        <v>126</v>
      </c>
      <c r="H160" s="162" t="s">
        <v>133</v>
      </c>
      <c r="I160" s="22"/>
      <c r="K160" s="161" t="s">
        <v>92</v>
      </c>
      <c r="L160" s="162" t="s">
        <v>123</v>
      </c>
      <c r="M160" s="163" t="s">
        <v>298</v>
      </c>
      <c r="N160" s="163" t="s">
        <v>211</v>
      </c>
      <c r="O160" s="162" t="s">
        <v>124</v>
      </c>
      <c r="P160" s="162" t="s">
        <v>126</v>
      </c>
      <c r="Q160" s="162" t="s">
        <v>133</v>
      </c>
    </row>
    <row r="161" spans="2:17">
      <c r="B161" s="164">
        <v>1</v>
      </c>
      <c r="C161" s="162" t="s">
        <v>98</v>
      </c>
      <c r="D161" s="174">
        <v>7.5</v>
      </c>
      <c r="E161" s="174">
        <v>3.2</v>
      </c>
      <c r="F161" s="175">
        <f t="shared" ref="F161:F172" si="50">(D161-E161)/E161</f>
        <v>1.3437499999999998</v>
      </c>
      <c r="G161" s="175">
        <f>D161/$D$172</f>
        <v>0.30120481927710852</v>
      </c>
      <c r="H161" s="175">
        <f>E161/$E$172</f>
        <v>0.21052631578947364</v>
      </c>
      <c r="I161" s="180"/>
      <c r="K161" s="164">
        <v>1</v>
      </c>
      <c r="L161" s="162" t="s">
        <v>101</v>
      </c>
      <c r="M161" s="182">
        <v>30.5</v>
      </c>
      <c r="N161" s="183">
        <v>20</v>
      </c>
      <c r="O161" s="184">
        <v>0.52700000000000002</v>
      </c>
      <c r="P161" s="184">
        <v>0.27400000000000002</v>
      </c>
      <c r="Q161" s="184">
        <v>0.27300000000000002</v>
      </c>
    </row>
    <row r="162" spans="2:17">
      <c r="B162" s="164">
        <v>2</v>
      </c>
      <c r="C162" s="162" t="s">
        <v>101</v>
      </c>
      <c r="D162" s="174">
        <v>6.4</v>
      </c>
      <c r="E162" s="174">
        <v>3.9</v>
      </c>
      <c r="F162" s="175">
        <f t="shared" si="50"/>
        <v>0.64102564102564119</v>
      </c>
      <c r="G162" s="175">
        <f t="shared" ref="G162:G172" si="51">D162/$D$172</f>
        <v>0.25702811244979928</v>
      </c>
      <c r="H162" s="175">
        <f t="shared" ref="H162:H172" si="52">E162/$E$172</f>
        <v>0.25657894736842102</v>
      </c>
      <c r="I162" s="180"/>
      <c r="K162" s="164">
        <v>2</v>
      </c>
      <c r="L162" s="162" t="s">
        <v>98</v>
      </c>
      <c r="M162" s="182">
        <v>30.5</v>
      </c>
      <c r="N162" s="183">
        <v>14.9</v>
      </c>
      <c r="O162" s="184">
        <v>1.0449999999999999</v>
      </c>
      <c r="P162" s="184">
        <v>0.27300000000000002</v>
      </c>
      <c r="Q162" s="184">
        <v>0.20399999999999999</v>
      </c>
    </row>
    <row r="163" spans="2:17">
      <c r="B163" s="164">
        <v>3</v>
      </c>
      <c r="C163" s="162" t="s">
        <v>99</v>
      </c>
      <c r="D163" s="174">
        <f>M163-M180</f>
        <v>3.9999999999999982</v>
      </c>
      <c r="E163" s="174">
        <f>N163-N180</f>
        <v>2.7999999999999989</v>
      </c>
      <c r="F163" s="175">
        <f t="shared" si="50"/>
        <v>0.42857142857142849</v>
      </c>
      <c r="G163" s="175">
        <f t="shared" si="51"/>
        <v>0.16064257028112447</v>
      </c>
      <c r="H163" s="175">
        <f t="shared" si="52"/>
        <v>0.18421052631578938</v>
      </c>
      <c r="I163" s="180"/>
      <c r="K163" s="164">
        <v>3</v>
      </c>
      <c r="L163" s="162" t="s">
        <v>99</v>
      </c>
      <c r="M163" s="182">
        <v>18.899999999999999</v>
      </c>
      <c r="N163" s="183">
        <v>13.7</v>
      </c>
      <c r="O163" s="184">
        <v>0.379</v>
      </c>
      <c r="P163" s="184">
        <v>0.17</v>
      </c>
      <c r="Q163" s="184">
        <v>0.187</v>
      </c>
    </row>
    <row r="164" spans="2:17">
      <c r="B164" s="164">
        <v>4</v>
      </c>
      <c r="C164" s="161" t="s">
        <v>107</v>
      </c>
      <c r="D164" s="174">
        <f>M164-M181</f>
        <v>2.8000000000000007</v>
      </c>
      <c r="E164" s="174">
        <f>N164-N181</f>
        <v>2.4000000000000004</v>
      </c>
      <c r="F164" s="175">
        <f t="shared" si="50"/>
        <v>0.1666666666666668</v>
      </c>
      <c r="G164" s="175">
        <f t="shared" si="51"/>
        <v>0.11244979919678721</v>
      </c>
      <c r="H164" s="175">
        <f t="shared" si="52"/>
        <v>0.15789473684210525</v>
      </c>
      <c r="I164" s="180"/>
      <c r="K164" s="164">
        <v>4</v>
      </c>
      <c r="L164" s="161" t="s">
        <v>107</v>
      </c>
      <c r="M164" s="182">
        <v>12.3</v>
      </c>
      <c r="N164" s="183">
        <v>11.4</v>
      </c>
      <c r="O164" s="184">
        <v>8.5000000000000006E-2</v>
      </c>
      <c r="P164" s="184">
        <v>0.111</v>
      </c>
      <c r="Q164" s="184">
        <v>0.155</v>
      </c>
    </row>
    <row r="165" spans="2:17">
      <c r="B165" s="164">
        <v>5</v>
      </c>
      <c r="C165" s="162" t="s">
        <v>105</v>
      </c>
      <c r="D165" s="174">
        <f t="shared" ref="D165:E172" si="53">M165-M182</f>
        <v>2.3000000000000007</v>
      </c>
      <c r="E165" s="174">
        <f t="shared" si="53"/>
        <v>1.7999999999999998</v>
      </c>
      <c r="F165" s="175">
        <f t="shared" si="50"/>
        <v>0.27777777777777829</v>
      </c>
      <c r="G165" s="175">
        <f t="shared" si="51"/>
        <v>9.2369477911646652E-2</v>
      </c>
      <c r="H165" s="175">
        <f t="shared" si="52"/>
        <v>0.11842105263157891</v>
      </c>
      <c r="I165" s="180"/>
      <c r="K165" s="164">
        <v>5</v>
      </c>
      <c r="L165" s="162" t="s">
        <v>105</v>
      </c>
      <c r="M165" s="182">
        <v>9.8000000000000007</v>
      </c>
      <c r="N165" s="183">
        <v>7.6</v>
      </c>
      <c r="O165" s="184">
        <v>0.29599999999999999</v>
      </c>
      <c r="P165" s="184">
        <v>8.7999999999999995E-2</v>
      </c>
      <c r="Q165" s="184">
        <v>0.10299999999999999</v>
      </c>
    </row>
    <row r="166" spans="2:17">
      <c r="B166" s="164">
        <v>6</v>
      </c>
      <c r="C166" s="164" t="s">
        <v>277</v>
      </c>
      <c r="D166" s="174">
        <v>0.4</v>
      </c>
      <c r="E166" s="174">
        <f t="shared" si="53"/>
        <v>9.9999999999999978E-2</v>
      </c>
      <c r="F166" s="175">
        <f t="shared" si="50"/>
        <v>3.0000000000000013</v>
      </c>
      <c r="G166" s="175">
        <f t="shared" si="51"/>
        <v>1.6064257028112455E-2</v>
      </c>
      <c r="H166" s="175">
        <f t="shared" si="52"/>
        <v>6.5789473684210497E-3</v>
      </c>
      <c r="I166" s="180"/>
      <c r="K166" s="164">
        <v>6</v>
      </c>
      <c r="L166" s="164" t="s">
        <v>96</v>
      </c>
      <c r="M166" s="182">
        <v>1.7</v>
      </c>
      <c r="N166" s="183">
        <v>0.3</v>
      </c>
      <c r="O166" s="184">
        <v>5.4050000000000002</v>
      </c>
      <c r="P166" s="184">
        <v>1.6E-2</v>
      </c>
      <c r="Q166" s="184">
        <v>4.0000000000000001E-3</v>
      </c>
    </row>
    <row r="167" spans="2:17">
      <c r="B167" s="164">
        <v>7</v>
      </c>
      <c r="C167" s="164" t="s">
        <v>96</v>
      </c>
      <c r="D167" s="174">
        <v>0.3</v>
      </c>
      <c r="E167" s="174">
        <v>0.1</v>
      </c>
      <c r="F167" s="175">
        <f t="shared" si="50"/>
        <v>1.9999999999999998</v>
      </c>
      <c r="G167" s="175">
        <f t="shared" si="51"/>
        <v>1.2048192771084341E-2</v>
      </c>
      <c r="H167" s="175">
        <f t="shared" si="52"/>
        <v>6.5789473684210514E-3</v>
      </c>
      <c r="I167" s="180"/>
      <c r="K167" s="164">
        <v>7</v>
      </c>
      <c r="L167" s="164" t="s">
        <v>225</v>
      </c>
      <c r="M167" s="182">
        <v>1.6</v>
      </c>
      <c r="N167" s="183">
        <v>1.6</v>
      </c>
      <c r="O167" s="184">
        <v>1.4E-2</v>
      </c>
      <c r="P167" s="184">
        <v>1.4E-2</v>
      </c>
      <c r="Q167" s="184">
        <v>2.1999999999999999E-2</v>
      </c>
    </row>
    <row r="168" spans="2:17">
      <c r="B168" s="164">
        <v>8</v>
      </c>
      <c r="C168" s="164" t="s">
        <v>225</v>
      </c>
      <c r="D168" s="174">
        <v>0.2</v>
      </c>
      <c r="E168" s="174">
        <v>0.2</v>
      </c>
      <c r="F168" s="175">
        <f t="shared" si="50"/>
        <v>0</v>
      </c>
      <c r="G168" s="175">
        <f t="shared" si="51"/>
        <v>8.0321285140562276E-3</v>
      </c>
      <c r="H168" s="175">
        <f t="shared" si="52"/>
        <v>1.3157894736842103E-2</v>
      </c>
      <c r="I168" s="180"/>
      <c r="K168" s="164">
        <v>8</v>
      </c>
      <c r="L168" s="164" t="s">
        <v>277</v>
      </c>
      <c r="M168" s="182">
        <v>1.5</v>
      </c>
      <c r="N168" s="183">
        <v>0.6</v>
      </c>
      <c r="O168" s="184">
        <v>1.2969999999999999</v>
      </c>
      <c r="P168" s="184">
        <v>1.2999999999999999E-2</v>
      </c>
      <c r="Q168" s="184">
        <v>8.9999999999999993E-3</v>
      </c>
    </row>
    <row r="169" spans="2:17">
      <c r="B169" s="164">
        <v>9</v>
      </c>
      <c r="C169" s="162" t="s">
        <v>112</v>
      </c>
      <c r="D169" s="174">
        <v>0.2</v>
      </c>
      <c r="E169" s="174">
        <f t="shared" si="53"/>
        <v>0.2</v>
      </c>
      <c r="F169" s="175">
        <f t="shared" si="50"/>
        <v>0</v>
      </c>
      <c r="G169" s="175">
        <f t="shared" si="51"/>
        <v>8.0321285140562276E-3</v>
      </c>
      <c r="H169" s="175">
        <f t="shared" si="52"/>
        <v>1.3157894736842103E-2</v>
      </c>
      <c r="I169" s="180"/>
      <c r="K169" s="164">
        <v>9</v>
      </c>
      <c r="L169" s="162" t="s">
        <v>108</v>
      </c>
      <c r="M169" s="182">
        <v>1</v>
      </c>
      <c r="N169" s="183">
        <v>0.5</v>
      </c>
      <c r="O169" s="184">
        <v>1.234</v>
      </c>
      <c r="P169" s="184">
        <v>8.9999999999999993E-3</v>
      </c>
      <c r="Q169" s="184">
        <v>6.0000000000000001E-3</v>
      </c>
    </row>
    <row r="170" spans="2:17">
      <c r="B170" s="164">
        <v>10</v>
      </c>
      <c r="C170" s="162" t="s">
        <v>108</v>
      </c>
      <c r="D170" s="174">
        <v>0.1</v>
      </c>
      <c r="E170" s="174">
        <f t="shared" si="53"/>
        <v>0.20000000000000007</v>
      </c>
      <c r="F170" s="175">
        <f t="shared" si="50"/>
        <v>-0.50000000000000011</v>
      </c>
      <c r="G170" s="175">
        <f t="shared" si="51"/>
        <v>4.0160642570281138E-3</v>
      </c>
      <c r="H170" s="175">
        <f t="shared" si="52"/>
        <v>1.3157894736842108E-2</v>
      </c>
      <c r="I170" s="180"/>
      <c r="K170" s="164">
        <v>10</v>
      </c>
      <c r="L170" s="164" t="s">
        <v>112</v>
      </c>
      <c r="M170" s="182">
        <v>1</v>
      </c>
      <c r="N170" s="183">
        <v>0.9</v>
      </c>
      <c r="O170" s="184">
        <v>0.16600000000000001</v>
      </c>
      <c r="P170" s="184">
        <v>8.9999999999999993E-3</v>
      </c>
      <c r="Q170" s="184">
        <v>1.2E-2</v>
      </c>
    </row>
    <row r="171" spans="2:17">
      <c r="B171" s="277" t="s">
        <v>39</v>
      </c>
      <c r="C171" s="278"/>
      <c r="D171" s="174">
        <f t="shared" si="53"/>
        <v>0.5</v>
      </c>
      <c r="E171" s="174">
        <f t="shared" si="53"/>
        <v>0.40000000000000013</v>
      </c>
      <c r="F171" s="175">
        <f t="shared" si="50"/>
        <v>0.24999999999999958</v>
      </c>
      <c r="G171" s="175">
        <f t="shared" si="51"/>
        <v>2.0080321285140569E-2</v>
      </c>
      <c r="H171" s="175">
        <f t="shared" si="52"/>
        <v>2.6315789473684216E-2</v>
      </c>
      <c r="I171" s="173"/>
      <c r="K171" s="279" t="s">
        <v>39</v>
      </c>
      <c r="L171" s="279"/>
      <c r="M171" s="182">
        <v>2.6</v>
      </c>
      <c r="N171" s="183">
        <v>1.8</v>
      </c>
      <c r="O171" s="184">
        <v>0.46600000000000003</v>
      </c>
      <c r="P171" s="184">
        <v>2.4E-2</v>
      </c>
      <c r="Q171" s="184">
        <v>2.5000000000000001E-2</v>
      </c>
    </row>
    <row r="172" spans="2:17">
      <c r="B172" s="277" t="s">
        <v>48</v>
      </c>
      <c r="C172" s="278"/>
      <c r="D172" s="174">
        <f t="shared" si="53"/>
        <v>24.899999999999991</v>
      </c>
      <c r="E172" s="174">
        <f t="shared" si="53"/>
        <v>15.200000000000003</v>
      </c>
      <c r="F172" s="175">
        <f t="shared" si="50"/>
        <v>0.63815789473684126</v>
      </c>
      <c r="G172" s="175">
        <f t="shared" si="51"/>
        <v>1</v>
      </c>
      <c r="H172" s="175">
        <f t="shared" si="52"/>
        <v>1</v>
      </c>
      <c r="I172" s="173"/>
      <c r="K172" s="279" t="s">
        <v>48</v>
      </c>
      <c r="L172" s="279"/>
      <c r="M172" s="182">
        <v>111.6</v>
      </c>
      <c r="N172" s="183">
        <v>73.2</v>
      </c>
      <c r="O172" s="184">
        <v>0.52500000000000002</v>
      </c>
      <c r="P172" s="184">
        <v>1</v>
      </c>
      <c r="Q172" s="184">
        <v>1</v>
      </c>
    </row>
    <row r="173" spans="2:17">
      <c r="B173" s="169"/>
      <c r="C173" s="169"/>
      <c r="D173" s="172"/>
      <c r="E173" s="172"/>
      <c r="F173" s="173"/>
      <c r="G173" s="173"/>
      <c r="H173" s="173"/>
      <c r="I173" s="173"/>
      <c r="K173" s="169"/>
      <c r="L173" s="169"/>
      <c r="M173" s="177"/>
      <c r="N173" s="178"/>
      <c r="O173" s="179"/>
      <c r="P173" s="179"/>
      <c r="Q173" s="179"/>
    </row>
    <row r="174" spans="2:17">
      <c r="B174" s="169"/>
      <c r="C174" s="169"/>
      <c r="D174" s="172"/>
      <c r="E174" s="172"/>
      <c r="F174" s="173"/>
      <c r="G174" s="173"/>
      <c r="H174" s="173"/>
      <c r="I174" s="173"/>
      <c r="K174" s="169"/>
      <c r="L174" s="169"/>
      <c r="M174" s="177"/>
      <c r="N174" s="178"/>
      <c r="O174" s="179"/>
      <c r="P174" s="179"/>
      <c r="Q174" s="179"/>
    </row>
    <row r="175" spans="2:17">
      <c r="B175" s="160"/>
    </row>
    <row r="176" spans="2:17">
      <c r="B176" s="160" t="s">
        <v>299</v>
      </c>
      <c r="K176" s="160" t="s">
        <v>300</v>
      </c>
    </row>
    <row r="177" spans="2:17">
      <c r="B177" s="161" t="s">
        <v>92</v>
      </c>
      <c r="C177" s="162" t="s">
        <v>123</v>
      </c>
      <c r="D177" s="163">
        <v>45017</v>
      </c>
      <c r="E177" s="163">
        <v>44652</v>
      </c>
      <c r="F177" s="162" t="s">
        <v>124</v>
      </c>
      <c r="G177" s="162" t="s">
        <v>126</v>
      </c>
      <c r="H177" s="162" t="s">
        <v>133</v>
      </c>
      <c r="I177" s="22"/>
      <c r="K177" s="161" t="s">
        <v>92</v>
      </c>
      <c r="L177" s="162" t="s">
        <v>123</v>
      </c>
      <c r="M177" s="163" t="s">
        <v>301</v>
      </c>
      <c r="N177" s="163" t="s">
        <v>214</v>
      </c>
      <c r="O177" s="162" t="s">
        <v>124</v>
      </c>
      <c r="P177" s="162" t="s">
        <v>126</v>
      </c>
      <c r="Q177" s="162" t="s">
        <v>133</v>
      </c>
    </row>
    <row r="178" spans="2:17">
      <c r="B178" s="164">
        <v>1</v>
      </c>
      <c r="C178" s="162" t="s">
        <v>98</v>
      </c>
      <c r="D178" s="174">
        <v>7.4</v>
      </c>
      <c r="E178" s="174">
        <v>3</v>
      </c>
      <c r="F178" s="175">
        <f t="shared" ref="F178:F183" si="54">(D178-E178)/E178</f>
        <v>1.4666666666666668</v>
      </c>
      <c r="G178" s="175">
        <f>D178/$D$189</f>
        <v>0.3288888888888889</v>
      </c>
      <c r="H178" s="175">
        <f>E178/$E$189</f>
        <v>0.21739130434782608</v>
      </c>
      <c r="I178" s="173"/>
      <c r="K178" s="164">
        <v>1</v>
      </c>
      <c r="L178" s="162" t="s">
        <v>101</v>
      </c>
      <c r="M178" s="182">
        <v>24.1</v>
      </c>
      <c r="N178" s="183">
        <v>16.100000000000001</v>
      </c>
      <c r="O178" s="184">
        <v>0.49199999999999999</v>
      </c>
      <c r="P178" s="184">
        <v>0.27800000000000002</v>
      </c>
      <c r="Q178" s="184">
        <v>0.27800000000000002</v>
      </c>
    </row>
    <row r="179" spans="2:17">
      <c r="B179" s="164">
        <v>2</v>
      </c>
      <c r="C179" s="162" t="s">
        <v>101</v>
      </c>
      <c r="D179" s="174">
        <v>6.1</v>
      </c>
      <c r="E179" s="174">
        <v>3.1</v>
      </c>
      <c r="F179" s="175">
        <f t="shared" si="54"/>
        <v>0.96774193548387077</v>
      </c>
      <c r="G179" s="175">
        <f>D179/$D$189</f>
        <v>0.27111111111111108</v>
      </c>
      <c r="H179" s="175">
        <f t="shared" ref="H179:H189" si="55">E179/$E$189</f>
        <v>0.22463768115942029</v>
      </c>
      <c r="I179" s="173"/>
      <c r="K179" s="164">
        <v>2</v>
      </c>
      <c r="L179" s="162" t="s">
        <v>98</v>
      </c>
      <c r="M179" s="182">
        <v>23</v>
      </c>
      <c r="N179" s="183">
        <v>11.7</v>
      </c>
      <c r="O179" s="184">
        <v>0.97099999999999997</v>
      </c>
      <c r="P179" s="184">
        <v>0.26500000000000001</v>
      </c>
      <c r="Q179" s="184">
        <v>0.20100000000000001</v>
      </c>
    </row>
    <row r="180" spans="2:17">
      <c r="B180" s="164">
        <v>3</v>
      </c>
      <c r="C180" s="162" t="s">
        <v>99</v>
      </c>
      <c r="D180" s="174">
        <v>3</v>
      </c>
      <c r="E180" s="174">
        <v>2.4</v>
      </c>
      <c r="F180" s="175">
        <f t="shared" si="54"/>
        <v>0.25000000000000006</v>
      </c>
      <c r="G180" s="175">
        <f t="shared" ref="G180:G189" si="56">D180/$D$189</f>
        <v>0.13333333333333333</v>
      </c>
      <c r="H180" s="175">
        <f t="shared" si="55"/>
        <v>0.17391304347826086</v>
      </c>
      <c r="I180" s="173"/>
      <c r="K180" s="164">
        <v>3</v>
      </c>
      <c r="L180" s="162" t="s">
        <v>99</v>
      </c>
      <c r="M180" s="182">
        <v>14.9</v>
      </c>
      <c r="N180" s="183">
        <v>10.9</v>
      </c>
      <c r="O180" s="184">
        <v>0.36699999999999999</v>
      </c>
      <c r="P180" s="184">
        <v>0.17199999999999999</v>
      </c>
      <c r="Q180" s="184">
        <v>0.188</v>
      </c>
    </row>
    <row r="181" spans="2:17">
      <c r="B181" s="164">
        <v>4</v>
      </c>
      <c r="C181" s="161" t="s">
        <v>107</v>
      </c>
      <c r="D181" s="174">
        <v>2.5</v>
      </c>
      <c r="E181" s="174">
        <v>2.2999999999999998</v>
      </c>
      <c r="F181" s="175">
        <f t="shared" si="54"/>
        <v>8.6956521739130516E-2</v>
      </c>
      <c r="G181" s="175">
        <f t="shared" si="56"/>
        <v>0.1111111111111111</v>
      </c>
      <c r="H181" s="175">
        <f t="shared" si="55"/>
        <v>0.16666666666666666</v>
      </c>
      <c r="I181" s="173"/>
      <c r="K181" s="164">
        <v>4</v>
      </c>
      <c r="L181" s="161" t="s">
        <v>107</v>
      </c>
      <c r="M181" s="182">
        <v>9.5</v>
      </c>
      <c r="N181" s="183">
        <v>9</v>
      </c>
      <c r="O181" s="184">
        <v>4.8000000000000001E-2</v>
      </c>
      <c r="P181" s="184">
        <v>0.109</v>
      </c>
      <c r="Q181" s="184">
        <v>0.156</v>
      </c>
    </row>
    <row r="182" spans="2:17">
      <c r="B182" s="164">
        <v>5</v>
      </c>
      <c r="C182" s="162" t="s">
        <v>105</v>
      </c>
      <c r="D182" s="174">
        <v>1</v>
      </c>
      <c r="E182" s="174">
        <v>1.6</v>
      </c>
      <c r="F182" s="175">
        <f t="shared" si="54"/>
        <v>-0.37500000000000006</v>
      </c>
      <c r="G182" s="175">
        <f t="shared" si="56"/>
        <v>4.4444444444444446E-2</v>
      </c>
      <c r="H182" s="175">
        <f t="shared" si="55"/>
        <v>0.11594202898550725</v>
      </c>
      <c r="I182" s="173"/>
      <c r="K182" s="164">
        <v>5</v>
      </c>
      <c r="L182" s="162" t="s">
        <v>105</v>
      </c>
      <c r="M182" s="182">
        <v>7.5</v>
      </c>
      <c r="N182" s="183">
        <v>5.8</v>
      </c>
      <c r="O182" s="184">
        <v>0.29599999999999999</v>
      </c>
      <c r="P182" s="184">
        <v>8.6999999999999994E-2</v>
      </c>
      <c r="Q182" s="184">
        <v>0.1</v>
      </c>
    </row>
    <row r="183" spans="2:17">
      <c r="B183" s="164">
        <v>6</v>
      </c>
      <c r="C183" s="162" t="s">
        <v>277</v>
      </c>
      <c r="D183" s="174">
        <f>D189-SUM(D178:D182)-SUM(D184:D188)</f>
        <v>0.7</v>
      </c>
      <c r="E183" s="174">
        <f>E189-SUM(E178:E182)-SUM(E184:E188)</f>
        <v>0.20000000000000018</v>
      </c>
      <c r="F183" s="175">
        <f t="shared" si="54"/>
        <v>2.4999999999999969</v>
      </c>
      <c r="G183" s="175">
        <f t="shared" si="56"/>
        <v>3.111111111111111E-2</v>
      </c>
      <c r="H183" s="175">
        <f t="shared" si="55"/>
        <v>1.4492753623188418E-2</v>
      </c>
      <c r="I183" s="173"/>
      <c r="K183" s="164">
        <v>6</v>
      </c>
      <c r="L183" s="164" t="s">
        <v>96</v>
      </c>
      <c r="M183" s="182">
        <v>1.4</v>
      </c>
      <c r="N183" s="183">
        <v>0.2</v>
      </c>
      <c r="O183" s="184">
        <v>6.2089999999999996</v>
      </c>
      <c r="P183" s="184">
        <v>1.6E-2</v>
      </c>
      <c r="Q183" s="184">
        <v>3.0000000000000001E-3</v>
      </c>
    </row>
    <row r="184" spans="2:17">
      <c r="B184" s="164">
        <v>7</v>
      </c>
      <c r="C184" s="164" t="s">
        <v>96</v>
      </c>
      <c r="D184" s="174">
        <v>0.3</v>
      </c>
      <c r="E184" s="174">
        <v>0</v>
      </c>
      <c r="F184" s="175"/>
      <c r="G184" s="175">
        <f t="shared" si="56"/>
        <v>1.3333333333333332E-2</v>
      </c>
      <c r="H184" s="175">
        <f t="shared" si="55"/>
        <v>0</v>
      </c>
      <c r="I184" s="173"/>
      <c r="K184" s="164">
        <v>7</v>
      </c>
      <c r="L184" s="164" t="s">
        <v>225</v>
      </c>
      <c r="M184" s="182">
        <v>1.4</v>
      </c>
      <c r="N184" s="183">
        <v>1.4</v>
      </c>
      <c r="O184" s="184">
        <v>3.0000000000000001E-3</v>
      </c>
      <c r="P184" s="184">
        <v>1.6E-2</v>
      </c>
      <c r="Q184" s="184">
        <v>2.3E-2</v>
      </c>
    </row>
    <row r="185" spans="2:17">
      <c r="B185" s="164">
        <v>8</v>
      </c>
      <c r="C185" s="164" t="s">
        <v>225</v>
      </c>
      <c r="D185" s="174">
        <v>0.3</v>
      </c>
      <c r="E185" s="174">
        <v>0.3</v>
      </c>
      <c r="F185" s="175">
        <f>(D185-E185)/E185</f>
        <v>0</v>
      </c>
      <c r="G185" s="175">
        <f t="shared" si="56"/>
        <v>1.3333333333333332E-2</v>
      </c>
      <c r="H185" s="175">
        <f t="shared" si="55"/>
        <v>2.1739130434782608E-2</v>
      </c>
      <c r="I185" s="173"/>
      <c r="K185" s="164">
        <v>8</v>
      </c>
      <c r="L185" s="164" t="s">
        <v>277</v>
      </c>
      <c r="M185" s="182">
        <v>1.1000000000000001</v>
      </c>
      <c r="N185" s="183">
        <v>0.5</v>
      </c>
      <c r="O185" s="184">
        <v>1.173</v>
      </c>
      <c r="P185" s="184">
        <v>1.2999999999999999E-2</v>
      </c>
      <c r="Q185" s="184">
        <v>8.9999999999999993E-3</v>
      </c>
    </row>
    <row r="186" spans="2:17">
      <c r="B186" s="164">
        <v>9</v>
      </c>
      <c r="C186" s="162" t="s">
        <v>108</v>
      </c>
      <c r="D186" s="174">
        <v>0.2</v>
      </c>
      <c r="E186" s="174">
        <v>0.1</v>
      </c>
      <c r="F186" s="175">
        <f>(D186-E186)/E186</f>
        <v>1</v>
      </c>
      <c r="G186" s="175">
        <f t="shared" si="56"/>
        <v>8.8888888888888889E-3</v>
      </c>
      <c r="H186" s="175">
        <f t="shared" si="55"/>
        <v>7.246376811594203E-3</v>
      </c>
      <c r="I186" s="173"/>
      <c r="K186" s="164">
        <v>9</v>
      </c>
      <c r="L186" s="162" t="s">
        <v>108</v>
      </c>
      <c r="M186" s="182">
        <v>0.9</v>
      </c>
      <c r="N186" s="183">
        <v>0.3</v>
      </c>
      <c r="O186" s="184">
        <v>2.0369999999999999</v>
      </c>
      <c r="P186" s="184">
        <v>1.0999999999999999E-2</v>
      </c>
      <c r="Q186" s="184">
        <v>5.0000000000000001E-3</v>
      </c>
    </row>
    <row r="187" spans="2:17">
      <c r="B187" s="164">
        <v>10</v>
      </c>
      <c r="C187" s="164" t="s">
        <v>112</v>
      </c>
      <c r="D187" s="174">
        <v>0.2</v>
      </c>
      <c r="E187" s="174">
        <v>0.2</v>
      </c>
      <c r="F187" s="175">
        <f>(D187-E187)/E187</f>
        <v>0</v>
      </c>
      <c r="G187" s="175">
        <f t="shared" si="56"/>
        <v>8.8888888888888889E-3</v>
      </c>
      <c r="H187" s="175">
        <f t="shared" si="55"/>
        <v>1.4492753623188406E-2</v>
      </c>
      <c r="I187" s="173"/>
      <c r="K187" s="164">
        <v>10</v>
      </c>
      <c r="L187" s="164" t="s">
        <v>112</v>
      </c>
      <c r="M187" s="182">
        <v>0.8</v>
      </c>
      <c r="N187" s="183">
        <v>0.7</v>
      </c>
      <c r="O187" s="184">
        <v>0.154</v>
      </c>
      <c r="P187" s="184">
        <v>8.9999999999999993E-3</v>
      </c>
      <c r="Q187" s="184">
        <v>1.2E-2</v>
      </c>
    </row>
    <row r="188" spans="2:17">
      <c r="B188" s="277" t="s">
        <v>39</v>
      </c>
      <c r="C188" s="278"/>
      <c r="D188" s="174">
        <v>0.8</v>
      </c>
      <c r="E188" s="174">
        <v>0.6</v>
      </c>
      <c r="F188" s="175">
        <f t="shared" ref="F188:F189" si="57">(D188-E188)/E188</f>
        <v>0.33333333333333348</v>
      </c>
      <c r="G188" s="175">
        <f t="shared" si="56"/>
        <v>3.5555555555555556E-2</v>
      </c>
      <c r="H188" s="175">
        <f t="shared" si="55"/>
        <v>4.3478260869565216E-2</v>
      </c>
      <c r="I188" s="173"/>
      <c r="K188" s="279" t="s">
        <v>39</v>
      </c>
      <c r="L188" s="279"/>
      <c r="M188" s="182">
        <v>2.1</v>
      </c>
      <c r="N188" s="183">
        <v>1.4</v>
      </c>
      <c r="O188" s="184">
        <v>0.47499999999999998</v>
      </c>
      <c r="P188" s="184">
        <v>2.4E-2</v>
      </c>
      <c r="Q188" s="184">
        <v>2.4E-2</v>
      </c>
    </row>
    <row r="189" spans="2:17">
      <c r="B189" s="277" t="s">
        <v>48</v>
      </c>
      <c r="C189" s="278"/>
      <c r="D189" s="174">
        <v>22.5</v>
      </c>
      <c r="E189" s="174">
        <v>13.8</v>
      </c>
      <c r="F189" s="175">
        <f t="shared" si="57"/>
        <v>0.63043478260869557</v>
      </c>
      <c r="G189" s="175">
        <f t="shared" si="56"/>
        <v>1</v>
      </c>
      <c r="H189" s="175">
        <f t="shared" si="55"/>
        <v>1</v>
      </c>
      <c r="I189" s="173"/>
      <c r="K189" s="279" t="s">
        <v>48</v>
      </c>
      <c r="L189" s="279"/>
      <c r="M189" s="182">
        <v>86.7</v>
      </c>
      <c r="N189" s="183">
        <v>58</v>
      </c>
      <c r="O189" s="184">
        <v>0.49399999999999999</v>
      </c>
      <c r="P189" s="184">
        <v>1</v>
      </c>
      <c r="Q189" s="184">
        <v>1</v>
      </c>
    </row>
    <row r="190" spans="2:17">
      <c r="B190" s="160"/>
    </row>
    <row r="191" spans="2:17">
      <c r="B191" s="160"/>
    </row>
    <row r="192" spans="2:17">
      <c r="B192" s="160" t="s">
        <v>302</v>
      </c>
      <c r="K192" s="160" t="s">
        <v>303</v>
      </c>
    </row>
    <row r="193" spans="2:17">
      <c r="B193" s="161" t="s">
        <v>92</v>
      </c>
      <c r="C193" s="162" t="s">
        <v>123</v>
      </c>
      <c r="D193" s="163">
        <v>44986</v>
      </c>
      <c r="E193" s="163">
        <v>44621</v>
      </c>
      <c r="F193" s="162" t="s">
        <v>124</v>
      </c>
      <c r="G193" s="162" t="s">
        <v>126</v>
      </c>
      <c r="H193" s="162" t="s">
        <v>133</v>
      </c>
      <c r="I193" s="22"/>
      <c r="K193" s="161" t="s">
        <v>92</v>
      </c>
      <c r="L193" s="162" t="s">
        <v>123</v>
      </c>
      <c r="M193" s="163" t="s">
        <v>304</v>
      </c>
      <c r="N193" s="163" t="s">
        <v>219</v>
      </c>
      <c r="O193" s="162" t="s">
        <v>124</v>
      </c>
      <c r="P193" s="162" t="s">
        <v>126</v>
      </c>
      <c r="Q193" s="162" t="s">
        <v>133</v>
      </c>
    </row>
    <row r="194" spans="2:17">
      <c r="B194" s="164">
        <v>1</v>
      </c>
      <c r="C194" s="162" t="s">
        <v>101</v>
      </c>
      <c r="D194" s="174">
        <v>8.6999999999999993</v>
      </c>
      <c r="E194" s="174">
        <v>6.7</v>
      </c>
      <c r="F194" s="175">
        <f>(D194-E194)/E194</f>
        <v>0.29850746268656703</v>
      </c>
      <c r="G194" s="175">
        <f>D194/$D$205</f>
        <v>0.31751824817518248</v>
      </c>
      <c r="H194" s="175">
        <f>E194/$E$205</f>
        <v>0.35638297872340424</v>
      </c>
      <c r="I194" s="173"/>
      <c r="K194" s="164">
        <v>1</v>
      </c>
      <c r="L194" s="162" t="s">
        <v>101</v>
      </c>
      <c r="M194" s="182">
        <v>18</v>
      </c>
      <c r="N194" s="183">
        <v>13</v>
      </c>
      <c r="O194" s="184">
        <v>0.38800000000000001</v>
      </c>
      <c r="P194" s="184">
        <v>0.28000000000000003</v>
      </c>
      <c r="Q194" s="184">
        <v>0.29299999999999998</v>
      </c>
    </row>
    <row r="195" spans="2:17">
      <c r="B195" s="164">
        <v>2</v>
      </c>
      <c r="C195" s="162" t="s">
        <v>98</v>
      </c>
      <c r="D195" s="174">
        <v>6.9</v>
      </c>
      <c r="E195" s="174">
        <v>3.3</v>
      </c>
      <c r="F195" s="175">
        <f t="shared" ref="F195:F205" si="58">(D195-E195)/E195</f>
        <v>1.0909090909090911</v>
      </c>
      <c r="G195" s="175">
        <f t="shared" ref="G195:G205" si="59">D195/$D$205</f>
        <v>0.2518248175182482</v>
      </c>
      <c r="H195" s="175">
        <f t="shared" ref="H195:H205" si="60">E195/$E$205</f>
        <v>0.175531914893617</v>
      </c>
      <c r="I195" s="173"/>
      <c r="K195" s="164">
        <v>2</v>
      </c>
      <c r="L195" s="162" t="s">
        <v>98</v>
      </c>
      <c r="M195" s="182">
        <v>15.6</v>
      </c>
      <c r="N195" s="183">
        <v>8.6999999999999993</v>
      </c>
      <c r="O195" s="184">
        <v>0.79600000000000004</v>
      </c>
      <c r="P195" s="184">
        <v>0.24399999999999999</v>
      </c>
      <c r="Q195" s="184">
        <v>0.29699999999999999</v>
      </c>
    </row>
    <row r="196" spans="2:17">
      <c r="B196" s="164">
        <v>3</v>
      </c>
      <c r="C196" s="162" t="s">
        <v>99</v>
      </c>
      <c r="D196" s="174">
        <v>4.0999999999999996</v>
      </c>
      <c r="E196" s="174">
        <v>3.5</v>
      </c>
      <c r="F196" s="175">
        <f t="shared" si="58"/>
        <v>0.17142857142857132</v>
      </c>
      <c r="G196" s="175">
        <f t="shared" si="59"/>
        <v>0.14963503649635035</v>
      </c>
      <c r="H196" s="175">
        <f t="shared" si="60"/>
        <v>0.18617021276595744</v>
      </c>
      <c r="I196" s="173"/>
      <c r="K196" s="164">
        <v>3</v>
      </c>
      <c r="L196" s="162" t="s">
        <v>99</v>
      </c>
      <c r="M196" s="182">
        <v>11.9</v>
      </c>
      <c r="N196" s="183">
        <v>8.5</v>
      </c>
      <c r="O196" s="184">
        <v>0.38800000000000001</v>
      </c>
      <c r="P196" s="184">
        <v>0.185</v>
      </c>
      <c r="Q196" s="184">
        <v>0.193</v>
      </c>
    </row>
    <row r="197" spans="2:17">
      <c r="B197" s="164">
        <v>4</v>
      </c>
      <c r="C197" s="161" t="s">
        <v>107</v>
      </c>
      <c r="D197" s="174">
        <v>2.9</v>
      </c>
      <c r="E197" s="174">
        <v>2.6</v>
      </c>
      <c r="F197" s="175">
        <f t="shared" si="58"/>
        <v>0.11538461538461531</v>
      </c>
      <c r="G197" s="175">
        <f t="shared" si="59"/>
        <v>0.10583941605839416</v>
      </c>
      <c r="H197" s="175">
        <f t="shared" si="60"/>
        <v>0.13829787234042554</v>
      </c>
      <c r="I197" s="173"/>
      <c r="K197" s="164">
        <v>4</v>
      </c>
      <c r="L197" s="161" t="s">
        <v>107</v>
      </c>
      <c r="M197" s="182">
        <v>7</v>
      </c>
      <c r="N197" s="183">
        <v>6.7</v>
      </c>
      <c r="O197" s="184">
        <v>4.5999999999999999E-2</v>
      </c>
      <c r="P197" s="184">
        <v>0.109</v>
      </c>
      <c r="Q197" s="184">
        <v>0.152</v>
      </c>
    </row>
    <row r="198" spans="2:17">
      <c r="B198" s="164">
        <v>5</v>
      </c>
      <c r="C198" s="162" t="s">
        <v>105</v>
      </c>
      <c r="D198" s="174">
        <v>2.8</v>
      </c>
      <c r="E198" s="174">
        <v>1.5</v>
      </c>
      <c r="F198" s="175">
        <f t="shared" si="58"/>
        <v>0.86666666666666659</v>
      </c>
      <c r="G198" s="175">
        <f t="shared" si="59"/>
        <v>0.10218978102189781</v>
      </c>
      <c r="H198" s="175">
        <f t="shared" si="60"/>
        <v>7.9787234042553182E-2</v>
      </c>
      <c r="I198" s="173"/>
      <c r="K198" s="164">
        <v>5</v>
      </c>
      <c r="L198" s="162" t="s">
        <v>105</v>
      </c>
      <c r="M198" s="182">
        <v>6.5</v>
      </c>
      <c r="N198" s="183">
        <v>4.2</v>
      </c>
      <c r="O198" s="184">
        <v>0.54400000000000004</v>
      </c>
      <c r="P198" s="184">
        <v>0.10100000000000001</v>
      </c>
      <c r="Q198" s="184">
        <v>9.5000000000000001E-2</v>
      </c>
    </row>
    <row r="199" spans="2:17">
      <c r="B199" s="164">
        <v>6</v>
      </c>
      <c r="C199" s="164" t="s">
        <v>96</v>
      </c>
      <c r="D199" s="174">
        <v>0.4</v>
      </c>
      <c r="E199" s="174">
        <v>0</v>
      </c>
      <c r="F199" s="175"/>
      <c r="G199" s="175">
        <f t="shared" si="59"/>
        <v>1.4598540145985403E-2</v>
      </c>
      <c r="H199" s="175">
        <f t="shared" si="60"/>
        <v>0</v>
      </c>
      <c r="I199" s="173"/>
      <c r="K199" s="164">
        <v>6</v>
      </c>
      <c r="L199" s="164" t="s">
        <v>96</v>
      </c>
      <c r="M199" s="182">
        <v>1.1000000000000001</v>
      </c>
      <c r="N199" s="183">
        <v>0.2</v>
      </c>
      <c r="O199" s="184">
        <v>6.3390000000000004</v>
      </c>
      <c r="P199" s="184">
        <v>1.7000000000000001E-2</v>
      </c>
      <c r="Q199" s="184">
        <v>3.0000000000000001E-3</v>
      </c>
    </row>
    <row r="200" spans="2:17">
      <c r="B200" s="164">
        <v>7</v>
      </c>
      <c r="C200" s="164" t="s">
        <v>225</v>
      </c>
      <c r="D200" s="174">
        <v>0.4</v>
      </c>
      <c r="E200" s="174">
        <v>0.5</v>
      </c>
      <c r="F200" s="175">
        <f t="shared" si="58"/>
        <v>-0.19999999999999996</v>
      </c>
      <c r="G200" s="175">
        <f t="shared" si="59"/>
        <v>1.4598540145985403E-2</v>
      </c>
      <c r="H200" s="175">
        <f t="shared" si="60"/>
        <v>2.6595744680851064E-2</v>
      </c>
      <c r="I200" s="173"/>
      <c r="K200" s="164">
        <v>7</v>
      </c>
      <c r="L200" s="164" t="s">
        <v>225</v>
      </c>
      <c r="M200" s="182">
        <v>1.1000000000000001</v>
      </c>
      <c r="N200" s="183">
        <v>1.1000000000000001</v>
      </c>
      <c r="O200" s="184">
        <v>-1.4999999999999999E-2</v>
      </c>
      <c r="P200" s="184">
        <v>1.7000000000000001E-2</v>
      </c>
      <c r="Q200" s="184">
        <v>2.5000000000000001E-2</v>
      </c>
    </row>
    <row r="201" spans="2:17">
      <c r="B201" s="164">
        <v>8</v>
      </c>
      <c r="C201" s="162" t="s">
        <v>108</v>
      </c>
      <c r="D201" s="174">
        <v>0.3</v>
      </c>
      <c r="E201" s="174">
        <v>0</v>
      </c>
      <c r="F201" s="175"/>
      <c r="G201" s="175">
        <f t="shared" si="59"/>
        <v>1.0948905109489052E-2</v>
      </c>
      <c r="H201" s="175">
        <f t="shared" si="60"/>
        <v>0</v>
      </c>
      <c r="I201" s="173"/>
      <c r="K201" s="164">
        <v>8</v>
      </c>
      <c r="L201" s="162" t="s">
        <v>108</v>
      </c>
      <c r="M201" s="182">
        <v>0.7</v>
      </c>
      <c r="N201" s="183">
        <v>0.2</v>
      </c>
      <c r="O201" s="184">
        <v>2.298</v>
      </c>
      <c r="P201" s="184">
        <v>1.0999999999999999E-2</v>
      </c>
      <c r="Q201" s="184">
        <v>5.0000000000000001E-3</v>
      </c>
    </row>
    <row r="202" spans="2:17">
      <c r="B202" s="164">
        <v>9</v>
      </c>
      <c r="C202" s="164" t="s">
        <v>112</v>
      </c>
      <c r="D202" s="174">
        <v>0.2</v>
      </c>
      <c r="E202" s="174">
        <v>0.2</v>
      </c>
      <c r="F202" s="175">
        <f t="shared" si="58"/>
        <v>0</v>
      </c>
      <c r="G202" s="175">
        <f t="shared" si="59"/>
        <v>7.2992700729927014E-3</v>
      </c>
      <c r="H202" s="175">
        <f t="shared" si="60"/>
        <v>1.0638297872340425E-2</v>
      </c>
      <c r="I202" s="173"/>
      <c r="K202" s="164">
        <v>9</v>
      </c>
      <c r="L202" s="164" t="s">
        <v>112</v>
      </c>
      <c r="M202" s="182">
        <v>0.6</v>
      </c>
      <c r="N202" s="183">
        <v>0.5</v>
      </c>
      <c r="O202" s="184">
        <v>0.192</v>
      </c>
      <c r="P202" s="184">
        <v>0.01</v>
      </c>
      <c r="Q202" s="184">
        <v>1.2E-2</v>
      </c>
    </row>
    <row r="203" spans="2:17">
      <c r="B203" s="164">
        <v>10</v>
      </c>
      <c r="C203" s="162" t="s">
        <v>114</v>
      </c>
      <c r="D203" s="174">
        <v>0.1</v>
      </c>
      <c r="E203" s="174">
        <v>0.1</v>
      </c>
      <c r="F203" s="175">
        <f t="shared" si="58"/>
        <v>0</v>
      </c>
      <c r="G203" s="175">
        <f t="shared" si="59"/>
        <v>3.6496350364963507E-3</v>
      </c>
      <c r="H203" s="175">
        <f t="shared" si="60"/>
        <v>5.3191489361702126E-3</v>
      </c>
      <c r="I203" s="173"/>
      <c r="K203" s="164">
        <v>10</v>
      </c>
      <c r="L203" s="162" t="s">
        <v>114</v>
      </c>
      <c r="M203" s="182">
        <v>0.4</v>
      </c>
      <c r="N203" s="183">
        <v>0.3</v>
      </c>
      <c r="O203" s="184">
        <v>0.53200000000000003</v>
      </c>
      <c r="P203" s="184">
        <v>7.0000000000000001E-3</v>
      </c>
      <c r="Q203" s="184">
        <v>6.0000000000000001E-3</v>
      </c>
    </row>
    <row r="204" spans="2:17">
      <c r="B204" s="277" t="s">
        <v>39</v>
      </c>
      <c r="C204" s="278"/>
      <c r="D204" s="174">
        <v>0.6</v>
      </c>
      <c r="E204" s="174">
        <f>E205-SUM(E194:E203)</f>
        <v>0.39999999999999858</v>
      </c>
      <c r="F204" s="175">
        <f t="shared" si="58"/>
        <v>0.50000000000000533</v>
      </c>
      <c r="G204" s="175">
        <f t="shared" si="59"/>
        <v>2.1897810218978103E-2</v>
      </c>
      <c r="H204" s="175">
        <f t="shared" si="60"/>
        <v>2.1276595744680774E-2</v>
      </c>
      <c r="I204" s="173"/>
      <c r="K204" s="279" t="s">
        <v>39</v>
      </c>
      <c r="L204" s="279"/>
      <c r="M204" s="182">
        <v>1.3</v>
      </c>
      <c r="N204" s="183">
        <v>0.8</v>
      </c>
      <c r="O204" s="184">
        <v>0.56999999999999995</v>
      </c>
      <c r="P204" s="184">
        <v>0.02</v>
      </c>
      <c r="Q204" s="184">
        <v>1.7999999999999999E-2</v>
      </c>
    </row>
    <row r="205" spans="2:17">
      <c r="B205" s="277" t="s">
        <v>48</v>
      </c>
      <c r="C205" s="278"/>
      <c r="D205" s="174">
        <v>27.4</v>
      </c>
      <c r="E205" s="174">
        <v>18.8</v>
      </c>
      <c r="F205" s="175">
        <f t="shared" si="58"/>
        <v>0.45744680851063818</v>
      </c>
      <c r="G205" s="175">
        <f t="shared" si="59"/>
        <v>1</v>
      </c>
      <c r="H205" s="175">
        <f t="shared" si="60"/>
        <v>1</v>
      </c>
      <c r="I205" s="173"/>
      <c r="K205" s="279" t="s">
        <v>48</v>
      </c>
      <c r="L205" s="279"/>
      <c r="M205" s="182">
        <v>64.2</v>
      </c>
      <c r="N205" s="183">
        <v>44.2</v>
      </c>
      <c r="O205" s="184">
        <v>0.45300000000000001</v>
      </c>
      <c r="P205" s="184">
        <v>1</v>
      </c>
      <c r="Q205" s="184">
        <v>1</v>
      </c>
    </row>
    <row r="208" spans="2:17">
      <c r="B208" s="160" t="s">
        <v>305</v>
      </c>
      <c r="K208" s="160" t="s">
        <v>306</v>
      </c>
    </row>
    <row r="209" spans="2:17">
      <c r="B209" s="161" t="s">
        <v>92</v>
      </c>
      <c r="C209" s="162" t="s">
        <v>123</v>
      </c>
      <c r="D209" s="163">
        <v>44958</v>
      </c>
      <c r="E209" s="163">
        <v>44593</v>
      </c>
      <c r="F209" s="162" t="s">
        <v>124</v>
      </c>
      <c r="G209" s="162" t="s">
        <v>126</v>
      </c>
      <c r="H209" s="162" t="s">
        <v>133</v>
      </c>
      <c r="I209" s="22"/>
      <c r="K209" s="161" t="s">
        <v>92</v>
      </c>
      <c r="L209" s="162" t="s">
        <v>123</v>
      </c>
      <c r="M209" s="163" t="s">
        <v>307</v>
      </c>
      <c r="N209" s="163" t="s">
        <v>223</v>
      </c>
      <c r="O209" s="162" t="s">
        <v>124</v>
      </c>
      <c r="P209" s="162" t="s">
        <v>126</v>
      </c>
      <c r="Q209" s="162" t="s">
        <v>133</v>
      </c>
    </row>
    <row r="210" spans="2:17">
      <c r="B210" s="164">
        <v>1</v>
      </c>
      <c r="C210" s="162" t="s">
        <v>101</v>
      </c>
      <c r="D210" s="174">
        <v>5.2</v>
      </c>
      <c r="E210" s="174">
        <v>3.6</v>
      </c>
      <c r="F210" s="175">
        <f>D210/E210-1</f>
        <v>0.44444444444444442</v>
      </c>
      <c r="G210" s="175">
        <f>D210/20.2</f>
        <v>0.25742574257425743</v>
      </c>
      <c r="H210" s="175">
        <f>E210/13.3</f>
        <v>0.27067669172932329</v>
      </c>
      <c r="I210" s="173"/>
      <c r="K210" s="164">
        <v>1</v>
      </c>
      <c r="L210" s="162" t="s">
        <v>101</v>
      </c>
      <c r="M210" s="182">
        <v>9.3000000000000007</v>
      </c>
      <c r="N210" s="183">
        <v>6.3</v>
      </c>
      <c r="O210" s="184">
        <v>0.48899999999999999</v>
      </c>
      <c r="P210" s="184">
        <v>0.254</v>
      </c>
      <c r="Q210" s="184">
        <v>0.25600000000000001</v>
      </c>
    </row>
    <row r="211" spans="2:17">
      <c r="B211" s="164">
        <v>2</v>
      </c>
      <c r="C211" s="162" t="s">
        <v>98</v>
      </c>
      <c r="D211" s="174">
        <v>4.7</v>
      </c>
      <c r="E211" s="174">
        <v>2.5</v>
      </c>
      <c r="F211" s="175">
        <f t="shared" ref="F211:F221" si="61">D211/E211-1</f>
        <v>0.88000000000000012</v>
      </c>
      <c r="G211" s="175">
        <f t="shared" ref="G211:G221" si="62">D211/20.2</f>
        <v>0.23267326732673269</v>
      </c>
      <c r="H211" s="175">
        <f t="shared" ref="H211:H221" si="63">E211/13.3</f>
        <v>0.18796992481203006</v>
      </c>
      <c r="I211" s="173"/>
      <c r="K211" s="164">
        <v>2</v>
      </c>
      <c r="L211" s="162" t="s">
        <v>98</v>
      </c>
      <c r="M211" s="182">
        <v>8.6999999999999993</v>
      </c>
      <c r="N211" s="183">
        <v>4.9000000000000004</v>
      </c>
      <c r="O211" s="184">
        <v>0.79300000000000004</v>
      </c>
      <c r="P211" s="184">
        <v>0.23699999999999999</v>
      </c>
      <c r="Q211" s="184">
        <v>0.19900000000000001</v>
      </c>
    </row>
    <row r="212" spans="2:17">
      <c r="B212" s="164">
        <v>3</v>
      </c>
      <c r="C212" s="162" t="s">
        <v>99</v>
      </c>
      <c r="D212" s="174">
        <v>4.0999999999999996</v>
      </c>
      <c r="E212" s="174">
        <v>2.7</v>
      </c>
      <c r="F212" s="175">
        <f t="shared" si="61"/>
        <v>0.51851851851851838</v>
      </c>
      <c r="G212" s="175">
        <f t="shared" si="62"/>
        <v>0.20297029702970296</v>
      </c>
      <c r="H212" s="175">
        <f t="shared" si="63"/>
        <v>0.20300751879699247</v>
      </c>
      <c r="I212" s="173"/>
      <c r="K212" s="164">
        <v>3</v>
      </c>
      <c r="L212" s="162" t="s">
        <v>99</v>
      </c>
      <c r="M212" s="182">
        <v>7.8</v>
      </c>
      <c r="N212" s="183">
        <v>5.2</v>
      </c>
      <c r="O212" s="184">
        <v>0.48899999999999999</v>
      </c>
      <c r="P212" s="184">
        <v>0.21099999999999999</v>
      </c>
      <c r="Q212" s="184">
        <v>0.21299999999999999</v>
      </c>
    </row>
    <row r="213" spans="2:17">
      <c r="B213" s="164">
        <v>4</v>
      </c>
      <c r="C213" s="162" t="s">
        <v>105</v>
      </c>
      <c r="D213" s="174">
        <v>2.2999999999999998</v>
      </c>
      <c r="E213" s="174">
        <v>2.8</v>
      </c>
      <c r="F213" s="175">
        <f t="shared" si="61"/>
        <v>-0.1785714285714286</v>
      </c>
      <c r="G213" s="175">
        <f t="shared" si="62"/>
        <v>0.11386138613861385</v>
      </c>
      <c r="H213" s="175">
        <f t="shared" si="63"/>
        <v>0.21052631578947367</v>
      </c>
      <c r="I213" s="173"/>
      <c r="K213" s="164">
        <v>4</v>
      </c>
      <c r="L213" s="161" t="s">
        <v>107</v>
      </c>
      <c r="M213" s="182">
        <v>4.0999999999999996</v>
      </c>
      <c r="N213" s="183">
        <v>4</v>
      </c>
      <c r="O213" s="184">
        <v>3.5999999999999997E-2</v>
      </c>
      <c r="P213" s="184">
        <v>0.113</v>
      </c>
      <c r="Q213" s="184">
        <v>0.16300000000000001</v>
      </c>
    </row>
    <row r="214" spans="2:17">
      <c r="B214" s="164">
        <v>5</v>
      </c>
      <c r="C214" s="185" t="s">
        <v>107</v>
      </c>
      <c r="D214" s="174">
        <v>2.2000000000000002</v>
      </c>
      <c r="E214" s="174">
        <v>0.7</v>
      </c>
      <c r="F214" s="175">
        <f t="shared" si="61"/>
        <v>2.1428571428571432</v>
      </c>
      <c r="G214" s="175">
        <f t="shared" si="62"/>
        <v>0.10891089108910892</v>
      </c>
      <c r="H214" s="175">
        <f t="shared" si="63"/>
        <v>5.2631578947368418E-2</v>
      </c>
      <c r="I214" s="173"/>
      <c r="K214" s="164">
        <v>5</v>
      </c>
      <c r="L214" s="162" t="s">
        <v>105</v>
      </c>
      <c r="M214" s="182">
        <v>3.7</v>
      </c>
      <c r="N214" s="183">
        <v>2.2999999999999998</v>
      </c>
      <c r="O214" s="184">
        <v>0.59299999999999997</v>
      </c>
      <c r="P214" s="184">
        <v>9.9000000000000005E-2</v>
      </c>
      <c r="Q214" s="184">
        <v>9.4E-2</v>
      </c>
    </row>
    <row r="215" spans="2:17">
      <c r="B215" s="164">
        <v>6</v>
      </c>
      <c r="C215" s="164" t="s">
        <v>225</v>
      </c>
      <c r="D215" s="174">
        <v>0.4</v>
      </c>
      <c r="E215" s="174">
        <v>0.3</v>
      </c>
      <c r="F215" s="175">
        <f t="shared" si="61"/>
        <v>0.33333333333333348</v>
      </c>
      <c r="G215" s="175">
        <f t="shared" si="62"/>
        <v>1.9801980198019802E-2</v>
      </c>
      <c r="H215" s="175">
        <f t="shared" si="63"/>
        <v>2.2556390977443608E-2</v>
      </c>
      <c r="I215" s="173"/>
      <c r="K215" s="164">
        <v>6</v>
      </c>
      <c r="L215" s="164" t="s">
        <v>225</v>
      </c>
      <c r="M215" s="182">
        <v>0.7</v>
      </c>
      <c r="N215" s="183">
        <v>0.6</v>
      </c>
      <c r="O215" s="184">
        <v>0.13300000000000001</v>
      </c>
      <c r="P215" s="184">
        <v>1.9E-2</v>
      </c>
      <c r="Q215" s="184">
        <v>2.5999999999999999E-2</v>
      </c>
    </row>
    <row r="216" spans="2:17">
      <c r="B216" s="164">
        <v>7</v>
      </c>
      <c r="C216" s="164" t="s">
        <v>96</v>
      </c>
      <c r="D216" s="174">
        <v>0.4</v>
      </c>
      <c r="E216" s="174">
        <v>0.1</v>
      </c>
      <c r="F216" s="175">
        <f t="shared" si="61"/>
        <v>3</v>
      </c>
      <c r="G216" s="175">
        <f t="shared" si="62"/>
        <v>1.9801980198019802E-2</v>
      </c>
      <c r="H216" s="175">
        <f t="shared" si="63"/>
        <v>7.5187969924812026E-3</v>
      </c>
      <c r="I216" s="173"/>
      <c r="K216" s="164">
        <v>7</v>
      </c>
      <c r="L216" s="164" t="s">
        <v>96</v>
      </c>
      <c r="M216" s="182">
        <v>0.7</v>
      </c>
      <c r="N216" s="183">
        <v>0.1</v>
      </c>
      <c r="O216" s="184">
        <v>5.4690000000000003</v>
      </c>
      <c r="P216" s="184">
        <v>1.7999999999999999E-2</v>
      </c>
      <c r="Q216" s="184">
        <v>4.0000000000000001E-3</v>
      </c>
    </row>
    <row r="217" spans="2:17">
      <c r="B217" s="164">
        <v>8</v>
      </c>
      <c r="C217" s="162" t="s">
        <v>108</v>
      </c>
      <c r="D217" s="174">
        <v>0.2</v>
      </c>
      <c r="E217" s="174">
        <v>0.1</v>
      </c>
      <c r="F217" s="175">
        <f t="shared" si="61"/>
        <v>1</v>
      </c>
      <c r="G217" s="175">
        <f t="shared" si="62"/>
        <v>9.9009900990099011E-3</v>
      </c>
      <c r="H217" s="175">
        <f t="shared" si="63"/>
        <v>7.5187969924812026E-3</v>
      </c>
      <c r="I217" s="173"/>
      <c r="K217" s="164">
        <v>8</v>
      </c>
      <c r="L217" s="162" t="s">
        <v>108</v>
      </c>
      <c r="M217" s="182">
        <v>0.4</v>
      </c>
      <c r="N217" s="183">
        <v>0.1</v>
      </c>
      <c r="O217" s="184">
        <v>2.702</v>
      </c>
      <c r="P217" s="184">
        <v>1.0999999999999999E-2</v>
      </c>
      <c r="Q217" s="184">
        <v>4.0000000000000001E-3</v>
      </c>
    </row>
    <row r="218" spans="2:17">
      <c r="B218" s="164">
        <v>9</v>
      </c>
      <c r="C218" s="162" t="s">
        <v>112</v>
      </c>
      <c r="D218" s="174">
        <v>0.2</v>
      </c>
      <c r="E218" s="174">
        <v>0.1</v>
      </c>
      <c r="F218" s="175">
        <f t="shared" si="61"/>
        <v>1</v>
      </c>
      <c r="G218" s="175">
        <f t="shared" si="62"/>
        <v>9.9009900990099011E-3</v>
      </c>
      <c r="H218" s="175">
        <f t="shared" si="63"/>
        <v>7.5187969924812026E-3</v>
      </c>
      <c r="I218" s="173"/>
      <c r="K218" s="164">
        <v>9</v>
      </c>
      <c r="L218" s="164" t="s">
        <v>112</v>
      </c>
      <c r="M218" s="182">
        <v>0.4</v>
      </c>
      <c r="N218" s="183">
        <v>0.3</v>
      </c>
      <c r="O218" s="184">
        <v>0.224</v>
      </c>
      <c r="P218" s="184">
        <v>0.01</v>
      </c>
      <c r="Q218" s="184">
        <v>1.2999999999999999E-2</v>
      </c>
    </row>
    <row r="219" spans="2:17">
      <c r="B219" s="164">
        <v>10</v>
      </c>
      <c r="C219" s="164" t="s">
        <v>114</v>
      </c>
      <c r="D219" s="174">
        <v>0.2</v>
      </c>
      <c r="E219" s="174">
        <v>0.1</v>
      </c>
      <c r="F219" s="175">
        <f t="shared" si="61"/>
        <v>1</v>
      </c>
      <c r="G219" s="175">
        <f t="shared" si="62"/>
        <v>9.9009900990099011E-3</v>
      </c>
      <c r="H219" s="175">
        <f t="shared" si="63"/>
        <v>7.5187969924812026E-3</v>
      </c>
      <c r="I219" s="173"/>
      <c r="K219" s="164">
        <v>10</v>
      </c>
      <c r="L219" s="162" t="s">
        <v>114</v>
      </c>
      <c r="M219" s="182">
        <v>0.3</v>
      </c>
      <c r="N219" s="183">
        <v>0.2</v>
      </c>
      <c r="O219" s="184">
        <v>0.65</v>
      </c>
      <c r="P219" s="184">
        <v>7.0000000000000001E-3</v>
      </c>
      <c r="Q219" s="184">
        <v>7.0000000000000001E-3</v>
      </c>
    </row>
    <row r="220" spans="2:17">
      <c r="B220" s="277" t="s">
        <v>39</v>
      </c>
      <c r="C220" s="278"/>
      <c r="D220" s="174">
        <v>0.3</v>
      </c>
      <c r="E220" s="174">
        <v>0.2</v>
      </c>
      <c r="F220" s="175">
        <f t="shared" si="61"/>
        <v>0.49999999999999978</v>
      </c>
      <c r="G220" s="175">
        <f t="shared" si="62"/>
        <v>1.4851485148514851E-2</v>
      </c>
      <c r="H220" s="175">
        <f t="shared" si="63"/>
        <v>1.5037593984962405E-2</v>
      </c>
      <c r="I220" s="173"/>
      <c r="K220" s="279" t="s">
        <v>39</v>
      </c>
      <c r="L220" s="279"/>
      <c r="M220" s="182">
        <v>0.7</v>
      </c>
      <c r="N220" s="183">
        <v>0.5</v>
      </c>
      <c r="O220" s="184">
        <v>0.35099999999999998</v>
      </c>
      <c r="P220" s="184">
        <v>0.02</v>
      </c>
      <c r="Q220" s="184">
        <v>2.1999999999999999E-2</v>
      </c>
    </row>
    <row r="221" spans="2:17">
      <c r="B221" s="277" t="s">
        <v>48</v>
      </c>
      <c r="C221" s="278"/>
      <c r="D221" s="174">
        <v>20.2</v>
      </c>
      <c r="E221" s="174">
        <v>13.3</v>
      </c>
      <c r="F221" s="175">
        <f t="shared" si="61"/>
        <v>0.51879699248120281</v>
      </c>
      <c r="G221" s="175">
        <f t="shared" si="62"/>
        <v>1</v>
      </c>
      <c r="H221" s="175">
        <f t="shared" si="63"/>
        <v>1</v>
      </c>
      <c r="I221" s="173"/>
      <c r="K221" s="279" t="s">
        <v>48</v>
      </c>
      <c r="L221" s="279"/>
      <c r="M221" s="182">
        <v>36.799999999999997</v>
      </c>
      <c r="N221" s="183">
        <v>24.5</v>
      </c>
      <c r="O221" s="184">
        <v>0.501</v>
      </c>
      <c r="P221" s="184">
        <v>1</v>
      </c>
      <c r="Q221" s="184">
        <v>1</v>
      </c>
    </row>
    <row r="224" spans="2:17">
      <c r="B224" s="160" t="s">
        <v>308</v>
      </c>
    </row>
    <row r="225" spans="2:9">
      <c r="B225" s="161" t="s">
        <v>92</v>
      </c>
      <c r="C225" s="162" t="s">
        <v>123</v>
      </c>
      <c r="D225" s="163">
        <v>44927</v>
      </c>
      <c r="E225" s="163">
        <v>44562</v>
      </c>
      <c r="F225" s="162" t="s">
        <v>124</v>
      </c>
      <c r="G225" s="162" t="s">
        <v>126</v>
      </c>
      <c r="H225" s="162" t="s">
        <v>133</v>
      </c>
      <c r="I225" s="22"/>
    </row>
    <row r="226" spans="2:9">
      <c r="B226" s="164">
        <v>1</v>
      </c>
      <c r="C226" s="162" t="s">
        <v>101</v>
      </c>
      <c r="D226" s="174">
        <v>4.0999999999999996</v>
      </c>
      <c r="E226" s="174">
        <v>2.7</v>
      </c>
      <c r="F226" s="175">
        <v>0.498</v>
      </c>
      <c r="G226" s="175">
        <v>0.24399999999999999</v>
      </c>
      <c r="H226" s="175">
        <v>0.24199999999999999</v>
      </c>
      <c r="I226" s="173"/>
    </row>
    <row r="227" spans="2:9">
      <c r="B227" s="164">
        <v>2</v>
      </c>
      <c r="C227" s="162" t="s">
        <v>98</v>
      </c>
      <c r="D227" s="174">
        <v>4</v>
      </c>
      <c r="E227" s="174">
        <v>2.4</v>
      </c>
      <c r="F227" s="175">
        <v>0.67800000000000005</v>
      </c>
      <c r="G227" s="175">
        <v>0.24099999999999999</v>
      </c>
      <c r="H227" s="175">
        <v>0.21299999999999999</v>
      </c>
      <c r="I227" s="173"/>
    </row>
    <row r="228" spans="2:9">
      <c r="B228" s="164">
        <v>3</v>
      </c>
      <c r="C228" s="162" t="s">
        <v>99</v>
      </c>
      <c r="D228" s="174">
        <v>3.7</v>
      </c>
      <c r="E228" s="174">
        <v>2.5</v>
      </c>
      <c r="F228" s="175">
        <v>0.46899999999999997</v>
      </c>
      <c r="G228" s="175">
        <v>0.221</v>
      </c>
      <c r="H228" s="175">
        <v>0.223</v>
      </c>
      <c r="I228" s="173"/>
    </row>
    <row r="229" spans="2:9">
      <c r="B229" s="164">
        <v>4</v>
      </c>
      <c r="C229" s="162" t="s">
        <v>105</v>
      </c>
      <c r="D229" s="174">
        <v>1.8</v>
      </c>
      <c r="E229" s="174">
        <v>1.2</v>
      </c>
      <c r="F229" s="175">
        <v>0.56599999999999995</v>
      </c>
      <c r="G229" s="175">
        <v>0.108</v>
      </c>
      <c r="H229" s="175">
        <v>0.10299999999999999</v>
      </c>
      <c r="I229" s="173"/>
    </row>
    <row r="230" spans="2:9">
      <c r="B230" s="164">
        <v>5</v>
      </c>
      <c r="C230" s="185" t="s">
        <v>107</v>
      </c>
      <c r="D230" s="174">
        <v>1.5</v>
      </c>
      <c r="E230" s="174">
        <v>1.6</v>
      </c>
      <c r="F230" s="175">
        <v>-1.2E-2</v>
      </c>
      <c r="G230" s="175">
        <v>9.1999999999999998E-2</v>
      </c>
      <c r="H230" s="175">
        <v>0.13900000000000001</v>
      </c>
      <c r="I230" s="173"/>
    </row>
    <row r="231" spans="2:9">
      <c r="B231" s="164">
        <v>6</v>
      </c>
      <c r="C231" s="164" t="s">
        <v>225</v>
      </c>
      <c r="D231" s="174">
        <v>0.3</v>
      </c>
      <c r="E231" s="174">
        <v>0.3</v>
      </c>
      <c r="F231" s="175">
        <v>0.16200000000000001</v>
      </c>
      <c r="G231" s="175">
        <v>2.1000000000000001E-2</v>
      </c>
      <c r="H231" s="175">
        <v>2.7E-2</v>
      </c>
      <c r="I231" s="173"/>
    </row>
    <row r="232" spans="2:9">
      <c r="B232" s="164">
        <v>7</v>
      </c>
      <c r="C232" s="164" t="s">
        <v>96</v>
      </c>
      <c r="D232" s="174">
        <v>0.3</v>
      </c>
      <c r="E232" s="174">
        <v>0</v>
      </c>
      <c r="F232" s="175">
        <v>6.3419999999999996</v>
      </c>
      <c r="G232" s="175">
        <v>1.7999999999999999E-2</v>
      </c>
      <c r="H232" s="175">
        <v>4.0000000000000001E-3</v>
      </c>
      <c r="I232" s="173"/>
    </row>
    <row r="233" spans="2:9">
      <c r="B233" s="164">
        <v>8</v>
      </c>
      <c r="C233" s="162" t="s">
        <v>108</v>
      </c>
      <c r="D233" s="174">
        <v>0.2</v>
      </c>
      <c r="E233" s="174">
        <v>0</v>
      </c>
      <c r="F233" s="175">
        <v>3.7490000000000001</v>
      </c>
      <c r="G233" s="175">
        <v>1.0999999999999999E-2</v>
      </c>
      <c r="H233" s="175">
        <v>3.0000000000000001E-3</v>
      </c>
      <c r="I233" s="173"/>
    </row>
    <row r="234" spans="2:9">
      <c r="B234" s="164">
        <v>9</v>
      </c>
      <c r="C234" s="162" t="s">
        <v>112</v>
      </c>
      <c r="D234" s="174">
        <v>0.2</v>
      </c>
      <c r="E234" s="174">
        <v>0.2</v>
      </c>
      <c r="F234" s="175">
        <v>0.12</v>
      </c>
      <c r="G234" s="175">
        <v>1.0999999999999999E-2</v>
      </c>
      <c r="H234" s="175">
        <v>1.4E-2</v>
      </c>
      <c r="I234" s="173"/>
    </row>
    <row r="235" spans="2:9">
      <c r="B235" s="164">
        <v>10</v>
      </c>
      <c r="C235" s="164" t="s">
        <v>114</v>
      </c>
      <c r="D235" s="174">
        <v>0.1</v>
      </c>
      <c r="E235" s="174">
        <v>0.1</v>
      </c>
      <c r="F235" s="175">
        <v>0.32100000000000001</v>
      </c>
      <c r="G235" s="175">
        <v>8.0000000000000002E-3</v>
      </c>
      <c r="H235" s="175">
        <v>8.9999999999999993E-3</v>
      </c>
      <c r="I235" s="173"/>
    </row>
    <row r="236" spans="2:9">
      <c r="B236" s="277" t="s">
        <v>39</v>
      </c>
      <c r="C236" s="278"/>
      <c r="D236" s="174">
        <v>0.4</v>
      </c>
      <c r="E236" s="174">
        <v>0.3</v>
      </c>
      <c r="F236" s="175">
        <v>0.433</v>
      </c>
      <c r="G236" s="175">
        <v>2.4E-2</v>
      </c>
      <c r="H236" s="175">
        <v>2.5000000000000001E-2</v>
      </c>
      <c r="I236" s="173"/>
    </row>
    <row r="237" spans="2:9">
      <c r="B237" s="277" t="s">
        <v>48</v>
      </c>
      <c r="C237" s="278"/>
      <c r="D237" s="174">
        <v>16.600000000000001</v>
      </c>
      <c r="E237" s="174">
        <v>11.2</v>
      </c>
      <c r="F237" s="175">
        <v>0.48199999999999998</v>
      </c>
      <c r="G237" s="175">
        <v>1</v>
      </c>
      <c r="H237" s="175">
        <v>1</v>
      </c>
      <c r="I237" s="173"/>
    </row>
    <row r="241" spans="2:17">
      <c r="B241" s="160" t="s">
        <v>309</v>
      </c>
      <c r="K241" s="160" t="s">
        <v>310</v>
      </c>
    </row>
    <row r="242" spans="2:17">
      <c r="B242" s="161" t="s">
        <v>92</v>
      </c>
      <c r="C242" s="162" t="s">
        <v>123</v>
      </c>
      <c r="D242" s="163">
        <v>44896</v>
      </c>
      <c r="E242" s="163">
        <v>44531</v>
      </c>
      <c r="F242" s="162" t="s">
        <v>124</v>
      </c>
      <c r="G242" s="162" t="s">
        <v>133</v>
      </c>
      <c r="H242" s="162" t="s">
        <v>180</v>
      </c>
      <c r="I242" s="22"/>
      <c r="K242" s="161" t="s">
        <v>92</v>
      </c>
      <c r="L242" s="162" t="s">
        <v>123</v>
      </c>
      <c r="M242" s="163" t="s">
        <v>181</v>
      </c>
      <c r="N242" s="163" t="s">
        <v>182</v>
      </c>
      <c r="O242" s="162" t="s">
        <v>124</v>
      </c>
      <c r="P242" s="162" t="s">
        <v>133</v>
      </c>
      <c r="Q242" s="162" t="s">
        <v>180</v>
      </c>
    </row>
    <row r="243" spans="2:17">
      <c r="B243" s="164">
        <v>1</v>
      </c>
      <c r="C243" s="162"/>
      <c r="D243" s="186"/>
      <c r="E243" s="186"/>
      <c r="F243" s="175"/>
      <c r="G243" s="175"/>
      <c r="H243" s="175"/>
      <c r="I243" s="173"/>
      <c r="K243" s="164">
        <v>1</v>
      </c>
      <c r="L243" s="162" t="s">
        <v>101</v>
      </c>
      <c r="M243" s="183">
        <v>65.2</v>
      </c>
      <c r="N243" s="182">
        <v>53.1</v>
      </c>
      <c r="O243" s="184">
        <v>0.22900000000000001</v>
      </c>
      <c r="P243" s="184">
        <v>0.29699999999999999</v>
      </c>
      <c r="Q243" s="184">
        <v>0.35099999999999998</v>
      </c>
    </row>
    <row r="244" spans="2:17">
      <c r="B244" s="164">
        <v>2</v>
      </c>
      <c r="C244" s="162"/>
      <c r="D244" s="186"/>
      <c r="E244" s="186"/>
      <c r="F244" s="175"/>
      <c r="G244" s="175"/>
      <c r="H244" s="175"/>
      <c r="I244" s="173"/>
      <c r="K244" s="164">
        <v>2</v>
      </c>
      <c r="L244" s="162" t="s">
        <v>98</v>
      </c>
      <c r="M244" s="183">
        <v>48.8</v>
      </c>
      <c r="N244" s="182">
        <v>21.1</v>
      </c>
      <c r="O244" s="184">
        <v>1.31</v>
      </c>
      <c r="P244" s="184">
        <v>0.223</v>
      </c>
      <c r="Q244" s="184">
        <v>0.14000000000000001</v>
      </c>
    </row>
    <row r="245" spans="2:17">
      <c r="B245" s="164">
        <v>3</v>
      </c>
      <c r="C245" s="162"/>
      <c r="D245" s="186"/>
      <c r="E245" s="186"/>
      <c r="F245" s="175"/>
      <c r="G245" s="175"/>
      <c r="H245" s="175"/>
      <c r="I245" s="173"/>
      <c r="K245" s="164">
        <v>3</v>
      </c>
      <c r="L245" s="162" t="s">
        <v>99</v>
      </c>
      <c r="M245" s="183">
        <v>37.5</v>
      </c>
      <c r="N245" s="182">
        <v>35.700000000000003</v>
      </c>
      <c r="O245" s="184">
        <v>5.0999999999999997E-2</v>
      </c>
      <c r="P245" s="184">
        <v>0.17100000000000001</v>
      </c>
      <c r="Q245" s="184">
        <v>0.23599999999999999</v>
      </c>
    </row>
    <row r="246" spans="2:17">
      <c r="B246" s="164">
        <v>4</v>
      </c>
      <c r="C246" s="161"/>
      <c r="D246" s="186"/>
      <c r="E246" s="186"/>
      <c r="F246" s="175"/>
      <c r="G246" s="175"/>
      <c r="H246" s="175"/>
      <c r="I246" s="173"/>
      <c r="K246" s="164">
        <v>4</v>
      </c>
      <c r="L246" s="161" t="s">
        <v>107</v>
      </c>
      <c r="M246" s="183">
        <v>27.8</v>
      </c>
      <c r="N246" s="182">
        <v>16.8</v>
      </c>
      <c r="O246" s="184">
        <v>0.65200000000000002</v>
      </c>
      <c r="P246" s="184">
        <v>0.127</v>
      </c>
      <c r="Q246" s="184">
        <v>0.111</v>
      </c>
    </row>
    <row r="247" spans="2:17">
      <c r="B247" s="164">
        <v>5</v>
      </c>
      <c r="C247" s="162"/>
      <c r="D247" s="186"/>
      <c r="E247" s="186"/>
      <c r="F247" s="175"/>
      <c r="G247" s="175"/>
      <c r="H247" s="175"/>
      <c r="I247" s="173"/>
      <c r="K247" s="164">
        <v>5</v>
      </c>
      <c r="L247" s="162" t="s">
        <v>105</v>
      </c>
      <c r="M247" s="183">
        <v>24</v>
      </c>
      <c r="N247" s="182">
        <v>14.1</v>
      </c>
      <c r="O247" s="184">
        <v>0.70099999999999996</v>
      </c>
      <c r="P247" s="184">
        <v>0.11</v>
      </c>
      <c r="Q247" s="184">
        <v>9.4E-2</v>
      </c>
    </row>
    <row r="248" spans="2:17">
      <c r="B248" s="164">
        <v>6</v>
      </c>
      <c r="C248" s="164"/>
      <c r="D248" s="186"/>
      <c r="E248" s="186"/>
      <c r="F248" s="175"/>
      <c r="G248" s="175"/>
      <c r="H248" s="175"/>
      <c r="I248" s="173"/>
      <c r="K248" s="164">
        <v>6</v>
      </c>
      <c r="L248" s="164" t="s">
        <v>225</v>
      </c>
      <c r="M248" s="183">
        <v>4.3</v>
      </c>
      <c r="N248" s="182">
        <v>4.4000000000000004</v>
      </c>
      <c r="O248" s="184">
        <v>-1.0999999999999999E-2</v>
      </c>
      <c r="P248" s="184">
        <v>0.02</v>
      </c>
      <c r="Q248" s="184">
        <v>2.9000000000000001E-2</v>
      </c>
    </row>
    <row r="249" spans="2:17">
      <c r="B249" s="164">
        <v>7</v>
      </c>
      <c r="C249" s="164"/>
      <c r="D249" s="186"/>
      <c r="E249" s="186"/>
      <c r="F249" s="175"/>
      <c r="G249" s="175"/>
      <c r="H249" s="175"/>
      <c r="I249" s="173"/>
      <c r="K249" s="164">
        <v>7</v>
      </c>
      <c r="L249" s="164" t="s">
        <v>108</v>
      </c>
      <c r="M249" s="183">
        <v>2.1</v>
      </c>
      <c r="N249" s="182">
        <v>0.1</v>
      </c>
      <c r="O249" s="184">
        <v>17.943999999999999</v>
      </c>
      <c r="P249" s="184">
        <v>8.9999999999999993E-3</v>
      </c>
      <c r="Q249" s="184">
        <v>1E-3</v>
      </c>
    </row>
    <row r="250" spans="2:17">
      <c r="B250" s="164">
        <v>8</v>
      </c>
      <c r="C250" s="162"/>
      <c r="D250" s="186"/>
      <c r="E250" s="186"/>
      <c r="F250" s="175"/>
      <c r="G250" s="175"/>
      <c r="H250" s="175"/>
      <c r="I250" s="173"/>
      <c r="K250" s="164">
        <v>8</v>
      </c>
      <c r="L250" s="162" t="s">
        <v>112</v>
      </c>
      <c r="M250" s="183">
        <v>2</v>
      </c>
      <c r="N250" s="182">
        <v>2.1</v>
      </c>
      <c r="O250" s="184">
        <v>-5.8999999999999997E-2</v>
      </c>
      <c r="P250" s="184">
        <v>8.9999999999999993E-3</v>
      </c>
      <c r="Q250" s="184">
        <v>1.4E-2</v>
      </c>
    </row>
    <row r="251" spans="2:17">
      <c r="B251" s="164">
        <v>9</v>
      </c>
      <c r="C251" s="162"/>
      <c r="D251" s="186"/>
      <c r="E251" s="186"/>
      <c r="F251" s="175"/>
      <c r="G251" s="175"/>
      <c r="H251" s="175"/>
      <c r="I251" s="173"/>
      <c r="K251" s="164">
        <v>9</v>
      </c>
      <c r="L251" s="164" t="s">
        <v>114</v>
      </c>
      <c r="M251" s="183">
        <v>1.5</v>
      </c>
      <c r="N251" s="182">
        <v>0.9</v>
      </c>
      <c r="O251" s="184">
        <v>0.745</v>
      </c>
      <c r="P251" s="184">
        <v>7.0000000000000001E-3</v>
      </c>
      <c r="Q251" s="184">
        <v>6.0000000000000001E-3</v>
      </c>
    </row>
    <row r="252" spans="2:17">
      <c r="B252" s="164">
        <v>10</v>
      </c>
      <c r="C252" s="164"/>
      <c r="D252" s="186"/>
      <c r="E252" s="186"/>
      <c r="F252" s="175"/>
      <c r="G252" s="175"/>
      <c r="H252" s="175"/>
      <c r="I252" s="173"/>
      <c r="K252" s="164">
        <v>10</v>
      </c>
      <c r="L252" s="162" t="s">
        <v>96</v>
      </c>
      <c r="M252" s="183">
        <v>1.4</v>
      </c>
      <c r="N252" s="182">
        <v>0.6</v>
      </c>
      <c r="O252" s="184">
        <v>1.1439999999999999</v>
      </c>
      <c r="P252" s="184">
        <v>6.0000000000000001E-3</v>
      </c>
      <c r="Q252" s="184">
        <v>4.0000000000000001E-3</v>
      </c>
    </row>
    <row r="253" spans="2:17">
      <c r="B253" s="277" t="s">
        <v>39</v>
      </c>
      <c r="C253" s="278"/>
      <c r="D253" s="186"/>
      <c r="E253" s="186"/>
      <c r="F253" s="175"/>
      <c r="G253" s="175"/>
      <c r="H253" s="175"/>
      <c r="I253" s="173"/>
      <c r="K253" s="279" t="s">
        <v>39</v>
      </c>
      <c r="L253" s="279"/>
      <c r="M253" s="183">
        <v>4.7</v>
      </c>
      <c r="N253" s="182">
        <v>2.1</v>
      </c>
      <c r="O253" s="184">
        <v>1.214</v>
      </c>
      <c r="P253" s="184">
        <v>2.1000000000000001E-2</v>
      </c>
      <c r="Q253" s="184">
        <v>1.4E-2</v>
      </c>
    </row>
    <row r="254" spans="2:17">
      <c r="B254" s="277" t="s">
        <v>48</v>
      </c>
      <c r="C254" s="278"/>
      <c r="D254" s="186"/>
      <c r="E254" s="186"/>
      <c r="F254" s="175"/>
      <c r="G254" s="175"/>
      <c r="H254" s="175"/>
      <c r="I254" s="173"/>
      <c r="K254" s="279" t="s">
        <v>48</v>
      </c>
      <c r="L254" s="279"/>
      <c r="M254" s="183">
        <v>219.3</v>
      </c>
      <c r="N254" s="182">
        <v>151.1</v>
      </c>
      <c r="O254" s="184">
        <v>0.45200000000000001</v>
      </c>
      <c r="P254" s="184">
        <v>1</v>
      </c>
      <c r="Q254" s="184">
        <v>1</v>
      </c>
    </row>
    <row r="255" spans="2:17">
      <c r="B255" s="160"/>
      <c r="K255" s="169"/>
      <c r="L255" s="169"/>
      <c r="M255" s="177"/>
      <c r="N255" s="177"/>
      <c r="O255" s="179"/>
      <c r="P255" s="179"/>
      <c r="Q255" s="179"/>
    </row>
    <row r="256" spans="2:17">
      <c r="B256" s="160"/>
      <c r="K256" s="169"/>
      <c r="L256" s="169"/>
      <c r="M256" s="177"/>
      <c r="N256" s="177"/>
      <c r="O256" s="179"/>
      <c r="P256" s="179"/>
      <c r="Q256" s="179"/>
    </row>
    <row r="257" spans="2:17">
      <c r="B257" s="160"/>
    </row>
    <row r="258" spans="2:17">
      <c r="B258" s="160" t="s">
        <v>311</v>
      </c>
      <c r="K258" s="160" t="s">
        <v>312</v>
      </c>
    </row>
    <row r="259" spans="2:17">
      <c r="B259" s="161" t="s">
        <v>92</v>
      </c>
      <c r="C259" s="162" t="s">
        <v>123</v>
      </c>
      <c r="D259" s="163">
        <v>44805</v>
      </c>
      <c r="E259" s="163">
        <v>44440</v>
      </c>
      <c r="F259" s="162" t="s">
        <v>124</v>
      </c>
      <c r="G259" s="162" t="s">
        <v>133</v>
      </c>
      <c r="H259" s="162" t="s">
        <v>180</v>
      </c>
      <c r="I259" s="22"/>
      <c r="K259" s="161" t="s">
        <v>92</v>
      </c>
      <c r="L259" s="162" t="s">
        <v>123</v>
      </c>
      <c r="M259" s="163" t="s">
        <v>196</v>
      </c>
      <c r="N259" s="163" t="s">
        <v>197</v>
      </c>
      <c r="O259" s="162" t="s">
        <v>124</v>
      </c>
      <c r="P259" s="162" t="s">
        <v>133</v>
      </c>
      <c r="Q259" s="162" t="s">
        <v>180</v>
      </c>
    </row>
    <row r="260" spans="2:17">
      <c r="B260" s="164">
        <v>1</v>
      </c>
      <c r="C260" s="162" t="s">
        <v>101</v>
      </c>
      <c r="D260" s="186">
        <v>7.6</v>
      </c>
      <c r="E260" s="186">
        <v>6.2</v>
      </c>
      <c r="F260" s="175">
        <v>0.22600000000000001</v>
      </c>
      <c r="G260" s="175">
        <v>0.34399999999999997</v>
      </c>
      <c r="H260" s="175">
        <v>0.375</v>
      </c>
      <c r="I260" s="173"/>
      <c r="K260" s="164">
        <v>1</v>
      </c>
      <c r="L260" s="162" t="s">
        <v>101</v>
      </c>
      <c r="M260" s="182">
        <v>43.7</v>
      </c>
      <c r="N260" s="182">
        <v>36.9</v>
      </c>
      <c r="O260" s="184">
        <v>0.184</v>
      </c>
      <c r="P260" s="184">
        <v>0.30099999999999999</v>
      </c>
      <c r="Q260" s="184">
        <v>0.35699999999999998</v>
      </c>
    </row>
    <row r="261" spans="2:17">
      <c r="B261" s="164">
        <v>2</v>
      </c>
      <c r="C261" s="162" t="s">
        <v>98</v>
      </c>
      <c r="D261" s="186">
        <v>4.5999999999999996</v>
      </c>
      <c r="E261" s="186">
        <v>2.7</v>
      </c>
      <c r="F261" s="175">
        <v>0.68600000000000005</v>
      </c>
      <c r="G261" s="175">
        <v>0.20899999999999999</v>
      </c>
      <c r="H261" s="175">
        <v>0.16500000000000001</v>
      </c>
      <c r="I261" s="173"/>
      <c r="K261" s="164">
        <v>2</v>
      </c>
      <c r="L261" s="162" t="s">
        <v>98</v>
      </c>
      <c r="M261" s="182">
        <v>27.4</v>
      </c>
      <c r="N261" s="182">
        <v>12.9</v>
      </c>
      <c r="O261" s="184">
        <v>1.1240000000000001</v>
      </c>
      <c r="P261" s="184">
        <v>0.189</v>
      </c>
      <c r="Q261" s="184">
        <v>0.125</v>
      </c>
    </row>
    <row r="262" spans="2:17">
      <c r="B262" s="164">
        <v>3</v>
      </c>
      <c r="C262" s="162" t="s">
        <v>99</v>
      </c>
      <c r="D262" s="186">
        <v>3.5</v>
      </c>
      <c r="E262" s="186">
        <v>3.8</v>
      </c>
      <c r="F262" s="175">
        <v>-7.4999999999999997E-2</v>
      </c>
      <c r="G262" s="175">
        <v>0.159</v>
      </c>
      <c r="H262" s="175">
        <v>0.22900000000000001</v>
      </c>
      <c r="I262" s="173"/>
      <c r="K262" s="164">
        <v>3</v>
      </c>
      <c r="L262" s="162" t="s">
        <v>99</v>
      </c>
      <c r="M262" s="182">
        <v>27.4</v>
      </c>
      <c r="N262" s="182">
        <v>26.2</v>
      </c>
      <c r="O262" s="184">
        <v>4.5999999999999999E-2</v>
      </c>
      <c r="P262" s="184">
        <v>0.189</v>
      </c>
      <c r="Q262" s="184">
        <v>0.254</v>
      </c>
    </row>
    <row r="263" spans="2:17">
      <c r="B263" s="164">
        <v>4</v>
      </c>
      <c r="C263" s="161" t="s">
        <v>107</v>
      </c>
      <c r="D263" s="186">
        <v>2.8</v>
      </c>
      <c r="E263" s="186">
        <v>1.8</v>
      </c>
      <c r="F263" s="175">
        <v>0.57499999999999996</v>
      </c>
      <c r="G263" s="175">
        <v>0.127</v>
      </c>
      <c r="H263" s="175">
        <v>0.107</v>
      </c>
      <c r="I263" s="173"/>
      <c r="K263" s="164">
        <v>4</v>
      </c>
      <c r="L263" s="161" t="s">
        <v>107</v>
      </c>
      <c r="M263" s="182">
        <v>21.2</v>
      </c>
      <c r="N263" s="182">
        <v>10.8</v>
      </c>
      <c r="O263" s="184">
        <v>0.95799999999999996</v>
      </c>
      <c r="P263" s="184">
        <v>0.14599999999999999</v>
      </c>
      <c r="Q263" s="184">
        <v>0.105</v>
      </c>
    </row>
    <row r="264" spans="2:17">
      <c r="B264" s="164">
        <v>5</v>
      </c>
      <c r="C264" s="162" t="s">
        <v>105</v>
      </c>
      <c r="D264" s="186">
        <v>2.2999999999999998</v>
      </c>
      <c r="E264" s="186">
        <v>1.2</v>
      </c>
      <c r="F264" s="175">
        <v>0.93200000000000005</v>
      </c>
      <c r="G264" s="175">
        <v>0.104</v>
      </c>
      <c r="H264" s="175">
        <v>7.1999999999999995E-2</v>
      </c>
      <c r="I264" s="173"/>
      <c r="K264" s="164">
        <v>5</v>
      </c>
      <c r="L264" s="162" t="s">
        <v>105</v>
      </c>
      <c r="M264" s="182">
        <v>16.3</v>
      </c>
      <c r="N264" s="182">
        <v>9.9</v>
      </c>
      <c r="O264" s="184">
        <v>0.64800000000000002</v>
      </c>
      <c r="P264" s="184">
        <v>0.113</v>
      </c>
      <c r="Q264" s="184">
        <v>9.6000000000000002E-2</v>
      </c>
    </row>
    <row r="265" spans="2:17">
      <c r="B265" s="164">
        <v>6</v>
      </c>
      <c r="C265" s="164" t="s">
        <v>225</v>
      </c>
      <c r="D265" s="186">
        <v>0.4</v>
      </c>
      <c r="E265" s="186">
        <v>0.4</v>
      </c>
      <c r="F265" s="175">
        <v>0.215</v>
      </c>
      <c r="G265" s="175">
        <v>0.02</v>
      </c>
      <c r="H265" s="175">
        <v>2.1999999999999999E-2</v>
      </c>
      <c r="I265" s="173"/>
      <c r="K265" s="164">
        <v>6</v>
      </c>
      <c r="L265" s="164" t="s">
        <v>225</v>
      </c>
      <c r="M265" s="182">
        <v>2.9</v>
      </c>
      <c r="N265" s="182">
        <v>3</v>
      </c>
      <c r="O265" s="184">
        <v>-1.4E-2</v>
      </c>
      <c r="P265" s="184">
        <v>0.02</v>
      </c>
      <c r="Q265" s="184">
        <v>2.9000000000000001E-2</v>
      </c>
    </row>
    <row r="266" spans="2:17">
      <c r="B266" s="164">
        <v>7</v>
      </c>
      <c r="C266" s="164" t="s">
        <v>313</v>
      </c>
      <c r="D266" s="186">
        <v>0.2</v>
      </c>
      <c r="E266" s="186">
        <v>0.2</v>
      </c>
      <c r="F266" s="175">
        <v>-6.6000000000000003E-2</v>
      </c>
      <c r="G266" s="175">
        <v>7.0000000000000001E-3</v>
      </c>
      <c r="H266" s="175">
        <v>1.0999999999999999E-2</v>
      </c>
      <c r="I266" s="173"/>
      <c r="K266" s="164">
        <v>7</v>
      </c>
      <c r="L266" s="164" t="s">
        <v>313</v>
      </c>
      <c r="M266" s="182">
        <v>1.4</v>
      </c>
      <c r="N266" s="182">
        <v>1.6</v>
      </c>
      <c r="O266" s="184">
        <v>-0.107</v>
      </c>
      <c r="P266" s="184">
        <v>0.01</v>
      </c>
      <c r="Q266" s="184">
        <v>1.6E-2</v>
      </c>
    </row>
    <row r="267" spans="2:17">
      <c r="B267" s="164">
        <v>8</v>
      </c>
      <c r="C267" s="162" t="s">
        <v>114</v>
      </c>
      <c r="D267" s="186">
        <v>0.1</v>
      </c>
      <c r="E267" s="186">
        <v>0.1</v>
      </c>
      <c r="F267" s="175">
        <v>0.192</v>
      </c>
      <c r="G267" s="175">
        <v>7.0000000000000001E-3</v>
      </c>
      <c r="H267" s="175">
        <v>8.0000000000000002E-3</v>
      </c>
      <c r="I267" s="173"/>
      <c r="K267" s="164">
        <v>8</v>
      </c>
      <c r="L267" s="162" t="s">
        <v>114</v>
      </c>
      <c r="M267" s="182">
        <v>1</v>
      </c>
      <c r="N267" s="182">
        <v>0.3</v>
      </c>
      <c r="O267" s="184">
        <v>2.1829999999999998</v>
      </c>
      <c r="P267" s="184">
        <v>7.0000000000000001E-3</v>
      </c>
      <c r="Q267" s="184">
        <v>3.0000000000000001E-3</v>
      </c>
    </row>
    <row r="268" spans="2:17">
      <c r="B268" s="164">
        <v>9</v>
      </c>
      <c r="C268" s="162" t="s">
        <v>111</v>
      </c>
      <c r="D268" s="186">
        <v>0.1</v>
      </c>
      <c r="E268" s="186">
        <v>0</v>
      </c>
      <c r="F268" s="175">
        <v>172.82400000000001</v>
      </c>
      <c r="G268" s="175">
        <v>4.0000000000000001E-3</v>
      </c>
      <c r="H268" s="175">
        <v>0</v>
      </c>
      <c r="I268" s="173"/>
      <c r="K268" s="164">
        <v>9</v>
      </c>
      <c r="L268" s="164" t="s">
        <v>314</v>
      </c>
      <c r="M268" s="182">
        <v>0.7</v>
      </c>
      <c r="N268" s="182">
        <v>0.5</v>
      </c>
      <c r="O268" s="184">
        <v>0.436</v>
      </c>
      <c r="P268" s="184">
        <v>5.0000000000000001E-3</v>
      </c>
      <c r="Q268" s="184">
        <v>4.0000000000000001E-3</v>
      </c>
    </row>
    <row r="269" spans="2:17">
      <c r="B269" s="164">
        <v>10</v>
      </c>
      <c r="C269" s="164" t="s">
        <v>314</v>
      </c>
      <c r="D269" s="186">
        <v>0.1</v>
      </c>
      <c r="E269" s="186">
        <v>0.1</v>
      </c>
      <c r="F269" s="175">
        <v>0.44900000000000001</v>
      </c>
      <c r="G269" s="175">
        <v>4.0000000000000001E-3</v>
      </c>
      <c r="H269" s="175">
        <v>3.0000000000000001E-3</v>
      </c>
      <c r="I269" s="173"/>
      <c r="K269" s="164">
        <v>10</v>
      </c>
      <c r="L269" s="162" t="s">
        <v>96</v>
      </c>
      <c r="M269" s="182">
        <v>0.6</v>
      </c>
      <c r="N269" s="182">
        <v>0.4</v>
      </c>
      <c r="O269" s="184">
        <v>0.56699999999999995</v>
      </c>
      <c r="P269" s="184">
        <v>4.0000000000000001E-3</v>
      </c>
      <c r="Q269" s="184">
        <v>4.0000000000000001E-3</v>
      </c>
    </row>
    <row r="270" spans="2:17">
      <c r="B270" s="279" t="s">
        <v>39</v>
      </c>
      <c r="C270" s="279"/>
      <c r="D270" s="186">
        <v>0.3</v>
      </c>
      <c r="E270" s="186">
        <v>0.1</v>
      </c>
      <c r="F270" s="175">
        <v>1.5569999999999999</v>
      </c>
      <c r="G270" s="175">
        <v>1.6E-2</v>
      </c>
      <c r="H270" s="175">
        <v>8.0000000000000002E-3</v>
      </c>
      <c r="I270" s="173"/>
      <c r="K270" s="279" t="s">
        <v>39</v>
      </c>
      <c r="L270" s="279"/>
      <c r="M270" s="182">
        <v>2.2999999999999998</v>
      </c>
      <c r="N270" s="182">
        <v>0.8</v>
      </c>
      <c r="O270" s="184">
        <v>1.857</v>
      </c>
      <c r="P270" s="184">
        <v>1.6E-2</v>
      </c>
      <c r="Q270" s="184">
        <v>8.0000000000000002E-3</v>
      </c>
    </row>
    <row r="271" spans="2:17">
      <c r="B271" s="279" t="s">
        <v>48</v>
      </c>
      <c r="C271" s="279"/>
      <c r="D271" s="186">
        <v>22</v>
      </c>
      <c r="E271" s="186">
        <v>16.5</v>
      </c>
      <c r="F271" s="175">
        <v>0.33400000000000002</v>
      </c>
      <c r="G271" s="175">
        <v>1</v>
      </c>
      <c r="H271" s="175">
        <v>1</v>
      </c>
      <c r="I271" s="173"/>
      <c r="K271" s="279" t="s">
        <v>48</v>
      </c>
      <c r="L271" s="279"/>
      <c r="M271" s="182">
        <v>145</v>
      </c>
      <c r="N271" s="182">
        <v>103.3</v>
      </c>
      <c r="O271" s="184">
        <v>0.40400000000000003</v>
      </c>
      <c r="P271" s="184">
        <v>1</v>
      </c>
      <c r="Q271" s="184">
        <v>1</v>
      </c>
    </row>
    <row r="276" spans="2:18">
      <c r="B276" s="160" t="s">
        <v>315</v>
      </c>
      <c r="K276" s="160" t="s">
        <v>316</v>
      </c>
    </row>
    <row r="277" spans="2:18" ht="14" customHeight="1">
      <c r="B277" s="161" t="s">
        <v>92</v>
      </c>
      <c r="C277" s="162" t="s">
        <v>123</v>
      </c>
      <c r="D277" s="163">
        <v>44743</v>
      </c>
      <c r="E277" s="163">
        <v>44378</v>
      </c>
      <c r="F277" s="162" t="s">
        <v>124</v>
      </c>
      <c r="G277" s="162" t="s">
        <v>133</v>
      </c>
      <c r="H277" s="162" t="s">
        <v>180</v>
      </c>
      <c r="I277" s="22"/>
      <c r="K277" s="161" t="s">
        <v>92</v>
      </c>
      <c r="L277" s="162" t="s">
        <v>123</v>
      </c>
      <c r="M277" s="163" t="s">
        <v>203</v>
      </c>
      <c r="N277" s="163" t="s">
        <v>251</v>
      </c>
      <c r="O277" s="162" t="s">
        <v>124</v>
      </c>
      <c r="P277" s="162" t="s">
        <v>133</v>
      </c>
      <c r="Q277" s="162" t="s">
        <v>180</v>
      </c>
      <c r="R277" s="188"/>
    </row>
    <row r="278" spans="2:18" ht="15.5" customHeight="1">
      <c r="B278" s="187">
        <v>1</v>
      </c>
      <c r="C278" s="162" t="s">
        <v>101</v>
      </c>
      <c r="D278" s="186">
        <v>4.3</v>
      </c>
      <c r="E278" s="186">
        <v>3.9</v>
      </c>
      <c r="F278" s="175">
        <v>0.09</v>
      </c>
      <c r="G278" s="175">
        <v>0.28799999999999998</v>
      </c>
      <c r="H278" s="175">
        <v>0.35699999999999998</v>
      </c>
      <c r="I278" s="173"/>
      <c r="K278" s="187">
        <v>1</v>
      </c>
      <c r="L278" s="162" t="s">
        <v>101</v>
      </c>
      <c r="M278" s="186">
        <v>31.1</v>
      </c>
      <c r="N278" s="186">
        <v>26.4</v>
      </c>
      <c r="O278" s="175">
        <v>0.18</v>
      </c>
      <c r="P278" s="175">
        <v>0.29499999999999998</v>
      </c>
      <c r="Q278" s="175">
        <v>0.35099999999999998</v>
      </c>
      <c r="R278" s="188"/>
    </row>
    <row r="279" spans="2:18" ht="15.5" customHeight="1">
      <c r="B279" s="187">
        <v>2</v>
      </c>
      <c r="C279" s="162" t="s">
        <v>99</v>
      </c>
      <c r="D279" s="186">
        <v>2.8</v>
      </c>
      <c r="E279" s="186">
        <v>2.5</v>
      </c>
      <c r="F279" s="175">
        <v>0.107</v>
      </c>
      <c r="G279" s="175">
        <v>0.187</v>
      </c>
      <c r="H279" s="175">
        <v>0.22900000000000001</v>
      </c>
      <c r="I279" s="173"/>
      <c r="K279" s="187">
        <v>2</v>
      </c>
      <c r="L279" s="162" t="s">
        <v>99</v>
      </c>
      <c r="M279" s="186">
        <v>20.6</v>
      </c>
      <c r="N279" s="186">
        <v>19.600000000000001</v>
      </c>
      <c r="O279" s="175">
        <v>5.0999999999999997E-2</v>
      </c>
      <c r="P279" s="175">
        <v>0.19500000000000001</v>
      </c>
      <c r="Q279" s="175">
        <v>0.26</v>
      </c>
      <c r="R279" s="188"/>
    </row>
    <row r="280" spans="2:18" ht="15.5" customHeight="1">
      <c r="B280" s="187">
        <v>3</v>
      </c>
      <c r="C280" s="162" t="s">
        <v>98</v>
      </c>
      <c r="D280" s="186">
        <v>2.5</v>
      </c>
      <c r="E280" s="186">
        <v>1.3</v>
      </c>
      <c r="F280" s="175">
        <v>0.88</v>
      </c>
      <c r="G280" s="175">
        <v>0.16800000000000001</v>
      </c>
      <c r="H280" s="175">
        <v>0.121</v>
      </c>
      <c r="I280" s="173"/>
      <c r="K280" s="187">
        <v>3</v>
      </c>
      <c r="L280" s="162" t="s">
        <v>98</v>
      </c>
      <c r="M280" s="186">
        <v>19.600000000000001</v>
      </c>
      <c r="N280" s="186">
        <v>8.9</v>
      </c>
      <c r="O280" s="175">
        <v>1.1919999999999999</v>
      </c>
      <c r="P280" s="175">
        <v>0.186</v>
      </c>
      <c r="Q280" s="175">
        <v>0.11899999999999999</v>
      </c>
      <c r="R280" s="188"/>
    </row>
    <row r="281" spans="2:18" ht="15.5" customHeight="1">
      <c r="B281" s="187">
        <v>4</v>
      </c>
      <c r="C281" s="161" t="s">
        <v>107</v>
      </c>
      <c r="D281" s="186">
        <v>2.4</v>
      </c>
      <c r="E281" s="186">
        <v>1.4</v>
      </c>
      <c r="F281" s="175">
        <v>0.66900000000000004</v>
      </c>
      <c r="G281" s="175">
        <v>0.157</v>
      </c>
      <c r="H281" s="175">
        <v>0.128</v>
      </c>
      <c r="I281" s="173"/>
      <c r="K281" s="187">
        <v>4</v>
      </c>
      <c r="L281" s="161" t="s">
        <v>107</v>
      </c>
      <c r="M281" s="186">
        <v>15.5</v>
      </c>
      <c r="N281" s="186">
        <v>7.5</v>
      </c>
      <c r="O281" s="175">
        <v>1.081</v>
      </c>
      <c r="P281" s="175">
        <v>0.14699999999999999</v>
      </c>
      <c r="Q281" s="175">
        <v>9.9000000000000005E-2</v>
      </c>
      <c r="R281" s="188"/>
    </row>
    <row r="282" spans="2:18" ht="15.5" customHeight="1">
      <c r="B282" s="187">
        <v>5</v>
      </c>
      <c r="C282" s="162" t="s">
        <v>105</v>
      </c>
      <c r="D282" s="186">
        <v>1.9</v>
      </c>
      <c r="E282" s="186">
        <v>1.1000000000000001</v>
      </c>
      <c r="F282" s="175">
        <v>0.67</v>
      </c>
      <c r="G282" s="175">
        <v>0.128</v>
      </c>
      <c r="H282" s="175">
        <v>0.104</v>
      </c>
      <c r="I282" s="173"/>
      <c r="K282" s="187">
        <v>5</v>
      </c>
      <c r="L282" s="162" t="s">
        <v>105</v>
      </c>
      <c r="M282" s="186">
        <v>12</v>
      </c>
      <c r="N282" s="186">
        <v>7.7</v>
      </c>
      <c r="O282" s="175">
        <v>0.56599999999999995</v>
      </c>
      <c r="P282" s="175">
        <v>0.114</v>
      </c>
      <c r="Q282" s="175">
        <v>0.10199999999999999</v>
      </c>
      <c r="R282" s="188"/>
    </row>
    <row r="283" spans="2:18" ht="15.5" customHeight="1">
      <c r="B283" s="187">
        <v>6</v>
      </c>
      <c r="C283" s="187" t="s">
        <v>225</v>
      </c>
      <c r="D283" s="186">
        <v>0.3</v>
      </c>
      <c r="E283" s="186">
        <v>0.3</v>
      </c>
      <c r="F283" s="175">
        <v>8.2000000000000003E-2</v>
      </c>
      <c r="G283" s="175">
        <v>2.1000000000000001E-2</v>
      </c>
      <c r="H283" s="175">
        <v>2.5999999999999999E-2</v>
      </c>
      <c r="I283" s="173"/>
      <c r="K283" s="187">
        <v>6</v>
      </c>
      <c r="L283" s="187" t="s">
        <v>225</v>
      </c>
      <c r="M283" s="186">
        <v>2.2000000000000002</v>
      </c>
      <c r="N283" s="186">
        <v>2.2999999999999998</v>
      </c>
      <c r="O283" s="175">
        <v>-7.3999999999999996E-2</v>
      </c>
      <c r="P283" s="175">
        <v>0.02</v>
      </c>
      <c r="Q283" s="175">
        <v>3.1E-2</v>
      </c>
      <c r="R283" s="188"/>
    </row>
    <row r="284" spans="2:18" ht="15.5" customHeight="1">
      <c r="B284" s="187">
        <v>7</v>
      </c>
      <c r="C284" s="162" t="s">
        <v>96</v>
      </c>
      <c r="D284" s="186">
        <v>0.2</v>
      </c>
      <c r="E284" s="186">
        <v>0</v>
      </c>
      <c r="F284" s="175">
        <v>16.768999999999998</v>
      </c>
      <c r="G284" s="175">
        <v>0.01</v>
      </c>
      <c r="H284" s="175">
        <v>1E-3</v>
      </c>
      <c r="I284" s="173"/>
      <c r="K284" s="187">
        <v>7</v>
      </c>
      <c r="L284" s="187" t="s">
        <v>313</v>
      </c>
      <c r="M284" s="186">
        <v>1.1000000000000001</v>
      </c>
      <c r="N284" s="186">
        <v>1.3</v>
      </c>
      <c r="O284" s="175">
        <v>-0.11600000000000001</v>
      </c>
      <c r="P284" s="175">
        <v>1.0999999999999999E-2</v>
      </c>
      <c r="Q284" s="175">
        <v>1.7000000000000001E-2</v>
      </c>
      <c r="R284" s="188"/>
    </row>
    <row r="285" spans="2:18" ht="16">
      <c r="B285" s="187">
        <v>8</v>
      </c>
      <c r="C285" s="187" t="s">
        <v>313</v>
      </c>
      <c r="D285" s="186">
        <v>0.1</v>
      </c>
      <c r="E285" s="186">
        <v>0.2</v>
      </c>
      <c r="F285" s="175">
        <v>-0.26400000000000001</v>
      </c>
      <c r="G285" s="175">
        <v>0.01</v>
      </c>
      <c r="H285" s="175">
        <v>1.7999999999999999E-2</v>
      </c>
      <c r="I285" s="173"/>
      <c r="K285" s="187">
        <v>8</v>
      </c>
      <c r="L285" s="162" t="s">
        <v>114</v>
      </c>
      <c r="M285" s="186">
        <v>0.7</v>
      </c>
      <c r="N285" s="186">
        <v>0.2</v>
      </c>
      <c r="O285" s="175">
        <v>3.4750000000000001</v>
      </c>
      <c r="P285" s="175">
        <v>7.0000000000000001E-3</v>
      </c>
      <c r="Q285" s="175">
        <v>2E-3</v>
      </c>
      <c r="R285" s="189"/>
    </row>
    <row r="286" spans="2:18">
      <c r="B286" s="187">
        <v>9</v>
      </c>
      <c r="C286" s="162" t="s">
        <v>114</v>
      </c>
      <c r="D286" s="186">
        <v>0.1</v>
      </c>
      <c r="E286" s="186">
        <v>0</v>
      </c>
      <c r="F286" s="175">
        <v>2.4409999999999998</v>
      </c>
      <c r="G286" s="175">
        <v>6.0000000000000001E-3</v>
      </c>
      <c r="H286" s="175">
        <v>2E-3</v>
      </c>
      <c r="I286" s="173"/>
      <c r="K286" s="187">
        <v>9</v>
      </c>
      <c r="L286" s="187" t="s">
        <v>314</v>
      </c>
      <c r="M286" s="186">
        <v>0.5</v>
      </c>
      <c r="N286" s="186">
        <v>0.4</v>
      </c>
      <c r="O286" s="175">
        <v>0.41899999999999998</v>
      </c>
      <c r="P286" s="175">
        <v>5.0000000000000001E-3</v>
      </c>
      <c r="Q286" s="175">
        <v>5.0000000000000001E-3</v>
      </c>
      <c r="R286" s="190"/>
    </row>
    <row r="287" spans="2:18">
      <c r="B287" s="187">
        <v>10</v>
      </c>
      <c r="C287" s="187" t="s">
        <v>314</v>
      </c>
      <c r="D287" s="186">
        <v>0.1</v>
      </c>
      <c r="E287" s="186">
        <v>0.1</v>
      </c>
      <c r="F287" s="175">
        <v>0.497</v>
      </c>
      <c r="G287" s="175">
        <v>5.0000000000000001E-3</v>
      </c>
      <c r="H287" s="175">
        <v>5.0000000000000001E-3</v>
      </c>
      <c r="I287" s="173"/>
      <c r="K287" s="187">
        <v>10</v>
      </c>
      <c r="L287" s="162" t="s">
        <v>96</v>
      </c>
      <c r="M287" s="186">
        <v>0.5</v>
      </c>
      <c r="N287" s="186">
        <v>0.3</v>
      </c>
      <c r="O287" s="175">
        <v>0.48699999999999999</v>
      </c>
      <c r="P287" s="175">
        <v>4.0000000000000001E-3</v>
      </c>
      <c r="Q287" s="175">
        <v>4.0000000000000001E-3</v>
      </c>
      <c r="R287" s="190"/>
    </row>
    <row r="288" spans="2:18">
      <c r="B288" s="280" t="s">
        <v>39</v>
      </c>
      <c r="C288" s="280"/>
      <c r="D288" s="186">
        <v>0.3</v>
      </c>
      <c r="E288" s="186">
        <v>0.1</v>
      </c>
      <c r="F288" s="175">
        <v>1.909</v>
      </c>
      <c r="G288" s="175">
        <v>1.9E-2</v>
      </c>
      <c r="H288" s="175">
        <v>8.9999999999999993E-3</v>
      </c>
      <c r="I288" s="173"/>
      <c r="K288" s="280" t="s">
        <v>39</v>
      </c>
      <c r="L288" s="280"/>
      <c r="M288" s="186">
        <v>1.7</v>
      </c>
      <c r="N288" s="186">
        <v>0.7</v>
      </c>
      <c r="O288" s="175">
        <v>1.2849999999999999</v>
      </c>
      <c r="P288" s="175">
        <v>1.6E-2</v>
      </c>
      <c r="Q288" s="175">
        <v>0.01</v>
      </c>
    </row>
    <row r="289" spans="2:17">
      <c r="B289" s="280" t="s">
        <v>48</v>
      </c>
      <c r="C289" s="280"/>
      <c r="D289" s="186">
        <v>14.9</v>
      </c>
      <c r="E289" s="186">
        <v>11</v>
      </c>
      <c r="F289" s="175">
        <v>0.35399999999999998</v>
      </c>
      <c r="G289" s="175">
        <v>1</v>
      </c>
      <c r="H289" s="175">
        <v>1</v>
      </c>
      <c r="I289" s="173"/>
      <c r="K289" s="280" t="s">
        <v>48</v>
      </c>
      <c r="L289" s="280"/>
      <c r="M289" s="186">
        <v>105.5</v>
      </c>
      <c r="N289" s="186">
        <v>75.2</v>
      </c>
      <c r="O289" s="175">
        <v>0.40300000000000002</v>
      </c>
      <c r="P289" s="175">
        <v>1</v>
      </c>
      <c r="Q289" s="175">
        <v>1</v>
      </c>
    </row>
    <row r="290" spans="2:17">
      <c r="B290" s="73"/>
      <c r="C290" s="73"/>
      <c r="D290" s="180"/>
      <c r="E290" s="180"/>
      <c r="F290" s="173"/>
      <c r="G290" s="173"/>
      <c r="H290" s="173"/>
      <c r="I290" s="173"/>
      <c r="K290" s="73"/>
      <c r="L290" s="73"/>
      <c r="M290" s="180"/>
      <c r="N290" s="180"/>
      <c r="O290" s="173"/>
      <c r="P290" s="173"/>
      <c r="Q290" s="173"/>
    </row>
    <row r="291" spans="2:17">
      <c r="B291" s="73"/>
      <c r="C291" s="73"/>
      <c r="D291" s="180"/>
      <c r="E291" s="180"/>
      <c r="F291" s="173"/>
      <c r="G291" s="173"/>
      <c r="H291" s="173"/>
      <c r="I291" s="173"/>
      <c r="K291" s="73"/>
      <c r="L291" s="73"/>
      <c r="M291" s="180"/>
      <c r="N291" s="180"/>
      <c r="O291" s="173"/>
      <c r="P291" s="173"/>
      <c r="Q291" s="173"/>
    </row>
    <row r="294" spans="2:17">
      <c r="B294" s="160" t="s">
        <v>317</v>
      </c>
      <c r="K294" s="160" t="s">
        <v>318</v>
      </c>
    </row>
    <row r="295" spans="2:17">
      <c r="B295" s="161" t="s">
        <v>92</v>
      </c>
      <c r="C295" s="162" t="s">
        <v>123</v>
      </c>
      <c r="D295" s="163">
        <v>44621</v>
      </c>
      <c r="E295" s="163">
        <v>44256</v>
      </c>
      <c r="F295" s="162" t="s">
        <v>124</v>
      </c>
      <c r="G295" s="162" t="s">
        <v>133</v>
      </c>
      <c r="H295" s="162" t="s">
        <v>180</v>
      </c>
      <c r="I295" s="22"/>
      <c r="K295" s="161" t="s">
        <v>92</v>
      </c>
      <c r="L295" s="162" t="s">
        <v>123</v>
      </c>
      <c r="M295" s="163" t="s">
        <v>219</v>
      </c>
      <c r="N295" s="163" t="s">
        <v>220</v>
      </c>
      <c r="O295" s="162" t="s">
        <v>124</v>
      </c>
      <c r="P295" s="162" t="s">
        <v>133</v>
      </c>
      <c r="Q295" s="162" t="s">
        <v>180</v>
      </c>
    </row>
    <row r="296" spans="2:17">
      <c r="B296" s="187">
        <v>1</v>
      </c>
      <c r="C296" s="162" t="s">
        <v>101</v>
      </c>
      <c r="D296" s="186">
        <v>6.7</v>
      </c>
      <c r="E296" s="186">
        <v>4.3</v>
      </c>
      <c r="F296" s="175">
        <v>0.55500000000000005</v>
      </c>
      <c r="G296" s="175">
        <v>0.35799999999999998</v>
      </c>
      <c r="H296" s="175">
        <v>0.32700000000000001</v>
      </c>
      <c r="I296" s="173"/>
      <c r="K296" s="187">
        <v>1</v>
      </c>
      <c r="L296" s="162" t="s">
        <v>101</v>
      </c>
      <c r="M296" s="186">
        <v>13.9</v>
      </c>
      <c r="N296" s="186">
        <v>8.6999999999999993</v>
      </c>
      <c r="O296" s="175" t="s">
        <v>319</v>
      </c>
      <c r="P296" s="175">
        <v>0.32700000000000001</v>
      </c>
      <c r="Q296" s="175">
        <v>0.315</v>
      </c>
    </row>
    <row r="297" spans="2:17">
      <c r="B297" s="187">
        <v>2</v>
      </c>
      <c r="C297" s="162" t="s">
        <v>99</v>
      </c>
      <c r="D297" s="186">
        <v>3.5</v>
      </c>
      <c r="E297" s="186">
        <v>3.7</v>
      </c>
      <c r="F297" s="175">
        <v>-3.3000000000000002E-2</v>
      </c>
      <c r="G297" s="175">
        <v>0.188</v>
      </c>
      <c r="H297" s="175">
        <v>0.27600000000000002</v>
      </c>
      <c r="I297" s="173"/>
      <c r="K297" s="187">
        <v>2</v>
      </c>
      <c r="L297" s="162" t="s">
        <v>99</v>
      </c>
      <c r="M297" s="186">
        <v>9.3000000000000007</v>
      </c>
      <c r="N297" s="186">
        <v>8.1</v>
      </c>
      <c r="O297" s="175">
        <v>0.14399999999999999</v>
      </c>
      <c r="P297" s="175">
        <v>0.218</v>
      </c>
      <c r="Q297" s="175">
        <v>0.29299999999999998</v>
      </c>
    </row>
    <row r="298" spans="2:17">
      <c r="B298" s="187">
        <v>3</v>
      </c>
      <c r="C298" s="162" t="s">
        <v>98</v>
      </c>
      <c r="D298" s="186">
        <v>3.3</v>
      </c>
      <c r="E298" s="186">
        <v>1.6</v>
      </c>
      <c r="F298" s="175">
        <v>1.0469999999999999</v>
      </c>
      <c r="G298" s="175">
        <v>0.17699999999999999</v>
      </c>
      <c r="H298" s="175">
        <v>0.123</v>
      </c>
      <c r="I298" s="173"/>
      <c r="K298" s="187">
        <v>3</v>
      </c>
      <c r="L298" s="162" t="s">
        <v>98</v>
      </c>
      <c r="M298" s="186">
        <v>7.1</v>
      </c>
      <c r="N298" s="186">
        <v>3.1</v>
      </c>
      <c r="O298" s="175">
        <v>1.2669999999999999</v>
      </c>
      <c r="P298" s="175">
        <v>0.16600000000000001</v>
      </c>
      <c r="Q298" s="175">
        <v>0.113</v>
      </c>
    </row>
    <row r="299" spans="2:17">
      <c r="B299" s="187">
        <v>4</v>
      </c>
      <c r="C299" s="161" t="s">
        <v>107</v>
      </c>
      <c r="D299" s="186">
        <v>2.6</v>
      </c>
      <c r="E299" s="186">
        <v>1.2</v>
      </c>
      <c r="F299" s="175">
        <v>1.1319999999999999</v>
      </c>
      <c r="G299" s="175">
        <v>0.13800000000000001</v>
      </c>
      <c r="H299" s="175">
        <v>9.1999999999999998E-2</v>
      </c>
      <c r="I299" s="173"/>
      <c r="K299" s="187">
        <v>4</v>
      </c>
      <c r="L299" s="161" t="s">
        <v>107</v>
      </c>
      <c r="M299" s="186">
        <v>6.2</v>
      </c>
      <c r="N299" s="186">
        <v>2.6</v>
      </c>
      <c r="O299" s="175">
        <v>1.3959999999999999</v>
      </c>
      <c r="P299" s="175">
        <v>0.14599999999999999</v>
      </c>
      <c r="Q299" s="175">
        <v>9.4E-2</v>
      </c>
    </row>
    <row r="300" spans="2:17">
      <c r="B300" s="187">
        <v>5</v>
      </c>
      <c r="C300" s="162" t="s">
        <v>105</v>
      </c>
      <c r="D300" s="186">
        <v>1.5</v>
      </c>
      <c r="E300" s="186">
        <v>1.3</v>
      </c>
      <c r="F300" s="175">
        <v>0.19600000000000001</v>
      </c>
      <c r="G300" s="175">
        <v>8.2000000000000003E-2</v>
      </c>
      <c r="H300" s="175">
        <v>9.7000000000000003E-2</v>
      </c>
      <c r="I300" s="173"/>
      <c r="K300" s="187">
        <v>5</v>
      </c>
      <c r="L300" s="162" t="s">
        <v>105</v>
      </c>
      <c r="M300" s="186">
        <v>3.5</v>
      </c>
      <c r="N300" s="186">
        <v>2.8</v>
      </c>
      <c r="O300" s="175">
        <v>0.253</v>
      </c>
      <c r="P300" s="175">
        <v>8.3000000000000004E-2</v>
      </c>
      <c r="Q300" s="175">
        <v>0.10199999999999999</v>
      </c>
    </row>
    <row r="301" spans="2:17">
      <c r="B301" s="187">
        <v>6</v>
      </c>
      <c r="C301" s="187" t="s">
        <v>225</v>
      </c>
      <c r="D301" s="186">
        <v>0.5</v>
      </c>
      <c r="E301" s="186">
        <v>0.5</v>
      </c>
      <c r="F301" s="175">
        <v>-0.127</v>
      </c>
      <c r="G301" s="175">
        <v>2.4E-2</v>
      </c>
      <c r="H301" s="175">
        <v>0.04</v>
      </c>
      <c r="I301" s="173"/>
      <c r="K301" s="187">
        <v>6</v>
      </c>
      <c r="L301" s="187" t="s">
        <v>225</v>
      </c>
      <c r="M301" s="186">
        <v>1.1000000000000001</v>
      </c>
      <c r="N301" s="186">
        <v>1.1000000000000001</v>
      </c>
      <c r="O301" s="175">
        <v>3.0000000000000001E-3</v>
      </c>
      <c r="P301" s="175">
        <v>2.5000000000000001E-2</v>
      </c>
      <c r="Q301" s="175">
        <v>3.9E-2</v>
      </c>
    </row>
    <row r="302" spans="2:17">
      <c r="B302" s="187">
        <v>7</v>
      </c>
      <c r="C302" s="187" t="s">
        <v>313</v>
      </c>
      <c r="D302" s="186">
        <v>0.2</v>
      </c>
      <c r="E302" s="186">
        <v>0.2</v>
      </c>
      <c r="F302" s="175">
        <v>-6.5000000000000002E-2</v>
      </c>
      <c r="G302" s="175">
        <v>1.0999999999999999E-2</v>
      </c>
      <c r="H302" s="175">
        <v>1.7000000000000001E-2</v>
      </c>
      <c r="I302" s="173"/>
      <c r="K302" s="187">
        <v>7</v>
      </c>
      <c r="L302" s="187" t="s">
        <v>313</v>
      </c>
      <c r="M302" s="186">
        <v>0.5</v>
      </c>
      <c r="N302" s="186">
        <v>0.5</v>
      </c>
      <c r="O302" s="175">
        <v>-4.9000000000000002E-2</v>
      </c>
      <c r="P302" s="175">
        <v>1.2E-2</v>
      </c>
      <c r="Q302" s="175">
        <v>1.9E-2</v>
      </c>
    </row>
    <row r="303" spans="2:17">
      <c r="B303" s="187">
        <v>8</v>
      </c>
      <c r="C303" s="162" t="s">
        <v>114</v>
      </c>
      <c r="D303" s="186">
        <v>0.1</v>
      </c>
      <c r="E303" s="186">
        <v>0</v>
      </c>
      <c r="F303" s="175">
        <v>6.266</v>
      </c>
      <c r="G303" s="175">
        <v>6.0000000000000001E-3</v>
      </c>
      <c r="H303" s="175">
        <v>1E-3</v>
      </c>
      <c r="I303" s="173"/>
      <c r="K303" s="187">
        <v>8</v>
      </c>
      <c r="L303" s="162" t="s">
        <v>114</v>
      </c>
      <c r="M303" s="186">
        <v>0.3</v>
      </c>
      <c r="N303" s="186">
        <v>0</v>
      </c>
      <c r="O303" s="175">
        <v>8.4640000000000004</v>
      </c>
      <c r="P303" s="175">
        <v>7.0000000000000001E-3</v>
      </c>
      <c r="Q303" s="175">
        <v>1E-3</v>
      </c>
    </row>
    <row r="304" spans="2:17">
      <c r="B304" s="187">
        <v>9</v>
      </c>
      <c r="C304" s="187" t="s">
        <v>314</v>
      </c>
      <c r="D304" s="186">
        <v>0.1</v>
      </c>
      <c r="E304" s="186">
        <v>0.1</v>
      </c>
      <c r="F304" s="175">
        <v>-6.0999999999999999E-2</v>
      </c>
      <c r="G304" s="175">
        <v>4.0000000000000001E-3</v>
      </c>
      <c r="H304" s="175">
        <v>6.0000000000000001E-3</v>
      </c>
      <c r="I304" s="173"/>
      <c r="K304" s="187">
        <v>9</v>
      </c>
      <c r="L304" s="187" t="s">
        <v>314</v>
      </c>
      <c r="M304" s="186">
        <v>0.2</v>
      </c>
      <c r="N304" s="186">
        <v>0.2</v>
      </c>
      <c r="O304" s="175">
        <v>0.249</v>
      </c>
      <c r="P304" s="175">
        <v>5.0000000000000001E-3</v>
      </c>
      <c r="Q304" s="175">
        <v>6.0000000000000001E-3</v>
      </c>
    </row>
    <row r="305" spans="2:17">
      <c r="B305" s="187">
        <v>10</v>
      </c>
      <c r="C305" s="162" t="s">
        <v>96</v>
      </c>
      <c r="D305" s="186">
        <v>0</v>
      </c>
      <c r="E305" s="186">
        <v>0.1</v>
      </c>
      <c r="F305" s="175">
        <v>-0.752</v>
      </c>
      <c r="G305" s="175">
        <v>2E-3</v>
      </c>
      <c r="H305" s="175">
        <v>1.0999999999999999E-2</v>
      </c>
      <c r="I305" s="173"/>
      <c r="K305" s="187">
        <v>10</v>
      </c>
      <c r="L305" s="162" t="s">
        <v>96</v>
      </c>
      <c r="M305" s="186">
        <v>0.1</v>
      </c>
      <c r="N305" s="186">
        <v>0.2</v>
      </c>
      <c r="O305" s="175">
        <v>-0.35699999999999998</v>
      </c>
      <c r="P305" s="175">
        <v>3.0000000000000001E-3</v>
      </c>
      <c r="Q305" s="175">
        <v>6.0000000000000001E-3</v>
      </c>
    </row>
    <row r="306" spans="2:17">
      <c r="B306" s="280" t="s">
        <v>39</v>
      </c>
      <c r="C306" s="280"/>
      <c r="D306" s="186">
        <v>0.2</v>
      </c>
      <c r="E306" s="186">
        <v>0.1</v>
      </c>
      <c r="F306" s="175">
        <v>0.17399999999999999</v>
      </c>
      <c r="G306" s="175">
        <v>8.9999999999999993E-3</v>
      </c>
      <c r="H306" s="175">
        <v>1.0999999999999999E-2</v>
      </c>
      <c r="I306" s="173"/>
      <c r="K306" s="280" t="s">
        <v>39</v>
      </c>
      <c r="L306" s="280"/>
      <c r="M306" s="186">
        <v>0.4</v>
      </c>
      <c r="N306" s="186">
        <v>0.3</v>
      </c>
      <c r="O306" s="175">
        <v>0.23899999999999999</v>
      </c>
      <c r="P306" s="175">
        <v>0.01</v>
      </c>
      <c r="Q306" s="175">
        <v>1.2E-2</v>
      </c>
    </row>
    <row r="307" spans="2:17">
      <c r="B307" s="280" t="s">
        <v>48</v>
      </c>
      <c r="C307" s="280"/>
      <c r="D307" s="186">
        <v>18.8</v>
      </c>
      <c r="E307" s="186">
        <v>13.3</v>
      </c>
      <c r="F307" s="175">
        <v>0.41899999999999998</v>
      </c>
      <c r="G307" s="175">
        <v>1</v>
      </c>
      <c r="H307" s="175">
        <v>1</v>
      </c>
      <c r="I307" s="173"/>
      <c r="K307" s="280" t="s">
        <v>48</v>
      </c>
      <c r="L307" s="280"/>
      <c r="M307" s="186">
        <v>42.5</v>
      </c>
      <c r="N307" s="186">
        <v>27.6</v>
      </c>
      <c r="O307" s="175">
        <v>0.54100000000000004</v>
      </c>
      <c r="P307" s="175">
        <v>1</v>
      </c>
      <c r="Q307" s="175">
        <v>1</v>
      </c>
    </row>
    <row r="308" spans="2:17">
      <c r="B308" s="73"/>
      <c r="C308" s="73"/>
      <c r="D308" s="180"/>
      <c r="E308" s="180"/>
      <c r="F308" s="173"/>
      <c r="G308" s="173"/>
      <c r="H308" s="173"/>
      <c r="I308" s="173"/>
      <c r="K308" s="73"/>
      <c r="L308" s="73"/>
      <c r="M308" s="180"/>
      <c r="N308" s="180"/>
      <c r="O308" s="173"/>
      <c r="P308" s="173"/>
      <c r="Q308" s="173"/>
    </row>
    <row r="309" spans="2:17">
      <c r="B309" s="73"/>
      <c r="C309" s="73"/>
      <c r="D309" s="180"/>
      <c r="E309" s="180"/>
      <c r="F309" s="173"/>
      <c r="G309" s="173"/>
      <c r="H309" s="173"/>
      <c r="I309" s="173"/>
      <c r="K309" s="73"/>
      <c r="L309" s="73"/>
      <c r="M309" s="180"/>
      <c r="N309" s="180"/>
      <c r="O309" s="173"/>
      <c r="P309" s="173"/>
      <c r="Q309" s="173"/>
    </row>
    <row r="312" spans="2:17">
      <c r="B312" s="160" t="s">
        <v>320</v>
      </c>
      <c r="K312" s="160" t="s">
        <v>321</v>
      </c>
    </row>
    <row r="313" spans="2:17">
      <c r="B313" s="161" t="s">
        <v>92</v>
      </c>
      <c r="C313" s="162" t="s">
        <v>123</v>
      </c>
      <c r="D313" s="163">
        <v>44531</v>
      </c>
      <c r="E313" s="163">
        <v>44166</v>
      </c>
      <c r="F313" s="162" t="s">
        <v>124</v>
      </c>
      <c r="G313" s="162" t="s">
        <v>180</v>
      </c>
      <c r="H313" s="162" t="s">
        <v>229</v>
      </c>
      <c r="I313" s="22"/>
      <c r="K313" s="161" t="s">
        <v>92</v>
      </c>
      <c r="L313" s="162" t="s">
        <v>123</v>
      </c>
      <c r="M313" s="163" t="s">
        <v>182</v>
      </c>
      <c r="N313" s="163" t="s">
        <v>230</v>
      </c>
      <c r="O313" s="162" t="s">
        <v>124</v>
      </c>
      <c r="P313" s="162" t="s">
        <v>180</v>
      </c>
      <c r="Q313" s="162" t="s">
        <v>229</v>
      </c>
    </row>
    <row r="314" spans="2:17">
      <c r="B314" s="187">
        <v>1</v>
      </c>
      <c r="C314" s="162" t="s">
        <v>101</v>
      </c>
      <c r="D314" s="186">
        <v>7.9</v>
      </c>
      <c r="E314" s="186">
        <v>6.2</v>
      </c>
      <c r="F314" s="175">
        <v>0.26700000000000002</v>
      </c>
      <c r="G314" s="175">
        <v>0.41699999999999998</v>
      </c>
      <c r="H314" s="175">
        <v>0.39900000000000002</v>
      </c>
      <c r="I314" s="173"/>
      <c r="K314" s="187">
        <v>1</v>
      </c>
      <c r="L314" s="162" t="s">
        <v>101</v>
      </c>
      <c r="M314" s="186">
        <v>54</v>
      </c>
      <c r="N314" s="186">
        <v>26.9</v>
      </c>
      <c r="O314" s="175">
        <v>1.008</v>
      </c>
      <c r="P314" s="175">
        <v>0.36499999999999999</v>
      </c>
      <c r="Q314" s="175">
        <v>0.32600000000000001</v>
      </c>
    </row>
    <row r="315" spans="2:17">
      <c r="B315" s="187">
        <v>2</v>
      </c>
      <c r="C315" s="162" t="s">
        <v>99</v>
      </c>
      <c r="D315" s="186">
        <v>3.7</v>
      </c>
      <c r="E315" s="186">
        <v>3.9</v>
      </c>
      <c r="F315" s="175">
        <v>-3.9E-2</v>
      </c>
      <c r="G315" s="175">
        <v>0.19500000000000001</v>
      </c>
      <c r="H315" s="175">
        <v>0.246</v>
      </c>
      <c r="I315" s="173"/>
      <c r="K315" s="187">
        <v>2</v>
      </c>
      <c r="L315" s="162" t="s">
        <v>99</v>
      </c>
      <c r="M315" s="186">
        <v>35.5</v>
      </c>
      <c r="N315" s="186">
        <v>25.9</v>
      </c>
      <c r="O315" s="175">
        <v>0.372</v>
      </c>
      <c r="P315" s="175">
        <v>0.24</v>
      </c>
      <c r="Q315" s="175">
        <v>0.313</v>
      </c>
    </row>
    <row r="316" spans="2:17">
      <c r="B316" s="187">
        <v>3</v>
      </c>
      <c r="C316" s="162" t="s">
        <v>98</v>
      </c>
      <c r="D316" s="186">
        <v>2.5</v>
      </c>
      <c r="E316" s="186">
        <v>1.3</v>
      </c>
      <c r="F316" s="175">
        <v>0.84699999999999998</v>
      </c>
      <c r="G316" s="175">
        <v>0.13100000000000001</v>
      </c>
      <c r="H316" s="175">
        <v>8.5999999999999993E-2</v>
      </c>
      <c r="I316" s="173"/>
      <c r="K316" s="187">
        <v>3</v>
      </c>
      <c r="L316" s="162" t="s">
        <v>98</v>
      </c>
      <c r="M316" s="186">
        <v>19.100000000000001</v>
      </c>
      <c r="N316" s="186">
        <v>5.7</v>
      </c>
      <c r="O316" s="175">
        <v>2.3740000000000001</v>
      </c>
      <c r="P316" s="175">
        <v>0.129</v>
      </c>
      <c r="Q316" s="175">
        <v>6.9000000000000006E-2</v>
      </c>
    </row>
    <row r="317" spans="2:17">
      <c r="B317" s="187">
        <v>4</v>
      </c>
      <c r="C317" s="161" t="s">
        <v>107</v>
      </c>
      <c r="D317" s="186">
        <v>1.9</v>
      </c>
      <c r="E317" s="186">
        <v>1.4</v>
      </c>
      <c r="F317" s="175">
        <v>0.32500000000000001</v>
      </c>
      <c r="G317" s="175">
        <v>9.9000000000000005E-2</v>
      </c>
      <c r="H317" s="175">
        <v>9.0999999999999998E-2</v>
      </c>
      <c r="I317" s="173"/>
      <c r="K317" s="187">
        <v>4</v>
      </c>
      <c r="L317" s="161" t="s">
        <v>107</v>
      </c>
      <c r="M317" s="186">
        <v>16.399999999999999</v>
      </c>
      <c r="N317" s="186">
        <v>8.1</v>
      </c>
      <c r="O317" s="175">
        <v>1.0369999999999999</v>
      </c>
      <c r="P317" s="175">
        <v>0.111</v>
      </c>
      <c r="Q317" s="175">
        <v>9.8000000000000004E-2</v>
      </c>
    </row>
    <row r="318" spans="2:17">
      <c r="B318" s="187">
        <v>5</v>
      </c>
      <c r="C318" s="162" t="s">
        <v>105</v>
      </c>
      <c r="D318" s="186">
        <v>1.6</v>
      </c>
      <c r="E318" s="186">
        <v>1.4</v>
      </c>
      <c r="F318" s="175">
        <v>0.14299999999999999</v>
      </c>
      <c r="G318" s="175">
        <v>8.5999999999999993E-2</v>
      </c>
      <c r="H318" s="175">
        <v>9.0999999999999998E-2</v>
      </c>
      <c r="I318" s="173"/>
      <c r="K318" s="187">
        <v>5</v>
      </c>
      <c r="L318" s="162" t="s">
        <v>105</v>
      </c>
      <c r="M318" s="186">
        <v>13.1</v>
      </c>
      <c r="N318" s="186">
        <v>8.3000000000000007</v>
      </c>
      <c r="O318" s="175">
        <v>0.57099999999999995</v>
      </c>
      <c r="P318" s="175">
        <v>8.8999999999999996E-2</v>
      </c>
      <c r="Q318" s="175">
        <v>0.10100000000000001</v>
      </c>
    </row>
    <row r="319" spans="2:17">
      <c r="B319" s="187">
        <v>6</v>
      </c>
      <c r="C319" s="187" t="s">
        <v>225</v>
      </c>
      <c r="D319" s="186">
        <v>0.6</v>
      </c>
      <c r="E319" s="186">
        <v>0.6</v>
      </c>
      <c r="F319" s="175">
        <v>6.3E-2</v>
      </c>
      <c r="G319" s="175">
        <v>3.1E-2</v>
      </c>
      <c r="H319" s="175">
        <v>3.5999999999999997E-2</v>
      </c>
      <c r="I319" s="173"/>
      <c r="K319" s="187">
        <v>6</v>
      </c>
      <c r="L319" s="187" t="s">
        <v>225</v>
      </c>
      <c r="M319" s="186">
        <v>4.2</v>
      </c>
      <c r="N319" s="186">
        <v>3.9</v>
      </c>
      <c r="O319" s="175">
        <v>7.9000000000000001E-2</v>
      </c>
      <c r="P319" s="175">
        <v>2.8000000000000001E-2</v>
      </c>
      <c r="Q319" s="175">
        <v>4.7E-2</v>
      </c>
    </row>
    <row r="320" spans="2:17">
      <c r="B320" s="187">
        <v>7</v>
      </c>
      <c r="C320" s="162" t="s">
        <v>114</v>
      </c>
      <c r="D320" s="186">
        <v>0.2</v>
      </c>
      <c r="E320" s="186">
        <v>0.1</v>
      </c>
      <c r="F320" s="175">
        <v>3.59</v>
      </c>
      <c r="G320" s="175">
        <v>1.2E-2</v>
      </c>
      <c r="H320" s="175">
        <v>3.0000000000000001E-3</v>
      </c>
      <c r="I320" s="173"/>
      <c r="K320" s="187">
        <v>7</v>
      </c>
      <c r="L320" s="187" t="s">
        <v>313</v>
      </c>
      <c r="M320" s="186">
        <v>2.1</v>
      </c>
      <c r="N320" s="186">
        <v>1.8</v>
      </c>
      <c r="O320" s="175">
        <v>0.16200000000000001</v>
      </c>
      <c r="P320" s="175">
        <v>1.4E-2</v>
      </c>
      <c r="Q320" s="175">
        <v>2.1999999999999999E-2</v>
      </c>
    </row>
    <row r="321" spans="2:17">
      <c r="B321" s="187">
        <v>8</v>
      </c>
      <c r="C321" s="187" t="s">
        <v>313</v>
      </c>
      <c r="D321" s="186">
        <v>0.2</v>
      </c>
      <c r="E321" s="186">
        <v>0.2</v>
      </c>
      <c r="F321" s="175">
        <v>-8.5999999999999993E-2</v>
      </c>
      <c r="G321" s="175">
        <v>8.9999999999999993E-3</v>
      </c>
      <c r="H321" s="175">
        <v>1.2E-2</v>
      </c>
      <c r="I321" s="173"/>
      <c r="K321" s="187">
        <v>8</v>
      </c>
      <c r="L321" s="162" t="s">
        <v>114</v>
      </c>
      <c r="M321" s="186">
        <v>0.9</v>
      </c>
      <c r="N321" s="186">
        <v>0.1</v>
      </c>
      <c r="O321" s="175">
        <v>13.525</v>
      </c>
      <c r="P321" s="175">
        <v>6.0000000000000001E-3</v>
      </c>
      <c r="Q321" s="175">
        <v>1E-3</v>
      </c>
    </row>
    <row r="322" spans="2:17">
      <c r="B322" s="187">
        <v>9</v>
      </c>
      <c r="C322" s="187" t="s">
        <v>314</v>
      </c>
      <c r="D322" s="186">
        <v>0.1</v>
      </c>
      <c r="E322" s="186">
        <v>0.1</v>
      </c>
      <c r="F322" s="175">
        <v>-5.0000000000000001E-3</v>
      </c>
      <c r="G322" s="175">
        <v>4.0000000000000001E-3</v>
      </c>
      <c r="H322" s="175">
        <v>5.0000000000000001E-3</v>
      </c>
      <c r="I322" s="173"/>
      <c r="K322" s="187">
        <v>9</v>
      </c>
      <c r="L322" s="187" t="s">
        <v>314</v>
      </c>
      <c r="M322" s="186">
        <v>0.6</v>
      </c>
      <c r="N322" s="186">
        <v>0.6</v>
      </c>
      <c r="O322" s="175">
        <v>-0.12</v>
      </c>
      <c r="P322" s="175">
        <v>4.0000000000000001E-3</v>
      </c>
      <c r="Q322" s="175">
        <v>8.0000000000000002E-3</v>
      </c>
    </row>
    <row r="323" spans="2:17">
      <c r="B323" s="187">
        <v>10</v>
      </c>
      <c r="C323" s="162" t="s">
        <v>96</v>
      </c>
      <c r="D323" s="186">
        <v>0.1</v>
      </c>
      <c r="E323" s="186">
        <v>0.2</v>
      </c>
      <c r="F323" s="175">
        <v>-0.65700000000000003</v>
      </c>
      <c r="G323" s="175">
        <v>4.0000000000000001E-3</v>
      </c>
      <c r="H323" s="175">
        <v>1.4E-2</v>
      </c>
      <c r="I323" s="173"/>
      <c r="K323" s="187">
        <v>10</v>
      </c>
      <c r="L323" s="162" t="s">
        <v>96</v>
      </c>
      <c r="M323" s="186">
        <v>0.5</v>
      </c>
      <c r="N323" s="186">
        <v>0.5</v>
      </c>
      <c r="O323" s="175">
        <v>0.14399999999999999</v>
      </c>
      <c r="P323" s="175">
        <v>4.0000000000000001E-3</v>
      </c>
      <c r="Q323" s="175">
        <v>6.0000000000000001E-3</v>
      </c>
    </row>
    <row r="324" spans="2:17">
      <c r="B324" s="280" t="s">
        <v>39</v>
      </c>
      <c r="C324" s="280"/>
      <c r="D324" s="186">
        <v>0.2</v>
      </c>
      <c r="E324" s="186">
        <v>0.3</v>
      </c>
      <c r="F324" s="175">
        <v>-0.22800000000000001</v>
      </c>
      <c r="G324" s="175">
        <v>1.0999999999999999E-2</v>
      </c>
      <c r="H324" s="175">
        <v>1.7000000000000001E-2</v>
      </c>
      <c r="I324" s="173"/>
      <c r="K324" s="280" t="s">
        <v>39</v>
      </c>
      <c r="L324" s="280"/>
      <c r="M324" s="186">
        <v>1.4</v>
      </c>
      <c r="N324" s="186">
        <v>0.9</v>
      </c>
      <c r="O324" s="175">
        <v>0.60099999999999998</v>
      </c>
      <c r="P324" s="175">
        <v>0.01</v>
      </c>
      <c r="Q324" s="175">
        <v>1.0999999999999999E-2</v>
      </c>
    </row>
    <row r="325" spans="2:17">
      <c r="B325" s="280" t="s">
        <v>48</v>
      </c>
      <c r="C325" s="280"/>
      <c r="D325" s="186">
        <v>19</v>
      </c>
      <c r="E325" s="186">
        <v>15.6</v>
      </c>
      <c r="F325" s="175">
        <v>0.21199999999999999</v>
      </c>
      <c r="G325" s="175">
        <v>1</v>
      </c>
      <c r="H325" s="175">
        <v>1</v>
      </c>
      <c r="I325" s="173"/>
      <c r="K325" s="280" t="s">
        <v>48</v>
      </c>
      <c r="L325" s="280"/>
      <c r="M325" s="186">
        <v>147.80000000000001</v>
      </c>
      <c r="N325" s="186">
        <v>82.6</v>
      </c>
      <c r="O325" s="175">
        <v>0.79</v>
      </c>
      <c r="P325" s="175">
        <v>1</v>
      </c>
      <c r="Q325" s="175">
        <v>1</v>
      </c>
    </row>
    <row r="330" spans="2:17">
      <c r="B330" s="160" t="s">
        <v>322</v>
      </c>
      <c r="K330" s="160" t="s">
        <v>323</v>
      </c>
    </row>
    <row r="331" spans="2:17">
      <c r="B331" s="161" t="s">
        <v>92</v>
      </c>
      <c r="C331" s="162" t="s">
        <v>123</v>
      </c>
      <c r="D331" s="163">
        <v>44166</v>
      </c>
      <c r="E331" s="163">
        <v>43800</v>
      </c>
      <c r="F331" s="162" t="s">
        <v>124</v>
      </c>
      <c r="G331" s="162" t="s">
        <v>229</v>
      </c>
      <c r="H331" s="162" t="s">
        <v>324</v>
      </c>
      <c r="I331" s="22"/>
      <c r="K331" s="161" t="s">
        <v>92</v>
      </c>
      <c r="L331" s="162" t="s">
        <v>123</v>
      </c>
      <c r="M331" s="163" t="s">
        <v>230</v>
      </c>
      <c r="N331" s="163" t="s">
        <v>325</v>
      </c>
      <c r="O331" s="162" t="s">
        <v>124</v>
      </c>
      <c r="P331" s="162" t="s">
        <v>229</v>
      </c>
      <c r="Q331" s="162" t="s">
        <v>324</v>
      </c>
    </row>
    <row r="332" spans="2:17">
      <c r="B332" s="187">
        <v>1</v>
      </c>
      <c r="C332" s="162" t="s">
        <v>101</v>
      </c>
      <c r="D332" s="186">
        <v>6.4</v>
      </c>
      <c r="E332" s="186">
        <v>1.5</v>
      </c>
      <c r="F332" s="175">
        <v>3.3330000000000002</v>
      </c>
      <c r="G332" s="175">
        <v>0.41799999999999998</v>
      </c>
      <c r="H332" s="175">
        <v>0.215</v>
      </c>
      <c r="I332" s="173"/>
      <c r="K332" s="187">
        <v>1</v>
      </c>
      <c r="L332" s="162" t="s">
        <v>101</v>
      </c>
      <c r="M332" s="186">
        <v>26.8</v>
      </c>
      <c r="N332" s="186">
        <v>12.3</v>
      </c>
      <c r="O332" s="175">
        <v>1.177</v>
      </c>
      <c r="P332" s="175">
        <v>0.33100000000000002</v>
      </c>
      <c r="Q332" s="175">
        <v>0.23699999999999999</v>
      </c>
    </row>
    <row r="333" spans="2:17">
      <c r="B333" s="187">
        <v>2</v>
      </c>
      <c r="C333" s="162" t="s">
        <v>99</v>
      </c>
      <c r="D333" s="186">
        <v>3.8</v>
      </c>
      <c r="E333" s="186">
        <v>3.9</v>
      </c>
      <c r="F333" s="175">
        <v>-1.7000000000000001E-2</v>
      </c>
      <c r="G333" s="175">
        <v>0.251</v>
      </c>
      <c r="H333" s="175">
        <v>0.56699999999999995</v>
      </c>
      <c r="I333" s="173"/>
      <c r="K333" s="187">
        <v>2</v>
      </c>
      <c r="L333" s="162" t="s">
        <v>99</v>
      </c>
      <c r="M333" s="186">
        <v>25.6</v>
      </c>
      <c r="N333" s="186">
        <v>25.2</v>
      </c>
      <c r="O333" s="175">
        <v>1.4999999999999999E-2</v>
      </c>
      <c r="P333" s="175">
        <v>0.316</v>
      </c>
      <c r="Q333" s="175">
        <v>0.48599999999999999</v>
      </c>
    </row>
    <row r="334" spans="2:17">
      <c r="B334" s="187">
        <v>3</v>
      </c>
      <c r="C334" s="161" t="s">
        <v>107</v>
      </c>
      <c r="D334" s="186">
        <v>1.4</v>
      </c>
      <c r="E334" s="186">
        <v>0.2</v>
      </c>
      <c r="F334" s="175">
        <v>7.8369999999999997</v>
      </c>
      <c r="G334" s="175">
        <v>0.09</v>
      </c>
      <c r="H334" s="175">
        <v>2.3E-2</v>
      </c>
      <c r="I334" s="173"/>
      <c r="K334" s="187">
        <v>3</v>
      </c>
      <c r="L334" s="162" t="s">
        <v>105</v>
      </c>
      <c r="M334" s="186">
        <v>8.1999999999999993</v>
      </c>
      <c r="N334" s="186">
        <v>4.3</v>
      </c>
      <c r="O334" s="175">
        <v>0.89100000000000001</v>
      </c>
      <c r="P334" s="175">
        <v>0.10100000000000001</v>
      </c>
      <c r="Q334" s="175">
        <v>8.3000000000000004E-2</v>
      </c>
    </row>
    <row r="335" spans="2:17">
      <c r="B335" s="187">
        <v>4</v>
      </c>
      <c r="C335" s="162" t="s">
        <v>105</v>
      </c>
      <c r="D335" s="186">
        <v>1.4</v>
      </c>
      <c r="E335" s="186">
        <v>0.5</v>
      </c>
      <c r="F335" s="175">
        <v>1.75</v>
      </c>
      <c r="G335" s="175">
        <v>8.8999999999999996E-2</v>
      </c>
      <c r="H335" s="175">
        <v>7.1999999999999995E-2</v>
      </c>
      <c r="I335" s="173"/>
      <c r="K335" s="187">
        <v>4</v>
      </c>
      <c r="L335" s="161" t="s">
        <v>107</v>
      </c>
      <c r="M335" s="186">
        <v>7.9</v>
      </c>
      <c r="N335" s="186">
        <v>2.1</v>
      </c>
      <c r="O335" s="175">
        <v>2.8250000000000002</v>
      </c>
      <c r="P335" s="175">
        <v>9.7000000000000003E-2</v>
      </c>
      <c r="Q335" s="175">
        <v>0.04</v>
      </c>
    </row>
    <row r="336" spans="2:17">
      <c r="B336" s="187">
        <v>5</v>
      </c>
      <c r="C336" s="162" t="s">
        <v>98</v>
      </c>
      <c r="D336" s="186">
        <v>1.1000000000000001</v>
      </c>
      <c r="E336" s="186">
        <v>0.1</v>
      </c>
      <c r="F336" s="175">
        <v>10.34</v>
      </c>
      <c r="G336" s="175">
        <v>0.72</v>
      </c>
      <c r="H336" s="175">
        <v>1.4E-2</v>
      </c>
      <c r="I336" s="173"/>
      <c r="K336" s="187">
        <v>5</v>
      </c>
      <c r="L336" s="162" t="s">
        <v>98</v>
      </c>
      <c r="M336" s="186">
        <v>5.3</v>
      </c>
      <c r="N336" s="186">
        <v>0.2</v>
      </c>
      <c r="O336" s="175">
        <v>24.571000000000002</v>
      </c>
      <c r="P336" s="175">
        <v>6.5000000000000002E-2</v>
      </c>
      <c r="Q336" s="175">
        <v>4.0000000000000001E-3</v>
      </c>
    </row>
    <row r="337" spans="2:17">
      <c r="B337" s="187">
        <v>6</v>
      </c>
      <c r="C337" s="187" t="s">
        <v>225</v>
      </c>
      <c r="D337" s="186">
        <v>0.6</v>
      </c>
      <c r="E337" s="186">
        <v>0.3</v>
      </c>
      <c r="F337" s="175">
        <v>0.68500000000000005</v>
      </c>
      <c r="G337" s="175">
        <v>3.5999999999999997E-2</v>
      </c>
      <c r="H337" s="175">
        <v>4.8000000000000001E-2</v>
      </c>
      <c r="I337" s="173"/>
      <c r="K337" s="187">
        <v>6</v>
      </c>
      <c r="L337" s="187" t="s">
        <v>225</v>
      </c>
      <c r="M337" s="186">
        <v>3.8</v>
      </c>
      <c r="N337" s="186">
        <v>3.9</v>
      </c>
      <c r="O337" s="175">
        <v>-2.1999999999999999E-2</v>
      </c>
      <c r="P337" s="175">
        <v>4.7E-2</v>
      </c>
      <c r="Q337" s="175">
        <v>7.4999999999999997E-2</v>
      </c>
    </row>
    <row r="338" spans="2:17">
      <c r="B338" s="187">
        <v>7</v>
      </c>
      <c r="C338" s="162" t="s">
        <v>96</v>
      </c>
      <c r="D338" s="186">
        <v>0.2</v>
      </c>
      <c r="E338" s="186">
        <v>0.1</v>
      </c>
      <c r="F338" s="175">
        <v>1.159</v>
      </c>
      <c r="G338" s="175">
        <v>1.2999999999999999E-2</v>
      </c>
      <c r="H338" s="175">
        <v>1.4E-2</v>
      </c>
      <c r="I338" s="173"/>
      <c r="K338" s="187">
        <v>7</v>
      </c>
      <c r="L338" s="187" t="s">
        <v>313</v>
      </c>
      <c r="M338" s="186">
        <v>1.7</v>
      </c>
      <c r="N338" s="186">
        <v>2</v>
      </c>
      <c r="O338" s="175">
        <v>-0.13300000000000001</v>
      </c>
      <c r="P338" s="175">
        <v>2.1000000000000001E-2</v>
      </c>
      <c r="Q338" s="175">
        <v>3.7999999999999999E-2</v>
      </c>
    </row>
    <row r="339" spans="2:17">
      <c r="B339" s="187">
        <v>8</v>
      </c>
      <c r="C339" s="187" t="s">
        <v>313</v>
      </c>
      <c r="D339" s="186">
        <v>0.2</v>
      </c>
      <c r="E339" s="186">
        <v>0.1</v>
      </c>
      <c r="F339" s="175">
        <v>0.13900000000000001</v>
      </c>
      <c r="G339" s="175">
        <v>1.0999999999999999E-2</v>
      </c>
      <c r="H339" s="175">
        <v>2.1000000000000001E-2</v>
      </c>
      <c r="I339" s="173"/>
      <c r="K339" s="187">
        <v>8</v>
      </c>
      <c r="L339" s="187" t="s">
        <v>314</v>
      </c>
      <c r="M339" s="186">
        <v>0.6</v>
      </c>
      <c r="N339" s="186">
        <v>0.8</v>
      </c>
      <c r="O339" s="175">
        <v>-0.24099999999999999</v>
      </c>
      <c r="P339" s="175">
        <v>7.0000000000000001E-3</v>
      </c>
      <c r="Q339" s="175">
        <v>1.4999999999999999E-2</v>
      </c>
    </row>
    <row r="340" spans="2:17">
      <c r="B340" s="187">
        <v>9</v>
      </c>
      <c r="C340" s="187" t="s">
        <v>326</v>
      </c>
      <c r="D340" s="186">
        <v>0.1</v>
      </c>
      <c r="E340" s="186">
        <v>0</v>
      </c>
      <c r="F340" s="175">
        <v>2.7389999999999999</v>
      </c>
      <c r="G340" s="175">
        <v>8.0000000000000002E-3</v>
      </c>
      <c r="H340" s="175">
        <v>5.0000000000000001E-3</v>
      </c>
      <c r="I340" s="173"/>
      <c r="K340" s="187">
        <v>9</v>
      </c>
      <c r="L340" s="162" t="s">
        <v>96</v>
      </c>
      <c r="M340" s="186">
        <v>0.4</v>
      </c>
      <c r="N340" s="186">
        <v>0.4</v>
      </c>
      <c r="O340" s="175">
        <v>0.17</v>
      </c>
      <c r="P340" s="175">
        <v>5.0000000000000001E-3</v>
      </c>
      <c r="Q340" s="175">
        <v>7.0000000000000001E-3</v>
      </c>
    </row>
    <row r="341" spans="2:17">
      <c r="B341" s="187">
        <v>10</v>
      </c>
      <c r="C341" s="187" t="s">
        <v>314</v>
      </c>
      <c r="D341" s="186">
        <v>0.1</v>
      </c>
      <c r="E341" s="186">
        <v>0.1</v>
      </c>
      <c r="F341" s="175">
        <v>0.32100000000000001</v>
      </c>
      <c r="G341" s="175">
        <v>5.0000000000000001E-3</v>
      </c>
      <c r="H341" s="175">
        <v>8.0000000000000002E-3</v>
      </c>
      <c r="I341" s="173"/>
      <c r="K341" s="187">
        <v>10</v>
      </c>
      <c r="L341" s="187" t="s">
        <v>326</v>
      </c>
      <c r="M341" s="186">
        <v>0.2</v>
      </c>
      <c r="N341" s="186">
        <v>0.1</v>
      </c>
      <c r="O341" s="175">
        <v>2.3130000000000002</v>
      </c>
      <c r="P341" s="175">
        <v>0.02</v>
      </c>
      <c r="Q341" s="175">
        <v>1E-3</v>
      </c>
    </row>
    <row r="342" spans="2:17">
      <c r="B342" s="280" t="s">
        <v>39</v>
      </c>
      <c r="C342" s="280"/>
      <c r="D342" s="186">
        <v>0.1</v>
      </c>
      <c r="E342" s="186">
        <v>0.1</v>
      </c>
      <c r="F342" s="175">
        <v>9.5000000000000001E-2</v>
      </c>
      <c r="G342" s="175">
        <v>7.0000000000000001E-3</v>
      </c>
      <c r="H342" s="175">
        <v>1.4E-2</v>
      </c>
      <c r="I342" s="173"/>
      <c r="K342" s="280" t="s">
        <v>39</v>
      </c>
      <c r="L342" s="280"/>
      <c r="M342" s="186">
        <v>0.7</v>
      </c>
      <c r="N342" s="186">
        <v>0.7</v>
      </c>
      <c r="O342" s="175">
        <v>-7.1999999999999995E-2</v>
      </c>
      <c r="P342" s="175">
        <v>8.0000000000000002E-3</v>
      </c>
      <c r="Q342" s="175">
        <v>1.4E-2</v>
      </c>
    </row>
    <row r="343" spans="2:17">
      <c r="B343" s="280" t="s">
        <v>48</v>
      </c>
      <c r="C343" s="280"/>
      <c r="D343" s="186">
        <v>15.3</v>
      </c>
      <c r="E343" s="186">
        <v>6.9</v>
      </c>
      <c r="F343" s="175">
        <v>1.2250000000000001</v>
      </c>
      <c r="G343" s="175">
        <v>1</v>
      </c>
      <c r="H343" s="175">
        <v>1</v>
      </c>
      <c r="I343" s="173"/>
      <c r="K343" s="280" t="s">
        <v>48</v>
      </c>
      <c r="L343" s="280"/>
      <c r="M343" s="186">
        <v>81.2</v>
      </c>
      <c r="N343" s="186">
        <v>52</v>
      </c>
      <c r="O343" s="175">
        <v>0.56200000000000006</v>
      </c>
      <c r="P343" s="175">
        <v>1</v>
      </c>
      <c r="Q343" s="175">
        <v>1</v>
      </c>
    </row>
  </sheetData>
  <sortState xmlns:xlrd2="http://schemas.microsoft.com/office/spreadsheetml/2017/richdata2" ref="B75:H84">
    <sortCondition descending="1" ref="D75:D84"/>
  </sortState>
  <mergeCells count="78">
    <mergeCell ref="B343:C343"/>
    <mergeCell ref="K343:L343"/>
    <mergeCell ref="B324:C324"/>
    <mergeCell ref="K324:L324"/>
    <mergeCell ref="B325:C325"/>
    <mergeCell ref="K325:L325"/>
    <mergeCell ref="B342:C342"/>
    <mergeCell ref="K342:L342"/>
    <mergeCell ref="B289:C289"/>
    <mergeCell ref="K289:L289"/>
    <mergeCell ref="B306:C306"/>
    <mergeCell ref="K306:L306"/>
    <mergeCell ref="B307:C307"/>
    <mergeCell ref="K307:L307"/>
    <mergeCell ref="B270:C270"/>
    <mergeCell ref="K270:L270"/>
    <mergeCell ref="B271:C271"/>
    <mergeCell ref="K271:L271"/>
    <mergeCell ref="B288:C288"/>
    <mergeCell ref="K288:L288"/>
    <mergeCell ref="B237:C237"/>
    <mergeCell ref="B253:C253"/>
    <mergeCell ref="K253:L253"/>
    <mergeCell ref="B254:C254"/>
    <mergeCell ref="K254:L254"/>
    <mergeCell ref="B220:C220"/>
    <mergeCell ref="K220:L220"/>
    <mergeCell ref="B221:C221"/>
    <mergeCell ref="K221:L221"/>
    <mergeCell ref="B236:C236"/>
    <mergeCell ref="B189:C189"/>
    <mergeCell ref="K189:L189"/>
    <mergeCell ref="B204:C204"/>
    <mergeCell ref="K204:L204"/>
    <mergeCell ref="B205:C205"/>
    <mergeCell ref="K205:L205"/>
    <mergeCell ref="B171:C171"/>
    <mergeCell ref="K171:L171"/>
    <mergeCell ref="B172:C172"/>
    <mergeCell ref="K172:L172"/>
    <mergeCell ref="B188:C188"/>
    <mergeCell ref="K188:L188"/>
    <mergeCell ref="B138:C138"/>
    <mergeCell ref="K138:L138"/>
    <mergeCell ref="B154:C154"/>
    <mergeCell ref="K154:L154"/>
    <mergeCell ref="B155:C155"/>
    <mergeCell ref="K155:L155"/>
    <mergeCell ref="B120:C120"/>
    <mergeCell ref="K120:L120"/>
    <mergeCell ref="B121:C121"/>
    <mergeCell ref="K121:L121"/>
    <mergeCell ref="B137:C137"/>
    <mergeCell ref="K137:L137"/>
    <mergeCell ref="B87:C87"/>
    <mergeCell ref="K87:L87"/>
    <mergeCell ref="B103:C103"/>
    <mergeCell ref="K103:L103"/>
    <mergeCell ref="B104:C104"/>
    <mergeCell ref="K104:L104"/>
    <mergeCell ref="B69:C69"/>
    <mergeCell ref="K69:L69"/>
    <mergeCell ref="B70:C70"/>
    <mergeCell ref="K70:L70"/>
    <mergeCell ref="B86:C86"/>
    <mergeCell ref="K86:L86"/>
    <mergeCell ref="B36:C36"/>
    <mergeCell ref="K36:L36"/>
    <mergeCell ref="B52:C52"/>
    <mergeCell ref="K52:L52"/>
    <mergeCell ref="B53:C53"/>
    <mergeCell ref="K53:L53"/>
    <mergeCell ref="B18:C18"/>
    <mergeCell ref="K18:L18"/>
    <mergeCell ref="B19:C19"/>
    <mergeCell ref="K19:L19"/>
    <mergeCell ref="B35:C35"/>
    <mergeCell ref="K35:L35"/>
  </mergeCells>
  <phoneticPr fontId="45" type="noConversion"/>
  <pageMargins left="0.7" right="0.7" top="0.75" bottom="0.75" header="0.3" footer="0.3"/>
  <pageSetup paperSize="9" orientation="portrait" horizontalDpi="1200" verticalDpi="12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O918"/>
  <sheetViews>
    <sheetView topLeftCell="A876" workbookViewId="0">
      <selection activeCell="AH23" sqref="AH23"/>
    </sheetView>
  </sheetViews>
  <sheetFormatPr baseColWidth="10" defaultColWidth="8.6640625" defaultRowHeight="14"/>
  <cols>
    <col min="1" max="2" width="8.6640625" style="69"/>
    <col min="3" max="3" width="14.5" style="69" customWidth="1"/>
    <col min="4" max="4" width="11.6640625" style="69" customWidth="1"/>
    <col min="5" max="5" width="8.6640625" style="69"/>
    <col min="6" max="6" width="9.1640625" style="69" customWidth="1"/>
    <col min="7" max="7" width="8.6640625" style="69"/>
    <col min="8" max="8" width="12" style="69"/>
    <col min="9" max="10" width="8.6640625" style="69"/>
    <col min="11" max="11" width="14.83203125" style="69" customWidth="1"/>
    <col min="12" max="12" width="8.6640625" style="69"/>
    <col min="13" max="13" width="9.1640625" style="69"/>
    <col min="14" max="14" width="9.83203125" style="69" customWidth="1"/>
    <col min="15" max="15" width="8.6640625" style="69" customWidth="1"/>
    <col min="16" max="16" width="7.83203125" style="69" customWidth="1"/>
    <col min="17" max="20" width="8.6640625" style="69" customWidth="1"/>
    <col min="21" max="21" width="11.83203125" style="69" customWidth="1"/>
    <col min="22" max="22" width="10.83203125" style="69" customWidth="1"/>
    <col min="23" max="23" width="9.83203125" style="69" customWidth="1"/>
    <col min="24" max="26" width="8.6640625" style="69" customWidth="1"/>
    <col min="27" max="31" width="8.6640625" style="69"/>
    <col min="32" max="32" width="11.83203125" style="69" customWidth="1"/>
    <col min="33" max="39" width="8.6640625" style="69"/>
    <col min="40" max="40" width="12.83203125" style="69"/>
    <col min="41" max="16384" width="8.6640625" style="69"/>
  </cols>
  <sheetData>
    <row r="2" spans="2:41">
      <c r="D2" s="69" t="s">
        <v>89</v>
      </c>
      <c r="E2" s="69" t="s">
        <v>87</v>
      </c>
      <c r="K2" s="69" t="s">
        <v>90</v>
      </c>
      <c r="L2" s="69" t="s">
        <v>87</v>
      </c>
      <c r="P2" s="69" t="s">
        <v>91</v>
      </c>
      <c r="Q2" s="69" t="s">
        <v>87</v>
      </c>
      <c r="U2" s="69" t="s">
        <v>93</v>
      </c>
      <c r="V2" s="69" t="s">
        <v>87</v>
      </c>
      <c r="Z2" s="72" t="s">
        <v>94</v>
      </c>
      <c r="AA2" s="22" t="s">
        <v>87</v>
      </c>
      <c r="AB2" s="69" t="s">
        <v>32</v>
      </c>
      <c r="AF2" s="72" t="s">
        <v>95</v>
      </c>
      <c r="AG2" s="22" t="s">
        <v>87</v>
      </c>
      <c r="AH2" s="69" t="s">
        <v>32</v>
      </c>
    </row>
    <row r="3" spans="2:41">
      <c r="B3" s="69">
        <v>1</v>
      </c>
      <c r="C3" s="69" t="s">
        <v>98</v>
      </c>
      <c r="D3" s="70">
        <v>23.5</v>
      </c>
      <c r="E3" s="71">
        <v>0.41300527240773299</v>
      </c>
      <c r="F3" s="71"/>
      <c r="G3" s="71"/>
      <c r="I3" s="69">
        <v>1</v>
      </c>
      <c r="J3" s="69" t="s">
        <v>98</v>
      </c>
      <c r="K3" s="70">
        <v>31.46</v>
      </c>
      <c r="L3" s="71">
        <v>0.50578778135048197</v>
      </c>
      <c r="N3" s="80">
        <v>1</v>
      </c>
      <c r="O3" s="69" t="s">
        <v>98</v>
      </c>
      <c r="P3" s="70">
        <v>31.79</v>
      </c>
      <c r="Q3" s="71">
        <v>0.5</v>
      </c>
      <c r="S3" s="69">
        <v>1</v>
      </c>
      <c r="T3" s="69" t="s">
        <v>98</v>
      </c>
      <c r="U3" s="70">
        <v>80.510000000000005</v>
      </c>
      <c r="V3" s="84">
        <v>0.52100000000000002</v>
      </c>
      <c r="X3" s="73">
        <v>1</v>
      </c>
      <c r="Y3" s="73" t="s">
        <v>98</v>
      </c>
      <c r="Z3" s="89">
        <v>142.02000000000001</v>
      </c>
      <c r="AA3" s="90">
        <v>0.48199999999999998</v>
      </c>
      <c r="AB3" s="84">
        <f>Z3/U3-1</f>
        <v>0.76400447149422424</v>
      </c>
      <c r="AD3" s="73">
        <v>1</v>
      </c>
      <c r="AE3" s="73" t="s">
        <v>98</v>
      </c>
      <c r="AF3" s="89">
        <v>167.1</v>
      </c>
      <c r="AG3" s="90">
        <v>0.43109999999999998</v>
      </c>
      <c r="AH3" s="84">
        <f>AF3/Z3-1</f>
        <v>0.17659484579636664</v>
      </c>
    </row>
    <row r="4" spans="2:41">
      <c r="B4" s="69">
        <v>2</v>
      </c>
      <c r="C4" s="69" t="s">
        <v>96</v>
      </c>
      <c r="D4" s="70">
        <v>11.4</v>
      </c>
      <c r="E4" s="71">
        <v>0.200351493848858</v>
      </c>
      <c r="F4" s="71"/>
      <c r="G4" s="71"/>
      <c r="I4" s="69">
        <v>2</v>
      </c>
      <c r="J4" s="69" t="s">
        <v>96</v>
      </c>
      <c r="K4" s="70">
        <v>10.75</v>
      </c>
      <c r="L4" s="71">
        <v>0.17282958199356899</v>
      </c>
      <c r="N4" s="80">
        <v>2</v>
      </c>
      <c r="O4" s="69" t="s">
        <v>96</v>
      </c>
      <c r="P4" s="70">
        <v>9.48</v>
      </c>
      <c r="Q4" s="71">
        <v>0.14899999999999999</v>
      </c>
      <c r="S4" s="69">
        <v>2</v>
      </c>
      <c r="T4" s="69" t="s">
        <v>96</v>
      </c>
      <c r="U4" s="70">
        <v>25.06</v>
      </c>
      <c r="V4" s="84">
        <v>0.16200000000000001</v>
      </c>
      <c r="X4" s="73">
        <v>2</v>
      </c>
      <c r="Y4" s="73" t="s">
        <v>96</v>
      </c>
      <c r="Z4" s="89">
        <v>69.099999999999994</v>
      </c>
      <c r="AA4" s="90">
        <v>0.23449999999999999</v>
      </c>
      <c r="AB4" s="84">
        <f t="shared" ref="AB4:AB6" si="0">Z4/U4-1</f>
        <v>1.7573822825219474</v>
      </c>
      <c r="AD4" s="73">
        <v>2</v>
      </c>
      <c r="AE4" s="73" t="s">
        <v>96</v>
      </c>
      <c r="AF4" s="89">
        <v>105.48</v>
      </c>
      <c r="AG4" s="90">
        <v>0.27210000000000001</v>
      </c>
      <c r="AH4" s="84">
        <f t="shared" ref="AH4:AH14" si="1">AF4/Z4-1</f>
        <v>0.52648335745296682</v>
      </c>
    </row>
    <row r="5" spans="2:41">
      <c r="B5" s="69">
        <v>3</v>
      </c>
      <c r="C5" s="69" t="s">
        <v>327</v>
      </c>
      <c r="D5" s="70">
        <v>3.1</v>
      </c>
      <c r="E5" s="71">
        <v>5.4481546572934997E-2</v>
      </c>
      <c r="F5" s="71"/>
      <c r="G5" s="71"/>
      <c r="I5" s="69">
        <v>3</v>
      </c>
      <c r="J5" s="69" t="s">
        <v>103</v>
      </c>
      <c r="K5" s="70">
        <v>3.43</v>
      </c>
      <c r="L5" s="71">
        <v>5.5144694533762098E-2</v>
      </c>
      <c r="N5" s="80">
        <v>3</v>
      </c>
      <c r="O5" s="69" t="s">
        <v>100</v>
      </c>
      <c r="P5" s="70">
        <v>4.13</v>
      </c>
      <c r="Q5" s="71">
        <v>6.5000000000000002E-2</v>
      </c>
      <c r="S5" s="69">
        <v>3</v>
      </c>
      <c r="T5" s="69" t="s">
        <v>109</v>
      </c>
      <c r="U5" s="70">
        <v>9.0500000000000007</v>
      </c>
      <c r="V5" s="84">
        <v>5.8999999999999997E-2</v>
      </c>
      <c r="X5" s="73">
        <v>3</v>
      </c>
      <c r="Y5" s="73" t="s">
        <v>109</v>
      </c>
      <c r="Z5" s="89">
        <v>19.239999999999998</v>
      </c>
      <c r="AA5" s="90">
        <v>6.5299999999999997E-2</v>
      </c>
      <c r="AB5" s="84">
        <f t="shared" si="0"/>
        <v>1.1259668508287288</v>
      </c>
      <c r="AD5" s="73">
        <v>3</v>
      </c>
      <c r="AE5" s="73" t="s">
        <v>109</v>
      </c>
      <c r="AF5" s="89">
        <v>32.9</v>
      </c>
      <c r="AG5" s="90">
        <v>8.4900000000000003E-2</v>
      </c>
      <c r="AH5" s="84">
        <f t="shared" si="1"/>
        <v>0.70997920997920994</v>
      </c>
    </row>
    <row r="6" spans="2:41">
      <c r="B6" s="69">
        <v>4</v>
      </c>
      <c r="C6" s="69" t="s">
        <v>113</v>
      </c>
      <c r="D6" s="70">
        <v>2.1</v>
      </c>
      <c r="E6" s="71">
        <v>3.6906854130052701E-2</v>
      </c>
      <c r="F6" s="71"/>
      <c r="G6" s="71"/>
      <c r="I6" s="69">
        <v>4</v>
      </c>
      <c r="J6" s="69" t="s">
        <v>328</v>
      </c>
      <c r="K6" s="70">
        <v>1.95</v>
      </c>
      <c r="L6" s="71">
        <v>3.1350482315112498E-2</v>
      </c>
      <c r="N6" s="80">
        <v>4</v>
      </c>
      <c r="O6" s="69" t="s">
        <v>111</v>
      </c>
      <c r="P6" s="70">
        <v>3.55</v>
      </c>
      <c r="Q6" s="71">
        <v>5.6000000000000001E-2</v>
      </c>
      <c r="S6" s="69">
        <v>4</v>
      </c>
      <c r="T6" s="69" t="s">
        <v>103</v>
      </c>
      <c r="U6" s="70">
        <v>8.02</v>
      </c>
      <c r="V6" s="84">
        <v>5.1999999999999998E-2</v>
      </c>
      <c r="X6" s="73">
        <v>4</v>
      </c>
      <c r="Y6" s="73" t="s">
        <v>103</v>
      </c>
      <c r="Z6" s="89">
        <v>13.33</v>
      </c>
      <c r="AA6" s="90">
        <v>4.5199999999999997E-2</v>
      </c>
      <c r="AB6" s="84">
        <f t="shared" si="0"/>
        <v>0.66209476309226933</v>
      </c>
      <c r="AD6" s="73">
        <v>4</v>
      </c>
      <c r="AE6" s="73" t="s">
        <v>116</v>
      </c>
      <c r="AF6" s="89">
        <v>17.260000000000002</v>
      </c>
      <c r="AG6" s="90">
        <v>4.4499999999999998E-2</v>
      </c>
      <c r="AH6" s="84">
        <f>AF6/Z8-1</f>
        <v>1.4038997214484681</v>
      </c>
    </row>
    <row r="7" spans="2:41">
      <c r="B7" s="69">
        <v>5</v>
      </c>
      <c r="C7" s="69" t="s">
        <v>108</v>
      </c>
      <c r="D7" s="70">
        <v>1.9</v>
      </c>
      <c r="E7" s="71">
        <v>3.3391915641476297E-2</v>
      </c>
      <c r="F7" s="71"/>
      <c r="G7" s="71"/>
      <c r="I7" s="69">
        <v>5</v>
      </c>
      <c r="J7" s="69" t="s">
        <v>116</v>
      </c>
      <c r="K7" s="70">
        <v>1.64</v>
      </c>
      <c r="L7" s="71">
        <v>2.6366559485530499E-2</v>
      </c>
      <c r="N7" s="80">
        <v>5</v>
      </c>
      <c r="O7" s="69" t="s">
        <v>103</v>
      </c>
      <c r="P7" s="70">
        <v>3.32</v>
      </c>
      <c r="Q7" s="71">
        <v>5.1999999999999998E-2</v>
      </c>
      <c r="S7" s="69">
        <v>5</v>
      </c>
      <c r="T7" s="69" t="s">
        <v>101</v>
      </c>
      <c r="U7" s="70">
        <v>6.25</v>
      </c>
      <c r="V7" s="84">
        <v>0.04</v>
      </c>
      <c r="X7" s="73">
        <v>5</v>
      </c>
      <c r="Y7" s="73" t="s">
        <v>114</v>
      </c>
      <c r="Z7" s="89">
        <v>7.73</v>
      </c>
      <c r="AA7" s="90">
        <v>2.6200000000000001E-2</v>
      </c>
      <c r="AB7" s="84">
        <f>Z7/U12-1</f>
        <v>2.7524271844660193</v>
      </c>
      <c r="AD7" s="73">
        <v>5</v>
      </c>
      <c r="AE7" s="73" t="s">
        <v>103</v>
      </c>
      <c r="AF7" s="89">
        <v>15.91</v>
      </c>
      <c r="AG7" s="90">
        <v>4.1000000000000002E-2</v>
      </c>
      <c r="AH7" s="84">
        <f>AF7/Z6-1</f>
        <v>0.19354838709677424</v>
      </c>
    </row>
    <row r="8" spans="2:41">
      <c r="B8" s="69">
        <v>6</v>
      </c>
      <c r="C8" s="69" t="s">
        <v>329</v>
      </c>
      <c r="D8" s="70">
        <v>1.7</v>
      </c>
      <c r="E8" s="71">
        <v>2.9876977152899799E-2</v>
      </c>
      <c r="F8" s="71"/>
      <c r="G8" s="71"/>
      <c r="I8" s="69">
        <v>6</v>
      </c>
      <c r="J8" s="69" t="s">
        <v>111</v>
      </c>
      <c r="K8" s="70">
        <v>1.49</v>
      </c>
      <c r="L8" s="71">
        <v>2.39549839228296E-2</v>
      </c>
      <c r="N8" s="80">
        <v>6</v>
      </c>
      <c r="O8" s="69" t="s">
        <v>99</v>
      </c>
      <c r="P8" s="70">
        <v>2.2400000000000002</v>
      </c>
      <c r="Q8" s="71">
        <v>3.5000000000000003E-2</v>
      </c>
      <c r="S8" s="69">
        <v>6</v>
      </c>
      <c r="T8" s="69" t="s">
        <v>129</v>
      </c>
      <c r="U8" s="70">
        <v>3.22</v>
      </c>
      <c r="V8" s="84">
        <v>2.1000000000000001E-2</v>
      </c>
      <c r="X8" s="73">
        <v>6</v>
      </c>
      <c r="Y8" s="73" t="s">
        <v>116</v>
      </c>
      <c r="Z8" s="89">
        <v>7.18</v>
      </c>
      <c r="AA8" s="90">
        <v>2.4400000000000002E-2</v>
      </c>
      <c r="AB8" s="84">
        <f>Z8/U9-1</f>
        <v>1.3933333333333331</v>
      </c>
      <c r="AD8" s="73">
        <v>6</v>
      </c>
      <c r="AE8" s="73" t="s">
        <v>129</v>
      </c>
      <c r="AF8" s="89">
        <v>8.69</v>
      </c>
      <c r="AG8" s="90">
        <v>2.24E-2</v>
      </c>
      <c r="AH8" s="84">
        <f>AF8/Z9-1</f>
        <v>0.42459016393442628</v>
      </c>
    </row>
    <row r="9" spans="2:41">
      <c r="B9" s="69">
        <v>7</v>
      </c>
      <c r="C9" s="69" t="s">
        <v>116</v>
      </c>
      <c r="D9" s="70">
        <v>1.3</v>
      </c>
      <c r="E9" s="71">
        <v>2.2847100175746898E-2</v>
      </c>
      <c r="F9" s="71"/>
      <c r="G9" s="71"/>
      <c r="I9" s="69">
        <v>7</v>
      </c>
      <c r="J9" s="69" t="s">
        <v>330</v>
      </c>
      <c r="K9" s="70">
        <v>1.43</v>
      </c>
      <c r="L9" s="71">
        <v>2.29903536977492E-2</v>
      </c>
      <c r="N9" s="80">
        <v>7</v>
      </c>
      <c r="O9" s="69" t="s">
        <v>116</v>
      </c>
      <c r="P9" s="70">
        <v>1.18</v>
      </c>
      <c r="Q9" s="71">
        <v>1.9E-2</v>
      </c>
      <c r="S9" s="69">
        <v>7</v>
      </c>
      <c r="T9" s="69" t="s">
        <v>116</v>
      </c>
      <c r="U9" s="70">
        <v>3</v>
      </c>
      <c r="V9" s="84">
        <v>1.9E-2</v>
      </c>
      <c r="X9" s="73">
        <v>7</v>
      </c>
      <c r="Y9" s="73" t="s">
        <v>129</v>
      </c>
      <c r="Z9" s="89">
        <v>6.1</v>
      </c>
      <c r="AA9" s="90">
        <v>2.07E-2</v>
      </c>
      <c r="AB9" s="84">
        <f>Z9/U8-1</f>
        <v>0.89440993788819845</v>
      </c>
      <c r="AD9" s="73">
        <v>7</v>
      </c>
      <c r="AE9" s="73" t="s">
        <v>101</v>
      </c>
      <c r="AF9" s="89">
        <v>8.34</v>
      </c>
      <c r="AG9" s="90">
        <v>2.1499999999999998E-2</v>
      </c>
      <c r="AH9" s="84">
        <f>AF9/Z11-1</f>
        <v>0.6038461538461537</v>
      </c>
    </row>
    <row r="10" spans="2:41">
      <c r="B10" s="69">
        <v>8</v>
      </c>
      <c r="C10" s="69" t="s">
        <v>331</v>
      </c>
      <c r="D10" s="70">
        <v>0.8</v>
      </c>
      <c r="E10" s="71">
        <v>1.4059753954305801E-2</v>
      </c>
      <c r="F10" s="71"/>
      <c r="G10" s="71"/>
      <c r="I10" s="69">
        <v>8</v>
      </c>
      <c r="J10" s="69" t="s">
        <v>108</v>
      </c>
      <c r="K10" s="70">
        <v>1.21</v>
      </c>
      <c r="L10" s="71">
        <v>1.9453376205787801E-2</v>
      </c>
      <c r="N10" s="80">
        <v>8</v>
      </c>
      <c r="O10" s="69" t="s">
        <v>332</v>
      </c>
      <c r="P10" s="70">
        <v>0.95</v>
      </c>
      <c r="Q10" s="71">
        <v>1.4999999999999999E-2</v>
      </c>
      <c r="S10" s="69">
        <v>8</v>
      </c>
      <c r="T10" s="69" t="s">
        <v>333</v>
      </c>
      <c r="U10" s="70">
        <v>2.92</v>
      </c>
      <c r="V10" s="84">
        <v>1.9E-2</v>
      </c>
      <c r="X10" s="73">
        <v>8</v>
      </c>
      <c r="Y10" s="73" t="s">
        <v>108</v>
      </c>
      <c r="Z10" s="89">
        <v>5.36</v>
      </c>
      <c r="AA10" s="90">
        <v>1.8200000000000001E-2</v>
      </c>
      <c r="AB10" s="84">
        <f>Z10/U11-1</f>
        <v>1.1877551020408164</v>
      </c>
      <c r="AD10" s="73">
        <v>8</v>
      </c>
      <c r="AE10" s="73" t="s">
        <v>114</v>
      </c>
      <c r="AF10" s="89">
        <v>8.3000000000000007</v>
      </c>
      <c r="AG10" s="90">
        <v>2.1399999999999999E-2</v>
      </c>
      <c r="AH10" s="84">
        <f>AF10/Z7-1</f>
        <v>7.3738680465718076E-2</v>
      </c>
    </row>
    <row r="11" spans="2:41">
      <c r="B11" s="69">
        <v>9</v>
      </c>
      <c r="C11" s="69" t="s">
        <v>111</v>
      </c>
      <c r="D11" s="70">
        <v>0.7</v>
      </c>
      <c r="E11" s="71">
        <v>1.23022847100176E-2</v>
      </c>
      <c r="F11" s="71"/>
      <c r="G11" s="71"/>
      <c r="I11" s="69">
        <v>9</v>
      </c>
      <c r="J11" s="69" t="s">
        <v>334</v>
      </c>
      <c r="K11" s="70">
        <v>0.69</v>
      </c>
      <c r="L11" s="71">
        <v>1.10932475884244E-2</v>
      </c>
      <c r="N11" s="80">
        <v>9</v>
      </c>
      <c r="O11" s="69" t="s">
        <v>328</v>
      </c>
      <c r="P11" s="70">
        <v>0.92</v>
      </c>
      <c r="Q11" s="71">
        <v>1.4E-2</v>
      </c>
      <c r="S11" s="69">
        <v>9</v>
      </c>
      <c r="T11" s="69" t="s">
        <v>108</v>
      </c>
      <c r="U11" s="70">
        <v>2.4500000000000002</v>
      </c>
      <c r="V11" s="84">
        <v>1.6E-2</v>
      </c>
      <c r="X11" s="73">
        <v>9</v>
      </c>
      <c r="Y11" s="73" t="s">
        <v>101</v>
      </c>
      <c r="Z11" s="89">
        <v>5.2</v>
      </c>
      <c r="AA11" s="90">
        <v>1.77E-2</v>
      </c>
      <c r="AB11" s="84">
        <f>Z11/U7-1</f>
        <v>-0.16799999999999993</v>
      </c>
      <c r="AD11" s="73">
        <v>9</v>
      </c>
      <c r="AE11" s="73" t="s">
        <v>108</v>
      </c>
      <c r="AF11" s="89">
        <v>5.94</v>
      </c>
      <c r="AG11" s="90">
        <v>1.5299999999999999E-2</v>
      </c>
      <c r="AH11" s="84">
        <f>AF11/Z10-1</f>
        <v>0.10820895522388052</v>
      </c>
    </row>
    <row r="12" spans="2:41">
      <c r="B12" s="69">
        <v>10</v>
      </c>
      <c r="C12" s="69" t="s">
        <v>335</v>
      </c>
      <c r="D12" s="70">
        <v>0.6</v>
      </c>
      <c r="E12" s="71">
        <v>1.05448154657293E-2</v>
      </c>
      <c r="F12" s="71"/>
      <c r="G12" s="71"/>
      <c r="I12" s="69">
        <v>10</v>
      </c>
      <c r="J12" s="69" t="s">
        <v>114</v>
      </c>
      <c r="K12" s="70">
        <v>0.65</v>
      </c>
      <c r="L12" s="71">
        <v>1.0450160771704201E-2</v>
      </c>
      <c r="N12" s="80">
        <v>10</v>
      </c>
      <c r="O12" s="69" t="s">
        <v>108</v>
      </c>
      <c r="P12" s="70">
        <v>0.85</v>
      </c>
      <c r="Q12" s="71">
        <v>1.2999999999999999E-2</v>
      </c>
      <c r="S12" s="69">
        <v>10</v>
      </c>
      <c r="T12" s="69" t="s">
        <v>114</v>
      </c>
      <c r="U12" s="70">
        <v>2.06</v>
      </c>
      <c r="V12" s="84">
        <v>1.2999999999999999E-2</v>
      </c>
      <c r="X12" s="73">
        <v>10</v>
      </c>
      <c r="Y12" s="73" t="s">
        <v>336</v>
      </c>
      <c r="Z12" s="89">
        <v>4.5199999999999996</v>
      </c>
      <c r="AA12" s="90">
        <v>1.5299999999999999E-2</v>
      </c>
      <c r="AB12" s="91" t="s">
        <v>115</v>
      </c>
      <c r="AD12" s="73">
        <v>10</v>
      </c>
      <c r="AE12" s="73" t="s">
        <v>337</v>
      </c>
      <c r="AF12" s="89">
        <v>5.39</v>
      </c>
      <c r="AG12" s="90">
        <v>1.3899999999999999E-2</v>
      </c>
      <c r="AH12" s="91" t="s">
        <v>115</v>
      </c>
    </row>
    <row r="13" spans="2:41">
      <c r="C13" s="69" t="s">
        <v>39</v>
      </c>
      <c r="D13" s="70">
        <f>56.9-SUM(D3:D12)</f>
        <v>9.7999999999999972</v>
      </c>
      <c r="E13" s="71">
        <f>1-SUM(E3:E12)</f>
        <v>0.17223198594024569</v>
      </c>
      <c r="F13" s="71"/>
      <c r="G13" s="71"/>
      <c r="J13" s="69" t="s">
        <v>39</v>
      </c>
      <c r="K13" s="70">
        <f>K14-SUM(K3:K12)</f>
        <v>7.5</v>
      </c>
      <c r="L13" s="71">
        <f>1-SUM(L3:L12)</f>
        <v>0.12057877813504869</v>
      </c>
      <c r="O13" s="69" t="s">
        <v>39</v>
      </c>
      <c r="P13" s="70">
        <f>P14-SUM(P3:P12)</f>
        <v>4.8899999999999935</v>
      </c>
      <c r="Q13" s="71">
        <f>1-SUM(Q3:Q12)</f>
        <v>8.1999999999999851E-2</v>
      </c>
      <c r="T13" s="69" t="s">
        <v>39</v>
      </c>
      <c r="U13" s="70">
        <f>U14-SUM(U3:U12)</f>
        <v>11.960000000000036</v>
      </c>
      <c r="V13" s="84">
        <f>1-SUM(V3:V12)</f>
        <v>7.7999999999999847E-2</v>
      </c>
      <c r="Y13" s="69" t="s">
        <v>39</v>
      </c>
      <c r="Z13" s="92">
        <f>Z14-SUM(Z3:Z12)</f>
        <v>14.819999999999993</v>
      </c>
      <c r="AA13" s="84">
        <f>1-SUM(AA3:AA12)</f>
        <v>5.0499999999999989E-2</v>
      </c>
      <c r="AB13" s="84">
        <f>Z13/U13-1</f>
        <v>0.23913043478260443</v>
      </c>
      <c r="AE13" s="69" t="s">
        <v>39</v>
      </c>
      <c r="AF13" s="92">
        <f>AF14-SUM(AF3:AF12)</f>
        <v>12.390000000000043</v>
      </c>
      <c r="AG13" s="84">
        <f>1-SUM(AG3:AG12)</f>
        <v>3.1900000000000039E-2</v>
      </c>
      <c r="AH13" s="84">
        <f t="shared" si="1"/>
        <v>-0.16396761133602911</v>
      </c>
    </row>
    <row r="14" spans="2:41">
      <c r="C14" s="69" t="s">
        <v>48</v>
      </c>
      <c r="D14" s="70">
        <v>56.9</v>
      </c>
      <c r="J14" s="69" t="s">
        <v>48</v>
      </c>
      <c r="K14" s="70">
        <v>62.2</v>
      </c>
      <c r="P14" s="70">
        <v>63.3</v>
      </c>
      <c r="T14" s="69" t="s">
        <v>48</v>
      </c>
      <c r="U14" s="70">
        <v>154.5</v>
      </c>
      <c r="Y14" s="69" t="s">
        <v>48</v>
      </c>
      <c r="Z14" s="70">
        <v>294.60000000000002</v>
      </c>
      <c r="AB14" s="84">
        <f>Z14/U14-1</f>
        <v>0.90679611650485459</v>
      </c>
      <c r="AE14" s="69" t="s">
        <v>48</v>
      </c>
      <c r="AF14" s="70">
        <v>387.7</v>
      </c>
      <c r="AH14" s="84">
        <f t="shared" si="1"/>
        <v>0.3160217243720298</v>
      </c>
    </row>
    <row r="15" spans="2:41">
      <c r="D15" s="70"/>
      <c r="K15" s="70"/>
      <c r="P15" s="70"/>
      <c r="U15" s="70"/>
      <c r="Z15" s="70"/>
      <c r="AF15" s="70"/>
    </row>
    <row r="16" spans="2:41">
      <c r="B16" s="72" t="s">
        <v>338</v>
      </c>
      <c r="C16" s="73"/>
      <c r="D16" s="74"/>
      <c r="E16" s="75"/>
      <c r="F16" s="76"/>
      <c r="G16" s="77"/>
      <c r="J16" s="72" t="s">
        <v>339</v>
      </c>
      <c r="K16" s="22"/>
      <c r="L16" s="22"/>
      <c r="M16" s="22"/>
      <c r="P16" s="72" t="s">
        <v>340</v>
      </c>
      <c r="V16" s="72" t="s">
        <v>341</v>
      </c>
      <c r="AC16" s="72" t="s">
        <v>338</v>
      </c>
      <c r="AD16" s="22"/>
      <c r="AE16" s="22"/>
      <c r="AF16" s="22"/>
      <c r="AG16" s="22"/>
      <c r="AH16" s="22"/>
      <c r="AK16" s="72"/>
      <c r="AL16" s="22"/>
      <c r="AM16" s="22"/>
      <c r="AN16" s="22"/>
      <c r="AO16" s="22"/>
    </row>
    <row r="17" spans="2:41" ht="32">
      <c r="B17" s="73" t="s">
        <v>342</v>
      </c>
      <c r="C17" s="73" t="s">
        <v>343</v>
      </c>
      <c r="D17" s="78" t="s">
        <v>344</v>
      </c>
      <c r="E17" s="73" t="s">
        <v>345</v>
      </c>
      <c r="F17" s="73" t="s">
        <v>32</v>
      </c>
      <c r="G17" s="73" t="s">
        <v>33</v>
      </c>
      <c r="H17" s="69" t="s">
        <v>346</v>
      </c>
      <c r="J17" s="73" t="s">
        <v>342</v>
      </c>
      <c r="K17" s="73" t="s">
        <v>343</v>
      </c>
      <c r="L17" s="78" t="s">
        <v>347</v>
      </c>
      <c r="M17" s="73" t="s">
        <v>345</v>
      </c>
      <c r="N17" s="73" t="s">
        <v>32</v>
      </c>
      <c r="P17" s="73" t="s">
        <v>342</v>
      </c>
      <c r="Q17" s="73" t="s">
        <v>343</v>
      </c>
      <c r="R17" s="74" t="s">
        <v>348</v>
      </c>
      <c r="S17" s="82" t="s">
        <v>345</v>
      </c>
      <c r="T17" s="73" t="s">
        <v>32</v>
      </c>
      <c r="V17" s="73" t="s">
        <v>342</v>
      </c>
      <c r="W17" s="82" t="s">
        <v>343</v>
      </c>
      <c r="X17" s="73" t="s">
        <v>348</v>
      </c>
      <c r="Y17" s="81" t="s">
        <v>345</v>
      </c>
      <c r="Z17" s="73" t="s">
        <v>32</v>
      </c>
      <c r="AC17" s="73" t="s">
        <v>342</v>
      </c>
      <c r="AD17" s="73" t="s">
        <v>343</v>
      </c>
      <c r="AE17" s="78" t="s">
        <v>344</v>
      </c>
      <c r="AF17" s="73" t="s">
        <v>345</v>
      </c>
      <c r="AG17" s="73" t="s">
        <v>32</v>
      </c>
      <c r="AH17" s="73" t="s">
        <v>33</v>
      </c>
      <c r="AK17" s="73"/>
      <c r="AL17" s="73"/>
      <c r="AM17" s="78"/>
      <c r="AN17" s="73"/>
    </row>
    <row r="18" spans="2:41" ht="15">
      <c r="B18" s="73">
        <v>1</v>
      </c>
      <c r="C18" s="73" t="s">
        <v>98</v>
      </c>
      <c r="D18" s="74">
        <v>15.54</v>
      </c>
      <c r="E18" s="75">
        <v>0.55159999999999998</v>
      </c>
      <c r="F18" s="77">
        <f>D18/12.49-1</f>
        <v>0.24419535628502786</v>
      </c>
      <c r="G18" s="77">
        <f>D18/D40-1</f>
        <v>0.58248472505091642</v>
      </c>
      <c r="H18" s="79">
        <f>E34-E19</f>
        <v>0.82250000000000001</v>
      </c>
      <c r="J18" s="73">
        <v>1</v>
      </c>
      <c r="K18" s="73" t="s">
        <v>98</v>
      </c>
      <c r="L18" s="81">
        <f>L40+D18</f>
        <v>41.31</v>
      </c>
      <c r="M18" s="82">
        <f>L18/L$34</f>
        <v>0.48429073856975385</v>
      </c>
      <c r="N18" s="75">
        <f>L18/29.25-1</f>
        <v>0.41230769230769249</v>
      </c>
      <c r="O18" s="73"/>
      <c r="P18" s="73">
        <v>1</v>
      </c>
      <c r="Q18" s="81" t="s">
        <v>96</v>
      </c>
      <c r="R18" s="85">
        <v>9.2799999999999994</v>
      </c>
      <c r="S18" s="86">
        <f>39.27%</f>
        <v>0.39270000000000005</v>
      </c>
      <c r="V18" s="73">
        <v>1</v>
      </c>
      <c r="W18" s="82" t="s">
        <v>98</v>
      </c>
      <c r="X18" s="73">
        <v>7.41</v>
      </c>
      <c r="Y18" s="93">
        <v>0.67310000000000003</v>
      </c>
      <c r="AC18" s="73">
        <v>1</v>
      </c>
      <c r="AD18" s="73" t="s">
        <v>98</v>
      </c>
      <c r="AE18" s="74">
        <v>15.54</v>
      </c>
      <c r="AF18" s="75">
        <v>0.55159999999999998</v>
      </c>
      <c r="AG18" s="77"/>
      <c r="AH18" s="77">
        <f t="shared" ref="AH18:AH22" si="2">AE18/AE40-1</f>
        <v>0.58248472505091642</v>
      </c>
      <c r="AK18" s="73"/>
      <c r="AL18" s="73"/>
      <c r="AM18" s="74"/>
      <c r="AN18" s="75"/>
    </row>
    <row r="19" spans="2:41" ht="15">
      <c r="B19" s="73">
        <v>2</v>
      </c>
      <c r="C19" s="73" t="s">
        <v>96</v>
      </c>
      <c r="D19" s="74">
        <v>9.2799999999999994</v>
      </c>
      <c r="E19" s="75">
        <v>0.17749999999999999</v>
      </c>
      <c r="F19" s="77">
        <f>D19/7.4-1</f>
        <v>0.2540540540540539</v>
      </c>
      <c r="G19" s="77">
        <f>D19/D41-1</f>
        <v>1.9367088607594933</v>
      </c>
      <c r="H19" s="79"/>
      <c r="J19" s="73">
        <v>2</v>
      </c>
      <c r="K19" s="73" t="s">
        <v>96</v>
      </c>
      <c r="L19" s="81">
        <f t="shared" ref="L19:L32" si="3">L41+D19</f>
        <v>18.439999999999998</v>
      </c>
      <c r="M19" s="82">
        <f t="shared" ref="M19:M34" si="4">L19/L$34</f>
        <v>0.21617819460726845</v>
      </c>
      <c r="N19" s="75">
        <f>L19/20.41-1</f>
        <v>-9.6521313081822768E-2</v>
      </c>
      <c r="O19" s="73"/>
      <c r="P19" s="73">
        <v>2</v>
      </c>
      <c r="Q19" s="81" t="s">
        <v>98</v>
      </c>
      <c r="R19" s="85">
        <v>8.14</v>
      </c>
      <c r="S19" s="86">
        <v>0.34439999999999998</v>
      </c>
      <c r="V19" s="73">
        <v>2</v>
      </c>
      <c r="W19" s="82" t="s">
        <v>109</v>
      </c>
      <c r="X19" s="73">
        <v>0.84</v>
      </c>
      <c r="Y19" s="93">
        <v>7.6600000000000001E-2</v>
      </c>
      <c r="AC19" s="73">
        <v>2</v>
      </c>
      <c r="AD19" s="73" t="s">
        <v>96</v>
      </c>
      <c r="AE19" s="74">
        <v>9.2799999999999994</v>
      </c>
      <c r="AF19" s="75">
        <v>0.17749999999999999</v>
      </c>
      <c r="AG19" s="77"/>
      <c r="AH19" s="77">
        <f t="shared" si="2"/>
        <v>1.9367088607594933</v>
      </c>
      <c r="AK19" s="73"/>
      <c r="AL19" s="73"/>
      <c r="AM19" s="74"/>
      <c r="AN19" s="75"/>
    </row>
    <row r="20" spans="2:41">
      <c r="B20" s="73">
        <v>3</v>
      </c>
      <c r="C20" s="73" t="s">
        <v>109</v>
      </c>
      <c r="D20" s="74">
        <v>2.31</v>
      </c>
      <c r="E20" s="75">
        <v>6.3799999999999996E-2</v>
      </c>
      <c r="F20" s="77">
        <f>D20/2.86-1</f>
        <v>-0.19230769230769229</v>
      </c>
      <c r="G20" s="77">
        <f>D20/D42-1</f>
        <v>1.0263157894736845</v>
      </c>
      <c r="H20" s="79"/>
      <c r="J20" s="73">
        <v>3</v>
      </c>
      <c r="K20" s="73" t="s">
        <v>109</v>
      </c>
      <c r="L20" s="81">
        <f t="shared" si="3"/>
        <v>5.1899999999999995</v>
      </c>
      <c r="M20" s="82">
        <f t="shared" si="4"/>
        <v>6.0844079718640087E-2</v>
      </c>
      <c r="N20" s="75">
        <f>L20/5.27-1</f>
        <v>-1.5180265654648917E-2</v>
      </c>
      <c r="O20" s="73"/>
      <c r="P20" s="73">
        <v>3</v>
      </c>
      <c r="Q20" s="81" t="s">
        <v>116</v>
      </c>
      <c r="R20" s="87">
        <v>1.67</v>
      </c>
      <c r="S20" s="86">
        <v>7.0699999999999999E-2</v>
      </c>
      <c r="V20" s="73">
        <v>3</v>
      </c>
      <c r="W20" s="73" t="s">
        <v>129</v>
      </c>
      <c r="X20" s="73">
        <v>0.84</v>
      </c>
      <c r="Y20" s="93">
        <v>7.5999999999999998E-2</v>
      </c>
      <c r="AC20" s="73">
        <v>3</v>
      </c>
      <c r="AD20" s="73" t="s">
        <v>109</v>
      </c>
      <c r="AE20" s="74">
        <v>2.31</v>
      </c>
      <c r="AF20" s="75">
        <v>6.3799999999999996E-2</v>
      </c>
      <c r="AG20" s="77"/>
      <c r="AH20" s="77">
        <f t="shared" si="2"/>
        <v>1.0263157894736845</v>
      </c>
      <c r="AK20" s="73"/>
      <c r="AL20" s="73"/>
      <c r="AM20" s="74"/>
      <c r="AN20" s="75"/>
    </row>
    <row r="21" spans="2:41" ht="15">
      <c r="B21" s="73">
        <v>4</v>
      </c>
      <c r="C21" s="73" t="s">
        <v>116</v>
      </c>
      <c r="D21" s="74">
        <v>1.81</v>
      </c>
      <c r="E21" s="75">
        <v>3.5200000000000002E-2</v>
      </c>
      <c r="F21" s="77">
        <f>D21/1.07-1</f>
        <v>0.69158878504672883</v>
      </c>
      <c r="G21" s="77">
        <f>D21/D43-1</f>
        <v>1.873015873015873</v>
      </c>
      <c r="H21" s="79"/>
      <c r="J21" s="73">
        <v>4</v>
      </c>
      <c r="K21" s="73" t="s">
        <v>116</v>
      </c>
      <c r="L21" s="81">
        <f t="shared" si="3"/>
        <v>3.9</v>
      </c>
      <c r="M21" s="82">
        <f t="shared" si="4"/>
        <v>4.5720984759671748E-2</v>
      </c>
      <c r="N21" s="75">
        <f>L21/2.42-1</f>
        <v>0.61157024793388426</v>
      </c>
      <c r="O21" s="73"/>
      <c r="P21" s="73">
        <v>4</v>
      </c>
      <c r="Q21" s="81" t="s">
        <v>109</v>
      </c>
      <c r="R21" s="85">
        <v>1.47</v>
      </c>
      <c r="S21" s="86">
        <v>6.2E-2</v>
      </c>
      <c r="V21" s="73">
        <v>4</v>
      </c>
      <c r="W21" s="82" t="s">
        <v>108</v>
      </c>
      <c r="X21" s="73">
        <v>0.53</v>
      </c>
      <c r="Y21" s="93">
        <v>4.7800000000000002E-2</v>
      </c>
      <c r="AC21" s="73">
        <v>4</v>
      </c>
      <c r="AD21" s="73" t="s">
        <v>116</v>
      </c>
      <c r="AE21" s="74">
        <v>1.81</v>
      </c>
      <c r="AF21" s="75">
        <v>3.5200000000000002E-2</v>
      </c>
      <c r="AG21" s="77"/>
      <c r="AH21" s="77">
        <f t="shared" si="2"/>
        <v>1.873015873015873</v>
      </c>
      <c r="AK21" s="73"/>
      <c r="AL21" s="73"/>
      <c r="AM21" s="74"/>
      <c r="AN21" s="75"/>
    </row>
    <row r="22" spans="2:41" ht="15">
      <c r="B22" s="73">
        <v>5</v>
      </c>
      <c r="C22" s="73" t="s">
        <v>103</v>
      </c>
      <c r="D22" s="74">
        <v>1.04</v>
      </c>
      <c r="E22" s="75">
        <v>3.2500000000000001E-2</v>
      </c>
      <c r="F22" s="77">
        <f>D22/1.25-1</f>
        <v>-0.16799999999999993</v>
      </c>
      <c r="G22" s="77">
        <f>D22/D44-1</f>
        <v>0.79310344827586232</v>
      </c>
      <c r="H22" s="79"/>
      <c r="J22" s="73">
        <v>5</v>
      </c>
      <c r="K22" s="73" t="s">
        <v>103</v>
      </c>
      <c r="L22" s="81">
        <f t="shared" si="3"/>
        <v>3.02</v>
      </c>
      <c r="M22" s="82">
        <f t="shared" si="4"/>
        <v>3.5404454865181713E-2</v>
      </c>
      <c r="N22" s="75">
        <f>L22/2.65-1</f>
        <v>0.13962264150943393</v>
      </c>
      <c r="O22" s="73"/>
      <c r="P22" s="73">
        <v>5</v>
      </c>
      <c r="Q22" s="81" t="s">
        <v>103</v>
      </c>
      <c r="R22" s="85">
        <v>0.92</v>
      </c>
      <c r="S22" s="86">
        <v>3.8800000000000001E-2</v>
      </c>
      <c r="V22" s="73">
        <v>5</v>
      </c>
      <c r="W22" s="82" t="s">
        <v>114</v>
      </c>
      <c r="X22" s="73">
        <v>0.48</v>
      </c>
      <c r="Y22" s="93">
        <v>4.3900000000000002E-2</v>
      </c>
      <c r="AC22" s="73">
        <v>5</v>
      </c>
      <c r="AD22" s="73" t="s">
        <v>103</v>
      </c>
      <c r="AE22" s="74">
        <v>1.04</v>
      </c>
      <c r="AF22" s="75">
        <v>3.2500000000000001E-2</v>
      </c>
      <c r="AG22" s="77"/>
      <c r="AH22" s="77">
        <f t="shared" si="2"/>
        <v>0.79310344827586232</v>
      </c>
      <c r="AK22" s="73"/>
      <c r="AL22" s="73"/>
      <c r="AM22" s="74"/>
      <c r="AN22" s="75"/>
    </row>
    <row r="23" spans="2:41" ht="15">
      <c r="B23" s="73">
        <v>6</v>
      </c>
      <c r="C23" s="73" t="s">
        <v>129</v>
      </c>
      <c r="D23" s="74">
        <v>1.03</v>
      </c>
      <c r="E23" s="75">
        <v>2.9499999999999998E-2</v>
      </c>
      <c r="F23" s="77">
        <f>D23/0.43-1</f>
        <v>1.3953488372093026</v>
      </c>
      <c r="G23" s="77">
        <f>D23/D47-1</f>
        <v>1.4523809523809526</v>
      </c>
      <c r="H23" s="79"/>
      <c r="J23" s="73">
        <v>6</v>
      </c>
      <c r="K23" s="73" t="s">
        <v>129</v>
      </c>
      <c r="L23" s="81">
        <f t="shared" si="3"/>
        <v>2.92</v>
      </c>
      <c r="M23" s="82">
        <f t="shared" si="4"/>
        <v>3.4232121922626028E-2</v>
      </c>
      <c r="N23" s="75">
        <f>L23/0.78-1</f>
        <v>2.7435897435897432</v>
      </c>
      <c r="O23" s="73"/>
      <c r="P23" s="73">
        <v>6</v>
      </c>
      <c r="Q23" s="81" t="s">
        <v>349</v>
      </c>
      <c r="R23" s="85">
        <v>0.55000000000000004</v>
      </c>
      <c r="S23" s="86">
        <v>2.3400000000000001E-2</v>
      </c>
      <c r="V23" s="73">
        <v>6</v>
      </c>
      <c r="W23" s="82" t="s">
        <v>101</v>
      </c>
      <c r="X23" s="73">
        <v>0.45</v>
      </c>
      <c r="Y23" s="93">
        <v>4.0500000000000001E-2</v>
      </c>
      <c r="AC23" s="73"/>
      <c r="AD23" s="73" t="s">
        <v>39</v>
      </c>
      <c r="AE23" s="74">
        <f>AE24-SUM(AE18:AE22)</f>
        <v>5.0200000000000031</v>
      </c>
      <c r="AF23" s="75">
        <f>AE23/AE24</f>
        <v>0.14342857142857152</v>
      </c>
      <c r="AG23" s="76"/>
      <c r="AH23" s="77">
        <f>AE23/AE45-1</f>
        <v>0.88014981273408477</v>
      </c>
      <c r="AK23" s="73"/>
      <c r="AL23" s="73"/>
      <c r="AM23" s="74"/>
      <c r="AN23" s="75"/>
      <c r="AO23" s="76"/>
    </row>
    <row r="24" spans="2:41" ht="15">
      <c r="B24" s="73">
        <v>7</v>
      </c>
      <c r="C24" s="73" t="s">
        <v>114</v>
      </c>
      <c r="D24" s="74">
        <v>0.99</v>
      </c>
      <c r="E24" s="75">
        <v>2.58E-2</v>
      </c>
      <c r="F24" s="77">
        <f>D24/0.57-1</f>
        <v>0.73684210526315796</v>
      </c>
      <c r="G24" s="77">
        <f>D24/D44-1</f>
        <v>0.70689655172413812</v>
      </c>
      <c r="H24" s="79"/>
      <c r="J24" s="73">
        <v>7</v>
      </c>
      <c r="K24" s="73" t="s">
        <v>114</v>
      </c>
      <c r="L24" s="81">
        <f t="shared" si="3"/>
        <v>2.5099999999999998</v>
      </c>
      <c r="M24" s="82">
        <f t="shared" si="4"/>
        <v>2.9425556858147711E-2</v>
      </c>
      <c r="N24" s="75">
        <f>L24/1.4-1</f>
        <v>0.79285714285714293</v>
      </c>
      <c r="O24" s="73"/>
      <c r="P24" s="73">
        <v>7</v>
      </c>
      <c r="Q24" s="81" t="s">
        <v>114</v>
      </c>
      <c r="R24" s="87">
        <v>0.51</v>
      </c>
      <c r="S24" s="86">
        <v>2.1600000000000001E-2</v>
      </c>
      <c r="V24" s="73">
        <v>7</v>
      </c>
      <c r="W24" s="82" t="s">
        <v>337</v>
      </c>
      <c r="X24" s="88">
        <v>0.17</v>
      </c>
      <c r="Y24" s="93">
        <v>1.5599999999999999E-2</v>
      </c>
      <c r="AC24" s="73"/>
      <c r="AD24" s="73" t="s">
        <v>48</v>
      </c>
      <c r="AE24" s="74">
        <v>35</v>
      </c>
      <c r="AF24" s="75">
        <v>1</v>
      </c>
      <c r="AG24" s="76"/>
      <c r="AH24" s="77">
        <f>AE24/AE46-1</f>
        <v>0.94444444444444442</v>
      </c>
      <c r="AK24" s="73"/>
      <c r="AL24" s="73"/>
      <c r="AM24" s="74"/>
      <c r="AN24" s="75"/>
      <c r="AO24" s="76"/>
    </row>
    <row r="25" spans="2:41" ht="15">
      <c r="B25" s="73">
        <v>8</v>
      </c>
      <c r="C25" s="73" t="s">
        <v>349</v>
      </c>
      <c r="D25" s="74">
        <v>0.55000000000000004</v>
      </c>
      <c r="E25" s="75">
        <v>2.35E-2</v>
      </c>
      <c r="F25" s="77">
        <f>D25/0.15-1</f>
        <v>2.666666666666667</v>
      </c>
      <c r="G25" s="77">
        <f>D25/D46-1</f>
        <v>0.19565217391304346</v>
      </c>
      <c r="H25" s="79"/>
      <c r="J25" s="73">
        <v>8</v>
      </c>
      <c r="K25" s="73" t="s">
        <v>349</v>
      </c>
      <c r="L25" s="81">
        <f t="shared" si="3"/>
        <v>1.77</v>
      </c>
      <c r="M25" s="82">
        <f t="shared" si="4"/>
        <v>2.075029308323564E-2</v>
      </c>
      <c r="N25" s="75">
        <f>L25/0.25-1</f>
        <v>6.08</v>
      </c>
      <c r="O25" s="73"/>
      <c r="P25" s="73">
        <v>8</v>
      </c>
      <c r="Q25" s="81" t="s">
        <v>350</v>
      </c>
      <c r="R25" s="87">
        <v>0.4</v>
      </c>
      <c r="S25" s="86">
        <v>1.67E-2</v>
      </c>
      <c r="V25" s="73">
        <v>8</v>
      </c>
      <c r="W25" s="82" t="s">
        <v>116</v>
      </c>
      <c r="X25" s="73">
        <v>0.14000000000000001</v>
      </c>
      <c r="Y25" s="93">
        <v>1.32E-2</v>
      </c>
      <c r="AC25" s="73"/>
      <c r="AD25" s="73"/>
      <c r="AE25" s="73"/>
      <c r="AF25" s="73"/>
      <c r="AG25" s="86"/>
      <c r="AH25" s="86"/>
      <c r="AI25" s="86"/>
      <c r="AJ25" s="22"/>
    </row>
    <row r="26" spans="2:41" ht="15">
      <c r="B26" s="73">
        <v>9</v>
      </c>
      <c r="C26" s="73" t="s">
        <v>108</v>
      </c>
      <c r="D26" s="74">
        <v>0.54</v>
      </c>
      <c r="E26" s="75">
        <v>0.02</v>
      </c>
      <c r="F26" s="77">
        <f>D26/0.44-1</f>
        <v>0.22727272727272729</v>
      </c>
      <c r="G26" s="77">
        <f>D26/D46-1</f>
        <v>0.17391304347826098</v>
      </c>
      <c r="H26" s="79"/>
      <c r="J26" s="73">
        <v>9</v>
      </c>
      <c r="K26" s="73" t="s">
        <v>108</v>
      </c>
      <c r="L26" s="81">
        <f t="shared" si="3"/>
        <v>1.6300000000000001</v>
      </c>
      <c r="M26" s="82">
        <f t="shared" si="4"/>
        <v>1.9109026963657679E-2</v>
      </c>
      <c r="N26" s="75">
        <f>L26/0.79-1</f>
        <v>1.0632911392405062</v>
      </c>
      <c r="O26" s="73"/>
      <c r="P26" s="73">
        <v>9</v>
      </c>
      <c r="Q26" s="81" t="s">
        <v>337</v>
      </c>
      <c r="R26" s="85">
        <v>0.27</v>
      </c>
      <c r="S26" s="86">
        <v>1.12E-2</v>
      </c>
      <c r="V26" s="73">
        <v>9</v>
      </c>
      <c r="W26" s="82" t="s">
        <v>103</v>
      </c>
      <c r="X26" s="73">
        <v>0.12</v>
      </c>
      <c r="Y26" s="93">
        <v>1.0800000000000001E-2</v>
      </c>
      <c r="AC26" s="73"/>
      <c r="AD26" s="73"/>
      <c r="AE26" s="73"/>
      <c r="AF26" s="73"/>
      <c r="AG26" s="86"/>
      <c r="AH26" s="86"/>
      <c r="AI26" s="86"/>
      <c r="AJ26" s="22"/>
    </row>
    <row r="27" spans="2:41" ht="15">
      <c r="B27" s="73">
        <v>10</v>
      </c>
      <c r="C27" s="22" t="s">
        <v>101</v>
      </c>
      <c r="D27" s="74">
        <v>0.45</v>
      </c>
      <c r="E27" s="75">
        <v>1.7000000000000001E-2</v>
      </c>
      <c r="F27" s="77">
        <f>D27/0.6-1</f>
        <v>-0.25</v>
      </c>
      <c r="G27" s="77">
        <f>D27/D48-1</f>
        <v>0.25</v>
      </c>
      <c r="H27" s="79"/>
      <c r="J27" s="73">
        <v>10</v>
      </c>
      <c r="K27" s="22" t="s">
        <v>101</v>
      </c>
      <c r="L27" s="81">
        <f t="shared" si="3"/>
        <v>1.06</v>
      </c>
      <c r="M27" s="82">
        <f t="shared" si="4"/>
        <v>1.2426729191090271E-2</v>
      </c>
      <c r="N27" s="22"/>
      <c r="O27" s="73"/>
      <c r="P27" s="73">
        <v>10</v>
      </c>
      <c r="Q27" s="81" t="s">
        <v>129</v>
      </c>
      <c r="R27" s="87">
        <v>0.19</v>
      </c>
      <c r="S27" s="86">
        <v>8.2000000000000007E-3</v>
      </c>
      <c r="V27" s="73">
        <v>10</v>
      </c>
      <c r="W27" s="82" t="s">
        <v>351</v>
      </c>
      <c r="X27" s="88">
        <v>0.01</v>
      </c>
      <c r="Y27" s="93">
        <v>1.2999999999999999E-3</v>
      </c>
      <c r="AC27" s="73"/>
      <c r="AD27" s="73"/>
      <c r="AE27" s="73"/>
      <c r="AF27" s="73"/>
      <c r="AG27" s="86"/>
      <c r="AH27" s="86"/>
      <c r="AI27" s="86"/>
      <c r="AJ27" s="22"/>
    </row>
    <row r="28" spans="2:41" ht="15">
      <c r="B28" s="73">
        <v>11</v>
      </c>
      <c r="C28" s="73" t="s">
        <v>337</v>
      </c>
      <c r="D28" s="74">
        <v>0.44</v>
      </c>
      <c r="E28" s="75">
        <v>1.01E-2</v>
      </c>
      <c r="F28" s="77"/>
      <c r="G28" s="77">
        <f>D28/D50-1</f>
        <v>1.4444444444444446</v>
      </c>
      <c r="J28" s="73">
        <v>11</v>
      </c>
      <c r="K28" s="73" t="s">
        <v>337</v>
      </c>
      <c r="L28" s="81">
        <f t="shared" si="3"/>
        <v>1.02</v>
      </c>
      <c r="M28" s="82">
        <f t="shared" si="4"/>
        <v>1.1957796014067996E-2</v>
      </c>
      <c r="N28" s="75">
        <f>L28/0.16-1</f>
        <v>5.375</v>
      </c>
      <c r="O28" s="73"/>
      <c r="P28" s="73">
        <v>11</v>
      </c>
      <c r="Q28" s="81" t="s">
        <v>352</v>
      </c>
      <c r="R28" s="87">
        <v>0.09</v>
      </c>
      <c r="S28" s="86">
        <v>3.7000000000000002E-3</v>
      </c>
      <c r="V28" s="73">
        <v>11</v>
      </c>
      <c r="W28" s="82" t="s">
        <v>353</v>
      </c>
      <c r="X28" s="88">
        <v>0.01</v>
      </c>
      <c r="Y28" s="93">
        <v>5.9999999999999995E-4</v>
      </c>
      <c r="AC28" s="73"/>
      <c r="AD28" s="73"/>
      <c r="AE28" s="73"/>
      <c r="AF28" s="73"/>
      <c r="AG28" s="86"/>
      <c r="AH28" s="86"/>
      <c r="AI28" s="86"/>
      <c r="AJ28" s="22"/>
    </row>
    <row r="29" spans="2:41" ht="15">
      <c r="B29" s="73">
        <v>12</v>
      </c>
      <c r="C29" s="73" t="s">
        <v>350</v>
      </c>
      <c r="D29" s="74">
        <v>0.4</v>
      </c>
      <c r="E29" s="75">
        <v>5.7000000000000002E-3</v>
      </c>
      <c r="F29" s="77"/>
      <c r="G29" s="77">
        <f>D29/D49-1</f>
        <v>0.33333333333333348</v>
      </c>
      <c r="J29" s="73">
        <v>12</v>
      </c>
      <c r="K29" s="73" t="s">
        <v>350</v>
      </c>
      <c r="L29" s="81">
        <f t="shared" si="3"/>
        <v>0.84000000000000008</v>
      </c>
      <c r="M29" s="82">
        <f t="shared" si="4"/>
        <v>9.8475967174677624E-3</v>
      </c>
      <c r="N29" s="75"/>
      <c r="O29" s="73"/>
      <c r="P29" s="73">
        <v>12</v>
      </c>
      <c r="Q29" s="81" t="s">
        <v>354</v>
      </c>
      <c r="R29" s="85">
        <v>0.05</v>
      </c>
      <c r="S29" s="86">
        <v>2.3E-3</v>
      </c>
      <c r="V29" s="73">
        <v>12</v>
      </c>
      <c r="W29" s="82" t="s">
        <v>352</v>
      </c>
      <c r="X29" s="88">
        <v>0</v>
      </c>
      <c r="Y29" s="93">
        <v>4.0000000000000002E-4</v>
      </c>
      <c r="AC29" s="73"/>
      <c r="AD29" s="73"/>
      <c r="AE29" s="73"/>
      <c r="AF29" s="73"/>
      <c r="AG29" s="86"/>
      <c r="AH29" s="86"/>
      <c r="AI29" s="86"/>
      <c r="AJ29" s="22"/>
    </row>
    <row r="30" spans="2:41" ht="15">
      <c r="B30" s="73">
        <v>13</v>
      </c>
      <c r="C30" s="73" t="s">
        <v>352</v>
      </c>
      <c r="D30" s="74">
        <v>0.09</v>
      </c>
      <c r="E30" s="75">
        <v>4.5999999999999999E-3</v>
      </c>
      <c r="F30" s="77">
        <f>D30/0.03-1</f>
        <v>2</v>
      </c>
      <c r="G30" s="77">
        <f>D30/D51-1</f>
        <v>-0.10000000000000009</v>
      </c>
      <c r="J30" s="73">
        <v>13</v>
      </c>
      <c r="K30" s="73" t="s">
        <v>352</v>
      </c>
      <c r="L30" s="81">
        <f t="shared" si="3"/>
        <v>0.4</v>
      </c>
      <c r="M30" s="82">
        <f t="shared" si="4"/>
        <v>4.6893317702227438E-3</v>
      </c>
      <c r="N30" s="75">
        <f>L30/0.13-1</f>
        <v>2.0769230769230771</v>
      </c>
      <c r="O30" s="73"/>
      <c r="P30" s="73">
        <v>13</v>
      </c>
      <c r="Q30" s="81" t="s">
        <v>355</v>
      </c>
      <c r="R30" s="85">
        <v>0.02</v>
      </c>
      <c r="S30" s="86">
        <v>8.9999999999999998E-4</v>
      </c>
      <c r="V30" s="73">
        <v>13</v>
      </c>
      <c r="W30" s="82" t="s">
        <v>356</v>
      </c>
      <c r="X30" s="88">
        <v>0</v>
      </c>
      <c r="Y30" s="93">
        <v>2.0000000000000001E-4</v>
      </c>
      <c r="AC30" s="73"/>
      <c r="AD30" s="73"/>
      <c r="AE30" s="73"/>
      <c r="AF30" s="73"/>
      <c r="AG30" s="86"/>
      <c r="AH30" s="86"/>
      <c r="AI30" s="86"/>
      <c r="AJ30" s="22"/>
    </row>
    <row r="31" spans="2:41" ht="15">
      <c r="B31" s="73">
        <v>14</v>
      </c>
      <c r="C31" s="73" t="s">
        <v>354</v>
      </c>
      <c r="D31" s="74">
        <v>0.05</v>
      </c>
      <c r="E31" s="75">
        <v>5.9999999999999995E-4</v>
      </c>
      <c r="F31" s="77"/>
      <c r="G31" s="77">
        <f>D31/D54-1</f>
        <v>4</v>
      </c>
      <c r="J31" s="73">
        <v>14</v>
      </c>
      <c r="K31" s="73" t="s">
        <v>354</v>
      </c>
      <c r="L31" s="81">
        <f t="shared" si="3"/>
        <v>0.09</v>
      </c>
      <c r="M31" s="82">
        <f t="shared" si="4"/>
        <v>1.0550996483001172E-3</v>
      </c>
      <c r="N31" s="79"/>
      <c r="O31" s="73"/>
      <c r="P31" s="73">
        <v>14</v>
      </c>
      <c r="Q31" s="81" t="s">
        <v>108</v>
      </c>
      <c r="R31" s="85">
        <v>0.02</v>
      </c>
      <c r="S31" s="86">
        <v>6.9999999999999999E-4</v>
      </c>
      <c r="V31" s="73">
        <v>14</v>
      </c>
      <c r="W31" s="82" t="s">
        <v>357</v>
      </c>
      <c r="X31" s="88">
        <v>0</v>
      </c>
      <c r="Y31" s="93">
        <v>1E-4</v>
      </c>
      <c r="AC31" s="73"/>
      <c r="AD31" s="73"/>
      <c r="AE31" s="73"/>
      <c r="AF31" s="73"/>
      <c r="AG31" s="86"/>
      <c r="AH31" s="86"/>
      <c r="AI31" s="86"/>
      <c r="AJ31" s="22"/>
    </row>
    <row r="32" spans="2:41" ht="15">
      <c r="B32" s="73">
        <v>15</v>
      </c>
      <c r="C32" s="73" t="s">
        <v>355</v>
      </c>
      <c r="D32" s="74">
        <v>0.02</v>
      </c>
      <c r="E32" s="75">
        <v>5.9999999999999995E-4</v>
      </c>
      <c r="F32" s="77"/>
      <c r="G32" s="77">
        <f>D32/D53-1</f>
        <v>1</v>
      </c>
      <c r="J32" s="73">
        <v>15</v>
      </c>
      <c r="K32" s="73" t="s">
        <v>355</v>
      </c>
      <c r="L32" s="81">
        <f t="shared" si="3"/>
        <v>0.05</v>
      </c>
      <c r="M32" s="82">
        <f t="shared" si="4"/>
        <v>5.8616647127784297E-4</v>
      </c>
      <c r="N32" s="79"/>
      <c r="O32" s="73"/>
      <c r="P32" s="73">
        <v>15</v>
      </c>
      <c r="Q32" s="81" t="s">
        <v>358</v>
      </c>
      <c r="R32" s="87">
        <v>0.01</v>
      </c>
      <c r="S32" s="86">
        <v>5.9999999999999995E-4</v>
      </c>
      <c r="V32" s="73">
        <v>15</v>
      </c>
      <c r="W32" s="82" t="s">
        <v>113</v>
      </c>
      <c r="X32" s="88">
        <v>0</v>
      </c>
      <c r="Y32" s="93">
        <v>0</v>
      </c>
      <c r="AC32" s="73"/>
      <c r="AD32" s="73"/>
      <c r="AE32" s="73"/>
      <c r="AF32" s="73"/>
      <c r="AG32" s="86"/>
      <c r="AH32" s="86"/>
      <c r="AI32" s="86"/>
      <c r="AJ32" s="22"/>
    </row>
    <row r="33" spans="2:41">
      <c r="B33" s="73"/>
      <c r="C33" s="73" t="s">
        <v>39</v>
      </c>
      <c r="D33" s="74">
        <f>D34-SUM(D18:D32)</f>
        <v>0.46000000000000085</v>
      </c>
      <c r="E33" s="75">
        <f>E34-SUM(E18:E32)</f>
        <v>1.9999999999998908E-3</v>
      </c>
      <c r="F33" s="76"/>
      <c r="G33" s="77">
        <f>D33/D55-1</f>
        <v>1.0909090909091392</v>
      </c>
      <c r="J33" s="73"/>
      <c r="K33" s="73" t="s">
        <v>39</v>
      </c>
      <c r="L33" s="81">
        <f>L55+D33</f>
        <v>1.1499999999999915</v>
      </c>
      <c r="M33" s="82">
        <f t="shared" si="4"/>
        <v>1.3481828839390288E-2</v>
      </c>
      <c r="N33" s="79"/>
      <c r="Q33" s="73" t="s">
        <v>39</v>
      </c>
      <c r="R33" s="74">
        <f>R34-SUM(R18:R32)</f>
        <v>9.9999999999944578E-3</v>
      </c>
      <c r="S33" s="86">
        <f>S34-SUM(S18:S32)</f>
        <v>2.0999999999998797E-3</v>
      </c>
      <c r="V33" s="82"/>
      <c r="W33" s="73" t="s">
        <v>39</v>
      </c>
      <c r="X33" s="74">
        <v>0</v>
      </c>
      <c r="Y33" s="93">
        <f>X33/X$100</f>
        <v>0</v>
      </c>
    </row>
    <row r="34" spans="2:41">
      <c r="B34" s="73"/>
      <c r="C34" s="73" t="s">
        <v>48</v>
      </c>
      <c r="D34" s="74">
        <v>35</v>
      </c>
      <c r="E34" s="75">
        <f>D34/D34</f>
        <v>1</v>
      </c>
      <c r="F34" s="76">
        <f>D34/27.8-1</f>
        <v>0.25899280575539563</v>
      </c>
      <c r="G34" s="77">
        <f>D34/D56-1</f>
        <v>0.94444444444444442</v>
      </c>
      <c r="J34" s="73"/>
      <c r="K34" s="73" t="s">
        <v>48</v>
      </c>
      <c r="L34" s="81">
        <f>L56+D34</f>
        <v>85.3</v>
      </c>
      <c r="M34" s="82">
        <f t="shared" si="4"/>
        <v>1</v>
      </c>
      <c r="N34" s="79"/>
      <c r="Q34" s="73" t="s">
        <v>48</v>
      </c>
      <c r="R34" s="81">
        <v>23.6</v>
      </c>
      <c r="S34" s="86">
        <f>R34/R$34</f>
        <v>1</v>
      </c>
      <c r="T34" s="79"/>
      <c r="W34" s="73" t="s">
        <v>48</v>
      </c>
      <c r="X34" s="81">
        <v>11.3</v>
      </c>
      <c r="Y34" s="83">
        <v>1</v>
      </c>
      <c r="Z34" s="79"/>
    </row>
    <row r="35" spans="2:41">
      <c r="B35" s="72"/>
      <c r="C35" s="73"/>
      <c r="D35" s="74"/>
      <c r="E35" s="75"/>
      <c r="F35" s="76"/>
      <c r="G35" s="77"/>
      <c r="J35" s="72"/>
      <c r="K35" s="22"/>
      <c r="L35" s="22"/>
      <c r="M35" s="22"/>
      <c r="P35" s="72"/>
      <c r="V35" s="72"/>
      <c r="AC35" s="72"/>
      <c r="AD35" s="22"/>
      <c r="AE35" s="22"/>
      <c r="AF35" s="22"/>
      <c r="AG35" s="22"/>
      <c r="AH35" s="22"/>
      <c r="AK35" s="72"/>
      <c r="AL35" s="22"/>
      <c r="AM35" s="22"/>
      <c r="AN35" s="22"/>
      <c r="AO35" s="22"/>
    </row>
    <row r="36" spans="2:41">
      <c r="B36" s="72"/>
      <c r="C36" s="73"/>
      <c r="D36" s="74"/>
      <c r="E36" s="75"/>
      <c r="F36" s="76"/>
      <c r="G36" s="77"/>
      <c r="J36" s="72"/>
      <c r="K36" s="22"/>
      <c r="L36" s="22"/>
      <c r="M36" s="22"/>
      <c r="P36" s="72"/>
      <c r="V36" s="72"/>
      <c r="AC36" s="72"/>
      <c r="AD36" s="22"/>
      <c r="AE36" s="22"/>
      <c r="AF36" s="22"/>
      <c r="AG36" s="22"/>
      <c r="AH36" s="22"/>
      <c r="AK36" s="72"/>
      <c r="AL36" s="22"/>
      <c r="AM36" s="22"/>
      <c r="AN36" s="22"/>
      <c r="AO36" s="22"/>
    </row>
    <row r="37" spans="2:41">
      <c r="B37" s="72"/>
      <c r="C37" s="73"/>
      <c r="D37" s="74"/>
      <c r="E37" s="75"/>
      <c r="F37" s="76"/>
      <c r="G37" s="77"/>
      <c r="J37" s="72"/>
      <c r="K37" s="22"/>
      <c r="L37" s="22"/>
      <c r="M37" s="22"/>
      <c r="P37" s="72"/>
      <c r="V37" s="72"/>
      <c r="AC37" s="72"/>
      <c r="AD37" s="22"/>
      <c r="AE37" s="22"/>
      <c r="AF37" s="22"/>
      <c r="AG37" s="22"/>
      <c r="AH37" s="22"/>
      <c r="AK37" s="72"/>
      <c r="AL37" s="22"/>
      <c r="AM37" s="22"/>
      <c r="AN37" s="22"/>
      <c r="AO37" s="22"/>
    </row>
    <row r="38" spans="2:41">
      <c r="B38" s="72" t="s">
        <v>359</v>
      </c>
      <c r="C38" s="73"/>
      <c r="D38" s="74"/>
      <c r="E38" s="75"/>
      <c r="F38" s="76"/>
      <c r="G38" s="77"/>
      <c r="J38" s="72" t="s">
        <v>360</v>
      </c>
      <c r="K38" s="22"/>
      <c r="L38" s="22"/>
      <c r="M38" s="22"/>
      <c r="P38" s="72" t="s">
        <v>361</v>
      </c>
      <c r="V38" s="72" t="s">
        <v>362</v>
      </c>
      <c r="AC38" s="72" t="s">
        <v>359</v>
      </c>
      <c r="AD38" s="22"/>
      <c r="AE38" s="22"/>
      <c r="AF38" s="22"/>
      <c r="AG38" s="22"/>
      <c r="AH38" s="22"/>
      <c r="AK38" s="72"/>
      <c r="AL38" s="22"/>
      <c r="AM38" s="22"/>
      <c r="AN38" s="22"/>
      <c r="AO38" s="22"/>
    </row>
    <row r="39" spans="2:41" ht="32">
      <c r="B39" s="73" t="s">
        <v>342</v>
      </c>
      <c r="C39" s="73" t="s">
        <v>343</v>
      </c>
      <c r="D39" s="78" t="s">
        <v>344</v>
      </c>
      <c r="E39" s="73" t="s">
        <v>345</v>
      </c>
      <c r="F39" s="73" t="s">
        <v>32</v>
      </c>
      <c r="G39" s="73" t="s">
        <v>33</v>
      </c>
      <c r="H39" s="69" t="s">
        <v>346</v>
      </c>
      <c r="J39" s="73" t="s">
        <v>342</v>
      </c>
      <c r="K39" s="73" t="s">
        <v>343</v>
      </c>
      <c r="L39" s="78" t="s">
        <v>347</v>
      </c>
      <c r="M39" s="73" t="s">
        <v>345</v>
      </c>
      <c r="N39" s="73" t="s">
        <v>32</v>
      </c>
      <c r="P39" s="73" t="s">
        <v>342</v>
      </c>
      <c r="Q39" s="73" t="s">
        <v>343</v>
      </c>
      <c r="R39" s="74" t="s">
        <v>348</v>
      </c>
      <c r="S39" s="82" t="s">
        <v>345</v>
      </c>
      <c r="T39" s="73" t="s">
        <v>32</v>
      </c>
      <c r="V39" s="73" t="s">
        <v>342</v>
      </c>
      <c r="W39" s="82" t="s">
        <v>343</v>
      </c>
      <c r="X39" s="73" t="s">
        <v>348</v>
      </c>
      <c r="Y39" s="81" t="s">
        <v>345</v>
      </c>
      <c r="Z39" s="73" t="s">
        <v>32</v>
      </c>
      <c r="AC39" s="73" t="s">
        <v>342</v>
      </c>
      <c r="AD39" s="73" t="s">
        <v>343</v>
      </c>
      <c r="AE39" s="78" t="s">
        <v>344</v>
      </c>
      <c r="AF39" s="73" t="s">
        <v>345</v>
      </c>
      <c r="AG39" s="73" t="s">
        <v>32</v>
      </c>
      <c r="AH39" s="73" t="s">
        <v>33</v>
      </c>
      <c r="AK39" s="73"/>
      <c r="AL39" s="73"/>
      <c r="AM39" s="78"/>
      <c r="AN39" s="73"/>
    </row>
    <row r="40" spans="2:41" ht="15">
      <c r="B40" s="73">
        <v>1</v>
      </c>
      <c r="C40" s="73" t="s">
        <v>98</v>
      </c>
      <c r="D40" s="74">
        <v>9.82</v>
      </c>
      <c r="E40" s="75">
        <v>0.55159999999999998</v>
      </c>
      <c r="F40" s="77">
        <f>D40/9.6-1</f>
        <v>2.2916666666666696E-2</v>
      </c>
      <c r="G40" s="77">
        <f t="shared" ref="G40:G42" si="5">D40/D62-1</f>
        <v>-0.38471177944862156</v>
      </c>
      <c r="H40" s="79">
        <v>0.66200000000000003</v>
      </c>
      <c r="J40" s="73">
        <v>1</v>
      </c>
      <c r="K40" s="73" t="s">
        <v>98</v>
      </c>
      <c r="L40" s="81">
        <v>25.77</v>
      </c>
      <c r="M40" s="82">
        <v>0.51749999999999996</v>
      </c>
      <c r="N40" s="79">
        <f>L40/16.76-1</f>
        <v>0.5375894988066825</v>
      </c>
      <c r="O40" s="73"/>
      <c r="P40" s="73">
        <v>1</v>
      </c>
      <c r="Q40" s="81" t="s">
        <v>98</v>
      </c>
      <c r="R40" s="85">
        <v>4.9800000000000004</v>
      </c>
      <c r="S40" s="86">
        <f>R40/R$56</f>
        <v>0.44864864864864873</v>
      </c>
      <c r="V40" s="73">
        <v>1</v>
      </c>
      <c r="W40" s="82" t="s">
        <v>98</v>
      </c>
      <c r="X40" s="73">
        <v>4.84</v>
      </c>
      <c r="Y40" s="93">
        <v>0.71330000000000005</v>
      </c>
      <c r="AC40" s="73">
        <v>1</v>
      </c>
      <c r="AD40" s="73" t="s">
        <v>98</v>
      </c>
      <c r="AE40" s="74">
        <v>9.82</v>
      </c>
      <c r="AF40" s="75">
        <v>0.55159999999999998</v>
      </c>
      <c r="AG40" s="77"/>
      <c r="AH40" s="77">
        <f t="shared" ref="AH40:AH42" si="6">AE40/AE62-1</f>
        <v>-0.38471177944862156</v>
      </c>
      <c r="AK40" s="73"/>
      <c r="AL40" s="73"/>
      <c r="AM40" s="74"/>
      <c r="AN40" s="75"/>
    </row>
    <row r="41" spans="2:41" ht="15">
      <c r="B41" s="73">
        <v>2</v>
      </c>
      <c r="C41" s="73" t="s">
        <v>96</v>
      </c>
      <c r="D41" s="74">
        <v>3.16</v>
      </c>
      <c r="E41" s="75">
        <v>0.17749999999999999</v>
      </c>
      <c r="F41" s="77">
        <f>D41/7.5-1</f>
        <v>-0.57866666666666666</v>
      </c>
      <c r="G41" s="77">
        <f t="shared" si="5"/>
        <v>-0.47333333333333327</v>
      </c>
      <c r="H41" s="79"/>
      <c r="J41" s="73">
        <v>2</v>
      </c>
      <c r="K41" s="73" t="s">
        <v>96</v>
      </c>
      <c r="L41" s="81">
        <v>9.16</v>
      </c>
      <c r="M41" s="82">
        <v>0.18390000000000001</v>
      </c>
      <c r="N41" s="79">
        <f>L41/13.01-1</f>
        <v>-0.29592621060722524</v>
      </c>
      <c r="O41" s="73"/>
      <c r="P41" s="73">
        <v>2</v>
      </c>
      <c r="Q41" s="81" t="s">
        <v>96</v>
      </c>
      <c r="R41" s="85">
        <v>3.16</v>
      </c>
      <c r="S41" s="86">
        <f t="shared" ref="S41:S56" si="7">R41/R$56</f>
        <v>0.28468468468468472</v>
      </c>
      <c r="V41" s="73">
        <v>2</v>
      </c>
      <c r="W41" s="82" t="s">
        <v>109</v>
      </c>
      <c r="X41" s="73">
        <v>0.57999999999999996</v>
      </c>
      <c r="Y41" s="93">
        <v>8.5000000000000006E-2</v>
      </c>
      <c r="AC41" s="73">
        <v>2</v>
      </c>
      <c r="AD41" s="73" t="s">
        <v>96</v>
      </c>
      <c r="AE41" s="74">
        <v>3.16</v>
      </c>
      <c r="AF41" s="75">
        <v>0.17749999999999999</v>
      </c>
      <c r="AG41" s="77"/>
      <c r="AH41" s="77">
        <f t="shared" si="6"/>
        <v>-0.47333333333333327</v>
      </c>
      <c r="AK41" s="73"/>
      <c r="AL41" s="73"/>
      <c r="AM41" s="74"/>
      <c r="AN41" s="75"/>
    </row>
    <row r="42" spans="2:41">
      <c r="B42" s="73">
        <v>3</v>
      </c>
      <c r="C42" s="73" t="s">
        <v>109</v>
      </c>
      <c r="D42" s="74">
        <v>1.1399999999999999</v>
      </c>
      <c r="E42" s="75">
        <v>6.3799999999999996E-2</v>
      </c>
      <c r="F42" s="77">
        <f>D42/1.62-1</f>
        <v>-0.29629629629629639</v>
      </c>
      <c r="G42" s="77">
        <f t="shared" si="5"/>
        <v>-0.34857142857142864</v>
      </c>
      <c r="H42" s="79"/>
      <c r="J42" s="73">
        <v>3</v>
      </c>
      <c r="K42" s="73" t="s">
        <v>109</v>
      </c>
      <c r="L42" s="81">
        <v>2.88</v>
      </c>
      <c r="M42" s="82">
        <v>5.79E-2</v>
      </c>
      <c r="N42" s="79">
        <f>L42/2.42-1</f>
        <v>0.19008264462809921</v>
      </c>
      <c r="O42" s="73"/>
      <c r="P42" s="73">
        <v>3</v>
      </c>
      <c r="Q42" s="81" t="s">
        <v>109</v>
      </c>
      <c r="R42" s="87">
        <v>0.56000000000000005</v>
      </c>
      <c r="S42" s="86">
        <f t="shared" si="7"/>
        <v>5.0450450450450456E-2</v>
      </c>
      <c r="V42" s="73">
        <v>3</v>
      </c>
      <c r="W42" s="73" t="s">
        <v>101</v>
      </c>
      <c r="X42" s="73">
        <v>0.36</v>
      </c>
      <c r="Y42" s="93">
        <v>5.2499999999999998E-2</v>
      </c>
      <c r="AC42" s="73">
        <v>3</v>
      </c>
      <c r="AD42" s="73" t="s">
        <v>109</v>
      </c>
      <c r="AE42" s="74">
        <v>1.1399999999999999</v>
      </c>
      <c r="AF42" s="75">
        <v>6.3799999999999996E-2</v>
      </c>
      <c r="AG42" s="77"/>
      <c r="AH42" s="77">
        <f t="shared" si="6"/>
        <v>-0.34857142857142864</v>
      </c>
      <c r="AK42" s="73"/>
      <c r="AL42" s="73"/>
      <c r="AM42" s="74"/>
      <c r="AN42" s="75"/>
    </row>
    <row r="43" spans="2:41" ht="15">
      <c r="B43" s="73">
        <v>4</v>
      </c>
      <c r="C43" s="73" t="s">
        <v>116</v>
      </c>
      <c r="D43" s="74">
        <v>0.63</v>
      </c>
      <c r="E43" s="75">
        <v>3.5200000000000002E-2</v>
      </c>
      <c r="F43" s="77">
        <f>D43/0.71-1</f>
        <v>-0.11267605633802813</v>
      </c>
      <c r="G43" s="77">
        <f>D43/D67-1</f>
        <v>-0.53333333333333344</v>
      </c>
      <c r="H43" s="79"/>
      <c r="J43" s="73">
        <v>4</v>
      </c>
      <c r="K43" s="73" t="s">
        <v>103</v>
      </c>
      <c r="L43" s="81">
        <v>2.09</v>
      </c>
      <c r="M43" s="82">
        <v>4.19E-2</v>
      </c>
      <c r="N43" s="79">
        <f>L43/1.4-1</f>
        <v>0.49285714285714288</v>
      </c>
      <c r="O43" s="73"/>
      <c r="P43" s="73">
        <v>4</v>
      </c>
      <c r="Q43" s="81" t="s">
        <v>116</v>
      </c>
      <c r="R43" s="85">
        <v>0.52</v>
      </c>
      <c r="S43" s="86">
        <f t="shared" si="7"/>
        <v>4.6846846846846847E-2</v>
      </c>
      <c r="V43" s="73">
        <v>4</v>
      </c>
      <c r="W43" s="82" t="s">
        <v>114</v>
      </c>
      <c r="X43" s="73">
        <v>0.34</v>
      </c>
      <c r="Y43" s="93">
        <v>5.04E-2</v>
      </c>
      <c r="AC43" s="73">
        <v>4</v>
      </c>
      <c r="AD43" s="73" t="s">
        <v>116</v>
      </c>
      <c r="AE43" s="74">
        <v>0.63</v>
      </c>
      <c r="AF43" s="75">
        <v>3.5200000000000002E-2</v>
      </c>
      <c r="AG43" s="77"/>
      <c r="AH43" s="77">
        <v>-0.53333333333333299</v>
      </c>
      <c r="AK43" s="73"/>
      <c r="AL43" s="73"/>
      <c r="AM43" s="74"/>
      <c r="AN43" s="75"/>
    </row>
    <row r="44" spans="2:41" ht="15">
      <c r="B44" s="73">
        <v>5</v>
      </c>
      <c r="C44" s="73" t="s">
        <v>114</v>
      </c>
      <c r="D44" s="74">
        <v>0.57999999999999996</v>
      </c>
      <c r="E44" s="75">
        <v>3.2500000000000001E-2</v>
      </c>
      <c r="F44" s="77">
        <f>D44/0.39-1</f>
        <v>0.487179487179487</v>
      </c>
      <c r="G44" s="77">
        <f>D44/D68-1</f>
        <v>-0.38297872340425532</v>
      </c>
      <c r="H44" s="79"/>
      <c r="J44" s="73">
        <v>5</v>
      </c>
      <c r="K44" s="73" t="s">
        <v>116</v>
      </c>
      <c r="L44" s="81">
        <v>1.98</v>
      </c>
      <c r="M44" s="82">
        <v>3.9699999999999999E-2</v>
      </c>
      <c r="N44" s="79">
        <f>L44/1.35-1</f>
        <v>0.46666666666666656</v>
      </c>
      <c r="O44" s="73"/>
      <c r="P44" s="73">
        <v>5</v>
      </c>
      <c r="Q44" s="81" t="s">
        <v>349</v>
      </c>
      <c r="R44" s="85">
        <v>0.46</v>
      </c>
      <c r="S44" s="86">
        <f t="shared" si="7"/>
        <v>4.1441441441441441E-2</v>
      </c>
      <c r="V44" s="73">
        <v>5</v>
      </c>
      <c r="W44" s="82" t="s">
        <v>129</v>
      </c>
      <c r="X44" s="73">
        <v>0.32</v>
      </c>
      <c r="Y44" s="93">
        <v>4.7500000000000001E-2</v>
      </c>
      <c r="AC44" s="73">
        <v>5</v>
      </c>
      <c r="AD44" s="73" t="s">
        <v>114</v>
      </c>
      <c r="AE44" s="74">
        <v>0.57999999999999996</v>
      </c>
      <c r="AF44" s="75">
        <v>3.2500000000000001E-2</v>
      </c>
      <c r="AG44" s="77"/>
      <c r="AH44" s="77">
        <v>-0.38297872340425498</v>
      </c>
      <c r="AK44" s="73"/>
      <c r="AL44" s="73"/>
      <c r="AM44" s="74"/>
      <c r="AN44" s="75"/>
    </row>
    <row r="45" spans="2:41" ht="15">
      <c r="B45" s="73">
        <v>6</v>
      </c>
      <c r="C45" s="73" t="s">
        <v>103</v>
      </c>
      <c r="D45" s="74">
        <v>0.53</v>
      </c>
      <c r="E45" s="75">
        <v>2.9499999999999998E-2</v>
      </c>
      <c r="F45" s="77">
        <f>D45/0.78-1</f>
        <v>-0.32051282051282048</v>
      </c>
      <c r="G45" s="77">
        <f>D45/D65-1</f>
        <v>-0.66025641025641024</v>
      </c>
      <c r="H45" s="79"/>
      <c r="J45" s="73">
        <v>6</v>
      </c>
      <c r="K45" s="73" t="s">
        <v>129</v>
      </c>
      <c r="L45" s="81">
        <v>1.89</v>
      </c>
      <c r="M45" s="82">
        <v>3.7999999999999999E-2</v>
      </c>
      <c r="N45" s="79">
        <f>L45/0.36-1</f>
        <v>4.25</v>
      </c>
      <c r="O45" s="73"/>
      <c r="P45" s="73">
        <v>6</v>
      </c>
      <c r="Q45" s="81" t="s">
        <v>103</v>
      </c>
      <c r="R45" s="85">
        <v>0.44</v>
      </c>
      <c r="S45" s="86">
        <f t="shared" si="7"/>
        <v>3.9639639639639644E-2</v>
      </c>
      <c r="V45" s="73">
        <v>6</v>
      </c>
      <c r="W45" s="82" t="s">
        <v>116</v>
      </c>
      <c r="X45" s="73">
        <v>0.11</v>
      </c>
      <c r="Y45" s="93">
        <v>1.6E-2</v>
      </c>
      <c r="AC45" s="73"/>
      <c r="AD45" s="73" t="s">
        <v>39</v>
      </c>
      <c r="AE45" s="74">
        <f>AE46-SUM(AE40:AE44)</f>
        <v>2.6699999999999982</v>
      </c>
      <c r="AF45" s="75">
        <f>AE45/AE46</f>
        <v>0.14833333333333323</v>
      </c>
      <c r="AG45" s="76"/>
      <c r="AH45" s="77">
        <f>AE45/AE67-1</f>
        <v>-0.51978417266187071</v>
      </c>
      <c r="AK45" s="73"/>
      <c r="AL45" s="73"/>
      <c r="AM45" s="74"/>
      <c r="AN45" s="75"/>
      <c r="AO45" s="76"/>
    </row>
    <row r="46" spans="2:41" ht="15">
      <c r="B46" s="73">
        <v>7</v>
      </c>
      <c r="C46" s="73" t="s">
        <v>349</v>
      </c>
      <c r="D46" s="74">
        <v>0.46</v>
      </c>
      <c r="E46" s="75">
        <v>2.58E-2</v>
      </c>
      <c r="F46" s="77">
        <f>D46/0.08-1</f>
        <v>4.75</v>
      </c>
      <c r="G46" s="77">
        <f>D46/D70-1</f>
        <v>-0.26984126984126977</v>
      </c>
      <c r="H46" s="79"/>
      <c r="J46" s="73">
        <v>7</v>
      </c>
      <c r="K46" s="73" t="s">
        <v>114</v>
      </c>
      <c r="L46" s="81">
        <v>1.52</v>
      </c>
      <c r="M46" s="82">
        <v>3.0499999999999999E-2</v>
      </c>
      <c r="N46" s="79">
        <f>L46/0.8-1</f>
        <v>0.89999999999999991</v>
      </c>
      <c r="O46" s="73"/>
      <c r="P46" s="73">
        <v>7</v>
      </c>
      <c r="Q46" s="81" t="s">
        <v>350</v>
      </c>
      <c r="R46" s="87">
        <v>0.3</v>
      </c>
      <c r="S46" s="86">
        <f t="shared" si="7"/>
        <v>2.7027027027027029E-2</v>
      </c>
      <c r="V46" s="73">
        <v>7</v>
      </c>
      <c r="W46" s="82" t="s">
        <v>103</v>
      </c>
      <c r="X46" s="88">
        <v>0.08</v>
      </c>
      <c r="Y46" s="93">
        <v>1.23E-2</v>
      </c>
      <c r="AC46" s="73"/>
      <c r="AD46" s="73" t="s">
        <v>48</v>
      </c>
      <c r="AE46" s="74">
        <v>18</v>
      </c>
      <c r="AF46" s="75">
        <v>1</v>
      </c>
      <c r="AG46" s="76"/>
      <c r="AH46" s="77">
        <f>AE46/AE68-1</f>
        <v>-0.44272445820433437</v>
      </c>
      <c r="AK46" s="73"/>
      <c r="AL46" s="73"/>
      <c r="AM46" s="74"/>
      <c r="AN46" s="75"/>
      <c r="AO46" s="76"/>
    </row>
    <row r="47" spans="2:41" ht="15">
      <c r="B47" s="73">
        <v>8</v>
      </c>
      <c r="C47" s="73" t="s">
        <v>129</v>
      </c>
      <c r="D47" s="74">
        <v>0.42</v>
      </c>
      <c r="E47" s="75">
        <v>2.35E-2</v>
      </c>
      <c r="F47" s="77">
        <f>D47/0.2-1</f>
        <v>1.0999999999999996</v>
      </c>
      <c r="G47" s="77">
        <f>D47/D66-1</f>
        <v>-0.7142857142857143</v>
      </c>
      <c r="H47" s="79"/>
      <c r="J47" s="73">
        <v>8</v>
      </c>
      <c r="K47" s="73" t="s">
        <v>101</v>
      </c>
      <c r="L47" s="81">
        <v>1.22</v>
      </c>
      <c r="M47" s="82">
        <v>2.4400000000000002E-2</v>
      </c>
      <c r="N47" s="79">
        <f>L47/0.72-1</f>
        <v>0.69444444444444442</v>
      </c>
      <c r="O47" s="73"/>
      <c r="P47" s="73">
        <v>8</v>
      </c>
      <c r="Q47" s="81" t="s">
        <v>114</v>
      </c>
      <c r="R47" s="87">
        <v>0.24</v>
      </c>
      <c r="S47" s="86">
        <f t="shared" si="7"/>
        <v>2.1621621621621623E-2</v>
      </c>
      <c r="V47" s="73">
        <v>8</v>
      </c>
      <c r="W47" s="82" t="s">
        <v>108</v>
      </c>
      <c r="X47" s="73">
        <v>0.08</v>
      </c>
      <c r="Y47" s="93">
        <v>1.2E-2</v>
      </c>
      <c r="AC47" s="73"/>
      <c r="AD47" s="73"/>
      <c r="AE47" s="73"/>
      <c r="AF47" s="73"/>
      <c r="AG47" s="86"/>
      <c r="AH47" s="86"/>
      <c r="AI47" s="86"/>
      <c r="AJ47" s="22"/>
    </row>
    <row r="48" spans="2:41" ht="15">
      <c r="B48" s="73">
        <v>9</v>
      </c>
      <c r="C48" s="73" t="s">
        <v>101</v>
      </c>
      <c r="D48" s="74">
        <v>0.36</v>
      </c>
      <c r="E48" s="75">
        <v>0.02</v>
      </c>
      <c r="F48" s="77">
        <f>D48/0.5-1</f>
        <v>-0.28000000000000003</v>
      </c>
      <c r="G48" s="77">
        <f>D48/D69-1</f>
        <v>-0.58139534883720934</v>
      </c>
      <c r="H48" s="79"/>
      <c r="J48" s="73">
        <v>9</v>
      </c>
      <c r="K48" s="73" t="s">
        <v>336</v>
      </c>
      <c r="L48" s="81">
        <v>1.0900000000000001</v>
      </c>
      <c r="M48" s="82">
        <v>2.1999999999999999E-2</v>
      </c>
      <c r="N48" s="79">
        <f>L48/0.1-1</f>
        <v>9.9</v>
      </c>
      <c r="O48" s="73"/>
      <c r="P48" s="73">
        <v>9</v>
      </c>
      <c r="Q48" s="81" t="s">
        <v>337</v>
      </c>
      <c r="R48" s="85">
        <v>0.11</v>
      </c>
      <c r="S48" s="86">
        <f t="shared" si="7"/>
        <v>9.909909909909911E-3</v>
      </c>
      <c r="V48" s="73">
        <v>9</v>
      </c>
      <c r="W48" s="82" t="s">
        <v>337</v>
      </c>
      <c r="X48" s="73">
        <v>7.0000000000000007E-2</v>
      </c>
      <c r="Y48" s="93">
        <v>9.7999999999999997E-3</v>
      </c>
      <c r="AC48" s="73"/>
      <c r="AD48" s="73"/>
      <c r="AE48" s="73"/>
      <c r="AF48" s="73"/>
      <c r="AG48" s="86"/>
      <c r="AH48" s="86"/>
      <c r="AI48" s="86"/>
      <c r="AJ48" s="22"/>
    </row>
    <row r="49" spans="2:41" ht="15">
      <c r="B49" s="73">
        <v>10</v>
      </c>
      <c r="C49" s="22" t="s">
        <v>350</v>
      </c>
      <c r="D49" s="74">
        <v>0.3</v>
      </c>
      <c r="E49" s="75">
        <v>1.7000000000000001E-2</v>
      </c>
      <c r="F49" s="77"/>
      <c r="G49" s="77">
        <f>D49/D73-1</f>
        <v>-3.2258064516129115E-2</v>
      </c>
      <c r="H49" s="79"/>
      <c r="J49" s="73">
        <v>10</v>
      </c>
      <c r="K49" s="22" t="s">
        <v>350</v>
      </c>
      <c r="L49" s="81">
        <v>0.61</v>
      </c>
      <c r="M49" s="82">
        <v>1.23E-2</v>
      </c>
      <c r="N49" s="69">
        <v>0</v>
      </c>
      <c r="O49" s="73"/>
      <c r="P49" s="73">
        <v>10</v>
      </c>
      <c r="Q49" s="81" t="s">
        <v>352</v>
      </c>
      <c r="R49" s="87">
        <v>0.1</v>
      </c>
      <c r="S49" s="86">
        <f t="shared" si="7"/>
        <v>9.0090090090090089E-3</v>
      </c>
      <c r="V49" s="73">
        <v>10</v>
      </c>
      <c r="W49" s="82" t="s">
        <v>336</v>
      </c>
      <c r="X49" s="88">
        <v>0</v>
      </c>
      <c r="Y49" s="93">
        <v>4.0000000000000002E-4</v>
      </c>
      <c r="AC49" s="73"/>
      <c r="AD49" s="73"/>
      <c r="AE49" s="73"/>
      <c r="AF49" s="73"/>
      <c r="AG49" s="86"/>
      <c r="AH49" s="86"/>
      <c r="AI49" s="86"/>
      <c r="AJ49" s="22"/>
    </row>
    <row r="50" spans="2:41" ht="15">
      <c r="B50" s="73">
        <v>11</v>
      </c>
      <c r="C50" s="73" t="s">
        <v>337</v>
      </c>
      <c r="D50" s="74">
        <v>0.18</v>
      </c>
      <c r="E50" s="75">
        <v>1.01E-2</v>
      </c>
      <c r="F50" s="77">
        <f>D50/0.03-1</f>
        <v>5</v>
      </c>
      <c r="G50" s="77">
        <f>D50/D71-1</f>
        <v>-0.55000000000000004</v>
      </c>
      <c r="J50" s="73">
        <v>11</v>
      </c>
      <c r="K50" s="73" t="s">
        <v>337</v>
      </c>
      <c r="L50" s="81">
        <v>0.57999999999999996</v>
      </c>
      <c r="M50" s="83">
        <v>1.1599999999999999E-2</v>
      </c>
      <c r="N50" s="79">
        <f>L50/0.13-1</f>
        <v>3.4615384615384608</v>
      </c>
      <c r="O50" s="73"/>
      <c r="P50" s="73">
        <v>11</v>
      </c>
      <c r="Q50" s="81" t="s">
        <v>129</v>
      </c>
      <c r="R50" s="87">
        <v>0.1</v>
      </c>
      <c r="S50" s="86">
        <f t="shared" si="7"/>
        <v>9.0090090090090089E-3</v>
      </c>
      <c r="V50" s="73">
        <v>11</v>
      </c>
      <c r="W50" s="82" t="s">
        <v>356</v>
      </c>
      <c r="X50" s="88">
        <v>0</v>
      </c>
      <c r="Y50" s="93">
        <v>2.9999999999999997E-4</v>
      </c>
      <c r="AC50" s="73"/>
      <c r="AD50" s="73"/>
      <c r="AE50" s="73"/>
      <c r="AF50" s="73"/>
      <c r="AG50" s="86"/>
      <c r="AH50" s="86"/>
      <c r="AI50" s="86"/>
      <c r="AJ50" s="22"/>
    </row>
    <row r="51" spans="2:41" ht="15">
      <c r="B51" s="73">
        <v>12</v>
      </c>
      <c r="C51" s="73" t="s">
        <v>352</v>
      </c>
      <c r="D51" s="74">
        <v>0.1</v>
      </c>
      <c r="E51" s="75">
        <v>5.7000000000000002E-3</v>
      </c>
      <c r="F51" s="77"/>
      <c r="G51" s="77">
        <f>D51/D75-1</f>
        <v>-0.52380952380952372</v>
      </c>
      <c r="J51" s="73">
        <v>12</v>
      </c>
      <c r="K51" s="73" t="s">
        <v>108</v>
      </c>
      <c r="L51" s="81">
        <v>0.44</v>
      </c>
      <c r="M51" s="83">
        <v>8.8000000000000005E-3</v>
      </c>
      <c r="N51" s="79">
        <f>L51/0.34-1</f>
        <v>0.29411764705882337</v>
      </c>
      <c r="O51" s="73"/>
      <c r="P51" s="73">
        <v>12</v>
      </c>
      <c r="Q51" s="81" t="s">
        <v>355</v>
      </c>
      <c r="R51" s="85">
        <v>0.01</v>
      </c>
      <c r="S51" s="86">
        <f t="shared" si="7"/>
        <v>9.0090090090090091E-4</v>
      </c>
      <c r="V51" s="73">
        <v>12</v>
      </c>
      <c r="W51" s="82" t="s">
        <v>357</v>
      </c>
      <c r="X51" s="88">
        <v>0</v>
      </c>
      <c r="Y51" s="93">
        <v>2.9999999999999997E-4</v>
      </c>
      <c r="AC51" s="73"/>
      <c r="AD51" s="73"/>
      <c r="AE51" s="73"/>
      <c r="AF51" s="73"/>
      <c r="AG51" s="86"/>
      <c r="AH51" s="86"/>
      <c r="AI51" s="86"/>
      <c r="AJ51" s="22"/>
    </row>
    <row r="52" spans="2:41" ht="15">
      <c r="B52" s="73">
        <v>13</v>
      </c>
      <c r="C52" s="73" t="s">
        <v>108</v>
      </c>
      <c r="D52" s="74">
        <v>0.08</v>
      </c>
      <c r="E52" s="75">
        <v>4.5999999999999999E-3</v>
      </c>
      <c r="F52" s="77">
        <f>D52/0.19-1</f>
        <v>-0.57894736842105265</v>
      </c>
      <c r="G52" s="77">
        <f>D52/D72-1</f>
        <v>-0.77777777777777779</v>
      </c>
      <c r="J52" s="73">
        <v>13</v>
      </c>
      <c r="K52" s="73" t="s">
        <v>352</v>
      </c>
      <c r="L52" s="81">
        <v>0.31</v>
      </c>
      <c r="M52" s="83">
        <v>6.3E-3</v>
      </c>
      <c r="N52" s="79">
        <f>L52/0.1-1</f>
        <v>2.0999999999999996</v>
      </c>
      <c r="O52" s="73"/>
      <c r="P52" s="73">
        <v>13</v>
      </c>
      <c r="Q52" s="81" t="s">
        <v>354</v>
      </c>
      <c r="R52" s="85">
        <v>0.01</v>
      </c>
      <c r="S52" s="86">
        <f t="shared" si="7"/>
        <v>9.0090090090090091E-4</v>
      </c>
      <c r="V52" s="73">
        <v>13</v>
      </c>
      <c r="W52" s="82" t="s">
        <v>353</v>
      </c>
      <c r="X52" s="88">
        <v>0</v>
      </c>
      <c r="Y52" s="93">
        <v>1E-4</v>
      </c>
      <c r="AC52" s="73"/>
      <c r="AD52" s="73"/>
      <c r="AE52" s="73"/>
      <c r="AF52" s="73"/>
      <c r="AG52" s="86"/>
      <c r="AH52" s="86"/>
      <c r="AI52" s="86"/>
      <c r="AJ52" s="22"/>
    </row>
    <row r="53" spans="2:41" ht="15">
      <c r="B53" s="73">
        <v>14</v>
      </c>
      <c r="C53" s="73" t="s">
        <v>355</v>
      </c>
      <c r="D53" s="74">
        <v>0.01</v>
      </c>
      <c r="E53" s="75">
        <v>5.9999999999999995E-4</v>
      </c>
      <c r="F53" s="77"/>
      <c r="G53" s="77">
        <f>D53/0.02-1</f>
        <v>-0.5</v>
      </c>
      <c r="J53" s="73">
        <v>14</v>
      </c>
      <c r="K53" s="73" t="s">
        <v>363</v>
      </c>
      <c r="L53" s="81">
        <v>0.04</v>
      </c>
      <c r="M53" s="83">
        <v>8.9999999999999998E-4</v>
      </c>
      <c r="N53" s="79"/>
      <c r="O53" s="73"/>
      <c r="P53" s="73">
        <v>14</v>
      </c>
      <c r="Q53" s="81" t="s">
        <v>363</v>
      </c>
      <c r="R53" s="85">
        <v>0.01</v>
      </c>
      <c r="S53" s="86">
        <f t="shared" si="7"/>
        <v>9.0090090090090091E-4</v>
      </c>
      <c r="V53" s="73">
        <v>14</v>
      </c>
      <c r="W53" s="82" t="s">
        <v>364</v>
      </c>
      <c r="X53" s="88">
        <v>0</v>
      </c>
      <c r="Y53" s="93">
        <v>0</v>
      </c>
      <c r="AC53" s="73"/>
      <c r="AD53" s="73"/>
      <c r="AE53" s="73"/>
      <c r="AF53" s="73"/>
      <c r="AG53" s="86"/>
      <c r="AH53" s="86"/>
      <c r="AI53" s="86"/>
      <c r="AJ53" s="22"/>
    </row>
    <row r="54" spans="2:41" ht="15">
      <c r="B54" s="73">
        <v>15</v>
      </c>
      <c r="C54" s="73" t="s">
        <v>354</v>
      </c>
      <c r="D54" s="74">
        <v>0.01</v>
      </c>
      <c r="E54" s="75">
        <v>5.9999999999999995E-4</v>
      </c>
      <c r="F54" s="77"/>
      <c r="G54" s="77">
        <f>D54/0.02-1</f>
        <v>-0.5</v>
      </c>
      <c r="J54" s="73">
        <v>15</v>
      </c>
      <c r="K54" s="73" t="s">
        <v>354</v>
      </c>
      <c r="L54" s="81">
        <v>0.03</v>
      </c>
      <c r="M54" s="83">
        <v>5.9999999999999995E-4</v>
      </c>
      <c r="N54" s="79"/>
      <c r="O54" s="73"/>
      <c r="P54" s="73">
        <v>15</v>
      </c>
      <c r="Q54" s="81" t="s">
        <v>365</v>
      </c>
      <c r="R54" s="87">
        <v>0</v>
      </c>
      <c r="S54" s="86">
        <f t="shared" si="7"/>
        <v>0</v>
      </c>
      <c r="V54" s="73">
        <v>15</v>
      </c>
      <c r="W54" s="82" t="s">
        <v>366</v>
      </c>
      <c r="X54" s="88">
        <v>0</v>
      </c>
      <c r="Y54" s="93">
        <v>0</v>
      </c>
      <c r="AC54" s="73"/>
      <c r="AD54" s="73"/>
      <c r="AE54" s="73"/>
      <c r="AF54" s="73"/>
      <c r="AG54" s="86"/>
      <c r="AH54" s="86"/>
      <c r="AI54" s="86"/>
      <c r="AJ54" s="22"/>
    </row>
    <row r="55" spans="2:41">
      <c r="B55" s="73"/>
      <c r="C55" s="73" t="s">
        <v>39</v>
      </c>
      <c r="D55" s="74">
        <f>D56-SUM(D40:D54)</f>
        <v>0.21999999999999531</v>
      </c>
      <c r="E55" s="75">
        <f>E56-SUM(E40:E54)</f>
        <v>1.9999999999998908E-3</v>
      </c>
      <c r="F55" s="76"/>
      <c r="G55" s="77">
        <f>D55/D77-1</f>
        <v>0.29411764705878296</v>
      </c>
      <c r="J55" s="73"/>
      <c r="K55" s="73" t="s">
        <v>39</v>
      </c>
      <c r="L55" s="74">
        <f>L56-SUM(L40:L54)</f>
        <v>0.68999999999999062</v>
      </c>
      <c r="M55" s="83">
        <f>M56-SUM(M40:M54)</f>
        <v>3.6999999999999256E-3</v>
      </c>
      <c r="N55" s="79"/>
      <c r="Q55" s="73" t="s">
        <v>39</v>
      </c>
      <c r="R55" s="74">
        <f>R56-SUM(R40:R54)</f>
        <v>9.9999999999999645E-2</v>
      </c>
      <c r="S55" s="86">
        <f t="shared" si="7"/>
        <v>9.0090090090089777E-3</v>
      </c>
      <c r="V55" s="82"/>
      <c r="W55" s="73" t="s">
        <v>39</v>
      </c>
      <c r="X55" s="74">
        <v>0</v>
      </c>
      <c r="Y55" s="93">
        <f>X55/X$100</f>
        <v>0</v>
      </c>
    </row>
    <row r="56" spans="2:41">
      <c r="B56" s="73"/>
      <c r="C56" s="73" t="s">
        <v>48</v>
      </c>
      <c r="D56" s="74">
        <v>18</v>
      </c>
      <c r="E56" s="75">
        <f>D56/D56</f>
        <v>1</v>
      </c>
      <c r="F56" s="76">
        <f>D56/21.79-1</f>
        <v>-0.17393299678751717</v>
      </c>
      <c r="G56" s="77">
        <f>D56/D78-1</f>
        <v>-0.44272445820433437</v>
      </c>
      <c r="J56" s="73"/>
      <c r="K56" s="73" t="s">
        <v>48</v>
      </c>
      <c r="L56" s="81">
        <v>50.3</v>
      </c>
      <c r="M56" s="83">
        <v>1</v>
      </c>
      <c r="N56" s="79"/>
      <c r="Q56" s="73" t="s">
        <v>48</v>
      </c>
      <c r="R56" s="81">
        <v>11.1</v>
      </c>
      <c r="S56" s="86">
        <f t="shared" si="7"/>
        <v>1</v>
      </c>
      <c r="T56" s="79"/>
      <c r="W56" s="73" t="s">
        <v>48</v>
      </c>
      <c r="X56" s="81">
        <v>6.9</v>
      </c>
      <c r="Y56" s="83">
        <v>1</v>
      </c>
      <c r="Z56" s="79"/>
    </row>
    <row r="57" spans="2:41">
      <c r="B57" s="72"/>
      <c r="C57" s="73"/>
      <c r="D57" s="74"/>
      <c r="E57" s="75"/>
      <c r="F57" s="76"/>
      <c r="G57" s="77"/>
      <c r="J57" s="72"/>
      <c r="K57" s="22"/>
      <c r="L57" s="22"/>
      <c r="M57" s="22"/>
      <c r="P57" s="72"/>
      <c r="V57" s="72"/>
      <c r="AC57" s="72"/>
      <c r="AD57" s="22"/>
      <c r="AE57" s="22"/>
      <c r="AF57" s="22"/>
      <c r="AG57" s="22"/>
      <c r="AH57" s="22"/>
      <c r="AK57" s="72"/>
      <c r="AL57" s="22"/>
      <c r="AM57" s="22"/>
      <c r="AN57" s="22"/>
      <c r="AO57" s="22"/>
    </row>
    <row r="58" spans="2:41">
      <c r="B58" s="72"/>
      <c r="C58" s="73"/>
      <c r="D58" s="74"/>
      <c r="E58" s="75"/>
      <c r="F58" s="76"/>
      <c r="G58" s="77"/>
      <c r="J58" s="72"/>
      <c r="K58" s="22"/>
      <c r="L58" s="22"/>
      <c r="M58" s="22"/>
      <c r="P58" s="72"/>
      <c r="V58" s="72"/>
      <c r="AC58" s="72"/>
      <c r="AD58" s="22"/>
      <c r="AE58" s="22"/>
      <c r="AF58" s="22"/>
      <c r="AG58" s="22"/>
      <c r="AH58" s="22"/>
      <c r="AK58" s="72"/>
      <c r="AL58" s="22"/>
      <c r="AM58" s="22"/>
      <c r="AN58" s="22"/>
      <c r="AO58" s="22"/>
    </row>
    <row r="59" spans="2:41">
      <c r="B59" s="72"/>
      <c r="C59" s="73"/>
      <c r="D59" s="74"/>
      <c r="E59" s="75"/>
      <c r="F59" s="76"/>
      <c r="G59" s="77"/>
      <c r="J59" s="72"/>
      <c r="K59" s="22"/>
      <c r="L59" s="22"/>
      <c r="M59" s="22"/>
      <c r="P59" s="72"/>
      <c r="V59" s="72"/>
      <c r="AC59" s="72"/>
      <c r="AD59" s="22"/>
      <c r="AE59" s="22"/>
      <c r="AF59" s="22"/>
      <c r="AG59" s="22"/>
      <c r="AH59" s="22"/>
      <c r="AK59" s="72"/>
      <c r="AL59" s="22"/>
      <c r="AM59" s="22"/>
      <c r="AN59" s="22"/>
      <c r="AO59" s="22"/>
    </row>
    <row r="60" spans="2:41">
      <c r="B60" s="72" t="s">
        <v>367</v>
      </c>
      <c r="C60" s="73"/>
      <c r="D60" s="74"/>
      <c r="E60" s="75"/>
      <c r="F60" s="76"/>
      <c r="G60" s="77"/>
      <c r="J60" s="72"/>
      <c r="K60" s="22"/>
      <c r="L60" s="22"/>
      <c r="M60" s="22"/>
      <c r="P60" s="72" t="s">
        <v>368</v>
      </c>
      <c r="V60" s="72" t="s">
        <v>369</v>
      </c>
      <c r="AC60" s="72" t="s">
        <v>367</v>
      </c>
      <c r="AD60" s="22"/>
      <c r="AE60" s="22"/>
      <c r="AF60" s="22"/>
      <c r="AG60" s="22"/>
      <c r="AH60" s="22"/>
      <c r="AK60" s="72"/>
      <c r="AL60" s="22"/>
      <c r="AM60" s="22"/>
      <c r="AN60" s="22"/>
      <c r="AO60" s="22"/>
    </row>
    <row r="61" spans="2:41" ht="32">
      <c r="B61" s="73" t="s">
        <v>342</v>
      </c>
      <c r="C61" s="73" t="s">
        <v>343</v>
      </c>
      <c r="D61" s="78" t="s">
        <v>344</v>
      </c>
      <c r="E61" s="73" t="s">
        <v>345</v>
      </c>
      <c r="F61" s="73" t="s">
        <v>32</v>
      </c>
      <c r="G61" s="73" t="s">
        <v>33</v>
      </c>
      <c r="J61" s="73"/>
      <c r="K61" s="73"/>
      <c r="L61" s="78"/>
      <c r="M61" s="73"/>
      <c r="N61" s="73"/>
      <c r="P61" s="73" t="s">
        <v>342</v>
      </c>
      <c r="Q61" s="73" t="s">
        <v>343</v>
      </c>
      <c r="R61" s="74" t="s">
        <v>348</v>
      </c>
      <c r="S61" s="82" t="s">
        <v>345</v>
      </c>
      <c r="T61" s="73" t="s">
        <v>32</v>
      </c>
      <c r="V61" s="73" t="s">
        <v>342</v>
      </c>
      <c r="W61" s="82" t="s">
        <v>343</v>
      </c>
      <c r="X61" s="73" t="s">
        <v>348</v>
      </c>
      <c r="Y61" s="81" t="s">
        <v>345</v>
      </c>
      <c r="Z61" s="73" t="s">
        <v>32</v>
      </c>
      <c r="AC61" s="73" t="s">
        <v>342</v>
      </c>
      <c r="AD61" s="73" t="s">
        <v>343</v>
      </c>
      <c r="AE61" s="78" t="s">
        <v>344</v>
      </c>
      <c r="AF61" s="73" t="s">
        <v>345</v>
      </c>
      <c r="AG61" s="73" t="s">
        <v>32</v>
      </c>
      <c r="AH61" s="73" t="s">
        <v>33</v>
      </c>
      <c r="AK61" s="73"/>
      <c r="AL61" s="73"/>
      <c r="AM61" s="78"/>
      <c r="AN61" s="73"/>
    </row>
    <row r="62" spans="2:41" ht="15">
      <c r="B62" s="73">
        <v>1</v>
      </c>
      <c r="C62" s="73" t="s">
        <v>98</v>
      </c>
      <c r="D62" s="74">
        <v>15.96</v>
      </c>
      <c r="E62" s="75">
        <v>0.49409999999999998</v>
      </c>
      <c r="F62" s="77">
        <v>1.2259414225941401</v>
      </c>
      <c r="G62" s="77">
        <v>-0.25140712945590998</v>
      </c>
      <c r="H62" s="79">
        <v>0.60699999999999998</v>
      </c>
      <c r="J62" s="73"/>
      <c r="K62" s="73"/>
      <c r="L62" s="81"/>
      <c r="M62" s="82"/>
      <c r="N62" s="79"/>
      <c r="O62" s="73"/>
      <c r="P62" s="73">
        <v>1</v>
      </c>
      <c r="Q62" s="81" t="s">
        <v>98</v>
      </c>
      <c r="R62" s="85">
        <v>7.84</v>
      </c>
      <c r="S62" s="86">
        <f>R62/R$78</f>
        <v>0.39796954314720812</v>
      </c>
      <c r="V62" s="73">
        <v>1</v>
      </c>
      <c r="W62" s="82" t="s">
        <v>98</v>
      </c>
      <c r="X62" s="73">
        <v>8.1199999999999992</v>
      </c>
      <c r="Y62" s="93">
        <v>0.64439999999999997</v>
      </c>
      <c r="AC62" s="73">
        <v>1</v>
      </c>
      <c r="AD62" s="73" t="s">
        <v>98</v>
      </c>
      <c r="AE62" s="74">
        <v>15.96</v>
      </c>
      <c r="AF62" s="75">
        <v>0.49409999999999998</v>
      </c>
      <c r="AG62" s="77">
        <v>1.2259414225941401</v>
      </c>
      <c r="AH62" s="77">
        <v>-0.25140712945590998</v>
      </c>
      <c r="AK62" s="73"/>
      <c r="AL62" s="73"/>
      <c r="AM62" s="74"/>
      <c r="AN62" s="75"/>
    </row>
    <row r="63" spans="2:41" ht="15">
      <c r="B63" s="73">
        <v>2</v>
      </c>
      <c r="C63" s="73" t="s">
        <v>96</v>
      </c>
      <c r="D63" s="74">
        <v>6</v>
      </c>
      <c r="E63" s="75">
        <v>0.18579999999999999</v>
      </c>
      <c r="F63" s="77">
        <v>8.8929219600726098E-2</v>
      </c>
      <c r="G63" s="77">
        <v>-0.45454545454545497</v>
      </c>
      <c r="J63" s="73"/>
      <c r="K63" s="73"/>
      <c r="L63" s="81"/>
      <c r="M63" s="82"/>
      <c r="N63" s="79"/>
      <c r="O63" s="73"/>
      <c r="P63" s="73">
        <v>2</v>
      </c>
      <c r="Q63" s="81" t="s">
        <v>96</v>
      </c>
      <c r="R63" s="85">
        <v>6</v>
      </c>
      <c r="S63" s="86">
        <f t="shared" ref="S63:S78" si="8">R63/R$78</f>
        <v>0.30456852791878175</v>
      </c>
      <c r="V63" s="73">
        <v>2</v>
      </c>
      <c r="W63" s="82" t="s">
        <v>129</v>
      </c>
      <c r="X63" s="73">
        <v>1</v>
      </c>
      <c r="Y63" s="93">
        <v>7.9200000000000007E-2</v>
      </c>
      <c r="AC63" s="73">
        <v>2</v>
      </c>
      <c r="AD63" s="73" t="s">
        <v>96</v>
      </c>
      <c r="AE63" s="74">
        <v>6</v>
      </c>
      <c r="AF63" s="75">
        <v>0.18579999999999999</v>
      </c>
      <c r="AG63" s="77">
        <v>8.8929219600726098E-2</v>
      </c>
      <c r="AH63" s="77">
        <v>-0.45454545454545497</v>
      </c>
      <c r="AK63" s="73"/>
      <c r="AL63" s="73"/>
      <c r="AM63" s="74"/>
      <c r="AN63" s="75"/>
    </row>
    <row r="64" spans="2:41">
      <c r="B64" s="73">
        <v>3</v>
      </c>
      <c r="C64" s="73" t="s">
        <v>109</v>
      </c>
      <c r="D64" s="74">
        <v>1.75</v>
      </c>
      <c r="E64" s="75">
        <v>5.4199999999999998E-2</v>
      </c>
      <c r="F64" s="77">
        <v>1.21518987341772</v>
      </c>
      <c r="G64" s="77">
        <v>-0.428104575163399</v>
      </c>
      <c r="J64" s="73"/>
      <c r="K64" s="73"/>
      <c r="L64" s="81"/>
      <c r="M64" s="82"/>
      <c r="N64" s="79"/>
      <c r="O64" s="73"/>
      <c r="P64" s="73">
        <v>3</v>
      </c>
      <c r="Q64" s="81" t="s">
        <v>103</v>
      </c>
      <c r="R64" s="87">
        <v>1.38</v>
      </c>
      <c r="S64" s="86">
        <f t="shared" si="8"/>
        <v>7.0050761421319788E-2</v>
      </c>
      <c r="V64" s="73">
        <v>3</v>
      </c>
      <c r="W64" s="73" t="s">
        <v>109</v>
      </c>
      <c r="X64" s="73">
        <v>0.95</v>
      </c>
      <c r="Y64" s="93">
        <v>7.4999999999999997E-2</v>
      </c>
      <c r="AC64" s="73">
        <v>3</v>
      </c>
      <c r="AD64" s="73" t="s">
        <v>109</v>
      </c>
      <c r="AE64" s="74">
        <v>1.75</v>
      </c>
      <c r="AF64" s="75">
        <v>5.4199999999999998E-2</v>
      </c>
      <c r="AG64" s="77">
        <v>1.21518987341772</v>
      </c>
      <c r="AH64" s="77">
        <v>-0.428104575163399</v>
      </c>
      <c r="AK64" s="73"/>
      <c r="AL64" s="73"/>
      <c r="AM64" s="74"/>
      <c r="AN64" s="75"/>
    </row>
    <row r="65" spans="2:41" ht="15">
      <c r="B65" s="73">
        <v>4</v>
      </c>
      <c r="C65" s="73" t="s">
        <v>103</v>
      </c>
      <c r="D65" s="74">
        <v>1.56</v>
      </c>
      <c r="E65" s="75">
        <v>4.8300000000000003E-2</v>
      </c>
      <c r="F65" s="77">
        <v>1.55737704918033</v>
      </c>
      <c r="G65" s="77">
        <v>-0.22772277227722801</v>
      </c>
      <c r="J65" s="73"/>
      <c r="K65" s="73"/>
      <c r="L65" s="81"/>
      <c r="M65" s="82"/>
      <c r="N65" s="79"/>
      <c r="O65" s="73"/>
      <c r="P65" s="73">
        <v>4</v>
      </c>
      <c r="Q65" s="81" t="s">
        <v>116</v>
      </c>
      <c r="R65" s="85">
        <v>1.1100000000000001</v>
      </c>
      <c r="S65" s="86">
        <f t="shared" si="8"/>
        <v>5.6345177664974627E-2</v>
      </c>
      <c r="V65" s="73">
        <v>4</v>
      </c>
      <c r="W65" s="82" t="s">
        <v>101</v>
      </c>
      <c r="X65" s="73">
        <v>0.86</v>
      </c>
      <c r="Y65" s="93">
        <v>6.83E-2</v>
      </c>
      <c r="AC65" s="73">
        <v>4</v>
      </c>
      <c r="AD65" s="73" t="s">
        <v>103</v>
      </c>
      <c r="AE65" s="74">
        <v>1.56</v>
      </c>
      <c r="AF65" s="75">
        <v>4.8300000000000003E-2</v>
      </c>
      <c r="AG65" s="77">
        <v>1.55737704918033</v>
      </c>
      <c r="AH65" s="77">
        <v>-0.22772277227722801</v>
      </c>
      <c r="AK65" s="73"/>
      <c r="AL65" s="73"/>
      <c r="AM65" s="74"/>
      <c r="AN65" s="75"/>
    </row>
    <row r="66" spans="2:41" ht="15">
      <c r="B66" s="73">
        <v>5</v>
      </c>
      <c r="C66" s="73" t="s">
        <v>370</v>
      </c>
      <c r="D66" s="74">
        <v>1.47</v>
      </c>
      <c r="E66" s="75">
        <v>4.5600000000000002E-2</v>
      </c>
      <c r="F66" s="77">
        <v>8.8000000000000007</v>
      </c>
      <c r="G66" s="77">
        <v>-2.6490066225165601E-2</v>
      </c>
      <c r="J66" s="73"/>
      <c r="K66" s="73"/>
      <c r="L66" s="81"/>
      <c r="M66" s="82"/>
      <c r="N66" s="79"/>
      <c r="O66" s="73"/>
      <c r="P66" s="73">
        <v>5</v>
      </c>
      <c r="Q66" s="81" t="s">
        <v>109</v>
      </c>
      <c r="R66" s="85">
        <v>0.8</v>
      </c>
      <c r="S66" s="86">
        <f t="shared" si="8"/>
        <v>4.0609137055837567E-2</v>
      </c>
      <c r="V66" s="73">
        <v>5</v>
      </c>
      <c r="W66" s="82" t="s">
        <v>114</v>
      </c>
      <c r="X66" s="73">
        <v>0.42</v>
      </c>
      <c r="Y66" s="93">
        <v>3.3500000000000002E-2</v>
      </c>
      <c r="AC66" s="73">
        <v>5</v>
      </c>
      <c r="AD66" s="73" t="s">
        <v>370</v>
      </c>
      <c r="AE66" s="74">
        <v>1.47</v>
      </c>
      <c r="AF66" s="75">
        <v>4.5600000000000002E-2</v>
      </c>
      <c r="AG66" s="77">
        <v>8.8000000000000007</v>
      </c>
      <c r="AH66" s="77">
        <v>-2.6490066225165601E-2</v>
      </c>
      <c r="AK66" s="73"/>
      <c r="AL66" s="73"/>
      <c r="AM66" s="74"/>
      <c r="AN66" s="75"/>
    </row>
    <row r="67" spans="2:41" ht="15">
      <c r="B67" s="73">
        <v>6</v>
      </c>
      <c r="C67" s="73" t="s">
        <v>116</v>
      </c>
      <c r="D67" s="74">
        <v>1.35</v>
      </c>
      <c r="E67" s="75">
        <v>4.1799999999999997E-2</v>
      </c>
      <c r="F67" s="77">
        <v>1.109375</v>
      </c>
      <c r="G67" s="77">
        <v>-0.37788018433179699</v>
      </c>
      <c r="J67" s="73"/>
      <c r="K67" s="73"/>
      <c r="L67" s="81"/>
      <c r="M67" s="82"/>
      <c r="N67" s="79"/>
      <c r="O67" s="73"/>
      <c r="P67" s="73">
        <v>6</v>
      </c>
      <c r="Q67" s="81" t="s">
        <v>336</v>
      </c>
      <c r="R67" s="85">
        <v>0.63</v>
      </c>
      <c r="S67" s="86">
        <f t="shared" si="8"/>
        <v>3.1979695431472083E-2</v>
      </c>
      <c r="V67" s="73">
        <v>6</v>
      </c>
      <c r="W67" s="82" t="s">
        <v>108</v>
      </c>
      <c r="X67" s="73">
        <v>0.36</v>
      </c>
      <c r="Y67" s="93">
        <v>2.8400000000000002E-2</v>
      </c>
      <c r="AC67" s="73"/>
      <c r="AD67" s="73" t="s">
        <v>39</v>
      </c>
      <c r="AE67" s="74">
        <f>AE68-SUM(AE62:AE66)</f>
        <v>5.5599999999999987</v>
      </c>
      <c r="AF67" s="75">
        <f>AE67/AE68</f>
        <v>0.17213622291021669</v>
      </c>
      <c r="AG67" s="76"/>
      <c r="AH67" s="77">
        <f>AE67/AE89-1</f>
        <v>-0.29886506935687274</v>
      </c>
      <c r="AK67" s="73"/>
      <c r="AL67" s="73"/>
      <c r="AM67" s="74"/>
      <c r="AN67" s="75"/>
      <c r="AO67" s="76"/>
    </row>
    <row r="68" spans="2:41" ht="15">
      <c r="B68" s="73">
        <v>7</v>
      </c>
      <c r="C68" s="73" t="s">
        <v>114</v>
      </c>
      <c r="D68" s="74">
        <v>0.94</v>
      </c>
      <c r="E68" s="75">
        <v>2.9100000000000001E-2</v>
      </c>
      <c r="F68" s="77">
        <v>1.2926829268292701</v>
      </c>
      <c r="G68" s="77">
        <v>-0.113207547169811</v>
      </c>
      <c r="J68" s="73"/>
      <c r="K68" s="73"/>
      <c r="L68" s="81"/>
      <c r="M68" s="82"/>
      <c r="N68" s="79"/>
      <c r="O68" s="73"/>
      <c r="P68" s="73">
        <v>7</v>
      </c>
      <c r="Q68" s="81" t="s">
        <v>114</v>
      </c>
      <c r="R68" s="85">
        <v>0.52</v>
      </c>
      <c r="S68" s="86">
        <f t="shared" si="8"/>
        <v>2.639593908629442E-2</v>
      </c>
      <c r="V68" s="73">
        <v>7</v>
      </c>
      <c r="W68" s="82" t="s">
        <v>371</v>
      </c>
      <c r="X68" s="88">
        <v>0.28999999999999998</v>
      </c>
      <c r="Y68" s="93">
        <v>2.3099999999999999E-2</v>
      </c>
      <c r="AC68" s="73"/>
      <c r="AD68" s="73" t="s">
        <v>48</v>
      </c>
      <c r="AE68" s="74">
        <v>32.299999999999997</v>
      </c>
      <c r="AF68" s="75">
        <v>1</v>
      </c>
      <c r="AG68" s="76"/>
      <c r="AH68" s="77">
        <f>AE68/AE90-1</f>
        <v>-0.32567849686847605</v>
      </c>
      <c r="AK68" s="73"/>
      <c r="AL68" s="73"/>
      <c r="AM68" s="74"/>
      <c r="AN68" s="75"/>
      <c r="AO68" s="76"/>
    </row>
    <row r="69" spans="2:41" ht="15">
      <c r="B69" s="73">
        <v>8</v>
      </c>
      <c r="C69" s="73" t="s">
        <v>101</v>
      </c>
      <c r="D69" s="74">
        <v>0.86</v>
      </c>
      <c r="E69" s="75">
        <v>2.6599999999999999E-2</v>
      </c>
      <c r="F69" s="77">
        <v>2.9090909090909101</v>
      </c>
      <c r="G69" s="77">
        <v>-0.27731092436974802</v>
      </c>
      <c r="J69" s="73"/>
      <c r="K69" s="73"/>
      <c r="L69" s="81"/>
      <c r="M69" s="82"/>
      <c r="N69" s="79"/>
      <c r="O69" s="73"/>
      <c r="P69" s="73">
        <v>8</v>
      </c>
      <c r="Q69" s="81" t="s">
        <v>129</v>
      </c>
      <c r="R69" s="87">
        <v>0.47</v>
      </c>
      <c r="S69" s="86">
        <f t="shared" si="8"/>
        <v>2.3857868020304568E-2</v>
      </c>
      <c r="V69" s="73">
        <v>8</v>
      </c>
      <c r="W69" s="82" t="s">
        <v>116</v>
      </c>
      <c r="X69" s="73">
        <v>0.24</v>
      </c>
      <c r="Y69" s="93">
        <v>1.8700000000000001E-2</v>
      </c>
      <c r="AC69" s="73"/>
      <c r="AD69" s="73"/>
      <c r="AE69" s="73"/>
      <c r="AF69" s="73"/>
      <c r="AG69" s="86"/>
      <c r="AH69" s="86"/>
      <c r="AI69" s="86"/>
      <c r="AJ69" s="22"/>
    </row>
    <row r="70" spans="2:41" ht="15">
      <c r="B70" s="73">
        <v>9</v>
      </c>
      <c r="C70" s="73" t="s">
        <v>349</v>
      </c>
      <c r="D70" s="74">
        <v>0.63</v>
      </c>
      <c r="E70" s="75">
        <v>1.9599999999999999E-2</v>
      </c>
      <c r="F70" s="77">
        <v>30.5</v>
      </c>
      <c r="G70" s="77">
        <v>-0.44247787610619499</v>
      </c>
      <c r="J70" s="73"/>
      <c r="K70" s="22"/>
      <c r="L70" s="81"/>
      <c r="M70" s="82"/>
      <c r="N70" s="79"/>
      <c r="O70" s="73"/>
      <c r="P70" s="73">
        <v>9</v>
      </c>
      <c r="Q70" s="81" t="s">
        <v>350</v>
      </c>
      <c r="R70" s="85">
        <v>0.31</v>
      </c>
      <c r="S70" s="86">
        <f t="shared" si="8"/>
        <v>1.5736040609137057E-2</v>
      </c>
      <c r="V70" s="73">
        <v>9</v>
      </c>
      <c r="W70" s="82" t="s">
        <v>103</v>
      </c>
      <c r="X70" s="73">
        <v>0.18</v>
      </c>
      <c r="Y70" s="93">
        <v>1.4500000000000001E-2</v>
      </c>
      <c r="AC70" s="73"/>
      <c r="AD70" s="73"/>
      <c r="AE70" s="73"/>
      <c r="AF70" s="73"/>
      <c r="AG70" s="86"/>
      <c r="AH70" s="86"/>
      <c r="AI70" s="86"/>
      <c r="AJ70" s="22"/>
    </row>
    <row r="71" spans="2:41" ht="15">
      <c r="B71" s="73">
        <v>10</v>
      </c>
      <c r="C71" s="22" t="s">
        <v>337</v>
      </c>
      <c r="D71" s="74">
        <v>0.4</v>
      </c>
      <c r="E71" s="75">
        <v>1.24E-2</v>
      </c>
      <c r="F71" s="77">
        <v>3</v>
      </c>
      <c r="G71" s="77">
        <v>-0.56989247311827995</v>
      </c>
      <c r="J71" s="73"/>
      <c r="K71" s="73"/>
      <c r="L71" s="81"/>
      <c r="M71" s="82"/>
      <c r="N71" s="79"/>
      <c r="O71" s="73"/>
      <c r="P71" s="73">
        <v>10</v>
      </c>
      <c r="Q71" s="81" t="s">
        <v>337</v>
      </c>
      <c r="R71" s="87">
        <v>0.28000000000000003</v>
      </c>
      <c r="S71" s="86">
        <f t="shared" si="8"/>
        <v>1.4213197969543149E-2</v>
      </c>
      <c r="V71" s="73">
        <v>10</v>
      </c>
      <c r="W71" s="82" t="s">
        <v>337</v>
      </c>
      <c r="X71" s="88">
        <v>0.12</v>
      </c>
      <c r="Y71" s="93">
        <v>9.1000000000000004E-3</v>
      </c>
      <c r="AC71" s="73"/>
      <c r="AD71" s="73"/>
      <c r="AE71" s="73"/>
      <c r="AF71" s="73"/>
      <c r="AG71" s="86"/>
      <c r="AH71" s="86"/>
      <c r="AI71" s="86"/>
      <c r="AJ71" s="22"/>
    </row>
    <row r="72" spans="2:41" ht="15">
      <c r="B72" s="73">
        <v>11</v>
      </c>
      <c r="C72" s="73" t="s">
        <v>108</v>
      </c>
      <c r="D72" s="74">
        <v>0.36</v>
      </c>
      <c r="E72" s="75">
        <v>1.11E-2</v>
      </c>
      <c r="F72" s="77">
        <f>D72/0.15-1</f>
        <v>1.4</v>
      </c>
      <c r="G72" s="77">
        <v>-0.63636363636363602</v>
      </c>
      <c r="J72" s="73"/>
      <c r="K72" s="73"/>
      <c r="L72" s="81"/>
      <c r="M72" s="83"/>
      <c r="N72" s="79"/>
      <c r="O72" s="73"/>
      <c r="P72" s="73">
        <v>11</v>
      </c>
      <c r="Q72" s="81" t="s">
        <v>352</v>
      </c>
      <c r="R72" s="85">
        <v>0.21</v>
      </c>
      <c r="S72" s="86">
        <f t="shared" si="8"/>
        <v>1.065989847715736E-2</v>
      </c>
      <c r="V72" s="73">
        <v>11</v>
      </c>
      <c r="W72" s="82" t="s">
        <v>353</v>
      </c>
      <c r="X72" s="73">
        <v>0.02</v>
      </c>
      <c r="Y72" s="93">
        <v>1.9E-3</v>
      </c>
      <c r="AC72" s="73"/>
      <c r="AD72" s="73"/>
      <c r="AE72" s="73"/>
      <c r="AF72" s="73"/>
      <c r="AG72" s="86"/>
      <c r="AH72" s="86"/>
      <c r="AI72" s="86"/>
      <c r="AJ72" s="22"/>
    </row>
    <row r="73" spans="2:41" ht="15">
      <c r="B73" s="73">
        <v>12</v>
      </c>
      <c r="C73" s="73" t="s">
        <v>350</v>
      </c>
      <c r="D73" s="74">
        <v>0.31</v>
      </c>
      <c r="E73" s="75">
        <v>9.5999999999999992E-3</v>
      </c>
      <c r="F73" s="77"/>
      <c r="G73" s="77">
        <v>1.06666666666667</v>
      </c>
      <c r="J73" s="73"/>
      <c r="K73" s="73"/>
      <c r="L73" s="81"/>
      <c r="M73" s="83"/>
      <c r="N73" s="79"/>
      <c r="O73" s="73"/>
      <c r="P73" s="73">
        <v>12</v>
      </c>
      <c r="Q73" s="81" t="s">
        <v>363</v>
      </c>
      <c r="R73" s="85">
        <v>0.04</v>
      </c>
      <c r="S73" s="86">
        <f t="shared" si="8"/>
        <v>2.0304568527918783E-3</v>
      </c>
      <c r="V73" s="73">
        <v>12</v>
      </c>
      <c r="W73" s="82" t="s">
        <v>351</v>
      </c>
      <c r="X73" s="73">
        <v>0.02</v>
      </c>
      <c r="Y73" s="93">
        <v>1.4E-3</v>
      </c>
      <c r="AC73" s="73"/>
      <c r="AD73" s="73"/>
      <c r="AE73" s="73"/>
      <c r="AF73" s="73"/>
      <c r="AG73" s="86"/>
      <c r="AH73" s="86"/>
      <c r="AI73" s="86"/>
      <c r="AJ73" s="22"/>
    </row>
    <row r="74" spans="2:41" ht="15">
      <c r="B74" s="73">
        <v>13</v>
      </c>
      <c r="C74" s="73" t="s">
        <v>371</v>
      </c>
      <c r="D74" s="74">
        <v>0.28999999999999998</v>
      </c>
      <c r="E74" s="75">
        <v>8.9999999999999993E-3</v>
      </c>
      <c r="F74" s="77"/>
      <c r="G74" s="77">
        <v>-0.17142857142857101</v>
      </c>
      <c r="J74" s="73"/>
      <c r="K74" s="82"/>
      <c r="L74" s="81"/>
      <c r="M74" s="83"/>
      <c r="N74" s="79"/>
      <c r="O74" s="73"/>
      <c r="P74" s="73">
        <v>13</v>
      </c>
      <c r="Q74" s="81" t="s">
        <v>372</v>
      </c>
      <c r="R74" s="85">
        <v>0.03</v>
      </c>
      <c r="S74" s="86">
        <f t="shared" si="8"/>
        <v>1.5228426395939086E-3</v>
      </c>
      <c r="V74" s="73">
        <v>13</v>
      </c>
      <c r="W74" s="82" t="s">
        <v>366</v>
      </c>
      <c r="X74" s="88">
        <v>0.02</v>
      </c>
      <c r="Y74" s="93">
        <v>1.1999999999999999E-3</v>
      </c>
      <c r="AC74" s="73"/>
      <c r="AD74" s="73"/>
      <c r="AE74" s="73"/>
      <c r="AF74" s="73"/>
      <c r="AG74" s="86"/>
      <c r="AH74" s="86"/>
      <c r="AI74" s="86"/>
      <c r="AJ74" s="22"/>
    </row>
    <row r="75" spans="2:41" ht="15">
      <c r="B75" s="73">
        <v>14</v>
      </c>
      <c r="C75" s="73" t="s">
        <v>352</v>
      </c>
      <c r="D75" s="74">
        <v>0.21</v>
      </c>
      <c r="E75" s="75">
        <v>6.4999999999999997E-3</v>
      </c>
      <c r="F75" s="77">
        <f>D75/0.08-1</f>
        <v>1.625</v>
      </c>
      <c r="G75" s="77">
        <v>-0.59615384615384603</v>
      </c>
      <c r="J75" s="73"/>
      <c r="K75" s="73"/>
      <c r="L75" s="81"/>
      <c r="M75" s="83"/>
      <c r="N75" s="79"/>
      <c r="O75" s="73"/>
      <c r="P75" s="73">
        <v>14</v>
      </c>
      <c r="Q75" s="81" t="s">
        <v>354</v>
      </c>
      <c r="R75" s="85">
        <v>0.02</v>
      </c>
      <c r="S75" s="86">
        <f t="shared" si="8"/>
        <v>1.0152284263959391E-3</v>
      </c>
      <c r="V75" s="73">
        <v>14</v>
      </c>
      <c r="W75" s="82" t="s">
        <v>356</v>
      </c>
      <c r="X75" s="88">
        <v>0.01</v>
      </c>
      <c r="Y75" s="93">
        <v>6.9999999999999999E-4</v>
      </c>
      <c r="AC75" s="73"/>
      <c r="AD75" s="73"/>
      <c r="AE75" s="73"/>
      <c r="AF75" s="73"/>
      <c r="AG75" s="86"/>
      <c r="AH75" s="86"/>
      <c r="AI75" s="86"/>
      <c r="AJ75" s="22"/>
    </row>
    <row r="76" spans="2:41" ht="15">
      <c r="B76" s="73">
        <v>15</v>
      </c>
      <c r="C76" s="73" t="s">
        <v>363</v>
      </c>
      <c r="D76" s="74">
        <v>0.04</v>
      </c>
      <c r="E76" s="75">
        <v>1.1000000000000001E-3</v>
      </c>
      <c r="F76" s="77">
        <f>D76/0.05-1</f>
        <v>-0.20000000000000007</v>
      </c>
      <c r="G76" s="77"/>
      <c r="J76" s="73"/>
      <c r="K76" s="73"/>
      <c r="L76" s="81"/>
      <c r="M76" s="83"/>
      <c r="N76" s="79"/>
      <c r="O76" s="73"/>
      <c r="P76" s="73">
        <v>15</v>
      </c>
      <c r="Q76" s="81" t="s">
        <v>355</v>
      </c>
      <c r="R76" s="85">
        <v>0.01</v>
      </c>
      <c r="S76" s="86">
        <f t="shared" si="8"/>
        <v>5.0761421319796957E-4</v>
      </c>
      <c r="V76" s="73">
        <v>15</v>
      </c>
      <c r="W76" s="82" t="s">
        <v>357</v>
      </c>
      <c r="X76" s="88">
        <v>0</v>
      </c>
      <c r="Y76" s="93">
        <v>2.9999999999999997E-4</v>
      </c>
      <c r="AC76" s="73"/>
      <c r="AD76" s="73"/>
      <c r="AE76" s="73"/>
      <c r="AF76" s="73"/>
      <c r="AG76" s="86"/>
      <c r="AH76" s="86"/>
      <c r="AI76" s="86"/>
      <c r="AJ76" s="22"/>
    </row>
    <row r="77" spans="2:41">
      <c r="B77" s="73"/>
      <c r="C77" s="73" t="s">
        <v>39</v>
      </c>
      <c r="D77" s="74">
        <f>D78-SUM(D62:D76)</f>
        <v>0.17000000000000171</v>
      </c>
      <c r="E77" s="75">
        <f>E78-SUM(E62:E76)</f>
        <v>5.2000000000002045E-3</v>
      </c>
      <c r="F77" s="76"/>
      <c r="G77" s="77">
        <f>D77/D99-1</f>
        <v>-0.57499999999997908</v>
      </c>
      <c r="J77" s="73"/>
      <c r="K77" s="73"/>
      <c r="L77" s="74"/>
      <c r="M77" s="83"/>
      <c r="N77" s="79"/>
      <c r="Q77" s="73" t="s">
        <v>39</v>
      </c>
      <c r="R77" s="74">
        <f>R78-SUM(R62:R76)</f>
        <v>5.0000000000000711E-2</v>
      </c>
      <c r="S77" s="86">
        <f t="shared" si="8"/>
        <v>2.5380710659898839E-3</v>
      </c>
      <c r="V77" s="82"/>
      <c r="W77" s="73" t="s">
        <v>39</v>
      </c>
      <c r="X77" s="74">
        <v>0</v>
      </c>
      <c r="Y77" s="93">
        <f>X77/X$100</f>
        <v>0</v>
      </c>
    </row>
    <row r="78" spans="2:41">
      <c r="B78" s="73"/>
      <c r="C78" s="73" t="s">
        <v>48</v>
      </c>
      <c r="D78" s="74">
        <v>32.299999999999997</v>
      </c>
      <c r="E78" s="75">
        <f>D78/D78</f>
        <v>1</v>
      </c>
      <c r="F78" s="76">
        <f>D78/16.133-1</f>
        <v>1.0021074815595363</v>
      </c>
      <c r="G78" s="77">
        <f>D78/D100-1</f>
        <v>-0.32567849686847605</v>
      </c>
      <c r="J78" s="73"/>
      <c r="K78" s="73"/>
      <c r="L78" s="81"/>
      <c r="M78" s="83"/>
      <c r="N78" s="79"/>
      <c r="Q78" s="73" t="s">
        <v>48</v>
      </c>
      <c r="R78" s="81">
        <v>19.7</v>
      </c>
      <c r="S78" s="86">
        <f t="shared" si="8"/>
        <v>1</v>
      </c>
      <c r="T78" s="79"/>
      <c r="W78" s="73" t="s">
        <v>48</v>
      </c>
      <c r="X78" s="81">
        <v>12.6</v>
      </c>
      <c r="Y78" s="83">
        <v>1</v>
      </c>
      <c r="Z78" s="79"/>
    </row>
    <row r="79" spans="2:41">
      <c r="B79" s="72"/>
      <c r="C79" s="73"/>
      <c r="D79" s="74"/>
      <c r="E79" s="75"/>
      <c r="F79" s="76"/>
      <c r="G79" s="77"/>
      <c r="J79" s="72"/>
      <c r="K79" s="22"/>
      <c r="L79" s="22"/>
      <c r="M79" s="22"/>
      <c r="P79" s="72"/>
      <c r="V79" s="72"/>
      <c r="AC79" s="72"/>
      <c r="AD79" s="22"/>
      <c r="AE79" s="22"/>
      <c r="AF79" s="22"/>
      <c r="AG79" s="22"/>
      <c r="AH79" s="22"/>
      <c r="AK79" s="72"/>
      <c r="AL79" s="22"/>
      <c r="AM79" s="22"/>
      <c r="AN79" s="22"/>
      <c r="AO79" s="22"/>
    </row>
    <row r="80" spans="2:41">
      <c r="B80" s="72"/>
      <c r="C80" s="73"/>
      <c r="D80" s="74"/>
      <c r="E80" s="75"/>
      <c r="F80" s="76"/>
      <c r="G80" s="77"/>
      <c r="J80" s="72"/>
      <c r="K80" s="22"/>
      <c r="L80" s="22"/>
      <c r="M80" s="22"/>
      <c r="P80" s="72"/>
      <c r="V80" s="72"/>
      <c r="AC80" s="72"/>
      <c r="AD80" s="22"/>
      <c r="AE80" s="22"/>
      <c r="AF80" s="22"/>
      <c r="AG80" s="22"/>
      <c r="AH80" s="22"/>
      <c r="AK80" s="72"/>
      <c r="AL80" s="22"/>
      <c r="AM80" s="22"/>
      <c r="AN80" s="22"/>
      <c r="AO80" s="22"/>
    </row>
    <row r="81" spans="2:41">
      <c r="B81" s="72"/>
      <c r="C81" s="73"/>
      <c r="D81" s="74"/>
      <c r="E81" s="75"/>
      <c r="F81" s="76"/>
      <c r="G81" s="77"/>
      <c r="J81" s="72"/>
      <c r="K81" s="22"/>
      <c r="L81" s="22"/>
      <c r="M81" s="22"/>
      <c r="P81" s="72"/>
      <c r="V81" s="72"/>
      <c r="AC81" s="72"/>
      <c r="AD81" s="22"/>
      <c r="AE81" s="22"/>
      <c r="AF81" s="22"/>
      <c r="AG81" s="22"/>
      <c r="AH81" s="22"/>
      <c r="AK81" s="72"/>
      <c r="AL81" s="22"/>
      <c r="AM81" s="22"/>
      <c r="AN81" s="22"/>
      <c r="AO81" s="22"/>
    </row>
    <row r="82" spans="2:41">
      <c r="B82" s="72" t="s">
        <v>373</v>
      </c>
      <c r="C82" s="73"/>
      <c r="D82" s="74"/>
      <c r="E82" s="75"/>
      <c r="F82" s="76"/>
      <c r="G82" s="77"/>
      <c r="J82" s="72" t="s">
        <v>374</v>
      </c>
      <c r="K82" s="22"/>
      <c r="L82" s="22"/>
      <c r="M82" s="22"/>
      <c r="P82" s="72" t="s">
        <v>375</v>
      </c>
      <c r="V82" s="72" t="s">
        <v>376</v>
      </c>
      <c r="AC82" s="72" t="s">
        <v>373</v>
      </c>
      <c r="AD82" s="22"/>
      <c r="AE82" s="22"/>
      <c r="AF82" s="22"/>
      <c r="AG82" s="22"/>
      <c r="AH82" s="22"/>
      <c r="AK82" s="72" t="s">
        <v>374</v>
      </c>
      <c r="AL82" s="22"/>
      <c r="AM82" s="22"/>
      <c r="AN82" s="22"/>
      <c r="AO82" s="22"/>
    </row>
    <row r="83" spans="2:41" ht="32">
      <c r="B83" s="73" t="s">
        <v>342</v>
      </c>
      <c r="C83" s="73" t="s">
        <v>343</v>
      </c>
      <c r="D83" s="78" t="s">
        <v>344</v>
      </c>
      <c r="E83" s="73" t="s">
        <v>345</v>
      </c>
      <c r="F83" s="73" t="s">
        <v>32</v>
      </c>
      <c r="G83" s="73" t="s">
        <v>33</v>
      </c>
      <c r="J83" s="73" t="s">
        <v>342</v>
      </c>
      <c r="K83" s="73" t="s">
        <v>343</v>
      </c>
      <c r="L83" s="78" t="s">
        <v>347</v>
      </c>
      <c r="M83" s="73" t="s">
        <v>345</v>
      </c>
      <c r="N83" s="73" t="s">
        <v>32</v>
      </c>
      <c r="P83" s="73" t="s">
        <v>342</v>
      </c>
      <c r="Q83" s="73" t="s">
        <v>343</v>
      </c>
      <c r="R83" s="74" t="s">
        <v>348</v>
      </c>
      <c r="S83" s="82" t="s">
        <v>345</v>
      </c>
      <c r="T83" s="73" t="s">
        <v>32</v>
      </c>
      <c r="V83" s="73" t="s">
        <v>342</v>
      </c>
      <c r="W83" s="82" t="s">
        <v>343</v>
      </c>
      <c r="X83" s="73" t="s">
        <v>348</v>
      </c>
      <c r="Y83" s="81" t="s">
        <v>345</v>
      </c>
      <c r="Z83" s="73" t="s">
        <v>32</v>
      </c>
      <c r="AC83" s="73" t="s">
        <v>342</v>
      </c>
      <c r="AD83" s="73" t="s">
        <v>343</v>
      </c>
      <c r="AE83" s="78" t="s">
        <v>344</v>
      </c>
      <c r="AF83" s="73" t="s">
        <v>345</v>
      </c>
      <c r="AG83" s="73" t="s">
        <v>32</v>
      </c>
      <c r="AH83" s="73" t="s">
        <v>33</v>
      </c>
      <c r="AK83" s="73" t="s">
        <v>342</v>
      </c>
      <c r="AL83" s="73" t="s">
        <v>343</v>
      </c>
      <c r="AM83" s="78" t="s">
        <v>344</v>
      </c>
      <c r="AN83" s="73" t="s">
        <v>32</v>
      </c>
    </row>
    <row r="84" spans="2:41" ht="15">
      <c r="B84" s="73">
        <v>1</v>
      </c>
      <c r="C84" s="73" t="s">
        <v>98</v>
      </c>
      <c r="D84" s="74">
        <v>21.32</v>
      </c>
      <c r="E84" s="75">
        <v>0.44479999999999997</v>
      </c>
      <c r="F84" s="77">
        <v>0.19172722191168201</v>
      </c>
      <c r="G84" s="77">
        <f>(D84-VLOOKUP(C84,C$106:D$120,2,0))/VLOOKUP(C84,C$106:D$120,2,0)</f>
        <v>8.2233502538071115E-2</v>
      </c>
      <c r="H84" s="79">
        <v>0.57799999999999996</v>
      </c>
      <c r="J84" s="73">
        <v>1</v>
      </c>
      <c r="K84" s="73" t="s">
        <v>98</v>
      </c>
      <c r="L84" s="81">
        <v>167.1</v>
      </c>
      <c r="M84" s="82">
        <v>0.43109999999999998</v>
      </c>
      <c r="N84" s="79">
        <f>(167.1-142.02)/142.02</f>
        <v>0.17659484579636658</v>
      </c>
      <c r="O84" s="73"/>
      <c r="P84" s="73">
        <v>1</v>
      </c>
      <c r="Q84" s="81" t="s">
        <v>96</v>
      </c>
      <c r="R84" s="85">
        <v>105.41</v>
      </c>
      <c r="S84" s="86">
        <f>R84/R$100</f>
        <v>0.4038697318007663</v>
      </c>
      <c r="V84" s="73">
        <v>1</v>
      </c>
      <c r="W84" s="82" t="s">
        <v>98</v>
      </c>
      <c r="X84" s="73">
        <v>78.33</v>
      </c>
      <c r="Y84" s="93">
        <v>0.62080000000000002</v>
      </c>
      <c r="AC84" s="73">
        <v>1</v>
      </c>
      <c r="AD84" s="73" t="s">
        <v>98</v>
      </c>
      <c r="AE84" s="74">
        <v>21.32</v>
      </c>
      <c r="AF84" s="75">
        <v>0.44479999999999997</v>
      </c>
      <c r="AG84" s="77">
        <v>0.19172722191168201</v>
      </c>
      <c r="AH84" s="77">
        <v>8.2233502538071102E-2</v>
      </c>
      <c r="AK84" s="73">
        <v>1</v>
      </c>
      <c r="AL84" s="73" t="s">
        <v>98</v>
      </c>
      <c r="AM84" s="74">
        <v>167.1</v>
      </c>
      <c r="AN84" s="75">
        <v>0.176594845796367</v>
      </c>
    </row>
    <row r="85" spans="2:41" ht="15">
      <c r="B85" s="73">
        <v>2</v>
      </c>
      <c r="C85" s="73" t="s">
        <v>96</v>
      </c>
      <c r="D85" s="74">
        <v>11</v>
      </c>
      <c r="E85" s="75">
        <v>0.22950000000000001</v>
      </c>
      <c r="F85" s="77">
        <v>0.17521367521367501</v>
      </c>
      <c r="G85" s="77">
        <f t="shared" ref="G85:G98" si="9">(D85-VLOOKUP(C85,C$106:D$120,2,0))/VLOOKUP(C85,C$106:D$120,2,0)</f>
        <v>7.8431372549019676E-2</v>
      </c>
      <c r="J85" s="73">
        <v>2</v>
      </c>
      <c r="K85" s="73" t="s">
        <v>96</v>
      </c>
      <c r="L85" s="81">
        <v>105.48</v>
      </c>
      <c r="M85" s="82">
        <v>0.27210000000000001</v>
      </c>
      <c r="N85" s="79">
        <f>(105.48-69.1)/69.1</f>
        <v>0.52648335745296693</v>
      </c>
      <c r="O85" s="73"/>
      <c r="P85" s="73">
        <v>2</v>
      </c>
      <c r="Q85" s="81" t="s">
        <v>98</v>
      </c>
      <c r="R85" s="85">
        <v>88.77</v>
      </c>
      <c r="S85" s="86">
        <f t="shared" ref="S85:S99" si="10">R85/R$100</f>
        <v>0.34011494252873564</v>
      </c>
      <c r="V85" s="73">
        <v>2</v>
      </c>
      <c r="W85" s="82" t="s">
        <v>109</v>
      </c>
      <c r="X85" s="73">
        <v>15.02</v>
      </c>
      <c r="Y85" s="93">
        <f t="shared" ref="Y85:Y99" si="11">X85/X$100</f>
        <v>0.1190174326465927</v>
      </c>
      <c r="AC85" s="73">
        <v>2</v>
      </c>
      <c r="AD85" s="73" t="s">
        <v>96</v>
      </c>
      <c r="AE85" s="74">
        <v>11</v>
      </c>
      <c r="AF85" s="75">
        <v>0.22950000000000001</v>
      </c>
      <c r="AG85" s="77">
        <v>0.17521367521367501</v>
      </c>
      <c r="AH85" s="77">
        <v>7.8431372549019704E-2</v>
      </c>
      <c r="AK85" s="73">
        <v>2</v>
      </c>
      <c r="AL85" s="73" t="s">
        <v>96</v>
      </c>
      <c r="AM85" s="74">
        <v>105.48</v>
      </c>
      <c r="AN85" s="75">
        <v>0.52648335745296704</v>
      </c>
    </row>
    <row r="86" spans="2:41">
      <c r="B86" s="73">
        <v>3</v>
      </c>
      <c r="C86" s="73" t="s">
        <v>109</v>
      </c>
      <c r="D86" s="74">
        <v>3.06</v>
      </c>
      <c r="E86" s="75">
        <v>6.3899999999999998E-2</v>
      </c>
      <c r="F86" s="77">
        <v>0.65405405405405403</v>
      </c>
      <c r="G86" s="77">
        <f t="shared" si="9"/>
        <v>-5.5555555555555601E-2</v>
      </c>
      <c r="J86" s="73">
        <v>3</v>
      </c>
      <c r="K86" s="73" t="s">
        <v>109</v>
      </c>
      <c r="L86" s="81">
        <v>32.9</v>
      </c>
      <c r="M86" s="82">
        <v>8.4900000000000003E-2</v>
      </c>
      <c r="N86" s="79">
        <f>(32.9-19.24)/19.24</f>
        <v>0.70997920997921005</v>
      </c>
      <c r="O86" s="73"/>
      <c r="P86" s="73">
        <v>3</v>
      </c>
      <c r="Q86" s="81" t="s">
        <v>109</v>
      </c>
      <c r="R86" s="87">
        <v>17.88</v>
      </c>
      <c r="S86" s="86">
        <f t="shared" si="10"/>
        <v>6.8505747126436783E-2</v>
      </c>
      <c r="V86" s="73">
        <v>3</v>
      </c>
      <c r="W86" s="73" t="s">
        <v>101</v>
      </c>
      <c r="X86" s="73">
        <v>8.34</v>
      </c>
      <c r="Y86" s="93">
        <f t="shared" si="11"/>
        <v>6.6085578446909668E-2</v>
      </c>
      <c r="AC86" s="73">
        <v>3</v>
      </c>
      <c r="AD86" s="73" t="s">
        <v>109</v>
      </c>
      <c r="AE86" s="74">
        <v>3.06</v>
      </c>
      <c r="AF86" s="75">
        <v>6.3899999999999998E-2</v>
      </c>
      <c r="AG86" s="77">
        <v>0.65405405405405403</v>
      </c>
      <c r="AH86" s="77">
        <v>-5.5555555555555601E-2</v>
      </c>
      <c r="AK86" s="73">
        <v>3</v>
      </c>
      <c r="AL86" s="73" t="s">
        <v>109</v>
      </c>
      <c r="AM86" s="74">
        <v>32.9</v>
      </c>
      <c r="AN86" s="75">
        <v>0.70997920997921005</v>
      </c>
    </row>
    <row r="87" spans="2:41" ht="15">
      <c r="B87" s="73">
        <v>4</v>
      </c>
      <c r="C87" s="73" t="s">
        <v>116</v>
      </c>
      <c r="D87" s="74">
        <v>2.17</v>
      </c>
      <c r="E87" s="75">
        <v>4.5400000000000003E-2</v>
      </c>
      <c r="F87" s="77">
        <v>0.70866141732283505</v>
      </c>
      <c r="G87" s="77">
        <f t="shared" si="9"/>
        <v>5.8536585365853717E-2</v>
      </c>
      <c r="J87" s="73">
        <v>4</v>
      </c>
      <c r="K87" s="73" t="s">
        <v>116</v>
      </c>
      <c r="L87" s="81">
        <v>17.260000000000002</v>
      </c>
      <c r="M87" s="82">
        <v>4.4499999999999998E-2</v>
      </c>
      <c r="N87" s="79">
        <f>(17.26-7.18)/7.18</f>
        <v>1.4038997214484683</v>
      </c>
      <c r="O87" s="73"/>
      <c r="P87" s="73">
        <v>4</v>
      </c>
      <c r="Q87" s="81" t="s">
        <v>103</v>
      </c>
      <c r="R87" s="85">
        <v>14.71</v>
      </c>
      <c r="S87" s="86">
        <f t="shared" si="10"/>
        <v>5.6360153256704987E-2</v>
      </c>
      <c r="V87" s="73">
        <v>4</v>
      </c>
      <c r="W87" s="82" t="s">
        <v>108</v>
      </c>
      <c r="X87" s="73">
        <v>5.94</v>
      </c>
      <c r="Y87" s="93">
        <f t="shared" si="11"/>
        <v>4.7068145800316957E-2</v>
      </c>
      <c r="AC87" s="73">
        <v>4</v>
      </c>
      <c r="AD87" s="73" t="s">
        <v>116</v>
      </c>
      <c r="AE87" s="74">
        <v>2.17</v>
      </c>
      <c r="AF87" s="75">
        <v>4.5400000000000003E-2</v>
      </c>
      <c r="AG87" s="77">
        <v>0.70866141732283505</v>
      </c>
      <c r="AH87" s="77">
        <v>5.8536585365853697E-2</v>
      </c>
      <c r="AK87" s="73">
        <v>4</v>
      </c>
      <c r="AL87" s="73" t="s">
        <v>116</v>
      </c>
      <c r="AM87" s="74" t="s">
        <v>377</v>
      </c>
      <c r="AN87" s="75">
        <v>1.4038997214484701</v>
      </c>
    </row>
    <row r="88" spans="2:41" ht="15">
      <c r="B88" s="73">
        <v>5</v>
      </c>
      <c r="C88" s="73" t="s">
        <v>103</v>
      </c>
      <c r="D88" s="74">
        <v>2.02</v>
      </c>
      <c r="E88" s="75">
        <v>4.2200000000000001E-2</v>
      </c>
      <c r="F88" s="77">
        <v>0.54198473282442705</v>
      </c>
      <c r="G88" s="77">
        <f t="shared" si="9"/>
        <v>-4.2654028436018891E-2</v>
      </c>
      <c r="J88" s="73">
        <v>5</v>
      </c>
      <c r="K88" s="73" t="s">
        <v>103</v>
      </c>
      <c r="L88" s="81">
        <v>15.91</v>
      </c>
      <c r="M88" s="82">
        <v>4.1000000000000002E-2</v>
      </c>
      <c r="N88" s="79">
        <f>(15.91-13.33)/13.33</f>
        <v>0.19354838709677419</v>
      </c>
      <c r="O88" s="73"/>
      <c r="P88" s="73">
        <v>5</v>
      </c>
      <c r="Q88" s="81" t="s">
        <v>116</v>
      </c>
      <c r="R88" s="85">
        <v>14.2</v>
      </c>
      <c r="S88" s="86">
        <f t="shared" si="10"/>
        <v>5.4406130268199231E-2</v>
      </c>
      <c r="V88" s="73">
        <v>5</v>
      </c>
      <c r="W88" s="82" t="s">
        <v>129</v>
      </c>
      <c r="X88" s="73">
        <v>4.92</v>
      </c>
      <c r="Y88" s="93">
        <f t="shared" si="11"/>
        <v>3.8985736925515053E-2</v>
      </c>
      <c r="AC88" s="73">
        <v>5</v>
      </c>
      <c r="AD88" s="73" t="s">
        <v>103</v>
      </c>
      <c r="AE88" s="74">
        <v>2.02</v>
      </c>
      <c r="AF88" s="75">
        <v>4.2200000000000001E-2</v>
      </c>
      <c r="AG88" s="77">
        <v>0.54198473282442705</v>
      </c>
      <c r="AH88" s="77">
        <v>-4.2654028436018898E-2</v>
      </c>
      <c r="AK88" s="73">
        <v>5</v>
      </c>
      <c r="AL88" s="73" t="s">
        <v>103</v>
      </c>
      <c r="AM88" s="74">
        <v>15.91</v>
      </c>
      <c r="AN88" s="75">
        <v>0.19354838709677399</v>
      </c>
    </row>
    <row r="89" spans="2:41" ht="15">
      <c r="B89" s="73">
        <v>6</v>
      </c>
      <c r="C89" s="73" t="s">
        <v>370</v>
      </c>
      <c r="D89" s="74">
        <v>1.51</v>
      </c>
      <c r="E89" s="75">
        <v>3.15E-2</v>
      </c>
      <c r="F89" s="77">
        <f>D89/0.46-1</f>
        <v>2.2826086956521738</v>
      </c>
      <c r="G89" s="77">
        <f>(D89-D112)/D112</f>
        <v>8.6330935251798649E-2</v>
      </c>
      <c r="J89" s="73">
        <v>6</v>
      </c>
      <c r="K89" s="73" t="s">
        <v>129</v>
      </c>
      <c r="L89" s="81">
        <v>8.69</v>
      </c>
      <c r="M89" s="82">
        <v>2.24E-2</v>
      </c>
      <c r="N89" s="79">
        <f>(8.69-6.1)/6.1</f>
        <v>0.42459016393442622</v>
      </c>
      <c r="O89" s="73"/>
      <c r="P89" s="73">
        <v>6</v>
      </c>
      <c r="Q89" s="81" t="s">
        <v>336</v>
      </c>
      <c r="R89" s="85">
        <v>4.6900000000000004</v>
      </c>
      <c r="S89" s="86">
        <f t="shared" si="10"/>
        <v>1.7969348659003834E-2</v>
      </c>
      <c r="V89" s="73">
        <v>6</v>
      </c>
      <c r="W89" s="82" t="s">
        <v>114</v>
      </c>
      <c r="X89" s="73">
        <v>4.8499999999999996</v>
      </c>
      <c r="Y89" s="93">
        <v>3.85E-2</v>
      </c>
      <c r="AC89" s="73"/>
      <c r="AD89" s="73" t="s">
        <v>39</v>
      </c>
      <c r="AE89" s="74">
        <v>7.93</v>
      </c>
      <c r="AF89" s="75">
        <f>AE89/AE90</f>
        <v>0.16555323590814197</v>
      </c>
      <c r="AG89" s="76"/>
      <c r="AH89" s="77">
        <f>AE89/AE111-1</f>
        <v>4.3421052631578805E-2</v>
      </c>
      <c r="AK89" s="73"/>
      <c r="AL89" s="73" t="s">
        <v>39</v>
      </c>
      <c r="AM89" s="74">
        <f>AM90-SUM(AM84:AM88)</f>
        <v>66.31</v>
      </c>
      <c r="AN89" s="75"/>
      <c r="AO89" s="76"/>
    </row>
    <row r="90" spans="2:41" ht="15">
      <c r="B90" s="73">
        <v>7</v>
      </c>
      <c r="C90" s="73" t="s">
        <v>101</v>
      </c>
      <c r="D90" s="74">
        <v>1.19</v>
      </c>
      <c r="E90" s="75">
        <v>2.4799999999999999E-2</v>
      </c>
      <c r="F90" s="77">
        <v>3.76</v>
      </c>
      <c r="G90" s="77">
        <f t="shared" si="9"/>
        <v>-0.27878787878787881</v>
      </c>
      <c r="J90" s="73">
        <v>7</v>
      </c>
      <c r="K90" s="73" t="s">
        <v>101</v>
      </c>
      <c r="L90" s="81">
        <v>8.34</v>
      </c>
      <c r="M90" s="82">
        <v>2.1499999999999998E-2</v>
      </c>
      <c r="N90" s="79">
        <f>(8.34-5.2)/5.2</f>
        <v>0.60384615384615381</v>
      </c>
      <c r="O90" s="73"/>
      <c r="P90" s="73">
        <v>7</v>
      </c>
      <c r="Q90" s="81" t="s">
        <v>337</v>
      </c>
      <c r="R90" s="85">
        <v>4.07</v>
      </c>
      <c r="S90" s="86">
        <f t="shared" si="10"/>
        <v>1.5593869731800767E-2</v>
      </c>
      <c r="V90" s="73">
        <v>7</v>
      </c>
      <c r="W90" s="82" t="s">
        <v>116</v>
      </c>
      <c r="X90" s="88">
        <v>3.06</v>
      </c>
      <c r="Y90" s="93">
        <f t="shared" si="11"/>
        <v>2.4247226624405704E-2</v>
      </c>
      <c r="AC90" s="73"/>
      <c r="AD90" s="73" t="s">
        <v>48</v>
      </c>
      <c r="AE90" s="74">
        <v>47.9</v>
      </c>
      <c r="AF90" s="75">
        <v>1</v>
      </c>
      <c r="AG90" s="76"/>
      <c r="AH90" s="77">
        <f>AE90/AE112-1</f>
        <v>6.6815144766146917E-2</v>
      </c>
      <c r="AK90" s="73"/>
      <c r="AL90" s="73" t="s">
        <v>48</v>
      </c>
      <c r="AM90" s="74">
        <v>387.7</v>
      </c>
      <c r="AN90" s="75"/>
      <c r="AO90" s="76"/>
    </row>
    <row r="91" spans="2:41" ht="15">
      <c r="B91" s="73">
        <v>8</v>
      </c>
      <c r="C91" s="73" t="s">
        <v>349</v>
      </c>
      <c r="D91" s="74">
        <v>1.1299999999999999</v>
      </c>
      <c r="E91" s="75">
        <v>2.3599999999999999E-2</v>
      </c>
      <c r="F91" s="77">
        <f>D91/0.48-1</f>
        <v>1.3541666666666665</v>
      </c>
      <c r="G91" s="77">
        <f>(D91-D115)/D115</f>
        <v>0.34523809523809518</v>
      </c>
      <c r="J91" s="73">
        <v>8</v>
      </c>
      <c r="K91" s="73" t="s">
        <v>114</v>
      </c>
      <c r="L91" s="81">
        <v>8.3000000000000007</v>
      </c>
      <c r="M91" s="82">
        <v>2.1399999999999999E-2</v>
      </c>
      <c r="N91" s="79">
        <f>(8.3-7.73)/7.73</f>
        <v>7.3738680465718021E-2</v>
      </c>
      <c r="O91" s="73"/>
      <c r="P91" s="73">
        <v>8</v>
      </c>
      <c r="Q91" s="81" t="s">
        <v>129</v>
      </c>
      <c r="R91" s="87">
        <v>3.76</v>
      </c>
      <c r="S91" s="86">
        <f t="shared" si="10"/>
        <v>1.4406130268199233E-2</v>
      </c>
      <c r="V91" s="73">
        <v>8</v>
      </c>
      <c r="W91" s="82" t="s">
        <v>337</v>
      </c>
      <c r="X91" s="73">
        <v>1.32</v>
      </c>
      <c r="Y91" s="93">
        <f t="shared" si="11"/>
        <v>1.0459587955625991E-2</v>
      </c>
      <c r="AC91" s="73"/>
      <c r="AD91" s="73"/>
      <c r="AE91" s="73"/>
      <c r="AF91" s="73"/>
      <c r="AG91" s="86"/>
      <c r="AH91" s="86"/>
      <c r="AI91" s="86"/>
      <c r="AJ91" s="22"/>
    </row>
    <row r="92" spans="2:41" ht="15">
      <c r="B92" s="73">
        <v>9</v>
      </c>
      <c r="C92" s="73" t="s">
        <v>114</v>
      </c>
      <c r="D92" s="74">
        <v>1.06</v>
      </c>
      <c r="E92" s="75">
        <v>2.2100000000000002E-2</v>
      </c>
      <c r="F92" s="77">
        <v>-0.24285714285714299</v>
      </c>
      <c r="G92" s="77">
        <f t="shared" si="9"/>
        <v>0.13978494623655913</v>
      </c>
      <c r="J92" s="73">
        <v>9</v>
      </c>
      <c r="K92" s="22" t="s">
        <v>108</v>
      </c>
      <c r="L92" s="81">
        <v>5.94</v>
      </c>
      <c r="M92" s="82">
        <v>1.5299999999999999E-2</v>
      </c>
      <c r="N92" s="79">
        <f>(5.94-5.36)/5.36</f>
        <v>0.1082089552238806</v>
      </c>
      <c r="O92" s="73"/>
      <c r="P92" s="73">
        <v>9</v>
      </c>
      <c r="Q92" s="81" t="s">
        <v>114</v>
      </c>
      <c r="R92" s="85">
        <v>3.45</v>
      </c>
      <c r="S92" s="86">
        <f t="shared" si="10"/>
        <v>1.3218390804597701E-2</v>
      </c>
      <c r="V92" s="73">
        <v>9</v>
      </c>
      <c r="W92" s="82" t="s">
        <v>103</v>
      </c>
      <c r="X92" s="73">
        <v>1.2</v>
      </c>
      <c r="Y92" s="93">
        <f t="shared" si="11"/>
        <v>9.5087163232963536E-3</v>
      </c>
      <c r="AC92" s="73"/>
      <c r="AD92" s="73"/>
      <c r="AE92" s="73"/>
      <c r="AF92" s="73"/>
      <c r="AG92" s="86"/>
      <c r="AH92" s="86"/>
      <c r="AI92" s="86"/>
      <c r="AJ92" s="22"/>
    </row>
    <row r="93" spans="2:41" ht="15">
      <c r="B93" s="73">
        <v>10</v>
      </c>
      <c r="C93" s="22" t="s">
        <v>108</v>
      </c>
      <c r="D93" s="74">
        <v>0.99</v>
      </c>
      <c r="E93" s="75">
        <v>2.06E-2</v>
      </c>
      <c r="F93" s="77">
        <v>0.269230769230769</v>
      </c>
      <c r="G93" s="77">
        <f t="shared" si="9"/>
        <v>-7.476635514018698E-2</v>
      </c>
      <c r="J93" s="73">
        <v>10</v>
      </c>
      <c r="K93" s="73" t="s">
        <v>337</v>
      </c>
      <c r="L93" s="81">
        <v>5.39</v>
      </c>
      <c r="M93" s="82">
        <v>1.3899999999999999E-2</v>
      </c>
      <c r="N93" s="79">
        <f>(5.39-2.36)/2.36</f>
        <v>1.2838983050847457</v>
      </c>
      <c r="O93" s="73"/>
      <c r="P93" s="73">
        <v>10</v>
      </c>
      <c r="Q93" s="81" t="s">
        <v>352</v>
      </c>
      <c r="R93" s="87">
        <v>2.0499999999999998</v>
      </c>
      <c r="S93" s="86">
        <f t="shared" si="10"/>
        <v>7.8544061302681985E-3</v>
      </c>
      <c r="V93" s="73">
        <v>10</v>
      </c>
      <c r="W93" s="82" t="s">
        <v>357</v>
      </c>
      <c r="X93" s="88">
        <v>0.86</v>
      </c>
      <c r="Y93" s="93">
        <f t="shared" si="11"/>
        <v>6.8145800316957205E-3</v>
      </c>
      <c r="AC93" s="73"/>
      <c r="AD93" s="73"/>
      <c r="AE93" s="73"/>
      <c r="AF93" s="73"/>
      <c r="AG93" s="86"/>
      <c r="AH93" s="86"/>
      <c r="AI93" s="86"/>
      <c r="AJ93" s="22"/>
    </row>
    <row r="94" spans="2:41" ht="15">
      <c r="B94" s="73">
        <v>11</v>
      </c>
      <c r="C94" s="73" t="s">
        <v>337</v>
      </c>
      <c r="D94" s="74">
        <v>0.93</v>
      </c>
      <c r="E94" s="75">
        <v>1.9300000000000001E-2</v>
      </c>
      <c r="F94" s="77">
        <v>9.3333333333333304</v>
      </c>
      <c r="G94" s="77">
        <f t="shared" si="9"/>
        <v>0.30985915492957761</v>
      </c>
      <c r="J94" s="73">
        <v>11</v>
      </c>
      <c r="K94" s="73" t="s">
        <v>336</v>
      </c>
      <c r="L94" s="81">
        <v>5.12</v>
      </c>
      <c r="M94" s="83">
        <v>1.32E-2</v>
      </c>
      <c r="N94" s="79">
        <f>(5.12-4.52)/4.52</f>
        <v>0.13274336283185853</v>
      </c>
      <c r="O94" s="73"/>
      <c r="P94" s="73">
        <v>11</v>
      </c>
      <c r="Q94" s="81" t="s">
        <v>354</v>
      </c>
      <c r="R94" s="85">
        <v>0.4</v>
      </c>
      <c r="S94" s="86">
        <f t="shared" si="10"/>
        <v>1.5325670498084292E-3</v>
      </c>
      <c r="V94" s="73">
        <v>11</v>
      </c>
      <c r="W94" s="82" t="s">
        <v>378</v>
      </c>
      <c r="X94" s="73">
        <v>0.8</v>
      </c>
      <c r="Y94" s="93">
        <f t="shared" si="11"/>
        <v>6.3391442155309036E-3</v>
      </c>
      <c r="AC94" s="73"/>
      <c r="AD94" s="73"/>
      <c r="AE94" s="73"/>
      <c r="AF94" s="73"/>
      <c r="AG94" s="86"/>
      <c r="AH94" s="86"/>
      <c r="AI94" s="86"/>
      <c r="AJ94" s="22"/>
    </row>
    <row r="95" spans="2:41" ht="15">
      <c r="B95" s="73">
        <v>12</v>
      </c>
      <c r="C95" s="73" t="s">
        <v>352</v>
      </c>
      <c r="D95" s="74">
        <v>0.52</v>
      </c>
      <c r="E95" s="75">
        <v>1.09E-2</v>
      </c>
      <c r="F95" s="77"/>
      <c r="G95" s="77">
        <f t="shared" si="9"/>
        <v>1.3636363636363638</v>
      </c>
      <c r="J95" s="73">
        <v>12</v>
      </c>
      <c r="K95" s="73" t="s">
        <v>352</v>
      </c>
      <c r="L95" s="81">
        <v>2.14</v>
      </c>
      <c r="M95" s="83">
        <v>5.4999999999999997E-3</v>
      </c>
      <c r="N95" s="79">
        <f>(2.14-1.76)/1.76</f>
        <v>0.21590909090909097</v>
      </c>
      <c r="O95" s="73"/>
      <c r="P95" s="73">
        <v>12</v>
      </c>
      <c r="Q95" s="81" t="s">
        <v>355</v>
      </c>
      <c r="R95" s="85">
        <v>0.31</v>
      </c>
      <c r="S95" s="86">
        <f t="shared" si="10"/>
        <v>1.1877394636015325E-3</v>
      </c>
      <c r="V95" s="73">
        <v>12</v>
      </c>
      <c r="W95" s="82" t="s">
        <v>336</v>
      </c>
      <c r="X95" s="73">
        <v>0.43</v>
      </c>
      <c r="Y95" s="93">
        <f t="shared" si="11"/>
        <v>3.4072900158478602E-3</v>
      </c>
      <c r="AC95" s="73"/>
      <c r="AD95" s="73"/>
      <c r="AE95" s="73"/>
      <c r="AF95" s="73"/>
      <c r="AG95" s="86"/>
      <c r="AH95" s="86"/>
      <c r="AI95" s="86"/>
      <c r="AJ95" s="22"/>
    </row>
    <row r="96" spans="2:41" ht="15">
      <c r="B96" s="73">
        <v>13</v>
      </c>
      <c r="C96" s="73" t="s">
        <v>378</v>
      </c>
      <c r="D96" s="74">
        <v>0.35</v>
      </c>
      <c r="E96" s="75">
        <v>7.3000000000000001E-3</v>
      </c>
      <c r="F96" s="77"/>
      <c r="G96" s="77">
        <f>D96/D117-1</f>
        <v>-0.14634146341463417</v>
      </c>
      <c r="J96" s="73">
        <v>13</v>
      </c>
      <c r="K96" s="82" t="s">
        <v>357</v>
      </c>
      <c r="L96" s="81">
        <v>0.91</v>
      </c>
      <c r="M96" s="83">
        <v>2.3999999999999998E-3</v>
      </c>
      <c r="N96" s="79">
        <f>(0.91-2.43)/2.43</f>
        <v>-0.625514403292181</v>
      </c>
      <c r="O96" s="73"/>
      <c r="P96" s="73">
        <v>13</v>
      </c>
      <c r="Q96" s="81" t="s">
        <v>363</v>
      </c>
      <c r="R96" s="85">
        <v>0.3</v>
      </c>
      <c r="S96" s="86">
        <f t="shared" si="10"/>
        <v>1.1494252873563218E-3</v>
      </c>
      <c r="V96" s="73">
        <v>13</v>
      </c>
      <c r="W96" s="82" t="s">
        <v>351</v>
      </c>
      <c r="X96" s="88">
        <v>0.35</v>
      </c>
      <c r="Y96" s="93">
        <f t="shared" si="11"/>
        <v>2.7733755942947699E-3</v>
      </c>
      <c r="AC96" s="73"/>
      <c r="AD96" s="73"/>
      <c r="AE96" s="73"/>
      <c r="AF96" s="73"/>
      <c r="AG96" s="86"/>
      <c r="AH96" s="86"/>
      <c r="AI96" s="86"/>
      <c r="AJ96" s="22"/>
    </row>
    <row r="97" spans="2:41" ht="15">
      <c r="B97" s="73">
        <v>14</v>
      </c>
      <c r="C97" s="73" t="s">
        <v>350</v>
      </c>
      <c r="D97" s="74">
        <v>0.15</v>
      </c>
      <c r="E97" s="75">
        <v>3.2000000000000002E-3</v>
      </c>
      <c r="F97" s="77"/>
      <c r="G97" s="77"/>
      <c r="J97" s="73">
        <v>14</v>
      </c>
      <c r="K97" s="73" t="s">
        <v>378</v>
      </c>
      <c r="L97" s="81">
        <v>0.8</v>
      </c>
      <c r="M97" s="83">
        <v>2.0999999999999999E-3</v>
      </c>
      <c r="N97" s="79"/>
      <c r="O97" s="73"/>
      <c r="P97" s="73">
        <v>14</v>
      </c>
      <c r="Q97" s="81" t="s">
        <v>113</v>
      </c>
      <c r="R97" s="85">
        <v>0.21</v>
      </c>
      <c r="S97" s="86">
        <f t="shared" si="10"/>
        <v>8.045977011494253E-4</v>
      </c>
      <c r="V97" s="73">
        <v>14</v>
      </c>
      <c r="W97" s="82" t="s">
        <v>113</v>
      </c>
      <c r="X97" s="88">
        <v>0.12</v>
      </c>
      <c r="Y97" s="93">
        <f t="shared" si="11"/>
        <v>9.5087163232963543E-4</v>
      </c>
      <c r="AC97" s="73"/>
      <c r="AD97" s="73"/>
      <c r="AE97" s="73"/>
      <c r="AF97" s="73"/>
      <c r="AG97" s="86"/>
      <c r="AH97" s="86"/>
      <c r="AI97" s="86"/>
      <c r="AJ97" s="22"/>
    </row>
    <row r="98" spans="2:41" ht="15">
      <c r="B98" s="73">
        <v>15</v>
      </c>
      <c r="C98" s="73" t="s">
        <v>379</v>
      </c>
      <c r="D98" s="74">
        <v>0.1</v>
      </c>
      <c r="E98" s="75">
        <v>2.2000000000000001E-3</v>
      </c>
      <c r="F98" s="77"/>
      <c r="G98" s="77">
        <f t="shared" si="9"/>
        <v>1</v>
      </c>
      <c r="J98" s="73">
        <v>15</v>
      </c>
      <c r="K98" s="73" t="s">
        <v>354</v>
      </c>
      <c r="L98" s="81">
        <v>0.4</v>
      </c>
      <c r="M98" s="83">
        <v>1E-3</v>
      </c>
      <c r="N98" s="79"/>
      <c r="O98" s="73"/>
      <c r="P98" s="73">
        <v>15</v>
      </c>
      <c r="Q98" s="81" t="s">
        <v>350</v>
      </c>
      <c r="R98" s="85">
        <v>0.18</v>
      </c>
      <c r="S98" s="86">
        <f t="shared" si="10"/>
        <v>6.8965517241379305E-4</v>
      </c>
      <c r="V98" s="73">
        <v>15</v>
      </c>
      <c r="W98" s="82" t="s">
        <v>353</v>
      </c>
      <c r="X98" s="73">
        <v>0.1</v>
      </c>
      <c r="Y98" s="93">
        <f t="shared" si="11"/>
        <v>7.9239302694136295E-4</v>
      </c>
      <c r="AC98" s="73"/>
      <c r="AD98" s="73"/>
      <c r="AE98" s="73"/>
      <c r="AF98" s="73"/>
      <c r="AG98" s="86"/>
      <c r="AH98" s="86"/>
      <c r="AI98" s="86"/>
      <c r="AJ98" s="22"/>
    </row>
    <row r="99" spans="2:41">
      <c r="B99" s="73"/>
      <c r="C99" s="73" t="s">
        <v>39</v>
      </c>
      <c r="D99" s="74">
        <f>D100-SUM(D84:D98)</f>
        <v>0.39999999999998437</v>
      </c>
      <c r="E99" s="75">
        <v>5.0000000000000001E-3</v>
      </c>
      <c r="F99" s="76"/>
      <c r="G99" s="77">
        <f>D99/D121-1</f>
        <v>0.53846153846144817</v>
      </c>
      <c r="J99" s="73"/>
      <c r="K99" s="73" t="s">
        <v>39</v>
      </c>
      <c r="L99" s="74">
        <f>L100-SUM(L84:L98)</f>
        <v>3.0200000000000387</v>
      </c>
      <c r="M99" s="83">
        <f>M100-SUM(M84:M98)</f>
        <v>7.7000000000001512E-3</v>
      </c>
      <c r="N99" s="79"/>
      <c r="Q99" s="73" t="s">
        <v>39</v>
      </c>
      <c r="R99" s="74">
        <f>R100-SUM(R84:R98)</f>
        <v>0.61000000000001364</v>
      </c>
      <c r="S99" s="86">
        <f t="shared" si="10"/>
        <v>2.3371647509579066E-3</v>
      </c>
      <c r="V99" s="82"/>
      <c r="W99" s="73" t="s">
        <v>39</v>
      </c>
      <c r="X99" s="74">
        <f>X100-SUM(X84:X98)</f>
        <v>0.56000000000001648</v>
      </c>
      <c r="Y99" s="93">
        <f t="shared" si="11"/>
        <v>4.4374009508717626E-3</v>
      </c>
    </row>
    <row r="100" spans="2:41">
      <c r="B100" s="73"/>
      <c r="C100" s="73" t="s">
        <v>48</v>
      </c>
      <c r="D100" s="74">
        <v>47.9</v>
      </c>
      <c r="E100" s="75">
        <f>D100/D100</f>
        <v>1</v>
      </c>
      <c r="F100" s="76">
        <v>0.32600000000000001</v>
      </c>
      <c r="G100" s="77">
        <f>D100/D122-1</f>
        <v>6.6815144766146917E-2</v>
      </c>
      <c r="J100" s="73"/>
      <c r="K100" s="73" t="s">
        <v>48</v>
      </c>
      <c r="L100" s="81">
        <v>387.7</v>
      </c>
      <c r="M100" s="83">
        <v>1</v>
      </c>
      <c r="N100" s="79"/>
      <c r="Q100" s="73" t="s">
        <v>48</v>
      </c>
      <c r="R100" s="81">
        <v>261</v>
      </c>
      <c r="S100" s="83">
        <v>1</v>
      </c>
      <c r="T100" s="79"/>
      <c r="W100" s="73" t="s">
        <v>48</v>
      </c>
      <c r="X100" s="81">
        <v>126.2</v>
      </c>
      <c r="Y100" s="83">
        <v>1</v>
      </c>
      <c r="Z100" s="79"/>
    </row>
    <row r="101" spans="2:41">
      <c r="D101" s="70"/>
      <c r="K101" s="70"/>
      <c r="P101" s="70"/>
      <c r="U101" s="70"/>
      <c r="Z101" s="70"/>
    </row>
    <row r="102" spans="2:41">
      <c r="D102" s="70"/>
      <c r="K102" s="70"/>
      <c r="P102" s="70"/>
      <c r="U102" s="70"/>
      <c r="Z102" s="70"/>
    </row>
    <row r="103" spans="2:41">
      <c r="D103" s="70"/>
      <c r="K103" s="70"/>
      <c r="P103" s="70"/>
      <c r="U103" s="70"/>
      <c r="Z103" s="70"/>
    </row>
    <row r="104" spans="2:41">
      <c r="B104" s="72" t="s">
        <v>380</v>
      </c>
      <c r="C104" s="73"/>
      <c r="D104" s="74"/>
      <c r="E104" s="75"/>
      <c r="F104" s="76"/>
      <c r="G104" s="77"/>
      <c r="J104" s="72" t="s">
        <v>381</v>
      </c>
      <c r="K104" s="22"/>
      <c r="L104" s="22"/>
      <c r="M104" s="22"/>
      <c r="P104" s="72" t="s">
        <v>382</v>
      </c>
      <c r="V104" s="72" t="s">
        <v>383</v>
      </c>
      <c r="AC104" s="72" t="s">
        <v>380</v>
      </c>
      <c r="AD104" s="22"/>
      <c r="AE104" s="22"/>
      <c r="AF104" s="22"/>
      <c r="AG104" s="22"/>
      <c r="AH104" s="22"/>
      <c r="AK104" s="72" t="s">
        <v>381</v>
      </c>
      <c r="AL104" s="22"/>
      <c r="AM104" s="22"/>
      <c r="AN104" s="22"/>
      <c r="AO104" s="22"/>
    </row>
    <row r="105" spans="2:41" ht="32">
      <c r="B105" s="73" t="s">
        <v>342</v>
      </c>
      <c r="C105" s="73" t="s">
        <v>343</v>
      </c>
      <c r="D105" s="78" t="s">
        <v>344</v>
      </c>
      <c r="E105" s="73" t="s">
        <v>345</v>
      </c>
      <c r="F105" s="73" t="s">
        <v>32</v>
      </c>
      <c r="G105" s="73" t="s">
        <v>33</v>
      </c>
      <c r="J105" s="73" t="s">
        <v>342</v>
      </c>
      <c r="K105" s="73" t="s">
        <v>343</v>
      </c>
      <c r="L105" s="78" t="s">
        <v>347</v>
      </c>
      <c r="M105" s="73" t="s">
        <v>345</v>
      </c>
      <c r="N105" s="73" t="s">
        <v>32</v>
      </c>
      <c r="P105" s="73" t="s">
        <v>342</v>
      </c>
      <c r="Q105" s="73" t="s">
        <v>343</v>
      </c>
      <c r="R105" s="74" t="s">
        <v>348</v>
      </c>
      <c r="S105" s="82" t="s">
        <v>345</v>
      </c>
      <c r="T105" s="73" t="s">
        <v>32</v>
      </c>
      <c r="V105" s="73" t="s">
        <v>342</v>
      </c>
      <c r="W105" s="82" t="s">
        <v>343</v>
      </c>
      <c r="X105" s="73" t="s">
        <v>348</v>
      </c>
      <c r="Y105" s="81" t="s">
        <v>345</v>
      </c>
      <c r="Z105" s="73" t="s">
        <v>32</v>
      </c>
      <c r="AC105" s="73" t="s">
        <v>342</v>
      </c>
      <c r="AD105" s="73" t="s">
        <v>343</v>
      </c>
      <c r="AE105" s="78" t="s">
        <v>344</v>
      </c>
      <c r="AF105" s="73" t="s">
        <v>345</v>
      </c>
      <c r="AG105" s="73" t="s">
        <v>32</v>
      </c>
      <c r="AH105" s="73" t="s">
        <v>33</v>
      </c>
      <c r="AK105" s="73" t="s">
        <v>342</v>
      </c>
      <c r="AL105" s="73" t="s">
        <v>343</v>
      </c>
      <c r="AM105" s="78" t="s">
        <v>344</v>
      </c>
      <c r="AN105" s="73" t="s">
        <v>32</v>
      </c>
    </row>
    <row r="106" spans="2:41" ht="15">
      <c r="B106" s="73">
        <v>1</v>
      </c>
      <c r="C106" s="73" t="s">
        <v>98</v>
      </c>
      <c r="D106" s="74">
        <v>19.7</v>
      </c>
      <c r="E106" s="75">
        <v>0.43909999999999999</v>
      </c>
      <c r="F106" s="77">
        <f>D106/D365-1</f>
        <v>0.13544668587896247</v>
      </c>
      <c r="G106" s="77">
        <f>(D106-D128)/D128</f>
        <v>0.17401668653158509</v>
      </c>
      <c r="H106" s="79">
        <v>0.56799999999999995</v>
      </c>
      <c r="J106" s="73">
        <v>1</v>
      </c>
      <c r="K106" s="73" t="s">
        <v>98</v>
      </c>
      <c r="L106" s="81">
        <v>145.78</v>
      </c>
      <c r="M106" s="82">
        <v>0.42909999999999998</v>
      </c>
      <c r="N106" s="79">
        <f>L106/L365-1</f>
        <v>0.17441392088939023</v>
      </c>
      <c r="O106" s="73"/>
      <c r="P106" s="73">
        <v>1</v>
      </c>
      <c r="Q106" s="81" t="s">
        <v>96</v>
      </c>
      <c r="R106" s="85">
        <v>94.45</v>
      </c>
      <c r="S106" s="86">
        <v>0.41110000000000002</v>
      </c>
      <c r="V106" s="73">
        <v>1</v>
      </c>
      <c r="W106" s="82" t="s">
        <v>98</v>
      </c>
      <c r="X106" s="73">
        <v>67.98</v>
      </c>
      <c r="Y106" s="93">
        <v>0.62009999999999998</v>
      </c>
      <c r="AC106" s="73">
        <v>1</v>
      </c>
      <c r="AD106" s="73" t="s">
        <v>98</v>
      </c>
      <c r="AE106" s="74">
        <v>19.7</v>
      </c>
      <c r="AF106" s="75">
        <v>0.43909999999999999</v>
      </c>
      <c r="AG106" s="77">
        <v>0.135446685878962</v>
      </c>
      <c r="AH106" s="77">
        <v>0.174016686531585</v>
      </c>
      <c r="AK106" s="73">
        <v>1</v>
      </c>
      <c r="AL106" s="73" t="s">
        <v>98</v>
      </c>
      <c r="AM106" s="74">
        <v>145.78</v>
      </c>
      <c r="AN106" s="75">
        <v>0.17441392088939001</v>
      </c>
    </row>
    <row r="107" spans="2:41" ht="15">
      <c r="B107" s="73">
        <v>2</v>
      </c>
      <c r="C107" s="73" t="s">
        <v>96</v>
      </c>
      <c r="D107" s="74">
        <v>10.199999999999999</v>
      </c>
      <c r="E107" s="75">
        <v>0.2273</v>
      </c>
      <c r="F107" s="77">
        <f>D107/D366-1</f>
        <v>0.14093959731543615</v>
      </c>
      <c r="G107" s="77">
        <f>(D107-D129)/D129</f>
        <v>-7.7821011673151821E-3</v>
      </c>
      <c r="J107" s="73">
        <v>2</v>
      </c>
      <c r="K107" s="73" t="s">
        <v>96</v>
      </c>
      <c r="L107" s="81">
        <v>94.48</v>
      </c>
      <c r="M107" s="82">
        <v>0.27810000000000001</v>
      </c>
      <c r="N107" s="79">
        <f t="shared" ref="N107:N108" si="12">L107/L366-1</f>
        <v>0.58151991965182459</v>
      </c>
      <c r="O107" s="73"/>
      <c r="P107" s="73">
        <v>2</v>
      </c>
      <c r="Q107" s="81" t="s">
        <v>98</v>
      </c>
      <c r="R107" s="85">
        <v>77.8</v>
      </c>
      <c r="S107" s="86">
        <v>0.33855526544821601</v>
      </c>
      <c r="V107" s="73">
        <v>2</v>
      </c>
      <c r="W107" s="82" t="s">
        <v>109</v>
      </c>
      <c r="X107" s="73">
        <v>13.88</v>
      </c>
      <c r="Y107" s="93">
        <v>0.126642335766423</v>
      </c>
      <c r="AC107" s="73">
        <v>2</v>
      </c>
      <c r="AD107" s="73" t="s">
        <v>96</v>
      </c>
      <c r="AE107" s="74">
        <v>10.199999999999999</v>
      </c>
      <c r="AF107" s="75">
        <v>0.2273</v>
      </c>
      <c r="AG107" s="77">
        <v>0.14093959731543601</v>
      </c>
      <c r="AH107" s="77">
        <v>-7.7821011673151804E-3</v>
      </c>
      <c r="AK107" s="73">
        <v>2</v>
      </c>
      <c r="AL107" s="73" t="s">
        <v>96</v>
      </c>
      <c r="AM107" s="74">
        <v>94.48</v>
      </c>
      <c r="AN107" s="75">
        <v>0.58151991965182503</v>
      </c>
    </row>
    <row r="108" spans="2:41">
      <c r="B108" s="73">
        <v>3</v>
      </c>
      <c r="C108" s="73" t="s">
        <v>109</v>
      </c>
      <c r="D108" s="74">
        <v>3.24</v>
      </c>
      <c r="E108" s="75">
        <v>7.2099999999999997E-2</v>
      </c>
      <c r="F108" s="77">
        <f>D108/D367-1</f>
        <v>0.62000000000000011</v>
      </c>
      <c r="G108" s="77">
        <f>(D108-D130)/D130</f>
        <v>-0.14511873350923479</v>
      </c>
      <c r="J108" s="73">
        <v>3</v>
      </c>
      <c r="K108" s="73" t="s">
        <v>109</v>
      </c>
      <c r="L108" s="81">
        <v>29.83</v>
      </c>
      <c r="M108" s="82">
        <v>8.7800000000000003E-2</v>
      </c>
      <c r="N108" s="79">
        <f t="shared" si="12"/>
        <v>0.7153536515238641</v>
      </c>
      <c r="O108" s="73"/>
      <c r="P108" s="73">
        <v>3</v>
      </c>
      <c r="Q108" s="81" t="s">
        <v>109</v>
      </c>
      <c r="R108" s="87">
        <v>15.95</v>
      </c>
      <c r="S108" s="86">
        <v>6.9408181026980001E-2</v>
      </c>
      <c r="V108" s="73">
        <v>3</v>
      </c>
      <c r="W108" s="73" t="s">
        <v>101</v>
      </c>
      <c r="X108" s="73">
        <v>7.16</v>
      </c>
      <c r="Y108" s="93">
        <v>6.5328467153284706E-2</v>
      </c>
      <c r="AC108" s="73">
        <v>3</v>
      </c>
      <c r="AD108" s="73" t="s">
        <v>109</v>
      </c>
      <c r="AE108" s="74">
        <v>3.24</v>
      </c>
      <c r="AF108" s="75">
        <v>7.2099999999999997E-2</v>
      </c>
      <c r="AG108" s="77">
        <v>0.62</v>
      </c>
      <c r="AH108" s="77">
        <v>-0.14511873350923499</v>
      </c>
      <c r="AK108" s="73">
        <v>3</v>
      </c>
      <c r="AL108" s="73" t="s">
        <v>109</v>
      </c>
      <c r="AM108" s="74">
        <v>29.83</v>
      </c>
      <c r="AN108" s="75">
        <v>0.71535365152386399</v>
      </c>
    </row>
    <row r="109" spans="2:41" ht="15">
      <c r="B109" s="73">
        <v>4</v>
      </c>
      <c r="C109" s="73" t="s">
        <v>103</v>
      </c>
      <c r="D109" s="74">
        <v>2.11</v>
      </c>
      <c r="E109" s="75">
        <v>4.7E-2</v>
      </c>
      <c r="F109" s="77">
        <f>D109/D368-1</f>
        <v>0.64843749999999978</v>
      </c>
      <c r="G109" s="77">
        <f>D109/D132-1</f>
        <v>0.19886363636363624</v>
      </c>
      <c r="J109" s="73">
        <v>4</v>
      </c>
      <c r="K109" s="73" t="s">
        <v>116</v>
      </c>
      <c r="L109" s="81">
        <v>15.08</v>
      </c>
      <c r="M109" s="82">
        <v>4.4400000000000002E-2</v>
      </c>
      <c r="N109" s="79">
        <f>L109/L370-1</f>
        <v>1.55160744500846</v>
      </c>
      <c r="O109" s="73"/>
      <c r="P109" s="73">
        <v>4</v>
      </c>
      <c r="Q109" s="81" t="s">
        <v>103</v>
      </c>
      <c r="R109" s="85">
        <v>12.88</v>
      </c>
      <c r="S109" s="86">
        <v>5.6099999999999997E-2</v>
      </c>
      <c r="V109" s="73">
        <v>4</v>
      </c>
      <c r="W109" s="82" t="s">
        <v>108</v>
      </c>
      <c r="X109" s="73">
        <v>4.95</v>
      </c>
      <c r="Y109" s="93">
        <v>4.5164233576642301E-2</v>
      </c>
      <c r="AC109" s="73">
        <v>4</v>
      </c>
      <c r="AD109" s="73" t="s">
        <v>103</v>
      </c>
      <c r="AE109" s="74">
        <v>2.11</v>
      </c>
      <c r="AF109" s="75">
        <v>4.7E-2</v>
      </c>
      <c r="AG109" s="77">
        <v>0.6484375</v>
      </c>
      <c r="AH109" s="77">
        <v>0.19886363636363599</v>
      </c>
      <c r="AK109" s="73">
        <v>4</v>
      </c>
      <c r="AL109" s="73" t="s">
        <v>116</v>
      </c>
      <c r="AM109" s="74">
        <v>15.08</v>
      </c>
      <c r="AN109" s="75">
        <v>1.55160744500846</v>
      </c>
    </row>
    <row r="110" spans="2:41" ht="15">
      <c r="B110" s="73">
        <v>5</v>
      </c>
      <c r="C110" s="73" t="s">
        <v>116</v>
      </c>
      <c r="D110" s="74">
        <v>2.0499999999999998</v>
      </c>
      <c r="E110" s="75">
        <v>4.5600000000000002E-2</v>
      </c>
      <c r="F110" s="77">
        <f>D110/D370-1</f>
        <v>1.5308641975308639</v>
      </c>
      <c r="G110" s="77">
        <f>D110/D131-1</f>
        <v>4.9019607843137081E-3</v>
      </c>
      <c r="J110" s="73">
        <v>5</v>
      </c>
      <c r="K110" s="73" t="s">
        <v>103</v>
      </c>
      <c r="L110" s="81">
        <v>13.88</v>
      </c>
      <c r="M110" s="82">
        <v>4.0899999999999999E-2</v>
      </c>
      <c r="N110" s="79">
        <f>L110/L368-1</f>
        <v>0.15570358034970866</v>
      </c>
      <c r="O110" s="73"/>
      <c r="P110" s="73">
        <v>5</v>
      </c>
      <c r="Q110" s="81" t="s">
        <v>116</v>
      </c>
      <c r="R110" s="85">
        <v>12.32</v>
      </c>
      <c r="S110" s="86">
        <v>5.3611836379460397E-2</v>
      </c>
      <c r="V110" s="73">
        <v>5</v>
      </c>
      <c r="W110" s="82" t="s">
        <v>114</v>
      </c>
      <c r="X110" s="73">
        <v>4.25</v>
      </c>
      <c r="Y110" s="93">
        <v>3.8777372262773703E-2</v>
      </c>
      <c r="AC110" s="73">
        <v>5</v>
      </c>
      <c r="AD110" s="73" t="s">
        <v>116</v>
      </c>
      <c r="AE110" s="74">
        <v>2.0499999999999998</v>
      </c>
      <c r="AF110" s="75">
        <v>4.5600000000000002E-2</v>
      </c>
      <c r="AG110" s="77">
        <v>1.5308641975308599</v>
      </c>
      <c r="AH110" s="77">
        <v>4.9019607843137098E-3</v>
      </c>
      <c r="AK110" s="73">
        <v>5</v>
      </c>
      <c r="AL110" s="73" t="s">
        <v>103</v>
      </c>
      <c r="AM110" s="74">
        <v>13.88</v>
      </c>
      <c r="AN110" s="75">
        <v>0.15570358034970899</v>
      </c>
    </row>
    <row r="111" spans="2:41" ht="15">
      <c r="B111" s="73">
        <v>6</v>
      </c>
      <c r="C111" s="73" t="s">
        <v>101</v>
      </c>
      <c r="D111" s="74">
        <v>1.65</v>
      </c>
      <c r="E111" s="75">
        <v>3.6900000000000002E-2</v>
      </c>
      <c r="F111" s="77">
        <f>D111/D375-1</f>
        <v>5.875</v>
      </c>
      <c r="G111" s="77">
        <f>D111/D138-1</f>
        <v>5.875</v>
      </c>
      <c r="J111" s="73">
        <v>6</v>
      </c>
      <c r="K111" s="73" t="s">
        <v>114</v>
      </c>
      <c r="L111" s="81">
        <v>7.24</v>
      </c>
      <c r="M111" s="82">
        <v>2.1299999999999999E-2</v>
      </c>
      <c r="N111" s="79">
        <f>L111/L369-1</f>
        <v>0.14375987361769349</v>
      </c>
      <c r="O111" s="73"/>
      <c r="P111" s="73">
        <v>6</v>
      </c>
      <c r="Q111" s="81" t="s">
        <v>336</v>
      </c>
      <c r="R111" s="85">
        <v>3.56</v>
      </c>
      <c r="S111" s="86">
        <v>1.54917319408181E-2</v>
      </c>
      <c r="V111" s="73">
        <v>6</v>
      </c>
      <c r="W111" s="82" t="s">
        <v>129</v>
      </c>
      <c r="X111" s="73">
        <v>4.0599999999999996</v>
      </c>
      <c r="Y111" s="93">
        <v>3.7043795620437997E-2</v>
      </c>
      <c r="AC111" s="73"/>
      <c r="AD111" s="73" t="s">
        <v>39</v>
      </c>
      <c r="AE111" s="74">
        <f>AE112-SUM(AE106:AE110)</f>
        <v>7.6000000000000014</v>
      </c>
      <c r="AF111" s="75">
        <f>AE111/AE112</f>
        <v>0.16926503340757243</v>
      </c>
      <c r="AG111" s="76"/>
      <c r="AH111" s="77">
        <f>AE111/AE133-1</f>
        <v>0.67032967032966906</v>
      </c>
      <c r="AK111" s="73"/>
      <c r="AL111" s="73" t="s">
        <v>39</v>
      </c>
      <c r="AM111" s="74">
        <f>AM112-AM106-AM107-AM108-AM109-AM110</f>
        <v>40.649999999999984</v>
      </c>
      <c r="AN111" s="75"/>
      <c r="AO111" s="76"/>
    </row>
    <row r="112" spans="2:41" ht="15">
      <c r="B112" s="73">
        <v>7</v>
      </c>
      <c r="C112" s="73" t="s">
        <v>129</v>
      </c>
      <c r="D112" s="74">
        <v>1.39</v>
      </c>
      <c r="E112" s="75">
        <v>3.09E-2</v>
      </c>
      <c r="F112" s="77">
        <f>D112/D371-1</f>
        <v>1.3559322033898304</v>
      </c>
      <c r="G112" s="77">
        <f>D112/D133-1</f>
        <v>0</v>
      </c>
      <c r="J112" s="73">
        <v>7</v>
      </c>
      <c r="K112" s="73" t="s">
        <v>129</v>
      </c>
      <c r="L112" s="81">
        <v>7.18</v>
      </c>
      <c r="M112" s="82">
        <v>2.1100000000000001E-2</v>
      </c>
      <c r="N112" s="79">
        <f>L112/L371-1</f>
        <v>0.27304964539007104</v>
      </c>
      <c r="O112" s="73"/>
      <c r="P112" s="73">
        <v>7</v>
      </c>
      <c r="Q112" s="81" t="s">
        <v>337</v>
      </c>
      <c r="R112" s="85">
        <v>3.51</v>
      </c>
      <c r="S112" s="86">
        <v>1.5274151436031299E-2</v>
      </c>
      <c r="V112" s="73">
        <v>7</v>
      </c>
      <c r="W112" s="82" t="s">
        <v>116</v>
      </c>
      <c r="X112" s="88">
        <v>2.76</v>
      </c>
      <c r="Y112" s="93">
        <v>2.51824817518248E-2</v>
      </c>
      <c r="AC112" s="73"/>
      <c r="AD112" s="73" t="s">
        <v>48</v>
      </c>
      <c r="AE112" s="74">
        <v>44.9</v>
      </c>
      <c r="AF112" s="75">
        <v>1</v>
      </c>
      <c r="AG112" s="76"/>
      <c r="AH112" s="77">
        <f>AE112/AE134-1</f>
        <v>0.14540816326530592</v>
      </c>
      <c r="AK112" s="73"/>
      <c r="AL112" s="73" t="s">
        <v>48</v>
      </c>
      <c r="AM112" s="74">
        <v>339.7</v>
      </c>
      <c r="AN112" s="75"/>
      <c r="AO112" s="76"/>
    </row>
    <row r="113" spans="2:41" ht="15">
      <c r="B113" s="73">
        <v>8</v>
      </c>
      <c r="C113" s="73" t="s">
        <v>108</v>
      </c>
      <c r="D113" s="74">
        <v>1.07</v>
      </c>
      <c r="E113" s="75">
        <v>2.3900000000000001E-2</v>
      </c>
      <c r="F113" s="77">
        <f>D113/D373-1</f>
        <v>1.7435897435897436</v>
      </c>
      <c r="G113" s="77">
        <f>(D113-D137)/D137</f>
        <v>1.229166666666667</v>
      </c>
      <c r="J113" s="73">
        <v>8</v>
      </c>
      <c r="K113" s="73" t="s">
        <v>101</v>
      </c>
      <c r="L113" s="81">
        <v>7.16</v>
      </c>
      <c r="M113" s="82">
        <v>2.1100000000000001E-2</v>
      </c>
      <c r="N113" s="79">
        <f t="shared" ref="N113:N114" si="13">L113/L372-1</f>
        <v>0.44646464646464645</v>
      </c>
      <c r="O113" s="73"/>
      <c r="P113" s="73">
        <v>8</v>
      </c>
      <c r="Q113" s="81" t="s">
        <v>129</v>
      </c>
      <c r="R113" s="87">
        <v>3.11</v>
      </c>
      <c r="S113" s="86">
        <v>1.3599999999999999E-2</v>
      </c>
      <c r="V113" s="73">
        <v>8</v>
      </c>
      <c r="W113" s="82" t="s">
        <v>103</v>
      </c>
      <c r="X113" s="73">
        <v>1</v>
      </c>
      <c r="Y113" s="93">
        <v>9.1240875912408804E-3</v>
      </c>
      <c r="AC113" s="73"/>
      <c r="AD113" s="73"/>
      <c r="AE113" s="73"/>
      <c r="AF113" s="73"/>
      <c r="AG113" s="86"/>
      <c r="AH113" s="86"/>
      <c r="AI113" s="86"/>
      <c r="AJ113" s="22"/>
    </row>
    <row r="114" spans="2:41" ht="15">
      <c r="B114" s="73">
        <v>9</v>
      </c>
      <c r="C114" s="73" t="s">
        <v>114</v>
      </c>
      <c r="D114" s="74">
        <v>0.93</v>
      </c>
      <c r="E114" s="75">
        <v>2.0799999999999999E-2</v>
      </c>
      <c r="F114" s="77">
        <f>D114/D369-1</f>
        <v>0.12048192771084354</v>
      </c>
      <c r="G114" s="77">
        <f>D114/D137-1</f>
        <v>0.93750000000000022</v>
      </c>
      <c r="J114" s="73">
        <v>9</v>
      </c>
      <c r="K114" s="22" t="s">
        <v>108</v>
      </c>
      <c r="L114" s="81">
        <v>4.95</v>
      </c>
      <c r="M114" s="82">
        <v>1.46E-2</v>
      </c>
      <c r="N114" s="79">
        <f t="shared" si="13"/>
        <v>8.0786026200873495E-2</v>
      </c>
      <c r="O114" s="73"/>
      <c r="P114" s="73">
        <v>9</v>
      </c>
      <c r="Q114" s="81" t="s">
        <v>114</v>
      </c>
      <c r="R114" s="85">
        <v>2.99</v>
      </c>
      <c r="S114" s="86">
        <v>1.30113141862489E-2</v>
      </c>
      <c r="V114" s="73">
        <v>9</v>
      </c>
      <c r="W114" s="82" t="s">
        <v>337</v>
      </c>
      <c r="X114" s="73">
        <v>0.96</v>
      </c>
      <c r="Y114" s="93">
        <v>8.7591240875912399E-3</v>
      </c>
      <c r="AC114" s="73"/>
      <c r="AD114" s="73"/>
      <c r="AE114" s="73"/>
      <c r="AF114" s="73"/>
      <c r="AG114" s="86"/>
      <c r="AH114" s="86"/>
      <c r="AI114" s="86"/>
      <c r="AJ114" s="22"/>
    </row>
    <row r="115" spans="2:41" ht="15">
      <c r="B115" s="73">
        <v>10</v>
      </c>
      <c r="C115" s="22" t="s">
        <v>336</v>
      </c>
      <c r="D115" s="74">
        <v>0.84</v>
      </c>
      <c r="E115" s="75">
        <v>1.8800000000000001E-2</v>
      </c>
      <c r="F115" s="77">
        <f>D115/D372-1</f>
        <v>1</v>
      </c>
      <c r="G115" s="77">
        <f>(D115-D135)/D135</f>
        <v>0.52727272727272712</v>
      </c>
      <c r="J115" s="73">
        <v>10</v>
      </c>
      <c r="K115" s="73" t="s">
        <v>337</v>
      </c>
      <c r="L115" s="81">
        <v>4.47</v>
      </c>
      <c r="M115" s="82">
        <v>1.32E-2</v>
      </c>
      <c r="N115" s="79">
        <f>L115/L376-1</f>
        <v>0.96916299559471364</v>
      </c>
      <c r="O115" s="73"/>
      <c r="P115" s="73">
        <v>10</v>
      </c>
      <c r="Q115" s="81" t="s">
        <v>352</v>
      </c>
      <c r="R115" s="87">
        <v>1.54</v>
      </c>
      <c r="S115" s="86">
        <v>6.7014795474325496E-3</v>
      </c>
      <c r="V115" s="73">
        <v>10</v>
      </c>
      <c r="W115" s="82" t="s">
        <v>357</v>
      </c>
      <c r="X115" s="88">
        <v>0.86</v>
      </c>
      <c r="Y115" s="93">
        <v>7.8467153284671499E-3</v>
      </c>
      <c r="AC115" s="73"/>
      <c r="AD115" s="73"/>
      <c r="AE115" s="73"/>
      <c r="AF115" s="73"/>
      <c r="AG115" s="86"/>
      <c r="AH115" s="86"/>
      <c r="AI115" s="86"/>
      <c r="AJ115" s="22"/>
    </row>
    <row r="116" spans="2:41" ht="15">
      <c r="B116" s="73">
        <v>11</v>
      </c>
      <c r="C116" s="73" t="s">
        <v>337</v>
      </c>
      <c r="D116" s="74">
        <v>0.71</v>
      </c>
      <c r="E116" s="75">
        <v>1.5800000000000002E-2</v>
      </c>
      <c r="F116" s="77">
        <f>D116/D377-1</f>
        <v>2.9444444444444442</v>
      </c>
      <c r="G116" s="77">
        <f>D116/D136-1</f>
        <v>0.31481481481481466</v>
      </c>
      <c r="J116" s="73">
        <v>11</v>
      </c>
      <c r="K116" s="73" t="s">
        <v>336</v>
      </c>
      <c r="L116" s="81">
        <v>3.99</v>
      </c>
      <c r="M116" s="83">
        <v>1.17E-2</v>
      </c>
      <c r="N116" s="79">
        <f>L116/L374-1</f>
        <v>-1.2376237623762387E-2</v>
      </c>
      <c r="O116" s="73"/>
      <c r="P116" s="73">
        <v>11</v>
      </c>
      <c r="Q116" s="81" t="s">
        <v>354</v>
      </c>
      <c r="R116" s="85">
        <v>0.36</v>
      </c>
      <c r="S116" s="86">
        <v>1.5E-3</v>
      </c>
      <c r="V116" s="73">
        <v>11</v>
      </c>
      <c r="W116" s="82" t="s">
        <v>371</v>
      </c>
      <c r="X116" s="73">
        <v>0.44</v>
      </c>
      <c r="Y116" s="93">
        <v>4.1000000000000003E-3</v>
      </c>
      <c r="AC116" s="73"/>
      <c r="AD116" s="73"/>
      <c r="AE116" s="73"/>
      <c r="AF116" s="73"/>
      <c r="AG116" s="86"/>
      <c r="AH116" s="86"/>
      <c r="AI116" s="86"/>
      <c r="AJ116" s="22"/>
    </row>
    <row r="117" spans="2:41" ht="15">
      <c r="B117" s="73">
        <v>12</v>
      </c>
      <c r="C117" s="73" t="s">
        <v>371</v>
      </c>
      <c r="D117" s="74">
        <v>0.41</v>
      </c>
      <c r="E117" s="75">
        <v>9.1999999999999998E-3</v>
      </c>
      <c r="F117" s="77"/>
      <c r="G117" s="77">
        <f t="shared" ref="G117" si="14">(D117-D139)/D139</f>
        <v>0.70833333333333326</v>
      </c>
      <c r="J117" s="73">
        <v>12</v>
      </c>
      <c r="K117" s="73" t="s">
        <v>352</v>
      </c>
      <c r="L117" s="81">
        <v>1.62</v>
      </c>
      <c r="M117" s="83">
        <v>4.7999999999999996E-3</v>
      </c>
      <c r="N117" s="79">
        <f>L117/L377-1</f>
        <v>-4.1420118343195145E-2</v>
      </c>
      <c r="O117" s="73"/>
      <c r="P117" s="73">
        <v>12</v>
      </c>
      <c r="Q117" s="81" t="s">
        <v>355</v>
      </c>
      <c r="R117" s="85">
        <v>0.27</v>
      </c>
      <c r="S117" s="86">
        <v>1.17493472584856E-3</v>
      </c>
      <c r="V117" s="73">
        <v>12</v>
      </c>
      <c r="W117" s="82" t="s">
        <v>336</v>
      </c>
      <c r="X117" s="73">
        <v>0.43</v>
      </c>
      <c r="Y117" s="93">
        <v>3.9233576642335802E-3</v>
      </c>
      <c r="AC117" s="73"/>
      <c r="AD117" s="73"/>
      <c r="AE117" s="73"/>
      <c r="AF117" s="73"/>
      <c r="AG117" s="86"/>
      <c r="AH117" s="86"/>
      <c r="AI117" s="86"/>
      <c r="AJ117" s="22"/>
    </row>
    <row r="118" spans="2:41" ht="15">
      <c r="B118" s="73">
        <v>13</v>
      </c>
      <c r="C118" s="73" t="s">
        <v>352</v>
      </c>
      <c r="D118" s="74">
        <v>0.22</v>
      </c>
      <c r="E118" s="75">
        <v>4.7999999999999996E-3</v>
      </c>
      <c r="F118" s="77"/>
      <c r="G118" s="77">
        <f>D118/D139-1</f>
        <v>-8.3333333333333259E-2</v>
      </c>
      <c r="J118" s="73">
        <v>13</v>
      </c>
      <c r="K118" s="82" t="s">
        <v>357</v>
      </c>
      <c r="L118" s="81">
        <v>0.91</v>
      </c>
      <c r="M118" s="83">
        <v>2.7000000000000001E-3</v>
      </c>
      <c r="N118" s="79">
        <f>L118/L375-1</f>
        <v>-0.60262008733624461</v>
      </c>
      <c r="O118" s="73"/>
      <c r="P118" s="73">
        <v>13</v>
      </c>
      <c r="Q118" s="81" t="s">
        <v>363</v>
      </c>
      <c r="R118" s="85">
        <v>0.27</v>
      </c>
      <c r="S118" s="86">
        <v>1.17493472584856E-3</v>
      </c>
      <c r="V118" s="73">
        <v>13</v>
      </c>
      <c r="W118" s="82" t="s">
        <v>351</v>
      </c>
      <c r="X118" s="88">
        <v>0.28000000000000003</v>
      </c>
      <c r="Y118" s="93">
        <v>2.55474452554745E-3</v>
      </c>
      <c r="AC118" s="73"/>
      <c r="AD118" s="73"/>
      <c r="AE118" s="73"/>
      <c r="AF118" s="73"/>
      <c r="AG118" s="86"/>
      <c r="AH118" s="86"/>
      <c r="AI118" s="86"/>
      <c r="AJ118" s="22"/>
    </row>
    <row r="119" spans="2:41" ht="15">
      <c r="B119" s="73">
        <v>14</v>
      </c>
      <c r="C119" s="73" t="s">
        <v>354</v>
      </c>
      <c r="D119" s="74">
        <v>7.0000000000000007E-2</v>
      </c>
      <c r="E119" s="75">
        <v>1.6000000000000001E-3</v>
      </c>
      <c r="F119" s="77"/>
      <c r="G119" s="77">
        <f>(D119-D142)/D142</f>
        <v>0.40000000000000008</v>
      </c>
      <c r="J119" s="73">
        <v>14</v>
      </c>
      <c r="K119" s="73" t="s">
        <v>371</v>
      </c>
      <c r="L119" s="81">
        <v>0.44</v>
      </c>
      <c r="M119" s="83">
        <v>1.2999999999999999E-3</v>
      </c>
      <c r="N119" s="79"/>
      <c r="O119" s="73"/>
      <c r="P119" s="73">
        <v>14</v>
      </c>
      <c r="Q119" s="81" t="s">
        <v>113</v>
      </c>
      <c r="R119" s="85">
        <v>0.18</v>
      </c>
      <c r="S119" s="86">
        <v>7.8328981723237601E-4</v>
      </c>
      <c r="V119" s="73">
        <v>14</v>
      </c>
      <c r="W119" s="82" t="s">
        <v>113</v>
      </c>
      <c r="X119" s="88">
        <v>0.12</v>
      </c>
      <c r="Y119" s="93">
        <v>1.09489051094891E-3</v>
      </c>
      <c r="AC119" s="73"/>
      <c r="AD119" s="73"/>
      <c r="AE119" s="73"/>
      <c r="AF119" s="73"/>
      <c r="AG119" s="86"/>
      <c r="AH119" s="86"/>
      <c r="AI119" s="86"/>
      <c r="AJ119" s="22"/>
    </row>
    <row r="120" spans="2:41" ht="15">
      <c r="B120" s="73">
        <v>15</v>
      </c>
      <c r="C120" s="73" t="s">
        <v>379</v>
      </c>
      <c r="D120" s="74">
        <v>0.05</v>
      </c>
      <c r="E120" s="75">
        <v>1.1999999999999999E-3</v>
      </c>
      <c r="F120" s="77">
        <f>D120/D379-1</f>
        <v>-0.54545454545454541</v>
      </c>
      <c r="G120" s="77"/>
      <c r="J120" s="73">
        <v>15</v>
      </c>
      <c r="K120" s="73" t="s">
        <v>354</v>
      </c>
      <c r="L120" s="81">
        <v>0.36</v>
      </c>
      <c r="M120" s="83">
        <v>1E-3</v>
      </c>
      <c r="N120" s="79"/>
      <c r="O120" s="73"/>
      <c r="P120" s="73">
        <v>15</v>
      </c>
      <c r="Q120" s="81" t="s">
        <v>225</v>
      </c>
      <c r="R120" s="85">
        <v>0.12</v>
      </c>
      <c r="S120" s="86">
        <v>5.2219321148825096E-4</v>
      </c>
      <c r="V120" s="73">
        <v>15</v>
      </c>
      <c r="W120" s="82" t="s">
        <v>384</v>
      </c>
      <c r="X120" s="73">
        <v>0.1</v>
      </c>
      <c r="Y120" s="93">
        <v>9.1240875912408799E-4</v>
      </c>
      <c r="AC120" s="73"/>
      <c r="AD120" s="73"/>
      <c r="AE120" s="73"/>
      <c r="AF120" s="73"/>
      <c r="AG120" s="86"/>
      <c r="AH120" s="86"/>
      <c r="AI120" s="86"/>
      <c r="AJ120" s="22"/>
    </row>
    <row r="121" spans="2:41">
      <c r="B121" s="73"/>
      <c r="C121" s="73" t="s">
        <v>39</v>
      </c>
      <c r="D121" s="74">
        <f>D122-SUM(D106:D120)</f>
        <v>0.26000000000000512</v>
      </c>
      <c r="E121" s="75">
        <v>5.0000000000000001E-3</v>
      </c>
      <c r="F121" s="76"/>
      <c r="G121" s="77">
        <f>D121/D143-1</f>
        <v>0.13043478260869823</v>
      </c>
      <c r="J121" s="73"/>
      <c r="K121" s="73" t="s">
        <v>39</v>
      </c>
      <c r="L121" s="74">
        <f>L122-SUM(L106:L120)</f>
        <v>2.3299999999999272</v>
      </c>
      <c r="M121" s="83">
        <f>M122-SUM(M106:M120)</f>
        <v>6.8999999999999062E-3</v>
      </c>
      <c r="N121" s="79"/>
      <c r="Q121" s="73" t="s">
        <v>39</v>
      </c>
      <c r="R121" s="74">
        <f>R122-SUM(R106:R120)</f>
        <v>0.48999999999998067</v>
      </c>
      <c r="S121" s="83">
        <v>2.1322889469106402E-3</v>
      </c>
      <c r="V121" s="82"/>
      <c r="W121" s="73" t="s">
        <v>39</v>
      </c>
      <c r="X121" s="74">
        <f>X122-SUM(X106:X120)</f>
        <v>0.36999999999999034</v>
      </c>
      <c r="Y121" s="83">
        <f>Y122-SUM(Y106:Y120)</f>
        <v>3.4459854014601277E-3</v>
      </c>
    </row>
    <row r="122" spans="2:41">
      <c r="B122" s="73"/>
      <c r="C122" s="73" t="s">
        <v>48</v>
      </c>
      <c r="D122" s="74">
        <v>44.9</v>
      </c>
      <c r="E122" s="75">
        <f>D122/D122</f>
        <v>1</v>
      </c>
      <c r="F122" s="76"/>
      <c r="G122" s="77">
        <f>D122/D144-1</f>
        <v>0.14540816326530592</v>
      </c>
      <c r="J122" s="73"/>
      <c r="K122" s="73" t="s">
        <v>48</v>
      </c>
      <c r="L122" s="81">
        <v>339.7</v>
      </c>
      <c r="M122" s="83">
        <v>1</v>
      </c>
      <c r="N122" s="79"/>
      <c r="Q122" s="73" t="s">
        <v>48</v>
      </c>
      <c r="R122" s="81">
        <v>229.8</v>
      </c>
      <c r="S122" s="83">
        <v>1</v>
      </c>
      <c r="T122" s="79"/>
      <c r="W122" s="73" t="s">
        <v>48</v>
      </c>
      <c r="X122" s="81">
        <v>109.6</v>
      </c>
      <c r="Y122" s="83">
        <v>1</v>
      </c>
      <c r="Z122" s="79"/>
    </row>
    <row r="123" spans="2:41">
      <c r="D123" s="70"/>
      <c r="K123" s="70"/>
      <c r="P123" s="70"/>
      <c r="U123" s="70"/>
      <c r="Z123" s="70"/>
    </row>
    <row r="124" spans="2:41">
      <c r="D124" s="70"/>
      <c r="K124" s="70"/>
      <c r="P124" s="70"/>
      <c r="U124" s="70"/>
      <c r="Z124" s="70"/>
    </row>
    <row r="125" spans="2:41">
      <c r="D125" s="70"/>
      <c r="K125" s="70"/>
      <c r="P125" s="70"/>
      <c r="U125" s="70"/>
      <c r="Z125" s="70"/>
    </row>
    <row r="126" spans="2:41">
      <c r="B126" s="72" t="s">
        <v>385</v>
      </c>
      <c r="C126" s="73"/>
      <c r="D126" s="74"/>
      <c r="E126" s="75"/>
      <c r="F126" s="76"/>
      <c r="G126" s="77"/>
      <c r="J126" s="72" t="s">
        <v>386</v>
      </c>
      <c r="K126" s="22"/>
      <c r="L126" s="22"/>
      <c r="M126" s="22"/>
      <c r="P126" s="72" t="s">
        <v>387</v>
      </c>
      <c r="V126" s="72" t="s">
        <v>388</v>
      </c>
      <c r="AC126" s="72" t="s">
        <v>385</v>
      </c>
      <c r="AD126" s="22"/>
      <c r="AE126" s="22"/>
      <c r="AF126" s="22"/>
      <c r="AG126" s="22"/>
      <c r="AH126" s="22"/>
      <c r="AK126" s="72" t="s">
        <v>386</v>
      </c>
      <c r="AL126" s="22"/>
      <c r="AM126" s="22"/>
      <c r="AN126" s="22"/>
      <c r="AO126" s="22"/>
    </row>
    <row r="127" spans="2:41" ht="32">
      <c r="B127" s="73" t="s">
        <v>342</v>
      </c>
      <c r="C127" s="73" t="s">
        <v>343</v>
      </c>
      <c r="D127" s="78" t="s">
        <v>344</v>
      </c>
      <c r="E127" s="73" t="s">
        <v>345</v>
      </c>
      <c r="F127" s="73" t="s">
        <v>32</v>
      </c>
      <c r="G127" s="73" t="s">
        <v>33</v>
      </c>
      <c r="J127" s="73" t="s">
        <v>342</v>
      </c>
      <c r="K127" s="73" t="s">
        <v>343</v>
      </c>
      <c r="L127" s="78" t="s">
        <v>347</v>
      </c>
      <c r="M127" s="73" t="s">
        <v>345</v>
      </c>
      <c r="N127" s="73" t="s">
        <v>32</v>
      </c>
      <c r="P127" s="73" t="s">
        <v>342</v>
      </c>
      <c r="Q127" s="73" t="s">
        <v>343</v>
      </c>
      <c r="R127" s="74" t="s">
        <v>348</v>
      </c>
      <c r="S127" s="82" t="s">
        <v>345</v>
      </c>
      <c r="T127" s="73" t="s">
        <v>32</v>
      </c>
      <c r="V127" s="73" t="s">
        <v>342</v>
      </c>
      <c r="W127" s="82" t="s">
        <v>343</v>
      </c>
      <c r="X127" s="73" t="s">
        <v>348</v>
      </c>
      <c r="Y127" s="81" t="s">
        <v>345</v>
      </c>
      <c r="Z127" s="73" t="s">
        <v>32</v>
      </c>
      <c r="AC127" s="73" t="s">
        <v>342</v>
      </c>
      <c r="AD127" s="73" t="s">
        <v>343</v>
      </c>
      <c r="AE127" s="78" t="s">
        <v>344</v>
      </c>
      <c r="AF127" s="73" t="s">
        <v>345</v>
      </c>
      <c r="AG127" s="73" t="s">
        <v>32</v>
      </c>
      <c r="AH127" s="73" t="s">
        <v>33</v>
      </c>
      <c r="AK127" s="73" t="s">
        <v>342</v>
      </c>
      <c r="AL127" s="73" t="s">
        <v>343</v>
      </c>
      <c r="AM127" s="78" t="s">
        <v>344</v>
      </c>
      <c r="AN127" s="73" t="s">
        <v>32</v>
      </c>
    </row>
    <row r="128" spans="2:41" ht="15">
      <c r="B128" s="73">
        <v>1</v>
      </c>
      <c r="C128" s="73" t="s">
        <v>98</v>
      </c>
      <c r="D128" s="74">
        <v>16.78</v>
      </c>
      <c r="E128" s="75">
        <v>0.42809999999999998</v>
      </c>
      <c r="F128" s="77">
        <f>(D128-D386)/D386</f>
        <v>0.13685636856368574</v>
      </c>
      <c r="G128" s="77">
        <f>(D128-D150)/D150</f>
        <v>0.16933797909407677</v>
      </c>
      <c r="H128" s="79">
        <v>0.57999999999999996</v>
      </c>
      <c r="J128" s="73">
        <v>1</v>
      </c>
      <c r="K128" s="73" t="s">
        <v>98</v>
      </c>
      <c r="L128" s="81">
        <v>126.08</v>
      </c>
      <c r="M128" s="82">
        <v>0.42749999999999999</v>
      </c>
      <c r="N128" s="79">
        <f>(L128-L386)/L386</f>
        <v>0.18074545795092711</v>
      </c>
      <c r="P128" s="73">
        <v>1</v>
      </c>
      <c r="Q128" s="81" t="s">
        <v>96</v>
      </c>
      <c r="R128" s="85">
        <v>84.27</v>
      </c>
      <c r="S128" s="86">
        <v>0.42</v>
      </c>
      <c r="V128" s="73">
        <v>1</v>
      </c>
      <c r="W128" s="82" t="s">
        <v>98</v>
      </c>
      <c r="X128" s="73">
        <v>58.91</v>
      </c>
      <c r="Y128" s="93">
        <v>0.62729999999999997</v>
      </c>
      <c r="AC128" s="73">
        <v>1</v>
      </c>
      <c r="AD128" s="73" t="s">
        <v>98</v>
      </c>
      <c r="AE128" s="74">
        <v>16.78</v>
      </c>
      <c r="AF128" s="75">
        <v>0.42809999999999998</v>
      </c>
      <c r="AG128" s="77">
        <v>0.13685636856368599</v>
      </c>
      <c r="AH128" s="77">
        <v>0.169337979094077</v>
      </c>
      <c r="AK128" s="73">
        <v>1</v>
      </c>
      <c r="AL128" s="73" t="s">
        <v>98</v>
      </c>
      <c r="AM128" s="74">
        <v>126.08</v>
      </c>
      <c r="AN128" s="75">
        <v>0.180745457950927</v>
      </c>
    </row>
    <row r="129" spans="2:41" ht="15">
      <c r="B129" s="73">
        <v>2</v>
      </c>
      <c r="C129" s="73" t="s">
        <v>96</v>
      </c>
      <c r="D129" s="74">
        <v>10.28</v>
      </c>
      <c r="E129" s="75">
        <v>0.26229999999999998</v>
      </c>
      <c r="F129" s="77">
        <f>(D129-D387)/D387</f>
        <v>0.32816537467700246</v>
      </c>
      <c r="G129" s="77">
        <f t="shared" ref="G129:G139" si="15">(D129-D151)/D151</f>
        <v>4.577822990844347E-2</v>
      </c>
      <c r="J129" s="73">
        <v>2</v>
      </c>
      <c r="K129" s="73" t="s">
        <v>96</v>
      </c>
      <c r="L129" s="81">
        <v>84.28</v>
      </c>
      <c r="M129" s="82">
        <v>0.28939999999999999</v>
      </c>
      <c r="N129" s="79">
        <f>(L129-L387)/L387</f>
        <v>0.65905511811023632</v>
      </c>
      <c r="P129" s="73">
        <v>2</v>
      </c>
      <c r="Q129" s="81" t="s">
        <v>98</v>
      </c>
      <c r="R129" s="85">
        <v>67.17</v>
      </c>
      <c r="S129" s="86">
        <v>0.33479999999999999</v>
      </c>
      <c r="V129" s="73">
        <v>2</v>
      </c>
      <c r="W129" s="82" t="s">
        <v>109</v>
      </c>
      <c r="X129" s="73">
        <v>12.54</v>
      </c>
      <c r="Y129" s="93">
        <v>0.13350000000000001</v>
      </c>
      <c r="AC129" s="73">
        <v>2</v>
      </c>
      <c r="AD129" s="73" t="s">
        <v>96</v>
      </c>
      <c r="AE129" s="74">
        <v>10.28</v>
      </c>
      <c r="AF129" s="75">
        <v>0.26229999999999998</v>
      </c>
      <c r="AG129" s="77">
        <v>0.32816537467700202</v>
      </c>
      <c r="AH129" s="77">
        <v>4.5778229908443498E-2</v>
      </c>
      <c r="AK129" s="73">
        <v>2</v>
      </c>
      <c r="AL129" s="73" t="s">
        <v>96</v>
      </c>
      <c r="AM129" s="74">
        <v>84.28</v>
      </c>
      <c r="AN129" s="75">
        <v>0.65905511811023598</v>
      </c>
    </row>
    <row r="130" spans="2:41">
      <c r="B130" s="73">
        <v>3</v>
      </c>
      <c r="C130" s="73" t="s">
        <v>109</v>
      </c>
      <c r="D130" s="74">
        <v>3.79</v>
      </c>
      <c r="E130" s="75">
        <v>9.6699999999999994E-2</v>
      </c>
      <c r="F130" s="77">
        <f>(D130-D388)/D388</f>
        <v>0.83980582524271841</v>
      </c>
      <c r="G130" s="77">
        <f t="shared" si="15"/>
        <v>3.5519125683060079E-2</v>
      </c>
      <c r="J130" s="73">
        <v>3</v>
      </c>
      <c r="K130" s="73" t="s">
        <v>109</v>
      </c>
      <c r="L130" s="81">
        <v>26.6</v>
      </c>
      <c r="M130" s="82">
        <v>8.9200000000000002E-2</v>
      </c>
      <c r="N130" s="79">
        <f>(L130-L388)/L388</f>
        <v>0.72839506172839508</v>
      </c>
      <c r="P130" s="73">
        <v>3</v>
      </c>
      <c r="Q130" s="81" t="s">
        <v>109</v>
      </c>
      <c r="R130" s="87">
        <v>14.06</v>
      </c>
      <c r="S130" s="86">
        <v>7.0099999999999996E-2</v>
      </c>
      <c r="V130" s="73">
        <v>3</v>
      </c>
      <c r="W130" s="73" t="s">
        <v>101</v>
      </c>
      <c r="X130" s="73">
        <v>5.5</v>
      </c>
      <c r="Y130" s="93">
        <v>5.8599999999999999E-2</v>
      </c>
      <c r="AC130" s="73">
        <v>3</v>
      </c>
      <c r="AD130" s="73" t="s">
        <v>109</v>
      </c>
      <c r="AE130" s="74">
        <v>3.79</v>
      </c>
      <c r="AF130" s="75">
        <v>9.6699999999999994E-2</v>
      </c>
      <c r="AG130" s="77">
        <v>0.83980582524271796</v>
      </c>
      <c r="AH130" s="77">
        <v>3.55191256830601E-2</v>
      </c>
      <c r="AK130" s="73">
        <v>3</v>
      </c>
      <c r="AL130" s="73" t="s">
        <v>109</v>
      </c>
      <c r="AM130" s="74">
        <v>26.6</v>
      </c>
      <c r="AN130" s="75">
        <v>0.72839506172839497</v>
      </c>
    </row>
    <row r="131" spans="2:41" ht="15">
      <c r="B131" s="73">
        <v>4</v>
      </c>
      <c r="C131" s="73" t="s">
        <v>116</v>
      </c>
      <c r="D131" s="74">
        <v>2.04</v>
      </c>
      <c r="E131" s="75">
        <v>5.21E-2</v>
      </c>
      <c r="F131" s="77">
        <f>(D131-D390)/D390</f>
        <v>1.9999999999999998</v>
      </c>
      <c r="G131" s="77">
        <f t="shared" si="15"/>
        <v>0.10869565217391301</v>
      </c>
      <c r="J131" s="73">
        <v>4</v>
      </c>
      <c r="K131" s="73" t="s">
        <v>116</v>
      </c>
      <c r="L131" s="81">
        <v>13.04</v>
      </c>
      <c r="M131" s="82">
        <v>4.2999999999999997E-2</v>
      </c>
      <c r="N131" s="79">
        <f>(L131-L390)/L390</f>
        <v>1.3709090909090909</v>
      </c>
      <c r="P131" s="73">
        <v>4</v>
      </c>
      <c r="Q131" s="81" t="s">
        <v>103</v>
      </c>
      <c r="R131" s="85">
        <v>10.92</v>
      </c>
      <c r="S131" s="86">
        <v>5.4399999999999997E-2</v>
      </c>
      <c r="V131" s="73">
        <v>4</v>
      </c>
      <c r="W131" s="82" t="s">
        <v>108</v>
      </c>
      <c r="X131" s="73">
        <v>3.88</v>
      </c>
      <c r="Y131" s="93">
        <v>4.1300000000000003E-2</v>
      </c>
      <c r="AC131" s="73">
        <v>4</v>
      </c>
      <c r="AD131" s="73" t="s">
        <v>116</v>
      </c>
      <c r="AE131" s="74">
        <v>2.04</v>
      </c>
      <c r="AF131" s="75">
        <v>5.21E-2</v>
      </c>
      <c r="AG131" s="77">
        <v>2</v>
      </c>
      <c r="AH131" s="77">
        <v>0.108695652173913</v>
      </c>
      <c r="AK131" s="73">
        <v>4</v>
      </c>
      <c r="AL131" s="73" t="s">
        <v>116</v>
      </c>
      <c r="AM131" s="74">
        <v>13.04</v>
      </c>
      <c r="AN131" s="75">
        <v>1.37090909090909</v>
      </c>
    </row>
    <row r="132" spans="2:41" ht="15">
      <c r="B132" s="73">
        <v>5</v>
      </c>
      <c r="C132" s="73" t="s">
        <v>103</v>
      </c>
      <c r="D132" s="74">
        <v>1.76</v>
      </c>
      <c r="E132" s="75">
        <v>4.4900000000000002E-2</v>
      </c>
      <c r="F132" s="77">
        <f>(D132-D389)/D389</f>
        <v>0.27536231884057982</v>
      </c>
      <c r="G132" s="77">
        <f t="shared" si="15"/>
        <v>0.19727891156462588</v>
      </c>
      <c r="J132" s="73">
        <v>5</v>
      </c>
      <c r="K132" s="73" t="s">
        <v>103</v>
      </c>
      <c r="L132" s="81">
        <v>11.78</v>
      </c>
      <c r="M132" s="82">
        <v>3.9199999999999999E-2</v>
      </c>
      <c r="N132" s="79">
        <f>(L132-L389)/L389</f>
        <v>9.7856477166821887E-2</v>
      </c>
      <c r="P132" s="73">
        <v>5</v>
      </c>
      <c r="Q132" s="81" t="s">
        <v>116</v>
      </c>
      <c r="R132" s="85">
        <v>10.67</v>
      </c>
      <c r="S132" s="86">
        <v>5.3199999999999997E-2</v>
      </c>
      <c r="V132" s="73">
        <v>5</v>
      </c>
      <c r="W132" s="82" t="s">
        <v>114</v>
      </c>
      <c r="X132" s="73">
        <v>3.71</v>
      </c>
      <c r="Y132" s="93">
        <v>3.95E-2</v>
      </c>
      <c r="AC132" s="73">
        <v>5</v>
      </c>
      <c r="AD132" s="73" t="s">
        <v>103</v>
      </c>
      <c r="AE132" s="74">
        <v>1.76</v>
      </c>
      <c r="AF132" s="75">
        <v>4.4900000000000002E-2</v>
      </c>
      <c r="AG132" s="77">
        <v>0.27536231884057999</v>
      </c>
      <c r="AH132" s="77">
        <v>0.19727891156462601</v>
      </c>
      <c r="AK132" s="73">
        <v>5</v>
      </c>
      <c r="AL132" s="73" t="s">
        <v>103</v>
      </c>
      <c r="AM132" s="74">
        <v>11.78</v>
      </c>
      <c r="AN132" s="75">
        <v>9.7856477166821901E-2</v>
      </c>
    </row>
    <row r="133" spans="2:41" ht="15">
      <c r="B133" s="73">
        <v>6</v>
      </c>
      <c r="C133" s="73" t="s">
        <v>129</v>
      </c>
      <c r="D133" s="74">
        <v>1.39</v>
      </c>
      <c r="E133" s="75">
        <v>3.5400000000000001E-2</v>
      </c>
      <c r="F133" s="77">
        <f>(D133-D392)/D392</f>
        <v>1.6226415094339619</v>
      </c>
      <c r="G133" s="77">
        <f>(D133-D156)/D156</f>
        <v>0.40404040404040398</v>
      </c>
      <c r="J133" s="73">
        <v>6</v>
      </c>
      <c r="K133" s="73" t="s">
        <v>114</v>
      </c>
      <c r="L133" s="81">
        <v>6.31</v>
      </c>
      <c r="M133" s="82">
        <v>2.2800000000000001E-2</v>
      </c>
      <c r="N133" s="79">
        <f>(L133-L391)/L391</f>
        <v>0.23725490196078433</v>
      </c>
      <c r="P133" s="73">
        <v>6</v>
      </c>
      <c r="Q133" s="81" t="s">
        <v>337</v>
      </c>
      <c r="R133" s="85">
        <v>2.97</v>
      </c>
      <c r="S133" s="86">
        <v>1.4800000000000001E-2</v>
      </c>
      <c r="V133" s="73">
        <v>6</v>
      </c>
      <c r="W133" s="82" t="s">
        <v>129</v>
      </c>
      <c r="X133" s="73">
        <v>3.22</v>
      </c>
      <c r="Y133" s="93">
        <v>3.4299999999999997E-2</v>
      </c>
      <c r="AC133" s="73"/>
      <c r="AD133" s="73" t="s">
        <v>39</v>
      </c>
      <c r="AE133" s="74">
        <f>AE134-SUM(AE128:AE132)</f>
        <v>4.5500000000000043</v>
      </c>
      <c r="AF133" s="75">
        <v>0.113</v>
      </c>
      <c r="AG133" s="76"/>
      <c r="AH133" s="77">
        <f>(AE133-AE155)/AE155</f>
        <v>-0.10958904109588948</v>
      </c>
      <c r="AK133" s="73"/>
      <c r="AL133" s="73" t="s">
        <v>39</v>
      </c>
      <c r="AM133" s="74">
        <f>AM134-AM128-AM129-AM130-AM131-AM132</f>
        <v>33.11999999999999</v>
      </c>
      <c r="AN133" s="75"/>
      <c r="AO133" s="76"/>
    </row>
    <row r="134" spans="2:41" ht="15">
      <c r="B134" s="73">
        <v>7</v>
      </c>
      <c r="C134" s="73" t="s">
        <v>336</v>
      </c>
      <c r="D134" s="74">
        <v>0.71</v>
      </c>
      <c r="E134" s="75">
        <v>1.8200000000000001E-2</v>
      </c>
      <c r="F134" s="77">
        <f>(D134-D394)/D394</f>
        <v>0.51063829787234039</v>
      </c>
      <c r="G134" s="77">
        <f>(D134-D160)/D160</f>
        <v>0.82051282051282037</v>
      </c>
      <c r="J134" s="73">
        <v>7</v>
      </c>
      <c r="K134" s="73" t="s">
        <v>101</v>
      </c>
      <c r="L134" s="81">
        <v>5.8</v>
      </c>
      <c r="M134" s="82">
        <v>2.06E-2</v>
      </c>
      <c r="N134" s="79">
        <f>(L134-L393)/L393</f>
        <v>0.2314225053078556</v>
      </c>
      <c r="P134" s="73">
        <v>7</v>
      </c>
      <c r="Q134" s="81" t="s">
        <v>336</v>
      </c>
      <c r="R134" s="85">
        <v>2.72</v>
      </c>
      <c r="S134" s="86">
        <v>1.35E-2</v>
      </c>
      <c r="V134" s="73">
        <v>7</v>
      </c>
      <c r="W134" s="82" t="s">
        <v>116</v>
      </c>
      <c r="X134" s="88">
        <v>2.37</v>
      </c>
      <c r="Y134" s="93">
        <v>2.53E-2</v>
      </c>
      <c r="AC134" s="73"/>
      <c r="AD134" s="73" t="s">
        <v>48</v>
      </c>
      <c r="AE134" s="74">
        <v>39.200000000000003</v>
      </c>
      <c r="AF134" s="75">
        <v>1</v>
      </c>
      <c r="AG134" s="76"/>
      <c r="AH134" s="77">
        <f>(AE134-AE756)/AE156</f>
        <v>1.0769230769230771</v>
      </c>
      <c r="AK134" s="73"/>
      <c r="AL134" s="73" t="s">
        <v>48</v>
      </c>
      <c r="AM134" s="74">
        <v>294.89999999999998</v>
      </c>
      <c r="AN134" s="75"/>
      <c r="AO134" s="76"/>
    </row>
    <row r="135" spans="2:41" ht="15">
      <c r="B135" s="73">
        <v>8</v>
      </c>
      <c r="C135" s="73" t="s">
        <v>108</v>
      </c>
      <c r="D135" s="74">
        <v>0.55000000000000004</v>
      </c>
      <c r="E135" s="75">
        <v>1.4200000000000001E-2</v>
      </c>
      <c r="F135" s="77">
        <f>(D135-D393)/D393</f>
        <v>7.8431372549019676E-2</v>
      </c>
      <c r="G135" s="77">
        <f>(D135-D159)/D159</f>
        <v>0.12244897959183684</v>
      </c>
      <c r="J135" s="73">
        <v>8</v>
      </c>
      <c r="K135" s="73" t="s">
        <v>129</v>
      </c>
      <c r="L135" s="81">
        <v>5.5</v>
      </c>
      <c r="M135" s="82">
        <v>1.7299999999999999E-2</v>
      </c>
      <c r="N135" s="79">
        <f>(L135-L392)/L392</f>
        <v>8.9108910891089146E-2</v>
      </c>
      <c r="P135" s="73">
        <v>8</v>
      </c>
      <c r="Q135" s="81" t="s">
        <v>114</v>
      </c>
      <c r="R135" s="87">
        <v>2.59</v>
      </c>
      <c r="S135" s="86">
        <v>1.29E-2</v>
      </c>
      <c r="V135" s="73">
        <v>8</v>
      </c>
      <c r="W135" s="82" t="s">
        <v>103</v>
      </c>
      <c r="X135" s="73">
        <v>0.86</v>
      </c>
      <c r="Y135" s="93">
        <v>9.1999999999999998E-3</v>
      </c>
      <c r="AC135" s="73"/>
      <c r="AD135" s="73"/>
      <c r="AE135" s="73"/>
      <c r="AF135" s="73"/>
      <c r="AG135" s="86"/>
      <c r="AH135" s="86"/>
      <c r="AI135" s="86"/>
      <c r="AJ135" s="22"/>
    </row>
    <row r="136" spans="2:41" ht="15">
      <c r="B136" s="73">
        <v>9</v>
      </c>
      <c r="C136" s="73" t="s">
        <v>337</v>
      </c>
      <c r="D136" s="74">
        <v>0.54</v>
      </c>
      <c r="E136" s="75">
        <v>1.37E-2</v>
      </c>
      <c r="F136" s="77"/>
      <c r="G136" s="77">
        <f t="shared" si="15"/>
        <v>-0.20588235294117649</v>
      </c>
      <c r="J136" s="73">
        <v>9</v>
      </c>
      <c r="K136" s="22" t="s">
        <v>108</v>
      </c>
      <c r="L136" s="81">
        <v>3.88</v>
      </c>
      <c r="M136" s="82">
        <v>1.2999999999999999E-2</v>
      </c>
      <c r="N136" s="79">
        <f>(L136-L393)/L393</f>
        <v>-0.17622080679405522</v>
      </c>
      <c r="P136" s="73">
        <v>9</v>
      </c>
      <c r="Q136" s="81" t="s">
        <v>129</v>
      </c>
      <c r="R136" s="85">
        <v>2.57</v>
      </c>
      <c r="S136" s="86">
        <v>1.2800000000000001E-2</v>
      </c>
      <c r="V136" s="73">
        <v>9</v>
      </c>
      <c r="W136" s="82" t="s">
        <v>357</v>
      </c>
      <c r="X136" s="73">
        <v>0.83</v>
      </c>
      <c r="Y136" s="93">
        <v>8.8999999999999999E-3</v>
      </c>
      <c r="AC136" s="73"/>
      <c r="AD136" s="73"/>
      <c r="AE136" s="73"/>
      <c r="AF136" s="73"/>
      <c r="AG136" s="86"/>
      <c r="AH136" s="86"/>
      <c r="AI136" s="86"/>
      <c r="AJ136" s="22"/>
    </row>
    <row r="137" spans="2:41" ht="15">
      <c r="B137" s="73">
        <v>10</v>
      </c>
      <c r="C137" s="22" t="s">
        <v>114</v>
      </c>
      <c r="D137" s="74">
        <v>0.48</v>
      </c>
      <c r="E137" s="75">
        <v>1.21E-2</v>
      </c>
      <c r="F137" s="77">
        <f>(D137-D391)/D391</f>
        <v>-0.27272727272727276</v>
      </c>
      <c r="G137" s="77">
        <f>(D137-D157)/D157</f>
        <v>-0.4606741573033708</v>
      </c>
      <c r="J137" s="73">
        <v>10</v>
      </c>
      <c r="K137" s="73" t="s">
        <v>337</v>
      </c>
      <c r="L137" s="81">
        <v>3.76</v>
      </c>
      <c r="M137" s="82">
        <v>1.26E-2</v>
      </c>
      <c r="N137" s="79">
        <f>(L137-L396)/L396</f>
        <v>0.80769230769230749</v>
      </c>
      <c r="P137" s="73">
        <v>10</v>
      </c>
      <c r="Q137" s="81" t="s">
        <v>352</v>
      </c>
      <c r="R137" s="87">
        <v>1.33</v>
      </c>
      <c r="S137" s="86">
        <v>6.6E-3</v>
      </c>
      <c r="V137" s="73">
        <v>10</v>
      </c>
      <c r="W137" s="82" t="s">
        <v>337</v>
      </c>
      <c r="X137" s="88">
        <v>0.79</v>
      </c>
      <c r="Y137" s="93">
        <v>8.3999999999999995E-3</v>
      </c>
      <c r="AC137" s="73"/>
      <c r="AD137" s="73"/>
      <c r="AE137" s="73"/>
      <c r="AF137" s="73"/>
      <c r="AG137" s="86"/>
      <c r="AH137" s="86"/>
      <c r="AI137" s="86"/>
      <c r="AJ137" s="22"/>
    </row>
    <row r="138" spans="2:41" ht="15">
      <c r="B138" s="73">
        <v>11</v>
      </c>
      <c r="C138" s="73" t="s">
        <v>101</v>
      </c>
      <c r="D138" s="74">
        <v>0.24</v>
      </c>
      <c r="E138" s="75">
        <v>6.3E-3</v>
      </c>
      <c r="F138" s="77">
        <f>(D138-D398)/D398</f>
        <v>0.26315789473684204</v>
      </c>
      <c r="G138" s="77">
        <f>(D138-D155)/D155</f>
        <v>-0.8125</v>
      </c>
      <c r="J138" s="73">
        <v>11</v>
      </c>
      <c r="K138" s="73" t="s">
        <v>336</v>
      </c>
      <c r="L138" s="81">
        <v>3.14</v>
      </c>
      <c r="M138" s="83">
        <v>9.4999999999999998E-3</v>
      </c>
      <c r="N138" s="79">
        <f>(L138-L394)/L394</f>
        <v>-0.25059665871121722</v>
      </c>
      <c r="P138" s="73">
        <v>11</v>
      </c>
      <c r="Q138" s="81" t="s">
        <v>354</v>
      </c>
      <c r="R138" s="85">
        <v>0.28000000000000003</v>
      </c>
      <c r="S138" s="86">
        <v>1.4E-3</v>
      </c>
      <c r="V138" s="73">
        <v>11</v>
      </c>
      <c r="W138" s="82" t="s">
        <v>336</v>
      </c>
      <c r="X138" s="73">
        <v>0.43</v>
      </c>
      <c r="Y138" s="93">
        <v>4.5999999999999999E-3</v>
      </c>
      <c r="AC138" s="73"/>
      <c r="AD138" s="73"/>
      <c r="AE138" s="73"/>
      <c r="AF138" s="73"/>
      <c r="AG138" s="86"/>
      <c r="AH138" s="86"/>
      <c r="AI138" s="86"/>
      <c r="AJ138" s="22"/>
    </row>
    <row r="139" spans="2:41" ht="15">
      <c r="B139" s="73">
        <v>12</v>
      </c>
      <c r="C139" s="73" t="s">
        <v>352</v>
      </c>
      <c r="D139" s="74">
        <v>0.24</v>
      </c>
      <c r="E139" s="75">
        <v>6.0000000000000001E-3</v>
      </c>
      <c r="F139" s="77">
        <f>(D139-D400)/D400</f>
        <v>0.6</v>
      </c>
      <c r="G139" s="77">
        <f t="shared" si="15"/>
        <v>-7.6923076923076983E-2</v>
      </c>
      <c r="J139" s="73">
        <v>12</v>
      </c>
      <c r="K139" s="73" t="s">
        <v>352</v>
      </c>
      <c r="L139" s="81">
        <v>1.41</v>
      </c>
      <c r="M139" s="83">
        <v>4.5999999999999999E-3</v>
      </c>
      <c r="N139" s="79">
        <f>(L139-L400)/L400</f>
        <v>0.31775700934579426</v>
      </c>
      <c r="P139" s="73">
        <v>12</v>
      </c>
      <c r="Q139" s="81" t="s">
        <v>355</v>
      </c>
      <c r="R139" s="85">
        <v>0.25</v>
      </c>
      <c r="S139" s="86">
        <v>1.2999999999999999E-3</v>
      </c>
      <c r="V139" s="73">
        <v>12</v>
      </c>
      <c r="W139" s="82" t="s">
        <v>351</v>
      </c>
      <c r="X139" s="73">
        <v>0.26</v>
      </c>
      <c r="Y139" s="93">
        <v>2.7000000000000001E-3</v>
      </c>
      <c r="AC139" s="73"/>
      <c r="AD139" s="73"/>
      <c r="AE139" s="73"/>
      <c r="AF139" s="73"/>
      <c r="AG139" s="86"/>
      <c r="AH139" s="86"/>
      <c r="AI139" s="86"/>
      <c r="AJ139" s="22"/>
    </row>
    <row r="140" spans="2:41" ht="15">
      <c r="B140" s="73">
        <v>13</v>
      </c>
      <c r="C140" s="73" t="s">
        <v>354</v>
      </c>
      <c r="D140" s="74">
        <v>0.06</v>
      </c>
      <c r="E140" s="75">
        <v>1.6000000000000001E-3</v>
      </c>
      <c r="F140" s="77"/>
      <c r="G140" s="77"/>
      <c r="J140" s="73">
        <v>13</v>
      </c>
      <c r="K140" s="82" t="s">
        <v>357</v>
      </c>
      <c r="L140" s="81">
        <v>0.88</v>
      </c>
      <c r="M140" s="83">
        <v>3.2000000000000002E-3</v>
      </c>
      <c r="N140" s="79">
        <f>(L140-L397)/L397</f>
        <v>-0.56218905472636815</v>
      </c>
      <c r="P140" s="73">
        <v>13</v>
      </c>
      <c r="Q140" s="81" t="s">
        <v>363</v>
      </c>
      <c r="R140" s="85">
        <v>0.25</v>
      </c>
      <c r="S140" s="86">
        <v>1.2999999999999999E-3</v>
      </c>
      <c r="V140" s="73">
        <v>13</v>
      </c>
      <c r="W140" s="82" t="s">
        <v>113</v>
      </c>
      <c r="X140" s="88">
        <v>0.12</v>
      </c>
      <c r="Y140" s="93">
        <v>1.1999999999999999E-3</v>
      </c>
      <c r="AC140" s="73"/>
      <c r="AD140" s="73"/>
      <c r="AE140" s="73"/>
      <c r="AF140" s="73"/>
      <c r="AG140" s="86"/>
      <c r="AH140" s="86"/>
      <c r="AI140" s="86"/>
      <c r="AJ140" s="22"/>
    </row>
    <row r="141" spans="2:41" ht="15">
      <c r="B141" s="73">
        <v>14</v>
      </c>
      <c r="C141" s="73" t="s">
        <v>357</v>
      </c>
      <c r="D141" s="74">
        <v>0.06</v>
      </c>
      <c r="E141" s="75">
        <v>1.6000000000000001E-3</v>
      </c>
      <c r="F141" s="77">
        <f>(D141-D397)/D397</f>
        <v>-0.70000000000000007</v>
      </c>
      <c r="G141" s="77">
        <f>(D141-D164)/D164</f>
        <v>1</v>
      </c>
      <c r="J141" s="73">
        <v>14</v>
      </c>
      <c r="K141" s="73" t="s">
        <v>113</v>
      </c>
      <c r="L141" s="81">
        <v>0.28000000000000003</v>
      </c>
      <c r="M141" s="83">
        <v>1.1000000000000001E-3</v>
      </c>
      <c r="N141" s="79">
        <f>(L141-L399)/L399</f>
        <v>-0.75221238938053092</v>
      </c>
      <c r="P141" s="73">
        <v>14</v>
      </c>
      <c r="Q141" s="81" t="s">
        <v>113</v>
      </c>
      <c r="R141" s="85">
        <v>0.17</v>
      </c>
      <c r="S141" s="86">
        <v>8.0000000000000004E-4</v>
      </c>
      <c r="V141" s="73">
        <v>14</v>
      </c>
      <c r="W141" s="82" t="s">
        <v>384</v>
      </c>
      <c r="X141" s="88">
        <v>0.1</v>
      </c>
      <c r="Y141" s="93">
        <v>1E-3</v>
      </c>
      <c r="AC141" s="73"/>
      <c r="AD141" s="73"/>
      <c r="AE141" s="73"/>
      <c r="AF141" s="73"/>
      <c r="AG141" s="86"/>
      <c r="AH141" s="86"/>
      <c r="AI141" s="86"/>
      <c r="AJ141" s="22"/>
    </row>
    <row r="142" spans="2:41" ht="15">
      <c r="B142" s="73">
        <v>15</v>
      </c>
      <c r="C142" s="73" t="s">
        <v>372</v>
      </c>
      <c r="D142" s="74">
        <v>0.05</v>
      </c>
      <c r="E142" s="75">
        <v>1.1999999999999999E-3</v>
      </c>
      <c r="F142" s="77"/>
      <c r="G142" s="77"/>
      <c r="J142" s="73">
        <v>15</v>
      </c>
      <c r="K142" s="73" t="s">
        <v>351</v>
      </c>
      <c r="L142" s="81">
        <v>0.28000000000000003</v>
      </c>
      <c r="M142" s="83">
        <v>8.9999999999999998E-4</v>
      </c>
      <c r="N142" s="79"/>
      <c r="P142" s="73">
        <v>15</v>
      </c>
      <c r="Q142" s="81" t="s">
        <v>225</v>
      </c>
      <c r="R142" s="85">
        <v>0.11</v>
      </c>
      <c r="S142" s="86">
        <v>5.0000000000000001E-4</v>
      </c>
      <c r="V142" s="73">
        <v>15</v>
      </c>
      <c r="W142" s="82" t="s">
        <v>352</v>
      </c>
      <c r="X142" s="73">
        <v>0.08</v>
      </c>
      <c r="Y142" s="93">
        <v>8.0000000000000004E-4</v>
      </c>
      <c r="AC142" s="73"/>
      <c r="AD142" s="73"/>
      <c r="AE142" s="73"/>
      <c r="AF142" s="73"/>
      <c r="AG142" s="86"/>
      <c r="AH142" s="86"/>
      <c r="AI142" s="86"/>
      <c r="AJ142" s="22"/>
    </row>
    <row r="143" spans="2:41">
      <c r="B143" s="73"/>
      <c r="C143" s="73" t="s">
        <v>39</v>
      </c>
      <c r="D143" s="74">
        <f>D144-SUM(D128:D142)</f>
        <v>0.23000000000000398</v>
      </c>
      <c r="E143" s="75">
        <v>1.8E-3</v>
      </c>
      <c r="F143" s="76"/>
      <c r="G143" s="77">
        <f>(D143-D165)/D165</f>
        <v>0.64285714285724804</v>
      </c>
      <c r="J143" s="73"/>
      <c r="K143" s="73" t="s">
        <v>39</v>
      </c>
      <c r="L143" s="74">
        <f>L144-SUM(L128:L142)</f>
        <v>1.8800000000000523</v>
      </c>
      <c r="M143" s="83">
        <f>M144-SUM(M128:M142)</f>
        <v>6.0999999999998833E-3</v>
      </c>
      <c r="N143" s="79"/>
      <c r="Q143" s="73" t="s">
        <v>39</v>
      </c>
      <c r="R143" s="74">
        <f>R144-SUM(R128:R142)</f>
        <v>0.37000000000000455</v>
      </c>
      <c r="S143" s="83">
        <f>S144-SUM(S128:S142)</f>
        <v>1.6000000000000458E-3</v>
      </c>
      <c r="V143" s="82"/>
      <c r="W143" s="73" t="s">
        <v>39</v>
      </c>
      <c r="X143" s="74">
        <f>X144-SUM(X128:X142)</f>
        <v>0.30000000000001137</v>
      </c>
      <c r="Y143" s="83">
        <f>Y144-SUM(Y128:Y142)</f>
        <v>3.4000000000000696E-3</v>
      </c>
    </row>
    <row r="144" spans="2:41">
      <c r="B144" s="73"/>
      <c r="C144" s="73" t="s">
        <v>48</v>
      </c>
      <c r="D144" s="74">
        <v>39.200000000000003</v>
      </c>
      <c r="E144" s="75">
        <f>D144/D144</f>
        <v>1</v>
      </c>
      <c r="F144" s="76"/>
      <c r="G144" s="77">
        <f>(D144-D166)/D166</f>
        <v>7.6923076923077038E-2</v>
      </c>
      <c r="J144" s="73"/>
      <c r="K144" s="73" t="s">
        <v>48</v>
      </c>
      <c r="L144" s="81">
        <v>294.89999999999998</v>
      </c>
      <c r="M144" s="83">
        <v>1</v>
      </c>
      <c r="N144" s="79"/>
      <c r="Q144" s="73" t="s">
        <v>48</v>
      </c>
      <c r="R144" s="81">
        <v>200.7</v>
      </c>
      <c r="S144" s="83">
        <v>1</v>
      </c>
      <c r="T144" s="79"/>
      <c r="W144" s="73" t="s">
        <v>48</v>
      </c>
      <c r="X144" s="81">
        <v>93.9</v>
      </c>
      <c r="Y144" s="83">
        <v>1</v>
      </c>
      <c r="Z144" s="79"/>
    </row>
    <row r="145" spans="2:40">
      <c r="B145" s="73"/>
      <c r="C145" s="22"/>
      <c r="D145" s="74"/>
      <c r="E145" s="75"/>
      <c r="F145" s="77"/>
      <c r="G145" s="77"/>
      <c r="K145" s="70"/>
      <c r="P145" s="70"/>
      <c r="U145" s="70"/>
      <c r="Z145" s="70"/>
    </row>
    <row r="146" spans="2:40">
      <c r="B146" s="73"/>
      <c r="C146" s="73"/>
      <c r="D146" s="74"/>
      <c r="E146" s="75"/>
      <c r="F146" s="77"/>
      <c r="G146" s="77"/>
      <c r="K146" s="70"/>
      <c r="P146" s="70"/>
      <c r="U146" s="70"/>
      <c r="Z146" s="70"/>
    </row>
    <row r="147" spans="2:40">
      <c r="B147" s="73"/>
      <c r="C147" s="73"/>
      <c r="D147" s="74"/>
      <c r="E147" s="75"/>
      <c r="F147" s="77"/>
      <c r="G147" s="77"/>
      <c r="K147" s="70"/>
      <c r="P147" s="70"/>
      <c r="U147" s="70"/>
      <c r="Z147" s="70"/>
    </row>
    <row r="148" spans="2:40">
      <c r="B148" s="72" t="s">
        <v>389</v>
      </c>
      <c r="C148" s="73"/>
      <c r="D148" s="74"/>
      <c r="E148" s="75"/>
      <c r="F148" s="76"/>
      <c r="G148" s="77"/>
      <c r="J148" s="72" t="s">
        <v>390</v>
      </c>
      <c r="K148" s="22"/>
      <c r="L148" s="22"/>
      <c r="M148" s="22"/>
      <c r="P148" s="72" t="s">
        <v>391</v>
      </c>
      <c r="V148" s="72" t="s">
        <v>392</v>
      </c>
      <c r="AC148" s="72" t="s">
        <v>389</v>
      </c>
      <c r="AD148" s="22"/>
      <c r="AE148" s="22"/>
      <c r="AF148" s="22"/>
      <c r="AG148" s="22"/>
      <c r="AH148" s="22"/>
      <c r="AK148" s="72" t="s">
        <v>390</v>
      </c>
      <c r="AL148" s="22"/>
      <c r="AM148" s="22"/>
      <c r="AN148" s="22"/>
    </row>
    <row r="149" spans="2:40" ht="32">
      <c r="B149" s="73" t="s">
        <v>342</v>
      </c>
      <c r="C149" s="73" t="s">
        <v>343</v>
      </c>
      <c r="D149" s="78" t="s">
        <v>344</v>
      </c>
      <c r="E149" s="73" t="s">
        <v>345</v>
      </c>
      <c r="F149" s="73" t="s">
        <v>32</v>
      </c>
      <c r="G149" s="73" t="s">
        <v>33</v>
      </c>
      <c r="J149" s="73" t="s">
        <v>342</v>
      </c>
      <c r="K149" s="73" t="s">
        <v>343</v>
      </c>
      <c r="L149" s="78" t="s">
        <v>347</v>
      </c>
      <c r="M149" s="73" t="s">
        <v>345</v>
      </c>
      <c r="N149" s="73" t="s">
        <v>32</v>
      </c>
      <c r="P149" s="73" t="s">
        <v>342</v>
      </c>
      <c r="Q149" s="73" t="s">
        <v>343</v>
      </c>
      <c r="R149" s="74" t="s">
        <v>348</v>
      </c>
      <c r="S149" s="82" t="s">
        <v>345</v>
      </c>
      <c r="T149" s="73" t="s">
        <v>32</v>
      </c>
      <c r="V149" s="73" t="s">
        <v>342</v>
      </c>
      <c r="W149" s="82" t="s">
        <v>343</v>
      </c>
      <c r="X149" s="73" t="s">
        <v>348</v>
      </c>
      <c r="Y149" s="81" t="s">
        <v>345</v>
      </c>
      <c r="Z149" s="73" t="s">
        <v>32</v>
      </c>
      <c r="AC149" s="73" t="s">
        <v>342</v>
      </c>
      <c r="AD149" s="73" t="s">
        <v>343</v>
      </c>
      <c r="AE149" s="78" t="s">
        <v>344</v>
      </c>
      <c r="AF149" s="73" t="s">
        <v>345</v>
      </c>
      <c r="AG149" s="73" t="s">
        <v>32</v>
      </c>
      <c r="AH149" s="73" t="s">
        <v>33</v>
      </c>
      <c r="AK149" s="73" t="s">
        <v>342</v>
      </c>
      <c r="AL149" s="73" t="s">
        <v>343</v>
      </c>
      <c r="AM149" s="78" t="s">
        <v>344</v>
      </c>
      <c r="AN149" s="73" t="s">
        <v>32</v>
      </c>
    </row>
    <row r="150" spans="2:40" ht="15">
      <c r="B150" s="73">
        <v>1</v>
      </c>
      <c r="C150" s="73" t="s">
        <v>98</v>
      </c>
      <c r="D150" s="74">
        <v>14.35</v>
      </c>
      <c r="E150" s="75">
        <v>0.39410000000000001</v>
      </c>
      <c r="F150" s="77">
        <f>(D150-D406)/D406</f>
        <v>-5.0925925925925902E-2</v>
      </c>
      <c r="G150" s="77">
        <f>(D150-D172)/D172</f>
        <v>-7.1197411003236233E-2</v>
      </c>
      <c r="H150" s="79">
        <v>0.54</v>
      </c>
      <c r="J150" s="73">
        <v>1</v>
      </c>
      <c r="K150" s="73" t="s">
        <v>98</v>
      </c>
      <c r="L150" s="81">
        <v>109.3</v>
      </c>
      <c r="M150" s="82">
        <v>0.42749999999999999</v>
      </c>
      <c r="N150" s="79">
        <f t="shared" ref="N150:N152" si="16">(L150-L406)/L406</f>
        <v>0.18778526407302762</v>
      </c>
      <c r="P150" s="73">
        <v>1</v>
      </c>
      <c r="Q150" s="81" t="s">
        <v>96</v>
      </c>
      <c r="R150" s="85">
        <v>73.989999999999995</v>
      </c>
      <c r="S150" s="86">
        <v>0.42559999999999998</v>
      </c>
      <c r="V150" s="73">
        <v>1</v>
      </c>
      <c r="W150" s="82" t="s">
        <v>98</v>
      </c>
      <c r="X150" s="73">
        <v>50.67</v>
      </c>
      <c r="Y150" s="93">
        <v>0.62270000000000003</v>
      </c>
      <c r="AC150" s="73">
        <v>1</v>
      </c>
      <c r="AD150" s="73" t="s">
        <v>98</v>
      </c>
      <c r="AE150" s="74">
        <v>14.35</v>
      </c>
      <c r="AF150" s="75">
        <v>0.39410000000000001</v>
      </c>
      <c r="AG150" s="77">
        <f t="shared" ref="AG150:AG152" si="17">(AE150-D406)/D406</f>
        <v>-5.0925925925925902E-2</v>
      </c>
      <c r="AH150" s="77">
        <f t="shared" ref="AH150:AH152" si="18">(AE150-D172)/D172</f>
        <v>-7.1197411003236233E-2</v>
      </c>
      <c r="AK150" s="73">
        <v>1</v>
      </c>
      <c r="AL150" s="73" t="s">
        <v>98</v>
      </c>
      <c r="AM150" s="74">
        <v>109.3</v>
      </c>
      <c r="AN150" s="77">
        <f t="shared" ref="AN150:AN152" si="19">(AM150-L406)/L406</f>
        <v>0.18778526407302762</v>
      </c>
    </row>
    <row r="151" spans="2:40" ht="15">
      <c r="B151" s="73">
        <v>2</v>
      </c>
      <c r="C151" s="73" t="s">
        <v>96</v>
      </c>
      <c r="D151" s="74">
        <v>9.83</v>
      </c>
      <c r="E151" s="75">
        <v>0.27</v>
      </c>
      <c r="F151" s="77">
        <f>(D151-D407)/D407</f>
        <v>0.38450704225352123</v>
      </c>
      <c r="G151" s="77">
        <f>(D151-D173)/D173</f>
        <v>4.463336875664186E-2</v>
      </c>
      <c r="J151" s="73">
        <v>2</v>
      </c>
      <c r="K151" s="73" t="s">
        <v>96</v>
      </c>
      <c r="L151" s="81">
        <v>74</v>
      </c>
      <c r="M151" s="82">
        <v>0.28939999999999999</v>
      </c>
      <c r="N151" s="79">
        <f t="shared" si="16"/>
        <v>0.71853228053878304</v>
      </c>
      <c r="P151" s="73">
        <v>2</v>
      </c>
      <c r="Q151" s="81" t="s">
        <v>98</v>
      </c>
      <c r="R151" s="85">
        <v>58.63</v>
      </c>
      <c r="S151" s="86">
        <v>0.33729999999999999</v>
      </c>
      <c r="V151" s="73">
        <v>2</v>
      </c>
      <c r="W151" s="82" t="s">
        <v>109</v>
      </c>
      <c r="X151" s="73">
        <v>11.08</v>
      </c>
      <c r="Y151" s="93">
        <v>0.13900000000000001</v>
      </c>
      <c r="AC151" s="73">
        <v>2</v>
      </c>
      <c r="AD151" s="73" t="s">
        <v>96</v>
      </c>
      <c r="AE151" s="74">
        <v>9.83</v>
      </c>
      <c r="AF151" s="75">
        <v>0.27</v>
      </c>
      <c r="AG151" s="77">
        <f t="shared" si="17"/>
        <v>0.38450704225352123</v>
      </c>
      <c r="AH151" s="77">
        <f t="shared" si="18"/>
        <v>4.463336875664186E-2</v>
      </c>
      <c r="AK151" s="73">
        <v>2</v>
      </c>
      <c r="AL151" s="73" t="s">
        <v>96</v>
      </c>
      <c r="AM151" s="74">
        <v>74</v>
      </c>
      <c r="AN151" s="77">
        <f t="shared" si="19"/>
        <v>0.71853228053878304</v>
      </c>
    </row>
    <row r="152" spans="2:40">
      <c r="B152" s="73">
        <v>3</v>
      </c>
      <c r="C152" s="73" t="s">
        <v>109</v>
      </c>
      <c r="D152" s="74">
        <v>3.66</v>
      </c>
      <c r="E152" s="75">
        <v>0.10059999999999999</v>
      </c>
      <c r="F152" s="77">
        <f>(D152-D408)/D408</f>
        <v>0.87692307692307703</v>
      </c>
      <c r="G152" s="77">
        <f>(D152-D174)/D174</f>
        <v>8.2840236686390609E-2</v>
      </c>
      <c r="J152" s="73">
        <v>3</v>
      </c>
      <c r="K152" s="73" t="s">
        <v>109</v>
      </c>
      <c r="L152" s="81">
        <v>22.81</v>
      </c>
      <c r="M152" s="82">
        <v>8.9200000000000002E-2</v>
      </c>
      <c r="N152" s="79">
        <f t="shared" si="16"/>
        <v>0.71117779444861207</v>
      </c>
      <c r="P152" s="73">
        <v>3</v>
      </c>
      <c r="Q152" s="81" t="s">
        <v>109</v>
      </c>
      <c r="R152" s="87">
        <v>11.73</v>
      </c>
      <c r="S152" s="86">
        <v>6.7500000000000004E-2</v>
      </c>
      <c r="V152" s="73">
        <v>3</v>
      </c>
      <c r="W152" s="73" t="s">
        <v>101</v>
      </c>
      <c r="X152" s="73">
        <v>5.26</v>
      </c>
      <c r="Y152" s="93">
        <v>5.7299999999999997E-2</v>
      </c>
      <c r="AC152" s="73">
        <v>3</v>
      </c>
      <c r="AD152" s="73" t="s">
        <v>109</v>
      </c>
      <c r="AE152" s="74">
        <v>3.66</v>
      </c>
      <c r="AF152" s="75">
        <v>0.10059999999999999</v>
      </c>
      <c r="AG152" s="77">
        <f t="shared" si="17"/>
        <v>0.87692307692307703</v>
      </c>
      <c r="AH152" s="77">
        <f t="shared" si="18"/>
        <v>8.2840236686390609E-2</v>
      </c>
      <c r="AK152" s="73">
        <v>3</v>
      </c>
      <c r="AL152" s="73" t="s">
        <v>109</v>
      </c>
      <c r="AM152" s="74">
        <v>22.81</v>
      </c>
      <c r="AN152" s="77">
        <f t="shared" si="19"/>
        <v>0.71117779444861207</v>
      </c>
    </row>
    <row r="153" spans="2:40" ht="15">
      <c r="B153" s="73">
        <v>4</v>
      </c>
      <c r="C153" s="73" t="s">
        <v>116</v>
      </c>
      <c r="D153" s="74">
        <v>1.84</v>
      </c>
      <c r="E153" s="75">
        <v>5.0599999999999999E-2</v>
      </c>
      <c r="F153" s="77">
        <f>(D153-D412)/D412</f>
        <v>1.4864864864864866</v>
      </c>
      <c r="G153" s="77">
        <f>(D153-D176)/D176</f>
        <v>0.50819672131147553</v>
      </c>
      <c r="J153" s="73">
        <v>4</v>
      </c>
      <c r="K153" s="73" t="s">
        <v>116</v>
      </c>
      <c r="L153" s="81">
        <v>11</v>
      </c>
      <c r="M153" s="82">
        <v>4.2999999999999997E-2</v>
      </c>
      <c r="N153" s="79">
        <f>(L153-L413)/L413</f>
        <v>1.4886877828054299</v>
      </c>
      <c r="P153" s="73">
        <v>4</v>
      </c>
      <c r="Q153" s="81" t="s">
        <v>103</v>
      </c>
      <c r="R153" s="85">
        <v>9.26</v>
      </c>
      <c r="S153" s="86">
        <v>5.33E-2</v>
      </c>
      <c r="V153" s="73">
        <v>4</v>
      </c>
      <c r="W153" s="82" t="s">
        <v>114</v>
      </c>
      <c r="X153" s="73">
        <v>3.37</v>
      </c>
      <c r="Y153" s="93">
        <v>4.19E-2</v>
      </c>
      <c r="AC153" s="73">
        <v>4</v>
      </c>
      <c r="AD153" s="73" t="s">
        <v>116</v>
      </c>
      <c r="AE153" s="74">
        <v>1.84</v>
      </c>
      <c r="AF153" s="75">
        <v>5.0599999999999999E-2</v>
      </c>
      <c r="AG153" s="77">
        <f>(AE153-D412)/D412</f>
        <v>1.4864864864864866</v>
      </c>
      <c r="AH153" s="77">
        <f>(AE153-D176)/D176</f>
        <v>0.50819672131147553</v>
      </c>
      <c r="AK153" s="73">
        <v>4</v>
      </c>
      <c r="AL153" s="73" t="s">
        <v>116</v>
      </c>
      <c r="AM153" s="74">
        <v>10.02</v>
      </c>
      <c r="AN153" s="77">
        <f>(AM153-L413)/L413</f>
        <v>1.2669683257918551</v>
      </c>
    </row>
    <row r="154" spans="2:40" ht="15">
      <c r="B154" s="73">
        <v>5</v>
      </c>
      <c r="C154" s="73" t="s">
        <v>103</v>
      </c>
      <c r="D154" s="74">
        <v>1.47</v>
      </c>
      <c r="E154" s="75">
        <v>4.0399999999999998E-2</v>
      </c>
      <c r="F154" s="77">
        <f>(D154-D409)/D409</f>
        <v>7.2992700729926904E-2</v>
      </c>
      <c r="G154" s="77">
        <f>(D154-D175)/D175</f>
        <v>0.18548387096774191</v>
      </c>
      <c r="J154" s="73">
        <v>5</v>
      </c>
      <c r="K154" s="73" t="s">
        <v>103</v>
      </c>
      <c r="L154" s="81">
        <v>10.02</v>
      </c>
      <c r="M154" s="82">
        <v>3.9199999999999999E-2</v>
      </c>
      <c r="N154" s="79">
        <f t="shared" ref="N154:N157" si="20">(L154-L409)/L409</f>
        <v>7.1657754010695185E-2</v>
      </c>
      <c r="P154" s="73">
        <v>5</v>
      </c>
      <c r="Q154" s="81" t="s">
        <v>116</v>
      </c>
      <c r="R154" s="85">
        <v>8.99</v>
      </c>
      <c r="S154" s="86">
        <v>5.1700000000000003E-2</v>
      </c>
      <c r="V154" s="73">
        <v>5</v>
      </c>
      <c r="W154" s="82" t="s">
        <v>108</v>
      </c>
      <c r="X154" s="73">
        <v>3.33</v>
      </c>
      <c r="Y154" s="93">
        <v>4.0899999999999999E-2</v>
      </c>
      <c r="AC154" s="73">
        <v>5</v>
      </c>
      <c r="AD154" s="73" t="s">
        <v>103</v>
      </c>
      <c r="AE154" s="74">
        <v>1.47</v>
      </c>
      <c r="AF154" s="75">
        <v>4.0399999999999998E-2</v>
      </c>
      <c r="AG154" s="77">
        <f>(AE154-D409)/D409</f>
        <v>7.2992700729926904E-2</v>
      </c>
      <c r="AH154" s="77">
        <f>(AE154-D175)/D175</f>
        <v>0.18548387096774191</v>
      </c>
      <c r="AK154" s="73">
        <v>5</v>
      </c>
      <c r="AL154" s="73" t="s">
        <v>103</v>
      </c>
      <c r="AM154" s="74">
        <v>11</v>
      </c>
      <c r="AN154" s="77">
        <f>(AM154-L409)/L409</f>
        <v>0.17647058823529416</v>
      </c>
    </row>
    <row r="155" spans="2:40" ht="15">
      <c r="B155" s="73">
        <v>6</v>
      </c>
      <c r="C155" s="73" t="s">
        <v>101</v>
      </c>
      <c r="D155" s="74">
        <v>1.28</v>
      </c>
      <c r="E155" s="75">
        <v>3.5200000000000002E-2</v>
      </c>
      <c r="F155" s="77">
        <f>(D155-D410)/D410</f>
        <v>0.36170212765957455</v>
      </c>
      <c r="G155" s="77">
        <f>(D155-D179)/D179</f>
        <v>0.96923076923076923</v>
      </c>
      <c r="J155" s="73">
        <v>6</v>
      </c>
      <c r="K155" s="73" t="s">
        <v>114</v>
      </c>
      <c r="L155" s="81">
        <v>5.83</v>
      </c>
      <c r="M155" s="82">
        <v>2.2800000000000001E-2</v>
      </c>
      <c r="N155" s="79">
        <f t="shared" si="20"/>
        <v>0.30133928571428559</v>
      </c>
      <c r="P155" s="73">
        <v>6</v>
      </c>
      <c r="Q155" s="81" t="s">
        <v>337</v>
      </c>
      <c r="R155" s="85">
        <v>2.52</v>
      </c>
      <c r="S155" s="86">
        <v>1.4500000000000001E-2</v>
      </c>
      <c r="V155" s="73">
        <v>6</v>
      </c>
      <c r="W155" s="82" t="s">
        <v>129</v>
      </c>
      <c r="X155" s="73">
        <v>2.4300000000000002</v>
      </c>
      <c r="Y155" s="93">
        <v>2.7199999999999998E-2</v>
      </c>
      <c r="AC155" s="73"/>
      <c r="AD155" s="73" t="s">
        <v>39</v>
      </c>
      <c r="AE155" s="74">
        <f>SUM(D155:D164)</f>
        <v>5.1099999999999994</v>
      </c>
      <c r="AF155" s="75">
        <v>0.113</v>
      </c>
      <c r="AG155" s="76"/>
      <c r="AH155" s="77">
        <f>(AE155-D177)/D177</f>
        <v>5.4683544303797458</v>
      </c>
      <c r="AK155" s="73"/>
      <c r="AL155" s="73" t="s">
        <v>39</v>
      </c>
      <c r="AM155" s="74">
        <f>AM156-AM150-AM151-AM152-AM153-AM154</f>
        <v>28.569999999999979</v>
      </c>
      <c r="AN155" s="75"/>
    </row>
    <row r="156" spans="2:40" ht="15">
      <c r="B156" s="73">
        <v>7</v>
      </c>
      <c r="C156" s="73" t="s">
        <v>129</v>
      </c>
      <c r="D156" s="74">
        <v>0.99</v>
      </c>
      <c r="E156" s="75">
        <v>2.7300000000000001E-2</v>
      </c>
      <c r="F156" s="77">
        <f>(D156-D414)/D414</f>
        <v>0.49999999999999989</v>
      </c>
      <c r="G156" s="77">
        <f>(D156-D177)/D177</f>
        <v>0.25316455696202522</v>
      </c>
      <c r="J156" s="73">
        <v>7</v>
      </c>
      <c r="K156" s="73" t="s">
        <v>101</v>
      </c>
      <c r="L156" s="81">
        <v>5.26</v>
      </c>
      <c r="M156" s="82">
        <v>2.06E-2</v>
      </c>
      <c r="N156" s="79">
        <f t="shared" si="20"/>
        <v>0.1637168141592921</v>
      </c>
      <c r="P156" s="73">
        <v>7</v>
      </c>
      <c r="Q156" s="81" t="s">
        <v>114</v>
      </c>
      <c r="R156" s="85">
        <v>2.46</v>
      </c>
      <c r="S156" s="86">
        <v>1.41E-2</v>
      </c>
      <c r="V156" s="73">
        <v>7</v>
      </c>
      <c r="W156" s="82" t="s">
        <v>116</v>
      </c>
      <c r="X156" s="88">
        <v>2</v>
      </c>
      <c r="Y156" s="93">
        <v>2.5600000000000001E-2</v>
      </c>
      <c r="AC156" s="73"/>
      <c r="AD156" s="73" t="s">
        <v>48</v>
      </c>
      <c r="AE156" s="74">
        <v>36.4</v>
      </c>
      <c r="AF156" s="75">
        <v>1</v>
      </c>
      <c r="AG156" s="76"/>
      <c r="AH156" s="77"/>
      <c r="AK156" s="73"/>
      <c r="AL156" s="73" t="s">
        <v>48</v>
      </c>
      <c r="AM156" s="74">
        <v>255.7</v>
      </c>
      <c r="AN156" s="75"/>
    </row>
    <row r="157" spans="2:40" ht="15">
      <c r="B157" s="73">
        <v>8</v>
      </c>
      <c r="C157" s="73" t="s">
        <v>114</v>
      </c>
      <c r="D157" s="74">
        <v>0.89</v>
      </c>
      <c r="E157" s="75">
        <v>2.4299999999999999E-2</v>
      </c>
      <c r="F157" s="77">
        <f>(D157-D411)/D411</f>
        <v>0.11249999999999996</v>
      </c>
      <c r="G157" s="77">
        <f>(D157-D180)/D180</f>
        <v>0.390625</v>
      </c>
      <c r="J157" s="73">
        <v>8</v>
      </c>
      <c r="K157" s="73" t="s">
        <v>129</v>
      </c>
      <c r="L157" s="81">
        <v>4.41</v>
      </c>
      <c r="M157" s="82">
        <v>1.7299999999999999E-2</v>
      </c>
      <c r="N157" s="79">
        <f t="shared" si="20"/>
        <v>-2.4336283185840586E-2</v>
      </c>
      <c r="P157" s="73">
        <v>8</v>
      </c>
      <c r="Q157" s="81" t="s">
        <v>336</v>
      </c>
      <c r="R157" s="87">
        <v>2</v>
      </c>
      <c r="S157" s="86">
        <v>1.15E-2</v>
      </c>
      <c r="V157" s="73">
        <v>8</v>
      </c>
      <c r="W157" s="82" t="s">
        <v>357</v>
      </c>
      <c r="X157" s="73">
        <v>0.77</v>
      </c>
      <c r="Y157" s="93">
        <v>1.0699999999999999E-2</v>
      </c>
      <c r="AC157" s="73"/>
      <c r="AD157" s="73"/>
      <c r="AE157" s="73"/>
      <c r="AF157" s="73"/>
      <c r="AG157" s="86"/>
      <c r="AH157" s="86"/>
      <c r="AI157" s="86"/>
      <c r="AJ157" s="22"/>
    </row>
    <row r="158" spans="2:40" ht="15">
      <c r="B158" s="73">
        <v>9</v>
      </c>
      <c r="C158" s="73" t="s">
        <v>337</v>
      </c>
      <c r="D158" s="74">
        <v>0.68</v>
      </c>
      <c r="E158" s="75">
        <v>1.8700000000000001E-2</v>
      </c>
      <c r="F158" s="77">
        <f>(D158-D415)/D415</f>
        <v>0.17241379310344845</v>
      </c>
      <c r="G158" s="77">
        <f>(D158-D178)/D178</f>
        <v>-6.849315068493142E-2</v>
      </c>
      <c r="J158" s="73">
        <v>9</v>
      </c>
      <c r="K158" s="22" t="s">
        <v>108</v>
      </c>
      <c r="L158" s="81">
        <v>3.33</v>
      </c>
      <c r="M158" s="82">
        <v>1.2999999999999999E-2</v>
      </c>
      <c r="N158" s="79">
        <f>(L158-L414)/L414</f>
        <v>-9.5108695652173933E-2</v>
      </c>
      <c r="P158" s="73">
        <v>9</v>
      </c>
      <c r="Q158" s="81" t="s">
        <v>129</v>
      </c>
      <c r="R158" s="85">
        <v>1.97</v>
      </c>
      <c r="S158" s="86">
        <v>1.1299999999999999E-2</v>
      </c>
      <c r="V158" s="73">
        <v>9</v>
      </c>
      <c r="W158" s="82" t="s">
        <v>103</v>
      </c>
      <c r="X158" s="73">
        <v>0.76</v>
      </c>
      <c r="Y158" s="93">
        <v>9.4000000000000004E-3</v>
      </c>
      <c r="AC158" s="73"/>
      <c r="AD158" s="73"/>
      <c r="AE158" s="73"/>
      <c r="AF158" s="73"/>
      <c r="AG158" s="86"/>
      <c r="AH158" s="86"/>
      <c r="AI158" s="86"/>
      <c r="AJ158" s="22"/>
    </row>
    <row r="159" spans="2:40" ht="15">
      <c r="B159" s="73">
        <v>10</v>
      </c>
      <c r="C159" s="22" t="s">
        <v>108</v>
      </c>
      <c r="D159" s="74">
        <v>0.49</v>
      </c>
      <c r="E159" s="75">
        <v>1.35E-2</v>
      </c>
      <c r="F159" s="77">
        <f>(D159-D416)/D416</f>
        <v>-5.7692307692307744E-2</v>
      </c>
      <c r="G159" s="77">
        <f>(D159-D181)/D181</f>
        <v>-7.5471698113207614E-2</v>
      </c>
      <c r="J159" s="73">
        <v>10</v>
      </c>
      <c r="K159" s="73" t="s">
        <v>337</v>
      </c>
      <c r="L159" s="81">
        <v>3.22</v>
      </c>
      <c r="M159" s="82">
        <v>1.26E-2</v>
      </c>
      <c r="N159" s="79">
        <f>(L159-L416)/L416</f>
        <v>0.75956284153005471</v>
      </c>
      <c r="P159" s="73">
        <v>10</v>
      </c>
      <c r="Q159" s="81" t="s">
        <v>352</v>
      </c>
      <c r="R159" s="87">
        <v>1.1000000000000001</v>
      </c>
      <c r="S159" s="86">
        <v>6.3E-3</v>
      </c>
      <c r="V159" s="73">
        <v>10</v>
      </c>
      <c r="W159" s="82" t="s">
        <v>337</v>
      </c>
      <c r="X159" s="88">
        <v>0.7</v>
      </c>
      <c r="Y159" s="93">
        <v>8.9999999999999993E-3</v>
      </c>
      <c r="AC159" s="73"/>
      <c r="AD159" s="73"/>
      <c r="AE159" s="73"/>
      <c r="AF159" s="73"/>
      <c r="AG159" s="86"/>
      <c r="AH159" s="86"/>
      <c r="AI159" s="86"/>
      <c r="AJ159" s="22"/>
    </row>
    <row r="160" spans="2:40" ht="15">
      <c r="B160" s="73">
        <v>11</v>
      </c>
      <c r="C160" s="73" t="s">
        <v>336</v>
      </c>
      <c r="D160" s="74">
        <v>0.39</v>
      </c>
      <c r="E160" s="75">
        <v>1.0699999999999999E-2</v>
      </c>
      <c r="F160" s="77">
        <f>(D160-D413)/D413</f>
        <v>-0.40909090909090912</v>
      </c>
      <c r="G160" s="77">
        <f>(D160-D182)/D182</f>
        <v>-9.3023255813953445E-2</v>
      </c>
      <c r="J160" s="73">
        <v>11</v>
      </c>
      <c r="K160" s="73" t="s">
        <v>336</v>
      </c>
      <c r="L160" s="81">
        <v>2.4300000000000002</v>
      </c>
      <c r="M160" s="83">
        <v>9.4999999999999998E-3</v>
      </c>
      <c r="N160" s="79">
        <f>(L160-L415)/L415</f>
        <v>-0.22857142857142851</v>
      </c>
      <c r="P160" s="73">
        <v>11</v>
      </c>
      <c r="Q160" s="81" t="s">
        <v>393</v>
      </c>
      <c r="R160" s="85">
        <v>0.22</v>
      </c>
      <c r="S160" s="86">
        <v>1.2999999999999999E-3</v>
      </c>
      <c r="V160" s="73">
        <v>11</v>
      </c>
      <c r="W160" s="82" t="s">
        <v>336</v>
      </c>
      <c r="X160" s="73">
        <v>0.43</v>
      </c>
      <c r="Y160" s="93">
        <v>5.8999999999999999E-3</v>
      </c>
      <c r="AC160" s="73"/>
      <c r="AD160" s="73"/>
      <c r="AE160" s="73"/>
      <c r="AF160" s="73"/>
      <c r="AG160" s="86"/>
      <c r="AH160" s="86"/>
      <c r="AI160" s="86"/>
      <c r="AJ160" s="22"/>
    </row>
    <row r="161" spans="2:36" ht="15">
      <c r="B161" s="73">
        <v>12</v>
      </c>
      <c r="C161" s="73" t="s">
        <v>352</v>
      </c>
      <c r="D161" s="74">
        <v>0.26</v>
      </c>
      <c r="E161" s="75">
        <v>7.1000000000000004E-3</v>
      </c>
      <c r="F161" s="77">
        <f>(D161-D418)/D418</f>
        <v>0.85714285714285698</v>
      </c>
      <c r="G161" s="77">
        <f>(D161-D183)/D183</f>
        <v>0.18181818181818185</v>
      </c>
      <c r="J161" s="73">
        <v>12</v>
      </c>
      <c r="K161" s="73" t="s">
        <v>352</v>
      </c>
      <c r="L161" s="81">
        <v>1.17</v>
      </c>
      <c r="M161" s="83">
        <v>4.5999999999999999E-3</v>
      </c>
      <c r="N161" s="79">
        <f>(L161-L418)/L418</f>
        <v>-0.19863013698630139</v>
      </c>
      <c r="P161" s="73">
        <v>12</v>
      </c>
      <c r="Q161" s="81" t="s">
        <v>354</v>
      </c>
      <c r="R161" s="85">
        <v>0.22</v>
      </c>
      <c r="S161" s="86">
        <v>1.2999999999999999E-3</v>
      </c>
      <c r="V161" s="73">
        <v>12</v>
      </c>
      <c r="W161" s="82" t="s">
        <v>351</v>
      </c>
      <c r="X161" s="73">
        <v>0.23</v>
      </c>
      <c r="Y161" s="93">
        <v>2.7000000000000001E-3</v>
      </c>
      <c r="AC161" s="73"/>
      <c r="AD161" s="73"/>
      <c r="AE161" s="73"/>
      <c r="AF161" s="73"/>
      <c r="AG161" s="86"/>
      <c r="AH161" s="86"/>
      <c r="AI161" s="86"/>
      <c r="AJ161" s="22"/>
    </row>
    <row r="162" spans="2:36" ht="15">
      <c r="B162" s="73">
        <v>13</v>
      </c>
      <c r="C162" s="73" t="s">
        <v>355</v>
      </c>
      <c r="D162" s="74">
        <v>0.06</v>
      </c>
      <c r="E162" s="75">
        <v>1.8E-3</v>
      </c>
      <c r="F162" s="77"/>
      <c r="G162" s="77">
        <f>(D162-D186)/D186</f>
        <v>1</v>
      </c>
      <c r="J162" s="73">
        <v>13</v>
      </c>
      <c r="K162" s="82" t="s">
        <v>357</v>
      </c>
      <c r="L162" s="81">
        <v>0.82</v>
      </c>
      <c r="M162" s="83">
        <v>3.2000000000000002E-3</v>
      </c>
      <c r="N162" s="79">
        <f>(L162-L417)/L417</f>
        <v>-0.54696132596685088</v>
      </c>
      <c r="P162" s="73">
        <v>13</v>
      </c>
      <c r="Q162" s="81" t="s">
        <v>363</v>
      </c>
      <c r="R162" s="85">
        <v>0.21</v>
      </c>
      <c r="S162" s="86">
        <v>1.1999999999999999E-3</v>
      </c>
      <c r="V162" s="73">
        <v>13</v>
      </c>
      <c r="W162" s="82" t="s">
        <v>113</v>
      </c>
      <c r="X162" s="88">
        <v>0.11</v>
      </c>
      <c r="Y162" s="93">
        <v>1.4E-3</v>
      </c>
      <c r="AC162" s="73"/>
      <c r="AD162" s="73"/>
      <c r="AE162" s="73"/>
      <c r="AF162" s="73"/>
      <c r="AG162" s="86"/>
      <c r="AH162" s="86"/>
      <c r="AI162" s="86"/>
      <c r="AJ162" s="22"/>
    </row>
    <row r="163" spans="2:36" ht="15">
      <c r="B163" s="73">
        <v>14</v>
      </c>
      <c r="C163" s="73" t="s">
        <v>351</v>
      </c>
      <c r="D163" s="74">
        <v>0.04</v>
      </c>
      <c r="E163" s="75">
        <v>1E-3</v>
      </c>
      <c r="F163" s="77"/>
      <c r="G163" s="77"/>
      <c r="J163" s="73">
        <v>14</v>
      </c>
      <c r="K163" s="73" t="s">
        <v>113</v>
      </c>
      <c r="L163" s="81">
        <v>0.27</v>
      </c>
      <c r="M163" s="83">
        <v>1.1000000000000001E-3</v>
      </c>
      <c r="N163" s="79">
        <f>(L163-L419)/L419</f>
        <v>-0.72164948453608246</v>
      </c>
      <c r="P163" s="73">
        <v>14</v>
      </c>
      <c r="Q163" s="81" t="s">
        <v>113</v>
      </c>
      <c r="R163" s="85">
        <v>0.16</v>
      </c>
      <c r="S163" s="86">
        <v>8.9999999999999998E-4</v>
      </c>
      <c r="V163" s="73">
        <v>14</v>
      </c>
      <c r="W163" s="82" t="s">
        <v>384</v>
      </c>
      <c r="X163" s="88">
        <v>0.1</v>
      </c>
      <c r="Y163" s="93">
        <v>1.4E-3</v>
      </c>
      <c r="AC163" s="73"/>
      <c r="AD163" s="73"/>
      <c r="AE163" s="73"/>
      <c r="AF163" s="73"/>
      <c r="AG163" s="86"/>
      <c r="AH163" s="86"/>
      <c r="AI163" s="86"/>
      <c r="AJ163" s="22"/>
    </row>
    <row r="164" spans="2:36" ht="15">
      <c r="B164" s="73">
        <v>15</v>
      </c>
      <c r="C164" s="73" t="s">
        <v>357</v>
      </c>
      <c r="D164" s="74">
        <v>0.03</v>
      </c>
      <c r="E164" s="75">
        <v>7.1000000000000004E-3</v>
      </c>
      <c r="F164" s="77">
        <f>(D164-D417)/D417</f>
        <v>-0.90322580645161299</v>
      </c>
      <c r="G164" s="77"/>
      <c r="J164" s="73">
        <v>15</v>
      </c>
      <c r="K164" s="73" t="s">
        <v>351</v>
      </c>
      <c r="L164" s="81">
        <v>0.23</v>
      </c>
      <c r="M164" s="83">
        <v>8.9999999999999998E-4</v>
      </c>
      <c r="N164" s="79"/>
      <c r="P164" s="73">
        <v>15</v>
      </c>
      <c r="Q164" s="81" t="s">
        <v>225</v>
      </c>
      <c r="R164" s="85">
        <v>0.09</v>
      </c>
      <c r="S164" s="86">
        <v>5.0000000000000001E-4</v>
      </c>
      <c r="V164" s="73">
        <v>15</v>
      </c>
      <c r="W164" s="82" t="s">
        <v>352</v>
      </c>
      <c r="X164" s="73">
        <v>7.0000000000000007E-2</v>
      </c>
      <c r="Y164" s="93">
        <v>1E-3</v>
      </c>
      <c r="AC164" s="73"/>
      <c r="AD164" s="73"/>
      <c r="AE164" s="73"/>
      <c r="AF164" s="73"/>
      <c r="AG164" s="86"/>
      <c r="AH164" s="86"/>
      <c r="AI164" s="86"/>
      <c r="AJ164" s="22"/>
    </row>
    <row r="165" spans="2:36">
      <c r="B165" s="73"/>
      <c r="C165" s="73" t="s">
        <v>39</v>
      </c>
      <c r="D165" s="74">
        <f>D166-SUM(D150:D164)</f>
        <v>0.13999999999999346</v>
      </c>
      <c r="E165" s="75">
        <v>1.8E-3</v>
      </c>
      <c r="F165" s="76"/>
      <c r="G165" s="77">
        <f>(D165-D187)/D187</f>
        <v>0.16666666666656799</v>
      </c>
      <c r="J165" s="73"/>
      <c r="K165" s="73" t="s">
        <v>39</v>
      </c>
      <c r="L165" s="74">
        <f>L166-SUM(L150:L164)</f>
        <v>1.5999999999999659</v>
      </c>
      <c r="M165" s="83">
        <f>M166-SUM(M150:M164)</f>
        <v>6.0999999999998833E-3</v>
      </c>
      <c r="N165" s="79"/>
      <c r="Q165" s="73" t="s">
        <v>39</v>
      </c>
      <c r="R165" s="74">
        <f>R166-SUM(R150:R164)</f>
        <v>-23.950000000000017</v>
      </c>
      <c r="S165" s="83">
        <f>S166-SUM(S150:S164)</f>
        <v>1.7000000000003679E-3</v>
      </c>
      <c r="V165" s="82"/>
      <c r="W165" s="73" t="s">
        <v>39</v>
      </c>
      <c r="X165" s="74">
        <f>X166-SUM(X150:X164)</f>
        <v>0.28999999999997783</v>
      </c>
      <c r="Y165" s="83">
        <f>Y166-SUM(Y150:Y164)</f>
        <v>3.8999999999999035E-3</v>
      </c>
    </row>
    <row r="166" spans="2:36">
      <c r="B166" s="73"/>
      <c r="C166" s="73" t="s">
        <v>48</v>
      </c>
      <c r="D166" s="74">
        <v>36.4</v>
      </c>
      <c r="E166" s="75">
        <f>D166/D166</f>
        <v>1</v>
      </c>
      <c r="F166" s="76"/>
      <c r="G166" s="77">
        <f>(D166-D188)/D188</f>
        <v>4.2979942693409746E-2</v>
      </c>
      <c r="J166" s="73"/>
      <c r="K166" s="73" t="s">
        <v>48</v>
      </c>
      <c r="L166" s="81">
        <v>255.7</v>
      </c>
      <c r="M166" s="83">
        <v>1</v>
      </c>
      <c r="N166" s="79"/>
      <c r="Q166" s="73" t="s">
        <v>48</v>
      </c>
      <c r="R166" s="81">
        <v>149.6</v>
      </c>
      <c r="S166" s="83">
        <v>1</v>
      </c>
      <c r="T166" s="79"/>
      <c r="W166" s="73" t="s">
        <v>48</v>
      </c>
      <c r="X166" s="81">
        <v>81.599999999999994</v>
      </c>
      <c r="Y166" s="83">
        <v>1</v>
      </c>
      <c r="Z166" s="79"/>
    </row>
    <row r="167" spans="2:36">
      <c r="B167" s="73"/>
      <c r="C167" s="73"/>
      <c r="D167" s="78"/>
      <c r="E167" s="73"/>
      <c r="F167" s="73"/>
      <c r="G167" s="73"/>
      <c r="J167" s="73"/>
      <c r="K167" s="73"/>
      <c r="L167" s="78"/>
      <c r="M167" s="73"/>
      <c r="N167" s="73"/>
      <c r="P167" s="73"/>
      <c r="Q167" s="73"/>
      <c r="R167" s="74"/>
      <c r="S167" s="82"/>
      <c r="T167" s="73"/>
      <c r="V167" s="73"/>
      <c r="W167" s="82"/>
      <c r="X167" s="73"/>
      <c r="Y167" s="81"/>
      <c r="Z167" s="73"/>
      <c r="AC167" s="73"/>
      <c r="AD167" s="73"/>
      <c r="AE167" s="73"/>
      <c r="AF167" s="78"/>
      <c r="AG167" s="73"/>
      <c r="AH167" s="73"/>
      <c r="AI167" s="88"/>
      <c r="AJ167" s="22"/>
    </row>
    <row r="168" spans="2:36">
      <c r="B168" s="73"/>
      <c r="C168" s="73"/>
      <c r="D168" s="78"/>
      <c r="E168" s="73"/>
      <c r="F168" s="73"/>
      <c r="G168" s="73"/>
      <c r="J168" s="73"/>
      <c r="K168" s="73"/>
      <c r="L168" s="78"/>
      <c r="M168" s="73"/>
      <c r="N168" s="73"/>
      <c r="P168" s="73"/>
      <c r="Q168" s="73"/>
      <c r="R168" s="74"/>
      <c r="S168" s="82"/>
      <c r="T168" s="73"/>
      <c r="V168" s="73"/>
      <c r="W168" s="82"/>
      <c r="X168" s="73"/>
      <c r="Y168" s="81"/>
      <c r="Z168" s="73"/>
      <c r="AC168" s="73"/>
      <c r="AD168" s="73"/>
      <c r="AE168" s="73"/>
      <c r="AF168" s="78"/>
      <c r="AG168" s="73"/>
      <c r="AH168" s="73"/>
      <c r="AI168" s="88"/>
      <c r="AJ168" s="22"/>
    </row>
    <row r="169" spans="2:36">
      <c r="B169" s="73"/>
      <c r="C169" s="73"/>
      <c r="D169" s="78"/>
      <c r="E169" s="73"/>
      <c r="F169" s="73"/>
      <c r="G169" s="73"/>
      <c r="J169" s="73"/>
      <c r="K169" s="73"/>
      <c r="L169" s="78"/>
      <c r="M169" s="73"/>
      <c r="N169" s="73"/>
      <c r="P169" s="73"/>
      <c r="Q169" s="73"/>
      <c r="R169" s="74"/>
      <c r="S169" s="82"/>
      <c r="T169" s="73"/>
      <c r="V169" s="73"/>
      <c r="W169" s="82"/>
      <c r="X169" s="73"/>
      <c r="Y169" s="81"/>
      <c r="Z169" s="73"/>
      <c r="AC169" s="73"/>
      <c r="AD169" s="73"/>
      <c r="AE169" s="73"/>
      <c r="AF169" s="78"/>
      <c r="AG169" s="73"/>
      <c r="AH169" s="73"/>
      <c r="AI169" s="88"/>
      <c r="AJ169" s="22"/>
    </row>
    <row r="170" spans="2:36">
      <c r="B170" s="72" t="s">
        <v>394</v>
      </c>
      <c r="C170" s="22"/>
      <c r="D170" s="22"/>
      <c r="E170" s="22"/>
      <c r="F170" s="22"/>
      <c r="G170" s="22"/>
      <c r="J170" s="72" t="s">
        <v>395</v>
      </c>
      <c r="K170" s="22"/>
      <c r="L170" s="22"/>
      <c r="M170" s="22"/>
      <c r="P170" s="72" t="s">
        <v>396</v>
      </c>
      <c r="V170" s="72" t="s">
        <v>397</v>
      </c>
      <c r="AC170" s="72"/>
      <c r="AD170" s="72"/>
      <c r="AE170" s="22"/>
      <c r="AF170" s="22"/>
      <c r="AG170" s="22"/>
      <c r="AH170" s="22"/>
      <c r="AI170" s="29"/>
      <c r="AJ170" s="22"/>
    </row>
    <row r="171" spans="2:36" ht="32">
      <c r="B171" s="73" t="s">
        <v>342</v>
      </c>
      <c r="C171" s="73" t="s">
        <v>343</v>
      </c>
      <c r="D171" s="78" t="s">
        <v>344</v>
      </c>
      <c r="E171" s="73" t="s">
        <v>345</v>
      </c>
      <c r="F171" s="73" t="s">
        <v>32</v>
      </c>
      <c r="G171" s="73" t="s">
        <v>33</v>
      </c>
      <c r="J171" s="73" t="s">
        <v>342</v>
      </c>
      <c r="K171" s="73" t="s">
        <v>343</v>
      </c>
      <c r="L171" s="78" t="s">
        <v>347</v>
      </c>
      <c r="M171" s="73" t="s">
        <v>345</v>
      </c>
      <c r="N171" s="73" t="s">
        <v>32</v>
      </c>
      <c r="P171" s="73" t="s">
        <v>342</v>
      </c>
      <c r="Q171" s="73" t="s">
        <v>343</v>
      </c>
      <c r="R171" s="74" t="s">
        <v>348</v>
      </c>
      <c r="S171" s="82" t="s">
        <v>345</v>
      </c>
      <c r="T171" s="73" t="s">
        <v>32</v>
      </c>
      <c r="V171" s="73" t="s">
        <v>342</v>
      </c>
      <c r="W171" s="82" t="s">
        <v>343</v>
      </c>
      <c r="X171" s="73" t="s">
        <v>348</v>
      </c>
      <c r="Y171" s="81" t="s">
        <v>345</v>
      </c>
      <c r="Z171" s="73" t="s">
        <v>32</v>
      </c>
      <c r="AC171" s="73"/>
      <c r="AD171" s="73"/>
      <c r="AE171" s="73"/>
      <c r="AF171" s="78"/>
      <c r="AG171" s="73"/>
      <c r="AH171" s="73"/>
      <c r="AI171" s="88"/>
      <c r="AJ171" s="22"/>
    </row>
    <row r="172" spans="2:36" ht="15">
      <c r="B172" s="73">
        <v>1</v>
      </c>
      <c r="C172" s="73" t="s">
        <v>98</v>
      </c>
      <c r="D172" s="74">
        <v>15.45</v>
      </c>
      <c r="E172" s="75">
        <v>0.44290000000000002</v>
      </c>
      <c r="F172" s="77">
        <f>(D172-D427)/D427</f>
        <v>0.1893764434180138</v>
      </c>
      <c r="G172" s="77">
        <f>(D172-D194)/D194</f>
        <v>0.14699331848552327</v>
      </c>
      <c r="H172" s="79">
        <v>0.60599999999999998</v>
      </c>
      <c r="J172" s="73">
        <v>1</v>
      </c>
      <c r="K172" s="73" t="s">
        <v>98</v>
      </c>
      <c r="L172" s="81">
        <v>94.45</v>
      </c>
      <c r="M172" s="82">
        <v>0.43309999999999998</v>
      </c>
      <c r="N172" s="79">
        <f>(L172-L427)/L427</f>
        <v>0.22821846553966185</v>
      </c>
      <c r="P172" s="73">
        <v>1</v>
      </c>
      <c r="Q172" s="81" t="s">
        <v>96</v>
      </c>
      <c r="R172" s="85">
        <v>64.16</v>
      </c>
      <c r="S172" s="86">
        <v>0.42870000000000003</v>
      </c>
      <c r="V172" s="73">
        <v>1</v>
      </c>
      <c r="W172" s="82" t="s">
        <v>98</v>
      </c>
      <c r="X172" s="73">
        <v>43.19</v>
      </c>
      <c r="Y172" s="93">
        <v>0.62270000000000003</v>
      </c>
      <c r="AC172" s="73"/>
      <c r="AD172" s="73"/>
      <c r="AE172" s="73"/>
      <c r="AF172" s="73"/>
      <c r="AG172" s="86"/>
      <c r="AH172" s="86"/>
      <c r="AI172" s="88"/>
      <c r="AJ172" s="22"/>
    </row>
    <row r="173" spans="2:36" ht="15">
      <c r="B173" s="73">
        <v>2</v>
      </c>
      <c r="C173" s="73" t="s">
        <v>96</v>
      </c>
      <c r="D173" s="74">
        <v>9.41</v>
      </c>
      <c r="E173" s="75">
        <v>0.2697</v>
      </c>
      <c r="F173" s="77">
        <f t="shared" ref="F173:F184" si="21">(D173-D428)/D428</f>
        <v>0.54769736842105265</v>
      </c>
      <c r="G173" s="77">
        <f t="shared" ref="G173:G188" si="22">(D173-D195)/D195</f>
        <v>6.4171122994652937E-3</v>
      </c>
      <c r="J173" s="73">
        <v>2</v>
      </c>
      <c r="K173" s="73" t="s">
        <v>96</v>
      </c>
      <c r="L173" s="81">
        <v>64.17</v>
      </c>
      <c r="M173" s="82">
        <v>0.29270000000000002</v>
      </c>
      <c r="N173" s="79">
        <f t="shared" ref="N173:N185" si="23">(L173-L428)/L428</f>
        <v>0.78448275862068961</v>
      </c>
      <c r="P173" s="73">
        <v>2</v>
      </c>
      <c r="Q173" s="81" t="s">
        <v>98</v>
      </c>
      <c r="R173" s="85">
        <v>51.76</v>
      </c>
      <c r="S173" s="86">
        <v>0.34589999999999999</v>
      </c>
      <c r="V173" s="73">
        <v>2</v>
      </c>
      <c r="W173" s="82" t="s">
        <v>109</v>
      </c>
      <c r="X173" s="73">
        <v>9.64</v>
      </c>
      <c r="Y173" s="93">
        <v>0.13900000000000001</v>
      </c>
      <c r="AC173" s="73"/>
      <c r="AD173" s="73"/>
      <c r="AE173" s="73"/>
      <c r="AF173" s="73"/>
      <c r="AG173" s="86"/>
      <c r="AH173" s="86"/>
      <c r="AI173" s="86"/>
      <c r="AJ173" s="22"/>
    </row>
    <row r="174" spans="2:36">
      <c r="B174" s="73">
        <v>3</v>
      </c>
      <c r="C174" s="73" t="s">
        <v>109</v>
      </c>
      <c r="D174" s="74">
        <v>3.38</v>
      </c>
      <c r="E174" s="75">
        <v>9.69E-2</v>
      </c>
      <c r="F174" s="77">
        <f t="shared" si="21"/>
        <v>1.1666666666666665</v>
      </c>
      <c r="G174" s="77">
        <f t="shared" si="22"/>
        <v>5.6249999999999911E-2</v>
      </c>
      <c r="J174" s="73">
        <v>3</v>
      </c>
      <c r="K174" s="73" t="s">
        <v>109</v>
      </c>
      <c r="L174" s="81">
        <v>19.14</v>
      </c>
      <c r="M174" s="82">
        <v>8.7300000000000003E-2</v>
      </c>
      <c r="N174" s="79">
        <f t="shared" si="23"/>
        <v>0.68189806678383125</v>
      </c>
      <c r="P174" s="73">
        <v>3</v>
      </c>
      <c r="Q174" s="81" t="s">
        <v>109</v>
      </c>
      <c r="R174" s="87">
        <v>9.5</v>
      </c>
      <c r="S174" s="86">
        <v>6.3500000000000001E-2</v>
      </c>
      <c r="V174" s="73">
        <v>3</v>
      </c>
      <c r="W174" s="73" t="s">
        <v>101</v>
      </c>
      <c r="X174" s="73">
        <v>3.98</v>
      </c>
      <c r="Y174" s="93">
        <v>5.7299999999999997E-2</v>
      </c>
      <c r="AC174" s="73"/>
      <c r="AD174" s="73"/>
      <c r="AE174" s="73"/>
      <c r="AF174" s="73"/>
      <c r="AG174" s="86"/>
      <c r="AH174" s="86"/>
      <c r="AI174" s="86"/>
      <c r="AJ174" s="22"/>
    </row>
    <row r="175" spans="2:36" ht="15">
      <c r="B175" s="73">
        <v>4</v>
      </c>
      <c r="C175" s="73" t="s">
        <v>103</v>
      </c>
      <c r="D175" s="74">
        <v>1.24</v>
      </c>
      <c r="E175" s="75">
        <v>3.5400000000000001E-2</v>
      </c>
      <c r="F175" s="77">
        <f t="shared" si="21"/>
        <v>-6.0606060606060656E-2</v>
      </c>
      <c r="G175" s="77">
        <f t="shared" si="22"/>
        <v>-6.0606060606060656E-2</v>
      </c>
      <c r="J175" s="73">
        <v>4</v>
      </c>
      <c r="K175" s="73" t="s">
        <v>116</v>
      </c>
      <c r="L175" s="81">
        <v>9.15</v>
      </c>
      <c r="M175" s="82">
        <v>4.1700000000000001E-2</v>
      </c>
      <c r="N175" s="79">
        <f t="shared" si="23"/>
        <v>0.14661654135338345</v>
      </c>
      <c r="P175" s="73">
        <v>4</v>
      </c>
      <c r="Q175" s="81" t="s">
        <v>103</v>
      </c>
      <c r="R175" s="85">
        <v>7.89</v>
      </c>
      <c r="S175" s="86">
        <v>5.2699999999999997E-2</v>
      </c>
      <c r="V175" s="73">
        <v>4</v>
      </c>
      <c r="W175" s="82" t="s">
        <v>114</v>
      </c>
      <c r="X175" s="73">
        <v>2.91</v>
      </c>
      <c r="Y175" s="93">
        <v>4.19E-2</v>
      </c>
      <c r="AC175" s="73"/>
      <c r="AD175" s="73"/>
      <c r="AE175" s="73"/>
      <c r="AF175" s="73"/>
      <c r="AG175" s="86"/>
      <c r="AH175" s="86"/>
      <c r="AI175" s="86"/>
      <c r="AJ175" s="22"/>
    </row>
    <row r="176" spans="2:36" ht="15">
      <c r="B176" s="73">
        <v>5</v>
      </c>
      <c r="C176" s="73" t="s">
        <v>116</v>
      </c>
      <c r="D176" s="74">
        <v>1.22</v>
      </c>
      <c r="E176" s="75">
        <v>3.5099999999999999E-2</v>
      </c>
      <c r="F176" s="77">
        <f t="shared" si="21"/>
        <v>0.52499999999999991</v>
      </c>
      <c r="G176" s="77">
        <f t="shared" si="22"/>
        <v>-2.4000000000000021E-2</v>
      </c>
      <c r="J176" s="73">
        <v>5</v>
      </c>
      <c r="K176" s="73" t="s">
        <v>103</v>
      </c>
      <c r="L176" s="81">
        <v>8.5399999999999991</v>
      </c>
      <c r="M176" s="82">
        <v>3.9E-2</v>
      </c>
      <c r="N176" s="79">
        <f t="shared" si="23"/>
        <v>1.1138613861386137</v>
      </c>
      <c r="P176" s="73">
        <v>5</v>
      </c>
      <c r="Q176" s="81" t="s">
        <v>116</v>
      </c>
      <c r="R176" s="85">
        <v>7.37</v>
      </c>
      <c r="S176" s="86">
        <v>4.9299999999999997E-2</v>
      </c>
      <c r="V176" s="73">
        <v>5</v>
      </c>
      <c r="W176" s="82" t="s">
        <v>108</v>
      </c>
      <c r="X176" s="73">
        <v>2.83</v>
      </c>
      <c r="Y176" s="93">
        <v>4.0899999999999999E-2</v>
      </c>
      <c r="AC176" s="73"/>
      <c r="AD176" s="73"/>
      <c r="AE176" s="73"/>
      <c r="AF176" s="73"/>
      <c r="AG176" s="86"/>
      <c r="AH176" s="86"/>
      <c r="AI176" s="86"/>
      <c r="AJ176" s="22"/>
    </row>
    <row r="177" spans="2:36" ht="15">
      <c r="B177" s="73">
        <v>6</v>
      </c>
      <c r="C177" s="73" t="s">
        <v>129</v>
      </c>
      <c r="D177" s="74">
        <v>0.79</v>
      </c>
      <c r="E177" s="75">
        <v>2.2599999999999999E-2</v>
      </c>
      <c r="F177" s="77">
        <f t="shared" si="21"/>
        <v>0.1449275362318842</v>
      </c>
      <c r="G177" s="77">
        <f t="shared" si="22"/>
        <v>0.33898305084745778</v>
      </c>
      <c r="J177" s="73">
        <v>6</v>
      </c>
      <c r="K177" s="73" t="s">
        <v>114</v>
      </c>
      <c r="L177" s="81">
        <v>4.9400000000000004</v>
      </c>
      <c r="M177" s="82">
        <v>2.2599999999999999E-2</v>
      </c>
      <c r="N177" s="79">
        <f t="shared" si="23"/>
        <v>0.2797927461139898</v>
      </c>
      <c r="P177" s="73">
        <v>6</v>
      </c>
      <c r="Q177" s="81" t="s">
        <v>114</v>
      </c>
      <c r="R177" s="85">
        <v>2.04</v>
      </c>
      <c r="S177" s="86">
        <v>1.3599999999999999E-2</v>
      </c>
      <c r="V177" s="73">
        <v>6</v>
      </c>
      <c r="W177" s="82" t="s">
        <v>129</v>
      </c>
      <c r="X177" s="73">
        <v>1.88</v>
      </c>
      <c r="Y177" s="93">
        <v>2.7199999999999998E-2</v>
      </c>
      <c r="AC177" s="73"/>
      <c r="AD177" s="73"/>
      <c r="AE177" s="73"/>
      <c r="AF177" s="73"/>
      <c r="AG177" s="86"/>
      <c r="AH177" s="86"/>
      <c r="AI177" s="86"/>
      <c r="AJ177" s="22"/>
    </row>
    <row r="178" spans="2:36" ht="15">
      <c r="B178" s="73">
        <v>7</v>
      </c>
      <c r="C178" s="73" t="s">
        <v>337</v>
      </c>
      <c r="D178" s="74">
        <v>0.73</v>
      </c>
      <c r="E178" s="75">
        <v>2.0899999999999998E-2</v>
      </c>
      <c r="F178" s="77">
        <f t="shared" si="21"/>
        <v>0.10606060606060598</v>
      </c>
      <c r="G178" s="77">
        <f t="shared" si="22"/>
        <v>0.28070175438596501</v>
      </c>
      <c r="J178" s="73">
        <v>7</v>
      </c>
      <c r="K178" s="73" t="s">
        <v>101</v>
      </c>
      <c r="L178" s="81">
        <v>3.98</v>
      </c>
      <c r="M178" s="82">
        <v>1.8100000000000002E-2</v>
      </c>
      <c r="N178" s="79">
        <f t="shared" si="23"/>
        <v>8.1521739130434728E-2</v>
      </c>
      <c r="P178" s="73">
        <v>7</v>
      </c>
      <c r="Q178" s="81" t="s">
        <v>337</v>
      </c>
      <c r="R178" s="85">
        <v>1.92</v>
      </c>
      <c r="S178" s="86">
        <v>1.2800000000000001E-2</v>
      </c>
      <c r="V178" s="73">
        <v>7</v>
      </c>
      <c r="W178" s="82" t="s">
        <v>116</v>
      </c>
      <c r="X178" s="73">
        <v>1.78</v>
      </c>
      <c r="Y178" s="93">
        <v>2.5600000000000001E-2</v>
      </c>
      <c r="AC178" s="73"/>
      <c r="AD178" s="73"/>
      <c r="AE178" s="73"/>
      <c r="AF178" s="73"/>
      <c r="AG178" s="86"/>
      <c r="AH178" s="86"/>
      <c r="AI178" s="86"/>
      <c r="AJ178" s="22"/>
    </row>
    <row r="179" spans="2:36" ht="15">
      <c r="B179" s="73">
        <v>8</v>
      </c>
      <c r="C179" s="22" t="s">
        <v>101</v>
      </c>
      <c r="D179" s="74">
        <v>0.65</v>
      </c>
      <c r="E179" s="75">
        <v>1.8499999999999999E-2</v>
      </c>
      <c r="F179" s="77">
        <f t="shared" si="21"/>
        <v>3.1746031746031772E-2</v>
      </c>
      <c r="G179" s="77">
        <f t="shared" si="22"/>
        <v>0.16071428571428564</v>
      </c>
      <c r="J179" s="73">
        <v>8</v>
      </c>
      <c r="K179" s="73" t="s">
        <v>129</v>
      </c>
      <c r="L179" s="81">
        <v>3.42</v>
      </c>
      <c r="M179" s="82">
        <v>1.5599999999999999E-2</v>
      </c>
      <c r="N179" s="79">
        <f t="shared" si="23"/>
        <v>-4.4692737430167634E-2</v>
      </c>
      <c r="P179" s="73">
        <v>8</v>
      </c>
      <c r="Q179" s="81" t="s">
        <v>336</v>
      </c>
      <c r="R179" s="85">
        <v>1.63</v>
      </c>
      <c r="S179" s="86">
        <v>1.09E-2</v>
      </c>
      <c r="V179" s="73">
        <v>8</v>
      </c>
      <c r="W179" s="82" t="s">
        <v>357</v>
      </c>
      <c r="X179" s="73">
        <v>0.74</v>
      </c>
      <c r="Y179" s="93">
        <v>1.0699999999999999E-2</v>
      </c>
      <c r="AC179" s="73"/>
      <c r="AD179" s="73"/>
      <c r="AE179" s="73"/>
      <c r="AF179" s="73"/>
      <c r="AG179" s="86"/>
      <c r="AH179" s="86"/>
      <c r="AI179" s="86"/>
      <c r="AJ179" s="22"/>
    </row>
    <row r="180" spans="2:36" ht="15">
      <c r="B180" s="73">
        <v>9</v>
      </c>
      <c r="C180" s="73" t="s">
        <v>114</v>
      </c>
      <c r="D180" s="74">
        <v>0.64</v>
      </c>
      <c r="E180" s="75">
        <v>1.83E-2</v>
      </c>
      <c r="F180" s="77">
        <f t="shared" si="21"/>
        <v>4.9180327868852507E-2</v>
      </c>
      <c r="G180" s="77">
        <f t="shared" si="22"/>
        <v>0.25490196078431371</v>
      </c>
      <c r="J180" s="73">
        <v>9</v>
      </c>
      <c r="K180" s="22" t="s">
        <v>108</v>
      </c>
      <c r="L180" s="81">
        <v>2.83</v>
      </c>
      <c r="M180" s="82">
        <v>1.29E-2</v>
      </c>
      <c r="N180" s="79">
        <f t="shared" si="23"/>
        <v>-0.10725552050473182</v>
      </c>
      <c r="P180" s="73">
        <v>9</v>
      </c>
      <c r="Q180" s="81" t="s">
        <v>129</v>
      </c>
      <c r="R180" s="85">
        <v>1.53</v>
      </c>
      <c r="S180" s="86">
        <v>1.0200000000000001E-2</v>
      </c>
      <c r="V180" s="73">
        <v>9</v>
      </c>
      <c r="W180" s="82" t="s">
        <v>103</v>
      </c>
      <c r="X180" s="73">
        <v>0.65</v>
      </c>
      <c r="Y180" s="93">
        <v>9.4000000000000004E-3</v>
      </c>
      <c r="AC180" s="73"/>
      <c r="AD180" s="73"/>
      <c r="AE180" s="73"/>
      <c r="AF180" s="73"/>
      <c r="AG180" s="86"/>
      <c r="AH180" s="86"/>
      <c r="AI180" s="86"/>
      <c r="AJ180" s="22"/>
    </row>
    <row r="181" spans="2:36" ht="15">
      <c r="B181" s="73">
        <v>10</v>
      </c>
      <c r="C181" s="73" t="s">
        <v>108</v>
      </c>
      <c r="D181" s="74">
        <v>0.53</v>
      </c>
      <c r="E181" s="75">
        <v>1.52E-2</v>
      </c>
      <c r="F181" s="77">
        <f t="shared" si="21"/>
        <v>0.2325581395348838</v>
      </c>
      <c r="G181" s="77">
        <f t="shared" si="22"/>
        <v>6.0000000000000053E-2</v>
      </c>
      <c r="J181" s="73">
        <v>10</v>
      </c>
      <c r="K181" s="73" t="s">
        <v>337</v>
      </c>
      <c r="L181" s="81">
        <v>2.54</v>
      </c>
      <c r="M181" s="82">
        <v>1.1599999999999999E-2</v>
      </c>
      <c r="N181" s="79">
        <f t="shared" si="23"/>
        <v>2.0080321285140489E-2</v>
      </c>
      <c r="P181" s="73">
        <v>10</v>
      </c>
      <c r="Q181" s="81" t="s">
        <v>352</v>
      </c>
      <c r="R181" s="85">
        <v>0.84</v>
      </c>
      <c r="S181" s="86">
        <v>5.5999999999999999E-3</v>
      </c>
      <c r="V181" s="73">
        <v>10</v>
      </c>
      <c r="W181" s="82" t="s">
        <v>337</v>
      </c>
      <c r="X181" s="73">
        <v>0.62</v>
      </c>
      <c r="Y181" s="93">
        <v>8.9999999999999993E-3</v>
      </c>
      <c r="AC181" s="73"/>
      <c r="AD181" s="73"/>
      <c r="AE181" s="73"/>
      <c r="AF181" s="73"/>
      <c r="AG181" s="86"/>
      <c r="AH181" s="86"/>
      <c r="AI181" s="86"/>
      <c r="AJ181" s="22"/>
    </row>
    <row r="182" spans="2:36" ht="15">
      <c r="B182" s="73">
        <v>11</v>
      </c>
      <c r="C182" s="73" t="s">
        <v>336</v>
      </c>
      <c r="D182" s="74">
        <v>0.43</v>
      </c>
      <c r="E182" s="75">
        <v>1.2200000000000001E-2</v>
      </c>
      <c r="F182" s="77">
        <f t="shared" si="21"/>
        <v>2.3809523809523832E-2</v>
      </c>
      <c r="G182" s="77">
        <f t="shared" si="22"/>
        <v>0</v>
      </c>
      <c r="J182" s="73">
        <v>11</v>
      </c>
      <c r="K182" s="73" t="s">
        <v>336</v>
      </c>
      <c r="L182" s="81">
        <v>2.04</v>
      </c>
      <c r="M182" s="83">
        <v>9.2999999999999992E-3</v>
      </c>
      <c r="N182" s="79">
        <f t="shared" si="23"/>
        <v>0.36000000000000004</v>
      </c>
      <c r="P182" s="73">
        <v>11</v>
      </c>
      <c r="Q182" s="81" t="s">
        <v>354</v>
      </c>
      <c r="R182" s="85">
        <v>0.19</v>
      </c>
      <c r="S182" s="86">
        <v>1.2999999999999999E-3</v>
      </c>
      <c r="V182" s="73">
        <v>11</v>
      </c>
      <c r="W182" s="82" t="s">
        <v>336</v>
      </c>
      <c r="X182" s="73">
        <v>0.41</v>
      </c>
      <c r="Y182" s="93">
        <v>5.8999999999999999E-3</v>
      </c>
      <c r="AC182" s="73"/>
      <c r="AD182" s="73"/>
      <c r="AE182" s="73"/>
      <c r="AF182" s="73"/>
      <c r="AG182" s="86"/>
      <c r="AH182" s="86"/>
      <c r="AI182" s="86"/>
      <c r="AJ182" s="22"/>
    </row>
    <row r="183" spans="2:36" ht="15">
      <c r="B183" s="73">
        <v>12</v>
      </c>
      <c r="C183" s="73" t="s">
        <v>352</v>
      </c>
      <c r="D183" s="74">
        <v>0.22</v>
      </c>
      <c r="E183" s="75">
        <v>6.3E-3</v>
      </c>
      <c r="F183" s="77">
        <f t="shared" si="21"/>
        <v>-0.24137931034482754</v>
      </c>
      <c r="G183" s="77">
        <f t="shared" si="22"/>
        <v>0</v>
      </c>
      <c r="J183" s="73">
        <v>12</v>
      </c>
      <c r="K183" s="73" t="s">
        <v>352</v>
      </c>
      <c r="L183" s="81">
        <v>0.91</v>
      </c>
      <c r="M183" s="83">
        <v>4.1999999999999997E-3</v>
      </c>
      <c r="N183" s="79">
        <f t="shared" si="23"/>
        <v>-0.31060606060606061</v>
      </c>
      <c r="P183" s="73">
        <v>12</v>
      </c>
      <c r="Q183" s="81" t="s">
        <v>363</v>
      </c>
      <c r="R183" s="85">
        <v>0.18</v>
      </c>
      <c r="S183" s="86">
        <v>1.1999999999999999E-3</v>
      </c>
      <c r="V183" s="73">
        <v>12</v>
      </c>
      <c r="W183" s="82" t="s">
        <v>351</v>
      </c>
      <c r="X183" s="73">
        <v>0.19</v>
      </c>
      <c r="Y183" s="93">
        <v>2.7000000000000001E-3</v>
      </c>
      <c r="AC183" s="73"/>
      <c r="AD183" s="73"/>
      <c r="AE183" s="73"/>
      <c r="AF183" s="73"/>
      <c r="AG183" s="86"/>
      <c r="AH183" s="86"/>
      <c r="AI183" s="86"/>
      <c r="AJ183" s="22"/>
    </row>
    <row r="184" spans="2:36" ht="15">
      <c r="B184" s="73">
        <v>13</v>
      </c>
      <c r="C184" s="73" t="s">
        <v>379</v>
      </c>
      <c r="D184" s="74">
        <v>0.03</v>
      </c>
      <c r="E184" s="75">
        <v>8.0000000000000004E-4</v>
      </c>
      <c r="F184" s="77">
        <f t="shared" si="21"/>
        <v>-0.86363636363636365</v>
      </c>
      <c r="G184" s="77">
        <f t="shared" si="22"/>
        <v>-0.40000000000000008</v>
      </c>
      <c r="J184" s="73">
        <v>13</v>
      </c>
      <c r="K184" s="82" t="s">
        <v>357</v>
      </c>
      <c r="L184" s="81">
        <v>0.79</v>
      </c>
      <c r="M184" s="83">
        <v>3.5999999999999999E-3</v>
      </c>
      <c r="N184" s="79">
        <f t="shared" si="23"/>
        <v>-0.36799999999999999</v>
      </c>
      <c r="P184" s="73">
        <v>13</v>
      </c>
      <c r="Q184" s="81" t="s">
        <v>355</v>
      </c>
      <c r="R184" s="85">
        <v>0.16</v>
      </c>
      <c r="S184" s="86">
        <v>1E-3</v>
      </c>
      <c r="V184" s="73">
        <v>13</v>
      </c>
      <c r="W184" s="82" t="s">
        <v>113</v>
      </c>
      <c r="X184" s="88">
        <v>0.1</v>
      </c>
      <c r="Y184" s="93">
        <v>1.4E-3</v>
      </c>
      <c r="AC184" s="73"/>
      <c r="AD184" s="73"/>
      <c r="AE184" s="73"/>
      <c r="AF184" s="73"/>
      <c r="AG184" s="86"/>
      <c r="AH184" s="86"/>
      <c r="AI184" s="86"/>
      <c r="AJ184" s="22"/>
    </row>
    <row r="185" spans="2:36" ht="15">
      <c r="B185" s="73">
        <v>14</v>
      </c>
      <c r="C185" s="73" t="s">
        <v>113</v>
      </c>
      <c r="D185" s="74">
        <v>0.03</v>
      </c>
      <c r="E185" s="75">
        <v>8.0000000000000004E-4</v>
      </c>
      <c r="F185" s="76"/>
      <c r="G185" s="77">
        <f t="shared" si="22"/>
        <v>-0.25000000000000006</v>
      </c>
      <c r="J185" s="73">
        <v>14</v>
      </c>
      <c r="K185" s="73" t="s">
        <v>113</v>
      </c>
      <c r="L185" s="81">
        <v>0.25</v>
      </c>
      <c r="M185" s="83">
        <v>1.1000000000000001E-3</v>
      </c>
      <c r="N185" s="79">
        <f t="shared" si="23"/>
        <v>-0.70930232558139539</v>
      </c>
      <c r="P185" s="73">
        <v>14</v>
      </c>
      <c r="Q185" s="81" t="s">
        <v>113</v>
      </c>
      <c r="R185" s="85">
        <v>0.15</v>
      </c>
      <c r="S185" s="86">
        <v>1E-3</v>
      </c>
      <c r="V185" s="73">
        <v>14</v>
      </c>
      <c r="W185" s="82" t="s">
        <v>384</v>
      </c>
      <c r="X185" s="88">
        <v>0.1</v>
      </c>
      <c r="Y185" s="93">
        <v>1.4E-3</v>
      </c>
      <c r="AC185" s="73"/>
      <c r="AD185" s="73"/>
      <c r="AE185" s="73"/>
      <c r="AF185" s="73"/>
      <c r="AG185" s="86"/>
      <c r="AH185" s="86"/>
      <c r="AI185" s="86"/>
      <c r="AJ185" s="22"/>
    </row>
    <row r="186" spans="2:36" ht="15">
      <c r="B186" s="73">
        <v>15</v>
      </c>
      <c r="C186" s="81" t="s">
        <v>355</v>
      </c>
      <c r="D186" s="74">
        <v>0.03</v>
      </c>
      <c r="E186" s="75">
        <v>6.9999999999999999E-4</v>
      </c>
      <c r="F186" s="76"/>
      <c r="G186" s="77">
        <f t="shared" si="22"/>
        <v>-0.25000000000000006</v>
      </c>
      <c r="J186" s="73">
        <v>15</v>
      </c>
      <c r="K186" s="73" t="s">
        <v>354</v>
      </c>
      <c r="L186" s="81">
        <v>0.19</v>
      </c>
      <c r="M186" s="83">
        <v>8.9999999999999998E-4</v>
      </c>
      <c r="N186" s="79"/>
      <c r="P186" s="73">
        <v>15</v>
      </c>
      <c r="Q186" s="81" t="s">
        <v>225</v>
      </c>
      <c r="R186" s="85">
        <v>0.09</v>
      </c>
      <c r="S186" s="86">
        <v>5.9999999999999995E-4</v>
      </c>
      <c r="V186" s="73">
        <v>15</v>
      </c>
      <c r="W186" s="82" t="s">
        <v>352</v>
      </c>
      <c r="X186" s="73">
        <v>7.0000000000000007E-2</v>
      </c>
      <c r="Y186" s="93">
        <v>1E-3</v>
      </c>
      <c r="AC186" s="73"/>
      <c r="AD186" s="73"/>
      <c r="AE186" s="73"/>
      <c r="AF186" s="73"/>
      <c r="AG186" s="86"/>
      <c r="AH186" s="86"/>
      <c r="AI186" s="86"/>
      <c r="AJ186" s="22"/>
    </row>
    <row r="187" spans="2:36">
      <c r="B187" s="73"/>
      <c r="C187" s="73" t="s">
        <v>39</v>
      </c>
      <c r="D187" s="74">
        <f>D188-SUM(D172:D186)</f>
        <v>0.12000000000000455</v>
      </c>
      <c r="E187" s="75">
        <f>E188-SUM(E172:E186)</f>
        <v>3.7000000000000366E-3</v>
      </c>
      <c r="F187" s="76"/>
      <c r="G187" s="77">
        <f t="shared" si="22"/>
        <v>-0.14285714285715737</v>
      </c>
      <c r="J187" s="73"/>
      <c r="K187" s="73" t="s">
        <v>39</v>
      </c>
      <c r="L187" s="74">
        <f>L188-SUM(L172:L186)</f>
        <v>1.8600000000000421</v>
      </c>
      <c r="M187" s="83">
        <f>M188-SUM(M172:M186)</f>
        <v>6.3000000000000833E-3</v>
      </c>
      <c r="N187" s="79"/>
      <c r="Q187" s="73" t="s">
        <v>39</v>
      </c>
      <c r="R187" s="74">
        <f>R188-SUM(R172:R186)</f>
        <v>0.19000000000002615</v>
      </c>
      <c r="S187" s="83">
        <f>S188-SUM(S172:S186)</f>
        <v>1.7000000000000348E-3</v>
      </c>
      <c r="V187" s="82"/>
      <c r="W187" s="73" t="s">
        <v>39</v>
      </c>
      <c r="X187" s="74">
        <f>X188-SUM(X172:X186)</f>
        <v>0.3100000000000307</v>
      </c>
      <c r="Y187" s="83">
        <f>Y188-SUM(Y172:Y186)</f>
        <v>3.8999999999999035E-3</v>
      </c>
    </row>
    <row r="188" spans="2:36">
      <c r="B188" s="73"/>
      <c r="C188" s="73" t="s">
        <v>48</v>
      </c>
      <c r="D188" s="74">
        <v>34.9</v>
      </c>
      <c r="E188" s="75">
        <f>D188/D188</f>
        <v>1</v>
      </c>
      <c r="F188" s="76"/>
      <c r="G188" s="77">
        <f t="shared" si="22"/>
        <v>8.25062034739453E-2</v>
      </c>
      <c r="J188" s="73"/>
      <c r="K188" s="73" t="s">
        <v>48</v>
      </c>
      <c r="L188" s="81">
        <v>219.2</v>
      </c>
      <c r="M188" s="83">
        <v>1</v>
      </c>
      <c r="N188" s="79"/>
      <c r="Q188" s="73" t="s">
        <v>48</v>
      </c>
      <c r="R188" s="81">
        <v>149.6</v>
      </c>
      <c r="S188" s="83">
        <v>1</v>
      </c>
      <c r="T188" s="79"/>
      <c r="W188" s="73" t="s">
        <v>48</v>
      </c>
      <c r="X188" s="81">
        <v>69.400000000000006</v>
      </c>
      <c r="Y188" s="83">
        <v>1</v>
      </c>
      <c r="Z188" s="79"/>
    </row>
    <row r="189" spans="2:36">
      <c r="D189" s="70"/>
      <c r="K189" s="70"/>
      <c r="P189" s="70"/>
      <c r="U189" s="70"/>
      <c r="Z189" s="70"/>
    </row>
    <row r="190" spans="2:36">
      <c r="D190" s="70"/>
      <c r="K190" s="70"/>
      <c r="P190" s="70"/>
      <c r="U190" s="70"/>
      <c r="Z190" s="70"/>
    </row>
    <row r="191" spans="2:36">
      <c r="D191" s="70"/>
      <c r="K191" s="70"/>
      <c r="P191" s="70"/>
      <c r="U191" s="70"/>
      <c r="Z191" s="70"/>
    </row>
    <row r="192" spans="2:36">
      <c r="B192" s="72" t="s">
        <v>398</v>
      </c>
      <c r="C192" s="22"/>
      <c r="D192" s="22"/>
      <c r="E192" s="22"/>
      <c r="F192" s="22"/>
      <c r="G192" s="22"/>
      <c r="J192" s="72" t="s">
        <v>399</v>
      </c>
      <c r="K192" s="22"/>
      <c r="L192" s="22"/>
      <c r="M192" s="22"/>
      <c r="P192" s="72" t="s">
        <v>400</v>
      </c>
      <c r="V192" s="72" t="s">
        <v>401</v>
      </c>
      <c r="AC192" s="72"/>
      <c r="AD192" s="72"/>
      <c r="AE192" s="22"/>
      <c r="AF192" s="22"/>
      <c r="AG192" s="22"/>
      <c r="AH192" s="22"/>
      <c r="AI192" s="29"/>
      <c r="AJ192" s="22"/>
    </row>
    <row r="193" spans="2:36" ht="32">
      <c r="B193" s="73" t="s">
        <v>342</v>
      </c>
      <c r="C193" s="73" t="s">
        <v>343</v>
      </c>
      <c r="D193" s="78" t="s">
        <v>344</v>
      </c>
      <c r="E193" s="73" t="s">
        <v>345</v>
      </c>
      <c r="F193" s="73" t="s">
        <v>32</v>
      </c>
      <c r="G193" s="73" t="s">
        <v>33</v>
      </c>
      <c r="J193" s="73" t="s">
        <v>342</v>
      </c>
      <c r="K193" s="73" t="s">
        <v>343</v>
      </c>
      <c r="L193" s="78" t="s">
        <v>347</v>
      </c>
      <c r="M193" s="73" t="s">
        <v>345</v>
      </c>
      <c r="N193" s="73" t="s">
        <v>32</v>
      </c>
      <c r="P193" s="73" t="s">
        <v>342</v>
      </c>
      <c r="Q193" s="73" t="s">
        <v>343</v>
      </c>
      <c r="R193" s="74" t="s">
        <v>348</v>
      </c>
      <c r="S193" s="82" t="s">
        <v>345</v>
      </c>
      <c r="T193" s="73" t="s">
        <v>32</v>
      </c>
      <c r="V193" s="73" t="s">
        <v>342</v>
      </c>
      <c r="W193" s="82" t="s">
        <v>343</v>
      </c>
      <c r="X193" s="73" t="s">
        <v>348</v>
      </c>
      <c r="Y193" s="81" t="s">
        <v>345</v>
      </c>
      <c r="Z193" s="73" t="s">
        <v>32</v>
      </c>
      <c r="AC193" s="73"/>
      <c r="AD193" s="73"/>
      <c r="AE193" s="73"/>
      <c r="AF193" s="78"/>
      <c r="AG193" s="73"/>
      <c r="AH193" s="73"/>
      <c r="AI193" s="88"/>
      <c r="AJ193" s="22"/>
    </row>
    <row r="194" spans="2:36" ht="15">
      <c r="B194" s="73">
        <v>1</v>
      </c>
      <c r="C194" s="73" t="s">
        <v>98</v>
      </c>
      <c r="D194" s="74">
        <v>13.47</v>
      </c>
      <c r="E194" s="75">
        <v>0.41789999999999999</v>
      </c>
      <c r="F194" s="77">
        <v>5.2238805970148397E-3</v>
      </c>
      <c r="G194" s="77">
        <v>-9.2929292929292903E-2</v>
      </c>
      <c r="H194" s="79">
        <v>0.58799999999999997</v>
      </c>
      <c r="J194" s="73">
        <v>1</v>
      </c>
      <c r="K194" s="73" t="s">
        <v>98</v>
      </c>
      <c r="L194" s="81">
        <v>79.5</v>
      </c>
      <c r="M194" s="82">
        <v>0.43120000000000003</v>
      </c>
      <c r="N194" s="79">
        <v>0.51428571428571401</v>
      </c>
      <c r="P194" s="73">
        <v>1</v>
      </c>
      <c r="Q194" s="81" t="s">
        <v>96</v>
      </c>
      <c r="R194" s="85">
        <v>54.75</v>
      </c>
      <c r="S194" s="86">
        <v>0.43590000000000001</v>
      </c>
      <c r="V194" s="73">
        <v>1</v>
      </c>
      <c r="W194" s="82" t="s">
        <v>98</v>
      </c>
      <c r="X194" s="73">
        <v>36.19</v>
      </c>
      <c r="Y194" s="93">
        <v>0.61819999999999997</v>
      </c>
      <c r="AC194" s="73"/>
      <c r="AD194" s="73"/>
      <c r="AE194" s="73"/>
      <c r="AF194" s="73"/>
      <c r="AG194" s="86"/>
      <c r="AH194" s="86"/>
      <c r="AI194" s="88"/>
      <c r="AJ194" s="22"/>
    </row>
    <row r="195" spans="2:36" ht="15">
      <c r="B195" s="73">
        <v>2</v>
      </c>
      <c r="C195" s="73" t="s">
        <v>96</v>
      </c>
      <c r="D195" s="74">
        <v>9.35</v>
      </c>
      <c r="E195" s="75">
        <v>0.29010000000000002</v>
      </c>
      <c r="F195" s="77">
        <v>0.86626746506985997</v>
      </c>
      <c r="G195" s="77">
        <v>3.77358490566038E-2</v>
      </c>
      <c r="J195" s="73">
        <v>2</v>
      </c>
      <c r="K195" s="73" t="s">
        <v>96</v>
      </c>
      <c r="L195" s="81">
        <v>54.76</v>
      </c>
      <c r="M195" s="82">
        <v>0.29699999999999999</v>
      </c>
      <c r="N195" s="79">
        <v>1.3027754415475199</v>
      </c>
      <c r="P195" s="73">
        <v>2</v>
      </c>
      <c r="Q195" s="81" t="s">
        <v>98</v>
      </c>
      <c r="R195" s="85">
        <v>43.31</v>
      </c>
      <c r="S195" s="86">
        <v>0.3448</v>
      </c>
      <c r="V195" s="73">
        <v>2</v>
      </c>
      <c r="W195" s="82" t="s">
        <v>109</v>
      </c>
      <c r="X195" s="73">
        <v>8.0399999999999991</v>
      </c>
      <c r="Y195" s="93">
        <v>0.13730000000000001</v>
      </c>
      <c r="AC195" s="73"/>
      <c r="AD195" s="73"/>
      <c r="AE195" s="73"/>
      <c r="AF195" s="73"/>
      <c r="AG195" s="86"/>
      <c r="AH195" s="86"/>
      <c r="AI195" s="86"/>
      <c r="AJ195" s="22"/>
    </row>
    <row r="196" spans="2:36">
      <c r="B196" s="73">
        <v>3</v>
      </c>
      <c r="C196" s="73" t="s">
        <v>109</v>
      </c>
      <c r="D196" s="74">
        <v>3.2</v>
      </c>
      <c r="E196" s="75">
        <v>9.9299999999999999E-2</v>
      </c>
      <c r="F196" s="77">
        <v>0.97530864197530898</v>
      </c>
      <c r="G196" s="77">
        <v>0.10344827586206901</v>
      </c>
      <c r="J196" s="73">
        <v>3</v>
      </c>
      <c r="K196" s="73" t="s">
        <v>109</v>
      </c>
      <c r="L196" s="81">
        <v>15.77</v>
      </c>
      <c r="M196" s="82">
        <v>8.5500000000000007E-2</v>
      </c>
      <c r="N196" s="79">
        <v>0.88862275449101802</v>
      </c>
      <c r="P196" s="73">
        <v>3</v>
      </c>
      <c r="Q196" s="81" t="s">
        <v>109</v>
      </c>
      <c r="R196" s="85">
        <v>7.73</v>
      </c>
      <c r="S196" s="86">
        <v>6.1499999999999999E-2</v>
      </c>
      <c r="V196" s="73">
        <v>3</v>
      </c>
      <c r="W196" s="73" t="s">
        <v>101</v>
      </c>
      <c r="X196" s="73">
        <v>3.33</v>
      </c>
      <c r="Y196" s="93">
        <v>5.6899999999999999E-2</v>
      </c>
      <c r="AC196" s="73"/>
      <c r="AD196" s="73"/>
      <c r="AE196" s="73"/>
      <c r="AF196" s="73"/>
      <c r="AG196" s="86"/>
      <c r="AH196" s="86"/>
      <c r="AI196" s="86"/>
      <c r="AJ196" s="22"/>
    </row>
    <row r="197" spans="2:36" ht="15">
      <c r="B197" s="73">
        <v>4</v>
      </c>
      <c r="C197" s="73" t="s">
        <v>116</v>
      </c>
      <c r="D197" s="74">
        <v>1.32</v>
      </c>
      <c r="E197" s="75">
        <v>4.0800000000000003E-2</v>
      </c>
      <c r="F197" s="77">
        <v>1.31578947368421</v>
      </c>
      <c r="G197" s="77">
        <v>-0.108108108108108</v>
      </c>
      <c r="J197" s="73">
        <v>4</v>
      </c>
      <c r="K197" s="73" t="s">
        <v>116</v>
      </c>
      <c r="L197" s="81">
        <v>7.93</v>
      </c>
      <c r="M197" s="82">
        <v>4.2999999999999997E-2</v>
      </c>
      <c r="N197" s="79">
        <v>2.2367346938775499</v>
      </c>
      <c r="P197" s="73">
        <v>4</v>
      </c>
      <c r="Q197" s="81" t="s">
        <v>103</v>
      </c>
      <c r="R197" s="85">
        <v>6.74</v>
      </c>
      <c r="S197" s="86">
        <v>5.3699999999999998E-2</v>
      </c>
      <c r="V197" s="73">
        <v>4</v>
      </c>
      <c r="W197" s="82" t="s">
        <v>114</v>
      </c>
      <c r="X197" s="73">
        <v>2.64</v>
      </c>
      <c r="Y197" s="93">
        <v>4.5100000000000001E-2</v>
      </c>
      <c r="AC197" s="73"/>
      <c r="AD197" s="73"/>
      <c r="AE197" s="73"/>
      <c r="AF197" s="73"/>
      <c r="AG197" s="86"/>
      <c r="AH197" s="86"/>
      <c r="AI197" s="86"/>
      <c r="AJ197" s="22"/>
    </row>
    <row r="198" spans="2:36" ht="15">
      <c r="B198" s="73">
        <v>5</v>
      </c>
      <c r="C198" s="73" t="s">
        <v>103</v>
      </c>
      <c r="D198" s="74">
        <v>1.25</v>
      </c>
      <c r="E198" s="75">
        <v>3.8899999999999997E-2</v>
      </c>
      <c r="F198" s="77">
        <v>-6.7164179104477695E-2</v>
      </c>
      <c r="G198" s="77">
        <v>2.4590163934426101E-2</v>
      </c>
      <c r="J198" s="73">
        <v>5</v>
      </c>
      <c r="K198" s="73" t="s">
        <v>103</v>
      </c>
      <c r="L198" s="81">
        <v>7.31</v>
      </c>
      <c r="M198" s="82">
        <v>3.9600000000000003E-2</v>
      </c>
      <c r="N198" s="79">
        <v>0.32427536231884102</v>
      </c>
      <c r="P198" s="73">
        <v>5</v>
      </c>
      <c r="Q198" s="81" t="s">
        <v>116</v>
      </c>
      <c r="R198" s="85">
        <v>6.29</v>
      </c>
      <c r="S198" s="86">
        <v>0.05</v>
      </c>
      <c r="V198" s="73">
        <v>5</v>
      </c>
      <c r="W198" s="82" t="s">
        <v>108</v>
      </c>
      <c r="X198" s="73">
        <v>2.31</v>
      </c>
      <c r="Y198" s="93">
        <v>3.9399999999999998E-2</v>
      </c>
      <c r="AC198" s="73"/>
      <c r="AD198" s="73"/>
      <c r="AE198" s="73"/>
      <c r="AF198" s="73"/>
      <c r="AG198" s="86"/>
      <c r="AH198" s="86"/>
      <c r="AI198" s="86"/>
      <c r="AJ198" s="22"/>
    </row>
    <row r="199" spans="2:36" ht="15">
      <c r="B199" s="73">
        <v>6</v>
      </c>
      <c r="C199" s="73" t="s">
        <v>114</v>
      </c>
      <c r="D199" s="74">
        <v>0.59</v>
      </c>
      <c r="E199" s="75">
        <v>1.83E-2</v>
      </c>
      <c r="F199" s="77">
        <v>-7.8125000000000097E-2</v>
      </c>
      <c r="G199" s="77">
        <v>-0.19178082191780799</v>
      </c>
      <c r="J199" s="73">
        <v>6</v>
      </c>
      <c r="K199" s="73" t="s">
        <v>114</v>
      </c>
      <c r="L199" s="81">
        <v>4.3099999999999996</v>
      </c>
      <c r="M199" s="82">
        <v>2.3400000000000001E-2</v>
      </c>
      <c r="N199" s="79">
        <v>0.73092369477911601</v>
      </c>
      <c r="P199" s="73">
        <v>6</v>
      </c>
      <c r="Q199" s="81" t="s">
        <v>114</v>
      </c>
      <c r="R199" s="85">
        <v>1.67</v>
      </c>
      <c r="S199" s="86">
        <v>1.3299999999999999E-2</v>
      </c>
      <c r="V199" s="73">
        <v>6</v>
      </c>
      <c r="W199" s="82" t="s">
        <v>116</v>
      </c>
      <c r="X199" s="73">
        <v>1.64</v>
      </c>
      <c r="Y199" s="93">
        <v>2.81E-2</v>
      </c>
      <c r="AC199" s="73"/>
      <c r="AD199" s="73"/>
      <c r="AE199" s="73"/>
      <c r="AF199" s="73"/>
      <c r="AG199" s="86"/>
      <c r="AH199" s="86"/>
      <c r="AI199" s="86"/>
      <c r="AJ199" s="22"/>
    </row>
    <row r="200" spans="2:36" ht="15">
      <c r="B200" s="73">
        <v>7</v>
      </c>
      <c r="C200" s="73" t="s">
        <v>337</v>
      </c>
      <c r="D200" s="74">
        <v>0.56999999999999995</v>
      </c>
      <c r="E200" s="75">
        <v>1.7600000000000001E-2</v>
      </c>
      <c r="F200" s="77">
        <v>1.1111111111111101</v>
      </c>
      <c r="G200" s="77">
        <v>0.11764705882352899</v>
      </c>
      <c r="J200" s="73">
        <v>7</v>
      </c>
      <c r="K200" s="73" t="s">
        <v>101</v>
      </c>
      <c r="L200" s="81">
        <v>3.33</v>
      </c>
      <c r="M200" s="82">
        <v>1.8100000000000002E-2</v>
      </c>
      <c r="N200" s="79">
        <v>6.0509554140127299E-2</v>
      </c>
      <c r="P200" s="73">
        <v>7</v>
      </c>
      <c r="Q200" s="81" t="s">
        <v>337</v>
      </c>
      <c r="R200" s="85">
        <v>1.27</v>
      </c>
      <c r="S200" s="86">
        <v>1.01E-2</v>
      </c>
      <c r="V200" s="73">
        <v>7</v>
      </c>
      <c r="W200" s="82" t="s">
        <v>129</v>
      </c>
      <c r="X200" s="73">
        <v>1.49</v>
      </c>
      <c r="Y200" s="93">
        <v>2.5399999999999999E-2</v>
      </c>
      <c r="AC200" s="73"/>
      <c r="AD200" s="73"/>
      <c r="AE200" s="73"/>
      <c r="AF200" s="73"/>
      <c r="AG200" s="86"/>
      <c r="AH200" s="86"/>
      <c r="AI200" s="86"/>
      <c r="AJ200" s="22"/>
    </row>
    <row r="201" spans="2:36" ht="15">
      <c r="B201" s="73">
        <v>8</v>
      </c>
      <c r="C201" s="73" t="s">
        <v>129</v>
      </c>
      <c r="D201" s="74">
        <v>0.56000000000000005</v>
      </c>
      <c r="E201" s="75">
        <v>1.7399999999999999E-2</v>
      </c>
      <c r="F201" s="77">
        <v>-1.7543859649122601E-2</v>
      </c>
      <c r="G201" s="77">
        <v>0.14285714285714299</v>
      </c>
      <c r="J201" s="73">
        <v>8</v>
      </c>
      <c r="K201" s="73" t="s">
        <v>129</v>
      </c>
      <c r="L201" s="81">
        <v>2.63</v>
      </c>
      <c r="M201" s="82">
        <v>1.43E-2</v>
      </c>
      <c r="N201" s="79">
        <v>1.9379844961240299E-2</v>
      </c>
      <c r="P201" s="73">
        <v>8</v>
      </c>
      <c r="Q201" s="81" t="s">
        <v>336</v>
      </c>
      <c r="R201" s="85">
        <v>1.23</v>
      </c>
      <c r="S201" s="86">
        <v>9.7999999999999997E-3</v>
      </c>
      <c r="V201" s="73">
        <v>8</v>
      </c>
      <c r="W201" s="82" t="s">
        <v>357</v>
      </c>
      <c r="X201" s="73">
        <v>0.73</v>
      </c>
      <c r="Y201" s="93">
        <v>1.2500000000000001E-2</v>
      </c>
      <c r="AC201" s="73"/>
      <c r="AD201" s="73"/>
      <c r="AE201" s="73"/>
      <c r="AF201" s="73"/>
      <c r="AG201" s="86"/>
      <c r="AH201" s="86"/>
      <c r="AI201" s="86"/>
      <c r="AJ201" s="22"/>
    </row>
    <row r="202" spans="2:36" ht="15">
      <c r="B202" s="73">
        <v>9</v>
      </c>
      <c r="C202" s="22" t="s">
        <v>101</v>
      </c>
      <c r="D202" s="74">
        <v>0.51</v>
      </c>
      <c r="E202" s="75">
        <v>1.5699999999999999E-2</v>
      </c>
      <c r="F202" s="77">
        <v>-0.69461077844311403</v>
      </c>
      <c r="G202" s="77">
        <v>0.214285714285714</v>
      </c>
      <c r="J202" s="73">
        <v>9</v>
      </c>
      <c r="K202" s="22" t="s">
        <v>108</v>
      </c>
      <c r="L202" s="81">
        <v>2.31</v>
      </c>
      <c r="M202" s="82">
        <v>1.2500000000000001E-2</v>
      </c>
      <c r="N202" s="79">
        <v>9.4786729857819996E-2</v>
      </c>
      <c r="P202" s="73">
        <v>9</v>
      </c>
      <c r="Q202" s="81" t="s">
        <v>129</v>
      </c>
      <c r="R202" s="85">
        <v>1.1299999999999999</v>
      </c>
      <c r="S202" s="86">
        <v>8.9999999999999993E-3</v>
      </c>
      <c r="V202" s="73">
        <v>9</v>
      </c>
      <c r="W202" s="82" t="s">
        <v>103</v>
      </c>
      <c r="X202" s="73">
        <v>0.56000000000000005</v>
      </c>
      <c r="Y202" s="93">
        <v>9.5999999999999992E-3</v>
      </c>
      <c r="AC202" s="73"/>
      <c r="AD202" s="73"/>
      <c r="AE202" s="73"/>
      <c r="AF202" s="73"/>
      <c r="AG202" s="86"/>
      <c r="AH202" s="86"/>
      <c r="AI202" s="86"/>
      <c r="AJ202" s="22"/>
    </row>
    <row r="203" spans="2:36" ht="15">
      <c r="B203" s="73">
        <v>10</v>
      </c>
      <c r="C203" s="73" t="s">
        <v>108</v>
      </c>
      <c r="D203" s="74">
        <v>0.5</v>
      </c>
      <c r="E203" s="75">
        <v>1.55E-2</v>
      </c>
      <c r="F203" s="77">
        <v>4.1666666666666699E-2</v>
      </c>
      <c r="G203" s="77">
        <v>0.35135135135135098</v>
      </c>
      <c r="J203" s="73">
        <v>10</v>
      </c>
      <c r="K203" s="73" t="s">
        <v>337</v>
      </c>
      <c r="L203" s="81">
        <v>1.81</v>
      </c>
      <c r="M203" s="82">
        <v>9.7999999999999997E-3</v>
      </c>
      <c r="N203" s="79">
        <v>1.41333333333333</v>
      </c>
      <c r="P203" s="73">
        <v>10</v>
      </c>
      <c r="Q203" s="81" t="s">
        <v>352</v>
      </c>
      <c r="R203" s="85">
        <v>0.63</v>
      </c>
      <c r="S203" s="86">
        <v>5.0000000000000001E-3</v>
      </c>
      <c r="V203" s="73">
        <v>10</v>
      </c>
      <c r="W203" s="82" t="s">
        <v>337</v>
      </c>
      <c r="X203" s="73">
        <v>0.55000000000000004</v>
      </c>
      <c r="Y203" s="93">
        <v>9.2999999999999992E-3</v>
      </c>
      <c r="AC203" s="73"/>
      <c r="AD203" s="73"/>
      <c r="AE203" s="73"/>
      <c r="AF203" s="73"/>
      <c r="AG203" s="86"/>
      <c r="AH203" s="86"/>
      <c r="AI203" s="86"/>
      <c r="AJ203" s="22"/>
    </row>
    <row r="204" spans="2:36" ht="15">
      <c r="B204" s="73">
        <v>11</v>
      </c>
      <c r="C204" s="73" t="s">
        <v>336</v>
      </c>
      <c r="D204" s="74">
        <v>0.43</v>
      </c>
      <c r="E204" s="75">
        <v>1.34E-2</v>
      </c>
      <c r="F204" s="76">
        <v>-0.104166666666667</v>
      </c>
      <c r="G204" s="76">
        <v>0.53571428571428603</v>
      </c>
      <c r="J204" s="73">
        <v>11</v>
      </c>
      <c r="K204" s="73" t="s">
        <v>336</v>
      </c>
      <c r="L204" s="81">
        <v>1.61</v>
      </c>
      <c r="M204" s="83">
        <v>8.6999999999999994E-3</v>
      </c>
      <c r="N204" s="79">
        <v>0.201492537313433</v>
      </c>
      <c r="P204" s="73">
        <v>11</v>
      </c>
      <c r="Q204" s="81" t="s">
        <v>354</v>
      </c>
      <c r="R204" s="85">
        <v>0.18</v>
      </c>
      <c r="S204" s="86">
        <v>1.4E-3</v>
      </c>
      <c r="V204" s="73">
        <v>11</v>
      </c>
      <c r="W204" s="82" t="s">
        <v>336</v>
      </c>
      <c r="X204" s="73">
        <v>0.38</v>
      </c>
      <c r="Y204" s="93">
        <v>6.4999999999999997E-3</v>
      </c>
      <c r="AC204" s="73"/>
      <c r="AD204" s="73"/>
      <c r="AE204" s="73"/>
      <c r="AF204" s="73"/>
      <c r="AG204" s="86"/>
      <c r="AH204" s="86"/>
      <c r="AI204" s="86"/>
      <c r="AJ204" s="22"/>
    </row>
    <row r="205" spans="2:36" ht="15">
      <c r="B205" s="73">
        <v>12</v>
      </c>
      <c r="C205" s="73" t="s">
        <v>357</v>
      </c>
      <c r="D205" s="74">
        <v>0.22</v>
      </c>
      <c r="E205" s="75">
        <v>6.7000000000000002E-3</v>
      </c>
      <c r="F205" s="76">
        <v>1.2</v>
      </c>
      <c r="G205" s="76">
        <v>0.157894736842105</v>
      </c>
      <c r="J205" s="73">
        <v>12</v>
      </c>
      <c r="K205" s="73" t="s">
        <v>357</v>
      </c>
      <c r="L205" s="81">
        <v>0.77</v>
      </c>
      <c r="M205" s="83">
        <v>4.1999999999999997E-3</v>
      </c>
      <c r="N205" s="79">
        <v>-0.14444444444444399</v>
      </c>
      <c r="P205" s="73">
        <v>12</v>
      </c>
      <c r="Q205" s="81" t="s">
        <v>363</v>
      </c>
      <c r="R205" s="85">
        <v>0.16</v>
      </c>
      <c r="S205" s="86">
        <v>1.2999999999999999E-3</v>
      </c>
      <c r="V205" s="73">
        <v>12</v>
      </c>
      <c r="W205" s="82" t="s">
        <v>351</v>
      </c>
      <c r="X205" s="73">
        <v>0.18</v>
      </c>
      <c r="Y205" s="93">
        <v>3.0000000000000001E-3</v>
      </c>
      <c r="AC205" s="73"/>
      <c r="AD205" s="73"/>
      <c r="AE205" s="73"/>
      <c r="AF205" s="73"/>
      <c r="AG205" s="86"/>
      <c r="AH205" s="86"/>
      <c r="AI205" s="86"/>
      <c r="AJ205" s="22"/>
    </row>
    <row r="206" spans="2:36" ht="15">
      <c r="B206" s="73">
        <v>13</v>
      </c>
      <c r="C206" s="73" t="s">
        <v>352</v>
      </c>
      <c r="D206" s="74">
        <v>0.05</v>
      </c>
      <c r="E206" s="75">
        <v>1.4E-3</v>
      </c>
      <c r="F206" s="76">
        <v>-0.72222222222222199</v>
      </c>
      <c r="G206" s="76">
        <v>-0.72222222222222199</v>
      </c>
      <c r="J206" s="73">
        <v>13</v>
      </c>
      <c r="K206" s="73" t="s">
        <v>352</v>
      </c>
      <c r="L206" s="81">
        <v>0.69</v>
      </c>
      <c r="M206" s="83">
        <v>3.8E-3</v>
      </c>
      <c r="N206" s="79">
        <v>-0.316831683168317</v>
      </c>
      <c r="P206" s="73">
        <v>13</v>
      </c>
      <c r="Q206" s="81" t="s">
        <v>355</v>
      </c>
      <c r="R206" s="85">
        <v>0.13</v>
      </c>
      <c r="S206" s="86">
        <v>1E-3</v>
      </c>
      <c r="V206" s="73">
        <v>13</v>
      </c>
      <c r="W206" s="82" t="s">
        <v>113</v>
      </c>
      <c r="X206" s="73">
        <v>0.1</v>
      </c>
      <c r="Y206" s="93">
        <v>1.6999999999999999E-3</v>
      </c>
      <c r="AC206" s="73"/>
      <c r="AD206" s="73"/>
      <c r="AE206" s="73"/>
      <c r="AF206" s="73"/>
      <c r="AG206" s="86"/>
      <c r="AH206" s="86"/>
      <c r="AI206" s="86"/>
      <c r="AJ206" s="22"/>
    </row>
    <row r="207" spans="2:36" ht="15">
      <c r="B207" s="73">
        <v>14</v>
      </c>
      <c r="C207" s="73" t="s">
        <v>351</v>
      </c>
      <c r="D207" s="74">
        <v>0.04</v>
      </c>
      <c r="E207" s="75">
        <v>1.2999999999999999E-3</v>
      </c>
      <c r="F207" s="76"/>
      <c r="G207" s="76">
        <v>-0.2</v>
      </c>
      <c r="J207" s="73">
        <v>14</v>
      </c>
      <c r="K207" s="73" t="s">
        <v>113</v>
      </c>
      <c r="L207" s="81">
        <v>0.22</v>
      </c>
      <c r="M207" s="83">
        <v>1.1999999999999999E-3</v>
      </c>
      <c r="N207" s="79">
        <v>-0.6</v>
      </c>
      <c r="P207" s="73">
        <v>14</v>
      </c>
      <c r="Q207" s="81" t="s">
        <v>113</v>
      </c>
      <c r="R207" s="85">
        <v>0.12</v>
      </c>
      <c r="S207" s="86">
        <v>1E-3</v>
      </c>
      <c r="V207" s="73">
        <v>14</v>
      </c>
      <c r="W207" s="82" t="s">
        <v>384</v>
      </c>
      <c r="X207" s="73">
        <v>0.1</v>
      </c>
      <c r="Y207" s="93">
        <v>1.6000000000000001E-3</v>
      </c>
      <c r="AC207" s="73"/>
      <c r="AD207" s="73"/>
      <c r="AE207" s="73"/>
      <c r="AF207" s="73"/>
      <c r="AG207" s="86"/>
      <c r="AH207" s="86"/>
      <c r="AI207" s="86"/>
      <c r="AJ207" s="22"/>
    </row>
    <row r="208" spans="2:36" ht="15">
      <c r="B208" s="73">
        <v>15</v>
      </c>
      <c r="C208" s="73" t="s">
        <v>379</v>
      </c>
      <c r="D208" s="74">
        <v>0.04</v>
      </c>
      <c r="E208" s="75">
        <v>1.2999999999999999E-3</v>
      </c>
      <c r="F208" s="76"/>
      <c r="G208" s="76">
        <v>0.33333333333333298</v>
      </c>
      <c r="J208" s="73">
        <v>15</v>
      </c>
      <c r="K208" s="73" t="s">
        <v>354</v>
      </c>
      <c r="L208" s="81">
        <v>0.18</v>
      </c>
      <c r="M208" s="83">
        <v>1E-3</v>
      </c>
      <c r="N208" s="79"/>
      <c r="P208" s="73">
        <v>15</v>
      </c>
      <c r="Q208" s="81" t="s">
        <v>225</v>
      </c>
      <c r="R208" s="85">
        <v>0.08</v>
      </c>
      <c r="S208" s="86">
        <v>6.9999999999999999E-4</v>
      </c>
      <c r="V208" s="73">
        <v>15</v>
      </c>
      <c r="W208" s="82" t="s">
        <v>352</v>
      </c>
      <c r="X208" s="73">
        <v>7.0000000000000007E-2</v>
      </c>
      <c r="Y208" s="93">
        <v>1.1999999999999999E-3</v>
      </c>
      <c r="AC208" s="73"/>
      <c r="AD208" s="73"/>
      <c r="AE208" s="73"/>
      <c r="AF208" s="73"/>
      <c r="AG208" s="86"/>
      <c r="AH208" s="86"/>
      <c r="AI208" s="86"/>
      <c r="AJ208" s="22"/>
    </row>
    <row r="209" spans="2:36">
      <c r="B209" s="73"/>
      <c r="C209" s="73" t="s">
        <v>39</v>
      </c>
      <c r="D209" s="74">
        <f>D210-SUM(D194:D208)</f>
        <v>0.14000000000000767</v>
      </c>
      <c r="E209" s="75">
        <f>E210-SUM(E194:E208)</f>
        <v>4.4000000000002926E-3</v>
      </c>
      <c r="F209" s="76"/>
      <c r="G209" s="76">
        <v>-0.26315789473682</v>
      </c>
      <c r="J209" s="73"/>
      <c r="K209" s="73" t="s">
        <v>39</v>
      </c>
      <c r="L209" s="74">
        <f>L210-SUM(L194:L208)</f>
        <v>1.2399999999999523</v>
      </c>
      <c r="M209" s="83">
        <f>M210-SUM(M194:M208)</f>
        <v>6.7000000000000393E-3</v>
      </c>
      <c r="N209" s="79"/>
      <c r="Q209" s="73" t="s">
        <v>39</v>
      </c>
      <c r="R209" s="74">
        <f>R210-SUM(R194:R208)</f>
        <v>0.17000000000000171</v>
      </c>
      <c r="S209" s="83">
        <f>S210-SUM(S194:S208)</f>
        <v>1.5000000000000568E-3</v>
      </c>
      <c r="V209" s="82"/>
      <c r="W209" s="73" t="s">
        <v>39</v>
      </c>
      <c r="X209" s="74">
        <f>X210-SUM(X194:X208)</f>
        <v>0.23999999999999488</v>
      </c>
      <c r="Y209" s="83">
        <f>Y210-SUM(Y194:Y208)</f>
        <v>4.2000000000000925E-3</v>
      </c>
    </row>
    <row r="210" spans="2:36">
      <c r="B210" s="73"/>
      <c r="C210" s="73" t="s">
        <v>48</v>
      </c>
      <c r="D210" s="74">
        <v>32.24</v>
      </c>
      <c r="E210" s="75">
        <f>D210/D210</f>
        <v>1</v>
      </c>
      <c r="F210" s="76"/>
      <c r="G210" s="76">
        <v>-2.00607902735561E-2</v>
      </c>
      <c r="J210" s="73"/>
      <c r="K210" s="73" t="s">
        <v>48</v>
      </c>
      <c r="L210" s="81">
        <v>184.37</v>
      </c>
      <c r="M210" s="83">
        <v>1</v>
      </c>
      <c r="N210" s="79"/>
      <c r="Q210" s="73" t="s">
        <v>48</v>
      </c>
      <c r="R210" s="81">
        <v>125.59</v>
      </c>
      <c r="S210" s="83">
        <v>1</v>
      </c>
      <c r="T210" s="79"/>
      <c r="W210" s="73" t="s">
        <v>48</v>
      </c>
      <c r="X210" s="81">
        <v>58.55</v>
      </c>
      <c r="Y210" s="83">
        <v>1</v>
      </c>
      <c r="Z210" s="79"/>
    </row>
    <row r="211" spans="2:36">
      <c r="D211" s="70"/>
      <c r="K211" s="70"/>
      <c r="P211" s="70"/>
      <c r="U211" s="70"/>
      <c r="Z211" s="70"/>
    </row>
    <row r="212" spans="2:36">
      <c r="D212" s="70"/>
      <c r="K212" s="70"/>
      <c r="P212" s="70"/>
      <c r="U212" s="70"/>
      <c r="Z212" s="70"/>
    </row>
    <row r="213" spans="2:36">
      <c r="D213" s="70"/>
      <c r="K213" s="70"/>
      <c r="P213" s="70"/>
      <c r="U213" s="70"/>
      <c r="Z213" s="70"/>
    </row>
    <row r="214" spans="2:36">
      <c r="B214" s="72" t="s">
        <v>402</v>
      </c>
      <c r="C214" s="22"/>
      <c r="D214" s="22"/>
      <c r="E214" s="22"/>
      <c r="F214" s="22"/>
      <c r="G214" s="22"/>
      <c r="J214" s="72" t="s">
        <v>403</v>
      </c>
      <c r="K214" s="22"/>
      <c r="L214" s="22"/>
      <c r="M214" s="22"/>
      <c r="P214" s="72" t="s">
        <v>404</v>
      </c>
      <c r="V214" s="72" t="s">
        <v>405</v>
      </c>
      <c r="AC214" s="72"/>
      <c r="AD214" s="72"/>
      <c r="AE214" s="22"/>
      <c r="AF214" s="22"/>
      <c r="AG214" s="22"/>
      <c r="AH214" s="22"/>
      <c r="AI214" s="29"/>
      <c r="AJ214" s="22"/>
    </row>
    <row r="215" spans="2:36" ht="32">
      <c r="B215" s="73" t="s">
        <v>342</v>
      </c>
      <c r="C215" s="73" t="s">
        <v>343</v>
      </c>
      <c r="D215" s="78" t="s">
        <v>344</v>
      </c>
      <c r="E215" s="73" t="s">
        <v>345</v>
      </c>
      <c r="F215" s="73" t="s">
        <v>32</v>
      </c>
      <c r="G215" s="73" t="s">
        <v>33</v>
      </c>
      <c r="J215" s="73" t="s">
        <v>342</v>
      </c>
      <c r="K215" s="73" t="s">
        <v>343</v>
      </c>
      <c r="L215" s="78" t="s">
        <v>347</v>
      </c>
      <c r="M215" s="73" t="s">
        <v>345</v>
      </c>
      <c r="N215" s="73" t="s">
        <v>32</v>
      </c>
      <c r="P215" s="73" t="s">
        <v>342</v>
      </c>
      <c r="Q215" s="73" t="s">
        <v>343</v>
      </c>
      <c r="R215" s="74" t="s">
        <v>348</v>
      </c>
      <c r="S215" s="82" t="s">
        <v>345</v>
      </c>
      <c r="T215" s="73" t="s">
        <v>32</v>
      </c>
      <c r="V215" s="73" t="s">
        <v>342</v>
      </c>
      <c r="W215" s="82" t="s">
        <v>343</v>
      </c>
      <c r="X215" s="73" t="s">
        <v>348</v>
      </c>
      <c r="Y215" s="81" t="s">
        <v>345</v>
      </c>
      <c r="Z215" s="73" t="s">
        <v>32</v>
      </c>
      <c r="AC215" s="73"/>
      <c r="AD215" s="73"/>
      <c r="AE215" s="73"/>
      <c r="AF215" s="78"/>
      <c r="AG215" s="73"/>
      <c r="AH215" s="73"/>
      <c r="AI215" s="88"/>
      <c r="AJ215" s="22"/>
    </row>
    <row r="216" spans="2:36" ht="15">
      <c r="B216" s="73">
        <v>1</v>
      </c>
      <c r="C216" s="73" t="s">
        <v>98</v>
      </c>
      <c r="D216" s="74">
        <v>14.85</v>
      </c>
      <c r="E216" s="75">
        <v>0.45129999999999998</v>
      </c>
      <c r="F216" s="76">
        <v>0.10820895522388101</v>
      </c>
      <c r="G216" s="76">
        <v>0.27249357326478202</v>
      </c>
      <c r="H216" s="79">
        <v>0.622</v>
      </c>
      <c r="J216" s="73">
        <v>1</v>
      </c>
      <c r="K216" s="73" t="s">
        <v>98</v>
      </c>
      <c r="L216" s="81">
        <v>66.03</v>
      </c>
      <c r="M216" s="82">
        <v>0.434</v>
      </c>
      <c r="N216" s="79">
        <v>0.25771428571428601</v>
      </c>
      <c r="P216" s="73">
        <v>1</v>
      </c>
      <c r="Q216" s="81" t="s">
        <v>96</v>
      </c>
      <c r="R216" s="85">
        <v>45.4</v>
      </c>
      <c r="S216" s="86">
        <v>0.43680000000000002</v>
      </c>
      <c r="V216" s="73">
        <v>1</v>
      </c>
      <c r="W216" s="82" t="s">
        <v>98</v>
      </c>
      <c r="X216" s="73">
        <v>29.59</v>
      </c>
      <c r="Y216" s="93">
        <v>0.61650000000000005</v>
      </c>
      <c r="AC216" s="73"/>
      <c r="AD216" s="73"/>
      <c r="AE216" s="73"/>
      <c r="AF216" s="73"/>
      <c r="AG216" s="86"/>
      <c r="AH216" s="86"/>
      <c r="AI216" s="88"/>
      <c r="AJ216" s="22"/>
    </row>
    <row r="217" spans="2:36" ht="15">
      <c r="B217" s="73">
        <v>2</v>
      </c>
      <c r="C217" s="73" t="s">
        <v>96</v>
      </c>
      <c r="D217" s="74">
        <v>9.01</v>
      </c>
      <c r="E217" s="75">
        <v>0.27379999999999999</v>
      </c>
      <c r="F217" s="76">
        <v>0.79840319361277401</v>
      </c>
      <c r="G217" s="76">
        <v>3.8018433179723497E-2</v>
      </c>
      <c r="J217" s="73">
        <v>2</v>
      </c>
      <c r="K217" s="73" t="s">
        <v>96</v>
      </c>
      <c r="L217" s="81">
        <v>45.41</v>
      </c>
      <c r="M217" s="82">
        <v>0.29849999999999999</v>
      </c>
      <c r="N217" s="79">
        <v>0.909587888982338</v>
      </c>
      <c r="P217" s="73">
        <v>2</v>
      </c>
      <c r="Q217" s="81" t="s">
        <v>98</v>
      </c>
      <c r="R217" s="85">
        <v>36.44</v>
      </c>
      <c r="S217" s="86">
        <v>0.35060000000000002</v>
      </c>
      <c r="V217" s="73">
        <v>2</v>
      </c>
      <c r="W217" s="82" t="s">
        <v>109</v>
      </c>
      <c r="X217" s="73">
        <v>6.42</v>
      </c>
      <c r="Y217" s="93">
        <v>0.1338</v>
      </c>
      <c r="AC217" s="73"/>
      <c r="AD217" s="73"/>
      <c r="AE217" s="73"/>
      <c r="AF217" s="73"/>
      <c r="AG217" s="86"/>
      <c r="AH217" s="86"/>
      <c r="AI217" s="86"/>
      <c r="AJ217" s="22"/>
    </row>
    <row r="218" spans="2:36">
      <c r="B218" s="73">
        <v>3</v>
      </c>
      <c r="C218" s="73" t="s">
        <v>109</v>
      </c>
      <c r="D218" s="74">
        <v>2.9</v>
      </c>
      <c r="E218" s="75">
        <v>8.8200000000000001E-2</v>
      </c>
      <c r="F218" s="76">
        <v>0.79012345679012297</v>
      </c>
      <c r="G218" s="76">
        <v>0.324200913242009</v>
      </c>
      <c r="J218" s="73">
        <v>3</v>
      </c>
      <c r="K218" s="73" t="s">
        <v>109</v>
      </c>
      <c r="L218" s="81">
        <v>12.56</v>
      </c>
      <c r="M218" s="82">
        <v>8.2600000000000007E-2</v>
      </c>
      <c r="N218" s="79">
        <v>0.50419161676646695</v>
      </c>
      <c r="P218" s="73">
        <v>3</v>
      </c>
      <c r="Q218" s="81" t="s">
        <v>109</v>
      </c>
      <c r="R218" s="85">
        <v>6.14</v>
      </c>
      <c r="S218" s="86">
        <v>5.91E-2</v>
      </c>
      <c r="V218" s="73">
        <v>3</v>
      </c>
      <c r="W218" s="73" t="s">
        <v>101</v>
      </c>
      <c r="X218" s="73">
        <v>2.82</v>
      </c>
      <c r="Y218" s="93">
        <v>5.8900000000000001E-2</v>
      </c>
      <c r="AC218" s="73"/>
      <c r="AD218" s="73"/>
      <c r="AE218" s="73"/>
      <c r="AF218" s="73"/>
      <c r="AG218" s="86"/>
      <c r="AH218" s="86"/>
      <c r="AI218" s="86"/>
      <c r="AJ218" s="22"/>
    </row>
    <row r="219" spans="2:36" ht="15">
      <c r="B219" s="73">
        <v>4</v>
      </c>
      <c r="C219" s="73" t="s">
        <v>116</v>
      </c>
      <c r="D219" s="74">
        <v>1.48</v>
      </c>
      <c r="E219" s="75">
        <v>4.5100000000000001E-2</v>
      </c>
      <c r="F219" s="76">
        <v>1.59649122807018</v>
      </c>
      <c r="G219" s="76">
        <v>0.112781954887218</v>
      </c>
      <c r="J219" s="73">
        <v>4</v>
      </c>
      <c r="K219" s="73" t="s">
        <v>116</v>
      </c>
      <c r="L219" s="81">
        <v>6.61</v>
      </c>
      <c r="M219" s="82">
        <v>4.3499999999999997E-2</v>
      </c>
      <c r="N219" s="79">
        <v>1.69795918367347</v>
      </c>
      <c r="P219" s="73">
        <v>4</v>
      </c>
      <c r="Q219" s="81" t="s">
        <v>103</v>
      </c>
      <c r="R219" s="85">
        <v>5.58</v>
      </c>
      <c r="S219" s="86">
        <v>5.3699999999999998E-2</v>
      </c>
      <c r="V219" s="73">
        <v>4</v>
      </c>
      <c r="W219" s="82" t="s">
        <v>114</v>
      </c>
      <c r="X219" s="73">
        <v>2.2999999999999998</v>
      </c>
      <c r="Y219" s="93">
        <v>4.8000000000000001E-2</v>
      </c>
      <c r="AC219" s="73"/>
      <c r="AD219" s="73"/>
      <c r="AE219" s="73"/>
      <c r="AF219" s="73"/>
      <c r="AG219" s="86"/>
      <c r="AH219" s="86"/>
      <c r="AI219" s="86"/>
      <c r="AJ219" s="22"/>
    </row>
    <row r="220" spans="2:36" ht="15">
      <c r="B220" s="73">
        <v>5</v>
      </c>
      <c r="C220" s="73" t="s">
        <v>103</v>
      </c>
      <c r="D220" s="74">
        <v>1.22</v>
      </c>
      <c r="E220" s="75">
        <v>3.6900000000000002E-2</v>
      </c>
      <c r="F220" s="76">
        <v>-8.95522388059702E-2</v>
      </c>
      <c r="G220" s="76">
        <v>0.20792079207920799</v>
      </c>
      <c r="J220" s="73">
        <v>5</v>
      </c>
      <c r="K220" s="73" t="s">
        <v>103</v>
      </c>
      <c r="L220" s="81">
        <v>6.05</v>
      </c>
      <c r="M220" s="82">
        <v>3.9800000000000002E-2</v>
      </c>
      <c r="N220" s="79">
        <v>9.6014492753623296E-2</v>
      </c>
      <c r="P220" s="73">
        <v>5</v>
      </c>
      <c r="Q220" s="81" t="s">
        <v>116</v>
      </c>
      <c r="R220" s="85">
        <v>5.23</v>
      </c>
      <c r="S220" s="86">
        <v>5.0299999999999997E-2</v>
      </c>
      <c r="V220" s="73">
        <v>5</v>
      </c>
      <c r="W220" s="82" t="s">
        <v>108</v>
      </c>
      <c r="X220" s="73">
        <v>1.87</v>
      </c>
      <c r="Y220" s="93">
        <v>3.9E-2</v>
      </c>
      <c r="AC220" s="73"/>
      <c r="AD220" s="73"/>
      <c r="AE220" s="73"/>
      <c r="AF220" s="73"/>
      <c r="AG220" s="86"/>
      <c r="AH220" s="86"/>
      <c r="AI220" s="86"/>
      <c r="AJ220" s="22"/>
    </row>
    <row r="221" spans="2:36" ht="15">
      <c r="B221" s="73">
        <v>6</v>
      </c>
      <c r="C221" s="73" t="s">
        <v>114</v>
      </c>
      <c r="D221" s="74">
        <v>0.73</v>
      </c>
      <c r="E221" s="75">
        <v>2.2100000000000002E-2</v>
      </c>
      <c r="F221" s="76">
        <v>0.140625</v>
      </c>
      <c r="G221" s="76">
        <v>4.2857142857142899E-2</v>
      </c>
      <c r="J221" s="73">
        <v>6</v>
      </c>
      <c r="K221" s="73" t="s">
        <v>114</v>
      </c>
      <c r="L221" s="81">
        <v>3.74</v>
      </c>
      <c r="M221" s="82">
        <v>2.46E-2</v>
      </c>
      <c r="N221" s="79">
        <v>0.50200803212851397</v>
      </c>
      <c r="P221" s="73">
        <v>6</v>
      </c>
      <c r="Q221" s="81" t="s">
        <v>114</v>
      </c>
      <c r="R221" s="85">
        <v>1.43</v>
      </c>
      <c r="S221" s="86">
        <v>1.38E-2</v>
      </c>
      <c r="V221" s="73">
        <v>6</v>
      </c>
      <c r="W221" s="82" t="s">
        <v>116</v>
      </c>
      <c r="X221" s="73">
        <v>1.38</v>
      </c>
      <c r="Y221" s="93">
        <v>2.8799999999999999E-2</v>
      </c>
      <c r="AC221" s="73"/>
      <c r="AD221" s="73"/>
      <c r="AE221" s="73"/>
      <c r="AF221" s="73"/>
      <c r="AG221" s="86"/>
      <c r="AH221" s="86"/>
      <c r="AI221" s="86"/>
      <c r="AJ221" s="22"/>
    </row>
    <row r="222" spans="2:36" ht="15">
      <c r="B222" s="73">
        <v>7</v>
      </c>
      <c r="C222" s="73" t="s">
        <v>337</v>
      </c>
      <c r="D222" s="74">
        <v>0.51</v>
      </c>
      <c r="E222" s="75">
        <v>1.54E-2</v>
      </c>
      <c r="F222" s="76">
        <v>0.88888888888888895</v>
      </c>
      <c r="G222" s="76">
        <v>0.186046511627907</v>
      </c>
      <c r="J222" s="73">
        <v>7</v>
      </c>
      <c r="K222" s="73" t="s">
        <v>101</v>
      </c>
      <c r="L222" s="81">
        <v>2.82</v>
      </c>
      <c r="M222" s="82">
        <v>1.8599999999999998E-2</v>
      </c>
      <c r="N222" s="79">
        <v>-3.1019108280254799</v>
      </c>
      <c r="P222" s="73">
        <v>7</v>
      </c>
      <c r="Q222" s="81" t="s">
        <v>129</v>
      </c>
      <c r="R222" s="85">
        <v>0.91</v>
      </c>
      <c r="S222" s="86">
        <v>8.6999999999999994E-3</v>
      </c>
      <c r="V222" s="73">
        <v>7</v>
      </c>
      <c r="W222" s="82" t="s">
        <v>129</v>
      </c>
      <c r="X222" s="73">
        <v>1.1200000000000001</v>
      </c>
      <c r="Y222" s="93">
        <v>2.3400000000000001E-2</v>
      </c>
      <c r="AC222" s="73"/>
      <c r="AD222" s="73"/>
      <c r="AE222" s="73"/>
      <c r="AF222" s="73"/>
      <c r="AG222" s="86"/>
      <c r="AH222" s="86"/>
      <c r="AI222" s="86"/>
      <c r="AJ222" s="22"/>
    </row>
    <row r="223" spans="2:36" ht="15">
      <c r="B223" s="73">
        <v>8</v>
      </c>
      <c r="C223" s="73" t="s">
        <v>129</v>
      </c>
      <c r="D223" s="74">
        <v>0.49</v>
      </c>
      <c r="E223" s="75">
        <v>1.4999999999999999E-2</v>
      </c>
      <c r="F223" s="76">
        <v>-0.140350877192982</v>
      </c>
      <c r="G223" s="76">
        <v>0.4</v>
      </c>
      <c r="J223" s="73">
        <v>8</v>
      </c>
      <c r="K223" s="73" t="s">
        <v>129</v>
      </c>
      <c r="L223" s="81">
        <v>2.04</v>
      </c>
      <c r="M223" s="82">
        <v>1.34E-2</v>
      </c>
      <c r="N223" s="79">
        <v>-0.209302325581395</v>
      </c>
      <c r="P223" s="73">
        <v>8</v>
      </c>
      <c r="Q223" s="81" t="s">
        <v>337</v>
      </c>
      <c r="R223" s="85">
        <v>0.85</v>
      </c>
      <c r="S223" s="86">
        <v>8.2000000000000007E-3</v>
      </c>
      <c r="V223" s="73">
        <v>8</v>
      </c>
      <c r="W223" s="82" t="s">
        <v>357</v>
      </c>
      <c r="X223" s="73">
        <v>0.7</v>
      </c>
      <c r="Y223" s="93">
        <v>1.46E-2</v>
      </c>
      <c r="AC223" s="73"/>
      <c r="AD223" s="73"/>
      <c r="AE223" s="73"/>
      <c r="AF223" s="73"/>
      <c r="AG223" s="86"/>
      <c r="AH223" s="86"/>
      <c r="AI223" s="86"/>
      <c r="AJ223" s="22"/>
    </row>
    <row r="224" spans="2:36" ht="15">
      <c r="B224" s="73">
        <v>9</v>
      </c>
      <c r="C224" s="22" t="s">
        <v>101</v>
      </c>
      <c r="D224" s="74">
        <v>0.42</v>
      </c>
      <c r="E224" s="75">
        <v>1.2800000000000001E-2</v>
      </c>
      <c r="F224" s="76">
        <v>-0.74850299401197595</v>
      </c>
      <c r="G224" s="76">
        <v>-0.26</v>
      </c>
      <c r="J224" s="73">
        <v>9</v>
      </c>
      <c r="K224" s="22" t="s">
        <v>108</v>
      </c>
      <c r="L224" s="81">
        <v>1.87</v>
      </c>
      <c r="M224" s="82">
        <v>1.23E-2</v>
      </c>
      <c r="N224" s="79">
        <v>-0.11374407582938401</v>
      </c>
      <c r="P224" s="73">
        <v>9</v>
      </c>
      <c r="Q224" s="81" t="s">
        <v>336</v>
      </c>
      <c r="R224" s="85">
        <v>0.8</v>
      </c>
      <c r="S224" s="86">
        <v>7.7000000000000002E-3</v>
      </c>
      <c r="V224" s="73">
        <v>9</v>
      </c>
      <c r="W224" s="82" t="s">
        <v>103</v>
      </c>
      <c r="X224" s="73">
        <v>0.47</v>
      </c>
      <c r="Y224" s="93">
        <v>9.9000000000000008E-3</v>
      </c>
      <c r="AC224" s="73"/>
      <c r="AD224" s="73"/>
      <c r="AE224" s="73"/>
      <c r="AF224" s="73"/>
      <c r="AG224" s="86"/>
      <c r="AH224" s="86"/>
      <c r="AI224" s="86"/>
      <c r="AJ224" s="22"/>
    </row>
    <row r="225" spans="2:36" ht="15">
      <c r="B225" s="73">
        <v>10</v>
      </c>
      <c r="C225" s="73" t="s">
        <v>108</v>
      </c>
      <c r="D225" s="74">
        <v>0.37</v>
      </c>
      <c r="E225" s="75">
        <v>1.14E-2</v>
      </c>
      <c r="F225" s="76">
        <v>-0.22916666666666699</v>
      </c>
      <c r="G225" s="76">
        <v>-0.119047619047619</v>
      </c>
      <c r="J225" s="73">
        <v>10</v>
      </c>
      <c r="K225" s="73" t="s">
        <v>337</v>
      </c>
      <c r="L225" s="81">
        <v>1.25</v>
      </c>
      <c r="M225" s="82">
        <v>8.2000000000000007E-3</v>
      </c>
      <c r="N225" s="79">
        <v>0.66666666666666696</v>
      </c>
      <c r="P225" s="73">
        <v>10</v>
      </c>
      <c r="Q225" s="81" t="s">
        <v>352</v>
      </c>
      <c r="R225" s="85">
        <v>0.43</v>
      </c>
      <c r="S225" s="86">
        <v>4.1000000000000003E-3</v>
      </c>
      <c r="V225" s="73">
        <v>10</v>
      </c>
      <c r="W225" s="82" t="s">
        <v>337</v>
      </c>
      <c r="X225" s="73">
        <v>0.4</v>
      </c>
      <c r="Y225" s="93">
        <v>8.3000000000000001E-3</v>
      </c>
      <c r="AC225" s="73"/>
      <c r="AD225" s="73"/>
      <c r="AE225" s="73"/>
      <c r="AF225" s="73"/>
      <c r="AG225" s="86"/>
      <c r="AH225" s="86"/>
      <c r="AI225" s="86"/>
      <c r="AJ225" s="22"/>
    </row>
    <row r="226" spans="2:36" ht="15">
      <c r="B226" s="73">
        <v>11</v>
      </c>
      <c r="C226" s="73" t="s">
        <v>336</v>
      </c>
      <c r="D226" s="74">
        <v>0.28000000000000003</v>
      </c>
      <c r="E226" s="75">
        <v>8.6999999999999994E-3</v>
      </c>
      <c r="F226" s="76">
        <f>0.28/48-1</f>
        <v>-0.99416666666666664</v>
      </c>
      <c r="G226" s="83">
        <f>0.28/0.41-1</f>
        <v>-0.31707317073170727</v>
      </c>
      <c r="J226" s="73">
        <v>11</v>
      </c>
      <c r="K226" s="73" t="s">
        <v>336</v>
      </c>
      <c r="L226" s="81">
        <v>1.1100000000000001</v>
      </c>
      <c r="M226" s="83">
        <v>7.3000000000000001E-3</v>
      </c>
      <c r="N226" s="79">
        <f>1.11/1.34-1</f>
        <v>-0.17164179104477606</v>
      </c>
      <c r="P226" s="73">
        <v>11</v>
      </c>
      <c r="Q226" s="81" t="s">
        <v>354</v>
      </c>
      <c r="R226" s="85">
        <v>0.15</v>
      </c>
      <c r="S226" s="86">
        <v>1.5E-3</v>
      </c>
      <c r="V226" s="73">
        <v>11</v>
      </c>
      <c r="W226" s="82" t="s">
        <v>336</v>
      </c>
      <c r="X226" s="73">
        <v>0.31</v>
      </c>
      <c r="Y226" s="93">
        <v>6.4000000000000003E-3</v>
      </c>
      <c r="AC226" s="73"/>
      <c r="AD226" s="73"/>
      <c r="AE226" s="73"/>
      <c r="AF226" s="73"/>
      <c r="AG226" s="86"/>
      <c r="AH226" s="86"/>
      <c r="AI226" s="86"/>
      <c r="AJ226" s="22"/>
    </row>
    <row r="227" spans="2:36" ht="15">
      <c r="B227" s="73">
        <v>12</v>
      </c>
      <c r="C227" s="73" t="s">
        <v>357</v>
      </c>
      <c r="D227" s="74">
        <v>0.19</v>
      </c>
      <c r="E227" s="75">
        <v>5.7000000000000002E-3</v>
      </c>
      <c r="F227" s="83">
        <f>0.19/0.1-1</f>
        <v>0.89999999999999991</v>
      </c>
      <c r="G227" s="83">
        <f>0.19/0.06-1</f>
        <v>2.166666666666667</v>
      </c>
      <c r="J227" s="73">
        <v>12</v>
      </c>
      <c r="K227" s="73" t="s">
        <v>357</v>
      </c>
      <c r="L227" s="81">
        <v>0.73</v>
      </c>
      <c r="M227" s="83">
        <v>4.7999999999999996E-3</v>
      </c>
      <c r="N227" s="79">
        <f>0.73/0.9-1</f>
        <v>-0.18888888888888888</v>
      </c>
      <c r="P227" s="73">
        <v>12</v>
      </c>
      <c r="Q227" s="81" t="s">
        <v>363</v>
      </c>
      <c r="R227" s="85">
        <v>0.15</v>
      </c>
      <c r="S227" s="86">
        <v>1.4E-3</v>
      </c>
      <c r="V227" s="73">
        <v>12</v>
      </c>
      <c r="W227" s="82" t="s">
        <v>351</v>
      </c>
      <c r="X227" s="73">
        <v>0.13</v>
      </c>
      <c r="Y227" s="93">
        <v>2.8E-3</v>
      </c>
      <c r="AC227" s="73"/>
      <c r="AD227" s="73"/>
      <c r="AE227" s="73"/>
      <c r="AF227" s="73"/>
      <c r="AG227" s="86"/>
      <c r="AH227" s="86"/>
      <c r="AI227" s="86"/>
      <c r="AJ227" s="22"/>
    </row>
    <row r="228" spans="2:36" ht="15">
      <c r="B228" s="73">
        <v>13</v>
      </c>
      <c r="C228" s="73" t="s">
        <v>352</v>
      </c>
      <c r="D228" s="74">
        <v>0.18</v>
      </c>
      <c r="E228" s="75">
        <v>5.5999999999999999E-3</v>
      </c>
      <c r="F228" s="83">
        <f>0.18/0.18-1</f>
        <v>0</v>
      </c>
      <c r="G228" s="83">
        <f>0.18/0.12-1</f>
        <v>0.5</v>
      </c>
      <c r="J228" s="73">
        <v>13</v>
      </c>
      <c r="K228" s="73" t="s">
        <v>352</v>
      </c>
      <c r="L228" s="81">
        <v>0.48</v>
      </c>
      <c r="M228" s="83">
        <v>3.0999999999999999E-3</v>
      </c>
      <c r="N228" s="79">
        <f>0.48/1.01-1</f>
        <v>-0.52475247524752477</v>
      </c>
      <c r="P228" s="73">
        <v>13</v>
      </c>
      <c r="Q228" s="81" t="s">
        <v>355</v>
      </c>
      <c r="R228" s="85">
        <v>0.12</v>
      </c>
      <c r="S228" s="86">
        <v>1.1000000000000001E-3</v>
      </c>
      <c r="V228" s="73">
        <v>13</v>
      </c>
      <c r="W228" s="82" t="s">
        <v>113</v>
      </c>
      <c r="X228" s="73">
        <v>0.1</v>
      </c>
      <c r="Y228" s="93">
        <v>2E-3</v>
      </c>
      <c r="AC228" s="73"/>
      <c r="AD228" s="73"/>
      <c r="AE228" s="73"/>
      <c r="AF228" s="73"/>
      <c r="AG228" s="86"/>
      <c r="AH228" s="86"/>
      <c r="AI228" s="86"/>
      <c r="AJ228" s="22"/>
    </row>
    <row r="229" spans="2:36" ht="15">
      <c r="B229" s="73">
        <v>14</v>
      </c>
      <c r="C229" s="73" t="s">
        <v>351</v>
      </c>
      <c r="D229" s="74">
        <v>0.05</v>
      </c>
      <c r="E229" s="75">
        <v>1.5E-3</v>
      </c>
      <c r="F229" s="83"/>
      <c r="G229" s="83">
        <f>0.05/0.03-1</f>
        <v>0.66666666666666674</v>
      </c>
      <c r="J229" s="73">
        <v>14</v>
      </c>
      <c r="K229" s="73" t="s">
        <v>113</v>
      </c>
      <c r="L229" s="81">
        <v>0.18</v>
      </c>
      <c r="M229" s="83">
        <v>1.1999999999999999E-3</v>
      </c>
      <c r="N229" s="79">
        <f>0.18/0.55-1</f>
        <v>-0.67272727272727284</v>
      </c>
      <c r="P229" s="73">
        <v>14</v>
      </c>
      <c r="Q229" s="81" t="s">
        <v>113</v>
      </c>
      <c r="R229" s="85">
        <v>0.08</v>
      </c>
      <c r="S229" s="86">
        <v>8.0000000000000004E-4</v>
      </c>
      <c r="V229" s="73">
        <v>14</v>
      </c>
      <c r="W229" s="82" t="s">
        <v>384</v>
      </c>
      <c r="X229" s="73">
        <v>0.09</v>
      </c>
      <c r="Y229" s="93">
        <v>2E-3</v>
      </c>
      <c r="AC229" s="73"/>
      <c r="AD229" s="73"/>
      <c r="AE229" s="73"/>
      <c r="AF229" s="73"/>
      <c r="AG229" s="86"/>
      <c r="AH229" s="86"/>
      <c r="AI229" s="86"/>
      <c r="AJ229" s="22"/>
    </row>
    <row r="230" spans="2:36" ht="15">
      <c r="B230" s="73">
        <v>15</v>
      </c>
      <c r="C230" s="73" t="s">
        <v>379</v>
      </c>
      <c r="D230" s="74">
        <v>0.03</v>
      </c>
      <c r="E230" s="75">
        <v>1E-3</v>
      </c>
      <c r="F230" s="83"/>
      <c r="G230" s="83">
        <f>0.03/0.04-1</f>
        <v>-0.25</v>
      </c>
      <c r="J230" s="73">
        <v>15</v>
      </c>
      <c r="K230" s="73" t="s">
        <v>354</v>
      </c>
      <c r="L230" s="81">
        <v>0.15</v>
      </c>
      <c r="M230" s="83">
        <v>1E-3</v>
      </c>
      <c r="P230" s="73">
        <v>15</v>
      </c>
      <c r="Q230" s="81" t="s">
        <v>225</v>
      </c>
      <c r="R230" s="85">
        <v>0.06</v>
      </c>
      <c r="S230" s="86">
        <v>5.9999999999999995E-4</v>
      </c>
      <c r="V230" s="73">
        <v>15</v>
      </c>
      <c r="W230" s="82" t="s">
        <v>366</v>
      </c>
      <c r="X230" s="73">
        <v>0.06</v>
      </c>
      <c r="Y230" s="93">
        <v>1.2999999999999999E-3</v>
      </c>
      <c r="AC230" s="73"/>
      <c r="AD230" s="73"/>
      <c r="AE230" s="73"/>
      <c r="AF230" s="73"/>
      <c r="AG230" s="86"/>
      <c r="AH230" s="86"/>
      <c r="AI230" s="86"/>
      <c r="AJ230" s="22"/>
    </row>
    <row r="231" spans="2:36">
      <c r="B231" s="73"/>
      <c r="C231" s="73" t="s">
        <v>39</v>
      </c>
      <c r="D231" s="74">
        <f>D232-SUM(D216:D230)</f>
        <v>0.19000000000000483</v>
      </c>
      <c r="E231" s="75">
        <f>E232-SUM(E216:E230)</f>
        <v>5.4999999999999494E-3</v>
      </c>
      <c r="F231" s="83"/>
      <c r="G231" s="83">
        <f>0.19/0.12-1</f>
        <v>0.58333333333333348</v>
      </c>
      <c r="J231" s="73"/>
      <c r="K231" s="73" t="s">
        <v>39</v>
      </c>
      <c r="L231" s="74">
        <f>L232-SUM(L216:L230)</f>
        <v>1.0999999999999659</v>
      </c>
      <c r="M231" s="83">
        <f>M232-SUM(M216:M230)</f>
        <v>7.1000000000003283E-3</v>
      </c>
      <c r="Q231" s="73" t="s">
        <v>39</v>
      </c>
      <c r="R231" s="74">
        <f>R232-SUM(R216:R230)</f>
        <v>0.15999999999998238</v>
      </c>
      <c r="S231" s="83">
        <f>S232-SUM(S216:S230)</f>
        <v>1.5999999999998238E-3</v>
      </c>
      <c r="V231" s="82"/>
      <c r="W231" s="73" t="s">
        <v>39</v>
      </c>
      <c r="X231" s="74">
        <f>X232-SUM(X216:X230)</f>
        <v>0.22999999999999687</v>
      </c>
      <c r="Y231" s="83">
        <f>Y232-SUM(Y216:Y230)</f>
        <v>4.2999999999999705E-3</v>
      </c>
    </row>
    <row r="232" spans="2:36">
      <c r="B232" s="73"/>
      <c r="C232" s="73" t="s">
        <v>48</v>
      </c>
      <c r="D232" s="74">
        <v>32.9</v>
      </c>
      <c r="E232" s="75">
        <f>D232/D232</f>
        <v>1</v>
      </c>
      <c r="F232" s="83"/>
      <c r="G232" s="83">
        <f>32.9/28.24-1</f>
        <v>0.16501416430594906</v>
      </c>
      <c r="J232" s="73"/>
      <c r="K232" s="73" t="s">
        <v>48</v>
      </c>
      <c r="L232" s="81">
        <v>152.13</v>
      </c>
      <c r="M232" s="83">
        <v>1</v>
      </c>
      <c r="N232" s="79"/>
      <c r="Q232" s="73" t="s">
        <v>48</v>
      </c>
      <c r="R232" s="81">
        <v>103.93</v>
      </c>
      <c r="S232" s="83">
        <v>1</v>
      </c>
      <c r="T232" s="79"/>
      <c r="W232" s="73" t="s">
        <v>48</v>
      </c>
      <c r="X232" s="81">
        <v>47.99</v>
      </c>
      <c r="Y232" s="83">
        <v>1</v>
      </c>
      <c r="Z232" s="79"/>
    </row>
    <row r="233" spans="2:36">
      <c r="D233" s="70"/>
      <c r="K233" s="70"/>
      <c r="P233" s="70"/>
      <c r="U233" s="70"/>
      <c r="Z233" s="70"/>
    </row>
    <row r="234" spans="2:36">
      <c r="D234" s="70"/>
      <c r="K234" s="70"/>
      <c r="P234" s="70"/>
      <c r="U234" s="70"/>
      <c r="Z234" s="70"/>
    </row>
    <row r="235" spans="2:36">
      <c r="D235" s="70"/>
      <c r="K235" s="70"/>
      <c r="P235" s="70"/>
      <c r="U235" s="70"/>
      <c r="Z235" s="70"/>
    </row>
    <row r="236" spans="2:36">
      <c r="B236" s="72" t="s">
        <v>406</v>
      </c>
      <c r="C236" s="22"/>
      <c r="D236" s="22"/>
      <c r="E236" s="22"/>
      <c r="F236" s="22"/>
      <c r="G236" s="22"/>
      <c r="J236" s="72" t="s">
        <v>407</v>
      </c>
      <c r="K236" s="22"/>
      <c r="L236" s="22"/>
      <c r="M236" s="22"/>
      <c r="P236" s="72" t="s">
        <v>408</v>
      </c>
      <c r="V236" s="72" t="s">
        <v>409</v>
      </c>
    </row>
    <row r="237" spans="2:36" ht="32">
      <c r="B237" s="73" t="s">
        <v>342</v>
      </c>
      <c r="C237" s="73" t="s">
        <v>343</v>
      </c>
      <c r="D237" s="78" t="s">
        <v>344</v>
      </c>
      <c r="E237" s="73" t="s">
        <v>345</v>
      </c>
      <c r="F237" s="73" t="s">
        <v>32</v>
      </c>
      <c r="G237" s="73" t="s">
        <v>33</v>
      </c>
      <c r="J237" s="73" t="s">
        <v>342</v>
      </c>
      <c r="K237" s="73" t="s">
        <v>343</v>
      </c>
      <c r="L237" s="78" t="s">
        <v>347</v>
      </c>
      <c r="M237" s="73" t="s">
        <v>345</v>
      </c>
      <c r="N237" s="73" t="s">
        <v>32</v>
      </c>
      <c r="P237" s="73" t="s">
        <v>342</v>
      </c>
      <c r="Q237" s="73" t="s">
        <v>343</v>
      </c>
      <c r="R237" s="74" t="s">
        <v>348</v>
      </c>
      <c r="S237" s="82" t="s">
        <v>345</v>
      </c>
      <c r="T237" s="73" t="s">
        <v>32</v>
      </c>
      <c r="V237" s="73" t="s">
        <v>342</v>
      </c>
      <c r="W237" s="82" t="s">
        <v>343</v>
      </c>
      <c r="X237" s="73" t="s">
        <v>348</v>
      </c>
      <c r="Y237" s="81" t="s">
        <v>345</v>
      </c>
      <c r="Z237" s="73" t="s">
        <v>32</v>
      </c>
    </row>
    <row r="238" spans="2:36" ht="15">
      <c r="B238" s="73">
        <v>1</v>
      </c>
      <c r="C238" s="73" t="s">
        <v>98</v>
      </c>
      <c r="D238" s="74">
        <v>11.67</v>
      </c>
      <c r="E238" s="75">
        <v>0.41310000000000002</v>
      </c>
      <c r="F238" s="75">
        <f>11.67/8.51-1</f>
        <v>0.37132784958871912</v>
      </c>
      <c r="G238" s="75">
        <f>D238/D260-1</f>
        <v>0.13742690058479523</v>
      </c>
      <c r="H238" s="79">
        <v>0.59699999999999998</v>
      </c>
      <c r="J238" s="73">
        <v>1</v>
      </c>
      <c r="K238" s="73" t="s">
        <v>98</v>
      </c>
      <c r="L238" s="81">
        <v>51.18</v>
      </c>
      <c r="M238" s="82">
        <v>0.42930000000000001</v>
      </c>
      <c r="N238" s="79">
        <f>51.18/39.1-1</f>
        <v>0.3089514066496164</v>
      </c>
      <c r="P238" s="73">
        <v>1</v>
      </c>
      <c r="Q238" s="81" t="s">
        <v>96</v>
      </c>
      <c r="R238" s="85">
        <v>36.39</v>
      </c>
      <c r="S238" s="86">
        <v>0.44819999999999999</v>
      </c>
      <c r="V238" s="73">
        <v>1</v>
      </c>
      <c r="W238" s="82" t="s">
        <v>98</v>
      </c>
      <c r="X238" s="73">
        <v>23.21</v>
      </c>
      <c r="Y238" s="93">
        <v>0.61229999999999996</v>
      </c>
    </row>
    <row r="239" spans="2:36" ht="15">
      <c r="B239" s="73">
        <v>2</v>
      </c>
      <c r="C239" s="73" t="s">
        <v>96</v>
      </c>
      <c r="D239" s="74">
        <v>8.68</v>
      </c>
      <c r="E239" s="75">
        <v>0.30719999999999997</v>
      </c>
      <c r="F239" s="75">
        <f>8.68/4.09-1</f>
        <v>1.122249388753056</v>
      </c>
      <c r="G239" s="75">
        <f t="shared" ref="G239:G254" si="24">D239/D261-1</f>
        <v>0.18579234972677594</v>
      </c>
      <c r="J239" s="73">
        <v>2</v>
      </c>
      <c r="K239" s="73" t="s">
        <v>96</v>
      </c>
      <c r="L239" s="81">
        <v>36.4</v>
      </c>
      <c r="M239" s="82">
        <v>0.30530000000000002</v>
      </c>
      <c r="N239" s="79">
        <f>36.4/18.77-1</f>
        <v>0.93926478423015447</v>
      </c>
      <c r="P239" s="73">
        <v>2</v>
      </c>
      <c r="Q239" s="81" t="s">
        <v>98</v>
      </c>
      <c r="R239" s="85">
        <v>27.97</v>
      </c>
      <c r="S239" s="86">
        <v>0.34439999999999998</v>
      </c>
      <c r="V239" s="73">
        <v>2</v>
      </c>
      <c r="W239" s="82" t="s">
        <v>109</v>
      </c>
      <c r="X239" s="73">
        <v>5.12</v>
      </c>
      <c r="Y239" s="93">
        <v>0.1351</v>
      </c>
    </row>
    <row r="240" spans="2:36">
      <c r="B240" s="73">
        <v>3</v>
      </c>
      <c r="C240" s="73" t="s">
        <v>109</v>
      </c>
      <c r="D240" s="74">
        <v>2.19</v>
      </c>
      <c r="E240" s="75">
        <v>7.7600000000000002E-2</v>
      </c>
      <c r="F240" s="75">
        <f>2.19/1.64-1</f>
        <v>0.33536585365853666</v>
      </c>
      <c r="G240" s="75">
        <f t="shared" si="24"/>
        <v>-4.5454545454546302E-3</v>
      </c>
      <c r="J240" s="73">
        <v>3</v>
      </c>
      <c r="K240" s="73" t="s">
        <v>109</v>
      </c>
      <c r="L240" s="81">
        <v>9.66</v>
      </c>
      <c r="M240" s="82">
        <v>8.1000000000000003E-2</v>
      </c>
      <c r="N240" s="79">
        <f>9.66/6.73-1</f>
        <v>0.43536404160475484</v>
      </c>
      <c r="P240" s="73">
        <v>3</v>
      </c>
      <c r="Q240" s="81" t="s">
        <v>103</v>
      </c>
      <c r="R240" s="85">
        <v>4.54</v>
      </c>
      <c r="S240" s="86">
        <v>5.5899999999999998E-2</v>
      </c>
      <c r="V240" s="73">
        <v>3</v>
      </c>
      <c r="W240" s="73" t="s">
        <v>101</v>
      </c>
      <c r="X240" s="73">
        <v>2.4</v>
      </c>
      <c r="Y240" s="93">
        <v>6.3399999999999998E-2</v>
      </c>
    </row>
    <row r="241" spans="2:26" ht="15">
      <c r="B241" s="73">
        <v>4</v>
      </c>
      <c r="C241" s="73" t="s">
        <v>116</v>
      </c>
      <c r="D241" s="74">
        <v>1.33</v>
      </c>
      <c r="E241" s="75">
        <v>4.7100000000000003E-2</v>
      </c>
      <c r="F241" s="75">
        <f>1.33/0.5-1</f>
        <v>1.6600000000000001</v>
      </c>
      <c r="G241" s="75">
        <f t="shared" si="24"/>
        <v>-3.6231884057970842E-2</v>
      </c>
      <c r="J241" s="73">
        <v>4</v>
      </c>
      <c r="K241" s="73" t="s">
        <v>116</v>
      </c>
      <c r="L241" s="81">
        <v>5.13</v>
      </c>
      <c r="M241" s="82">
        <v>4.2999999999999997E-2</v>
      </c>
      <c r="N241" s="79">
        <f>5.13/1.88-1</f>
        <v>1.7287234042553195</v>
      </c>
      <c r="P241" s="73">
        <v>4</v>
      </c>
      <c r="Q241" s="81" t="s">
        <v>109</v>
      </c>
      <c r="R241" s="85">
        <v>4.4400000000000004</v>
      </c>
      <c r="S241" s="86">
        <v>5.4699999999999999E-2</v>
      </c>
      <c r="V241" s="73">
        <v>4</v>
      </c>
      <c r="W241" s="82" t="s">
        <v>114</v>
      </c>
      <c r="X241" s="73">
        <v>1.96</v>
      </c>
      <c r="Y241" s="93">
        <v>5.16E-2</v>
      </c>
    </row>
    <row r="242" spans="2:26" ht="15">
      <c r="B242" s="73">
        <v>5</v>
      </c>
      <c r="C242" s="73" t="s">
        <v>103</v>
      </c>
      <c r="D242" s="74">
        <v>1.01</v>
      </c>
      <c r="E242" s="75">
        <v>3.5799999999999998E-2</v>
      </c>
      <c r="F242" s="75">
        <f>1.01/0.91-1</f>
        <v>0.10989010989010994</v>
      </c>
      <c r="G242" s="75">
        <f t="shared" si="24"/>
        <v>-0.14406779661016944</v>
      </c>
      <c r="J242" s="73">
        <v>5</v>
      </c>
      <c r="K242" s="73" t="s">
        <v>103</v>
      </c>
      <c r="L242" s="81">
        <v>4.84</v>
      </c>
      <c r="M242" s="82">
        <v>4.0599999999999997E-2</v>
      </c>
      <c r="N242" s="79">
        <f>4.84/4.19-1</f>
        <v>0.15513126491646756</v>
      </c>
      <c r="P242" s="73">
        <v>5</v>
      </c>
      <c r="Q242" s="81" t="s">
        <v>116</v>
      </c>
      <c r="R242" s="85">
        <v>4.07</v>
      </c>
      <c r="S242" s="86">
        <v>5.0099999999999999E-2</v>
      </c>
      <c r="V242" s="73">
        <v>5</v>
      </c>
      <c r="W242" s="82" t="s">
        <v>108</v>
      </c>
      <c r="X242" s="73">
        <v>1.5</v>
      </c>
      <c r="Y242" s="93">
        <v>3.95E-2</v>
      </c>
    </row>
    <row r="243" spans="2:26" ht="15">
      <c r="B243" s="73">
        <v>6</v>
      </c>
      <c r="C243" s="73" t="s">
        <v>114</v>
      </c>
      <c r="D243" s="74">
        <v>0.7</v>
      </c>
      <c r="E243" s="75">
        <v>2.5000000000000001E-2</v>
      </c>
      <c r="F243" s="75">
        <f>0.7/0.54-1</f>
        <v>0.29629629629629606</v>
      </c>
      <c r="G243" s="75">
        <f t="shared" si="24"/>
        <v>-0.23076923076923084</v>
      </c>
      <c r="J243" s="73">
        <v>6</v>
      </c>
      <c r="K243" s="73" t="s">
        <v>114</v>
      </c>
      <c r="L243" s="81">
        <v>3.01</v>
      </c>
      <c r="M243" s="82">
        <v>2.53E-2</v>
      </c>
      <c r="N243" s="79">
        <f>3.01/1.85-1</f>
        <v>0.62702702702702684</v>
      </c>
      <c r="P243" s="73">
        <v>6</v>
      </c>
      <c r="Q243" s="81" t="s">
        <v>114</v>
      </c>
      <c r="R243" s="85">
        <v>1.03</v>
      </c>
      <c r="S243" s="86">
        <v>1.2999999999999999E-2</v>
      </c>
      <c r="V243" s="73">
        <v>6</v>
      </c>
      <c r="W243" s="82" t="s">
        <v>116</v>
      </c>
      <c r="X243" s="73">
        <v>1.06</v>
      </c>
      <c r="Y243" s="93">
        <v>2.7900000000000001E-2</v>
      </c>
    </row>
    <row r="244" spans="2:26" ht="15">
      <c r="B244" s="73">
        <v>7</v>
      </c>
      <c r="C244" s="73" t="s">
        <v>101</v>
      </c>
      <c r="D244" s="74">
        <v>0.68</v>
      </c>
      <c r="E244" s="75">
        <v>2.3900000000000001E-2</v>
      </c>
      <c r="F244" s="75">
        <f>0.68/0.13-1</f>
        <v>4.2307692307692308</v>
      </c>
      <c r="G244" s="75">
        <f t="shared" si="24"/>
        <v>0.54545454545454564</v>
      </c>
      <c r="J244" s="73">
        <v>7</v>
      </c>
      <c r="K244" s="73" t="s">
        <v>101</v>
      </c>
      <c r="L244" s="81">
        <v>2.4</v>
      </c>
      <c r="M244" s="82">
        <v>2.0199999999999999E-2</v>
      </c>
      <c r="N244" s="79">
        <f>2.4/1.47-1</f>
        <v>0.63265306122448983</v>
      </c>
      <c r="P244" s="73">
        <v>7</v>
      </c>
      <c r="Q244" s="81" t="s">
        <v>129</v>
      </c>
      <c r="R244" s="85">
        <v>0.74</v>
      </c>
      <c r="S244" s="86">
        <v>9.1999999999999998E-3</v>
      </c>
      <c r="V244" s="73">
        <v>7</v>
      </c>
      <c r="W244" s="82" t="s">
        <v>129</v>
      </c>
      <c r="X244" s="73">
        <v>0.8</v>
      </c>
      <c r="Y244" s="93">
        <v>2.1000000000000001E-2</v>
      </c>
    </row>
    <row r="245" spans="2:26" ht="15">
      <c r="B245" s="73">
        <v>8</v>
      </c>
      <c r="C245" s="73" t="s">
        <v>337</v>
      </c>
      <c r="D245" s="74">
        <v>0.43</v>
      </c>
      <c r="E245" s="75">
        <v>1.52E-2</v>
      </c>
      <c r="F245" s="75">
        <f>0.43/0.18-1</f>
        <v>1.3888888888888888</v>
      </c>
      <c r="G245" s="75">
        <f>D245/D270-1</f>
        <v>1.8666666666666667</v>
      </c>
      <c r="J245" s="73">
        <v>8</v>
      </c>
      <c r="K245" s="73" t="s">
        <v>129</v>
      </c>
      <c r="L245" s="81">
        <v>1.55</v>
      </c>
      <c r="M245" s="82">
        <v>1.2999999999999999E-2</v>
      </c>
      <c r="N245" s="79">
        <f>1.55/2.01-1</f>
        <v>-0.22885572139303467</v>
      </c>
      <c r="P245" s="73">
        <v>8</v>
      </c>
      <c r="Q245" s="81" t="s">
        <v>336</v>
      </c>
      <c r="R245" s="85">
        <v>0.62</v>
      </c>
      <c r="S245" s="86">
        <v>7.7000000000000002E-3</v>
      </c>
      <c r="V245" s="73">
        <v>8</v>
      </c>
      <c r="W245" s="82" t="s">
        <v>357</v>
      </c>
      <c r="X245" s="73">
        <v>0.52</v>
      </c>
      <c r="Y245" s="93">
        <v>1.38E-2</v>
      </c>
    </row>
    <row r="246" spans="2:26" ht="15">
      <c r="B246" s="73">
        <v>9</v>
      </c>
      <c r="C246" s="22" t="s">
        <v>108</v>
      </c>
      <c r="D246" s="74">
        <v>0.42</v>
      </c>
      <c r="E246" s="75">
        <v>1.4800000000000001E-2</v>
      </c>
      <c r="F246" s="75">
        <f>0.42/0.43-1</f>
        <v>-2.3255813953488413E-2</v>
      </c>
      <c r="G246" s="75">
        <f>D246/D268-1</f>
        <v>0.44827586206896552</v>
      </c>
      <c r="J246" s="73">
        <v>9</v>
      </c>
      <c r="K246" s="22" t="s">
        <v>108</v>
      </c>
      <c r="L246" s="81">
        <v>1.5</v>
      </c>
      <c r="M246" s="82">
        <v>1.26E-2</v>
      </c>
      <c r="N246" s="79">
        <f>1.5/1.62-1</f>
        <v>-7.4074074074074181E-2</v>
      </c>
      <c r="P246" s="73">
        <v>9</v>
      </c>
      <c r="Q246" s="81" t="s">
        <v>337</v>
      </c>
      <c r="R246" s="85">
        <v>0.5</v>
      </c>
      <c r="S246" s="86">
        <v>6.1999999999999998E-3</v>
      </c>
      <c r="V246" s="73">
        <v>9</v>
      </c>
      <c r="W246" s="82" t="s">
        <v>103</v>
      </c>
      <c r="X246" s="73">
        <v>0.4</v>
      </c>
      <c r="Y246" s="93">
        <v>1.0500000000000001E-2</v>
      </c>
    </row>
    <row r="247" spans="2:26" ht="15">
      <c r="B247" s="73">
        <v>10</v>
      </c>
      <c r="C247" s="73" t="s">
        <v>336</v>
      </c>
      <c r="D247" s="74">
        <v>0.41</v>
      </c>
      <c r="E247" s="75">
        <v>1.44E-2</v>
      </c>
      <c r="F247" s="75">
        <f>0.41/0.22-1</f>
        <v>0.86363636363636354</v>
      </c>
      <c r="G247" s="75">
        <f>D247/D269-1</f>
        <v>1.5625</v>
      </c>
      <c r="J247" s="73">
        <v>10</v>
      </c>
      <c r="K247" s="73" t="s">
        <v>336</v>
      </c>
      <c r="L247" s="81">
        <v>0.83</v>
      </c>
      <c r="M247" s="82">
        <v>6.8999999999999999E-3</v>
      </c>
      <c r="N247" s="79">
        <f>0.83/0.86-1</f>
        <v>-3.488372093023262E-2</v>
      </c>
      <c r="P247" s="73">
        <v>10</v>
      </c>
      <c r="Q247" s="81" t="s">
        <v>352</v>
      </c>
      <c r="R247" s="85">
        <v>0.26</v>
      </c>
      <c r="S247" s="86">
        <v>3.2000000000000002E-3</v>
      </c>
      <c r="V247" s="73">
        <v>10</v>
      </c>
      <c r="W247" s="82" t="s">
        <v>336</v>
      </c>
      <c r="X247" s="73">
        <v>0.24</v>
      </c>
      <c r="Y247" s="93">
        <v>6.3E-3</v>
      </c>
    </row>
    <row r="248" spans="2:26" ht="15">
      <c r="B248" s="73">
        <v>11</v>
      </c>
      <c r="C248" s="73" t="s">
        <v>129</v>
      </c>
      <c r="D248" s="74">
        <v>0.35</v>
      </c>
      <c r="E248" s="75">
        <v>1.23E-2</v>
      </c>
      <c r="F248" s="75">
        <f>0.35/0.37-1</f>
        <v>-5.4054054054054057E-2</v>
      </c>
      <c r="G248" s="75">
        <f>D248/D267-1</f>
        <v>-0.16666666666666674</v>
      </c>
      <c r="J248" s="73">
        <v>11</v>
      </c>
      <c r="K248" s="73" t="s">
        <v>337</v>
      </c>
      <c r="L248" s="81">
        <v>0.74</v>
      </c>
      <c r="M248" s="83">
        <v>6.1999999999999998E-3</v>
      </c>
      <c r="N248" s="79">
        <f>0.74/0.49-1</f>
        <v>0.51020408163265296</v>
      </c>
      <c r="P248" s="73">
        <v>11</v>
      </c>
      <c r="Q248" s="81" t="s">
        <v>363</v>
      </c>
      <c r="R248" s="85">
        <v>0.14000000000000001</v>
      </c>
      <c r="S248" s="86">
        <v>1.6999999999999999E-3</v>
      </c>
      <c r="V248" s="73">
        <v>11</v>
      </c>
      <c r="W248" s="82" t="s">
        <v>337</v>
      </c>
      <c r="X248" s="73">
        <v>0.2</v>
      </c>
      <c r="Y248" s="93">
        <v>5.4000000000000003E-3</v>
      </c>
    </row>
    <row r="249" spans="2:26" ht="15">
      <c r="B249" s="73">
        <v>12</v>
      </c>
      <c r="C249" s="73" t="s">
        <v>352</v>
      </c>
      <c r="D249" s="74">
        <v>0.12</v>
      </c>
      <c r="E249" s="75">
        <v>4.3E-3</v>
      </c>
      <c r="F249" s="83">
        <f>0.12/0.2-1</f>
        <v>-0.4</v>
      </c>
      <c r="G249" s="75">
        <f>D249/D273-1</f>
        <v>1.4</v>
      </c>
      <c r="J249" s="73">
        <v>12</v>
      </c>
      <c r="K249" s="73" t="s">
        <v>357</v>
      </c>
      <c r="L249" s="81">
        <v>0.54</v>
      </c>
      <c r="M249" s="83">
        <v>4.4999999999999997E-3</v>
      </c>
      <c r="N249" s="79">
        <f>0.54/0.8-1</f>
        <v>-0.32499999999999996</v>
      </c>
      <c r="P249" s="73">
        <v>12</v>
      </c>
      <c r="Q249" s="81" t="s">
        <v>354</v>
      </c>
      <c r="R249" s="85">
        <v>0.13</v>
      </c>
      <c r="S249" s="86">
        <v>1.6999999999999999E-3</v>
      </c>
      <c r="V249" s="73">
        <v>12</v>
      </c>
      <c r="W249" s="82" t="s">
        <v>113</v>
      </c>
      <c r="X249" s="73">
        <v>0.1</v>
      </c>
      <c r="Y249" s="93">
        <v>2.5999999999999999E-3</v>
      </c>
    </row>
    <row r="250" spans="2:26" ht="15">
      <c r="B250" s="73">
        <v>13</v>
      </c>
      <c r="C250" s="73" t="s">
        <v>357</v>
      </c>
      <c r="D250" s="74">
        <v>0.06</v>
      </c>
      <c r="E250" s="75">
        <v>2.2000000000000001E-3</v>
      </c>
      <c r="F250" s="83">
        <f>0.06/0.22-1</f>
        <v>-0.72727272727272729</v>
      </c>
      <c r="G250" s="75">
        <f>D250/D271-1</f>
        <v>-0.53846153846153855</v>
      </c>
      <c r="J250" s="73">
        <v>13</v>
      </c>
      <c r="K250" s="73" t="s">
        <v>352</v>
      </c>
      <c r="L250" s="81">
        <v>0.28999999999999998</v>
      </c>
      <c r="M250" s="83">
        <v>2.5000000000000001E-3</v>
      </c>
      <c r="N250" s="79">
        <f>0.29/0.83-1</f>
        <v>-0.6506024096385542</v>
      </c>
      <c r="P250" s="73">
        <v>13</v>
      </c>
      <c r="Q250" s="81" t="s">
        <v>355</v>
      </c>
      <c r="R250" s="85">
        <v>0.09</v>
      </c>
      <c r="S250" s="86">
        <v>1.1000000000000001E-3</v>
      </c>
      <c r="V250" s="73">
        <v>13</v>
      </c>
      <c r="W250" s="82" t="s">
        <v>384</v>
      </c>
      <c r="X250" s="73">
        <v>0.09</v>
      </c>
      <c r="Y250" s="93">
        <v>2.5000000000000001E-3</v>
      </c>
    </row>
    <row r="251" spans="2:26" ht="15">
      <c r="B251" s="73">
        <v>14</v>
      </c>
      <c r="C251" s="73" t="s">
        <v>379</v>
      </c>
      <c r="D251" s="74">
        <v>0.04</v>
      </c>
      <c r="E251" s="75">
        <v>1.6000000000000001E-3</v>
      </c>
      <c r="F251" s="83"/>
      <c r="G251" s="75"/>
      <c r="J251" s="73">
        <v>14</v>
      </c>
      <c r="K251" s="73" t="s">
        <v>113</v>
      </c>
      <c r="L251" s="81">
        <v>0.17</v>
      </c>
      <c r="M251" s="83">
        <v>1.4E-3</v>
      </c>
      <c r="N251" s="79">
        <f>0.17/0.43-1</f>
        <v>-0.60465116279069764</v>
      </c>
      <c r="P251" s="73">
        <v>14</v>
      </c>
      <c r="Q251" s="81" t="s">
        <v>113</v>
      </c>
      <c r="R251" s="85">
        <v>7.0000000000000007E-2</v>
      </c>
      <c r="S251" s="86">
        <v>8.9999999999999998E-4</v>
      </c>
      <c r="V251" s="73">
        <v>14</v>
      </c>
      <c r="W251" s="82" t="s">
        <v>351</v>
      </c>
      <c r="X251" s="73">
        <v>0.08</v>
      </c>
      <c r="Y251" s="93">
        <v>2.2000000000000001E-3</v>
      </c>
    </row>
    <row r="252" spans="2:26" ht="15">
      <c r="B252" s="73">
        <v>15</v>
      </c>
      <c r="C252" s="73" t="s">
        <v>351</v>
      </c>
      <c r="D252" s="74">
        <v>0.03</v>
      </c>
      <c r="E252" s="75">
        <v>1.1000000000000001E-3</v>
      </c>
      <c r="F252" s="83"/>
      <c r="G252" s="75"/>
      <c r="J252" s="73">
        <v>15</v>
      </c>
      <c r="K252" s="73" t="s">
        <v>354</v>
      </c>
      <c r="L252" s="81">
        <v>0.14000000000000001</v>
      </c>
      <c r="M252" s="83">
        <v>1.1000000000000001E-3</v>
      </c>
      <c r="N252" s="79"/>
      <c r="P252" s="73">
        <v>15</v>
      </c>
      <c r="Q252" s="81" t="s">
        <v>225</v>
      </c>
      <c r="R252" s="85">
        <v>0.05</v>
      </c>
      <c r="S252" s="86">
        <v>5.9999999999999995E-4</v>
      </c>
      <c r="V252" s="73">
        <v>15</v>
      </c>
      <c r="W252" s="82" t="s">
        <v>366</v>
      </c>
      <c r="X252" s="73">
        <v>0.05</v>
      </c>
      <c r="Y252" s="93">
        <v>1.4E-3</v>
      </c>
    </row>
    <row r="253" spans="2:26">
      <c r="B253" s="73"/>
      <c r="C253" s="73" t="s">
        <v>39</v>
      </c>
      <c r="D253" s="74">
        <f>D254-SUM(D238:D252)</f>
        <v>0.11999999999999034</v>
      </c>
      <c r="E253" s="75">
        <f>E254-SUM(E238:E252)</f>
        <v>4.3999999999999595E-3</v>
      </c>
      <c r="F253" s="83"/>
      <c r="G253" s="75">
        <f t="shared" si="24"/>
        <v>-1.184607967275042E-13</v>
      </c>
      <c r="J253" s="73"/>
      <c r="K253" s="73" t="s">
        <v>39</v>
      </c>
      <c r="L253" s="74">
        <f>L254-SUM(L238:L252)</f>
        <v>0.84999999999999432</v>
      </c>
      <c r="M253" s="83">
        <f>M254-SUM(M238:M252)</f>
        <v>7.1000000000002172E-3</v>
      </c>
      <c r="Q253" s="73" t="s">
        <v>39</v>
      </c>
      <c r="R253" s="74">
        <f>R254-SUM(R238:R252)</f>
        <v>0.1600000000000108</v>
      </c>
      <c r="S253" s="83">
        <f>S254-SUM(S238:S252)</f>
        <v>1.3999999999999568E-3</v>
      </c>
      <c r="V253" s="82"/>
      <c r="W253" s="73" t="s">
        <v>39</v>
      </c>
      <c r="X253" s="74">
        <f>X254-SUM(X238:X252)</f>
        <v>0.17999999999999261</v>
      </c>
      <c r="Y253" s="83">
        <f>Y254-SUM(Y238:Y252)</f>
        <v>4.5000000000001705E-3</v>
      </c>
    </row>
    <row r="254" spans="2:26">
      <c r="B254" s="73"/>
      <c r="C254" s="73" t="s">
        <v>48</v>
      </c>
      <c r="D254" s="74">
        <v>28.24</v>
      </c>
      <c r="E254" s="75">
        <f>D254/D254</f>
        <v>1</v>
      </c>
      <c r="F254" s="83"/>
      <c r="G254" s="75">
        <f t="shared" si="24"/>
        <v>0.12509960159362543</v>
      </c>
      <c r="J254" s="73"/>
      <c r="K254" s="73" t="s">
        <v>48</v>
      </c>
      <c r="L254" s="81">
        <v>119.23</v>
      </c>
      <c r="M254" s="83">
        <v>1</v>
      </c>
      <c r="N254" s="79"/>
      <c r="Q254" s="73" t="s">
        <v>48</v>
      </c>
      <c r="R254" s="81">
        <v>81.2</v>
      </c>
      <c r="S254" s="83">
        <v>1</v>
      </c>
      <c r="T254" s="79"/>
      <c r="W254" s="73" t="s">
        <v>48</v>
      </c>
      <c r="X254" s="81">
        <v>37.909999999999997</v>
      </c>
      <c r="Y254" s="83">
        <v>1</v>
      </c>
      <c r="Z254" s="79"/>
    </row>
    <row r="255" spans="2:26">
      <c r="D255" s="70"/>
      <c r="K255" s="70"/>
      <c r="P255" s="70"/>
      <c r="U255" s="70"/>
      <c r="Z255" s="70"/>
    </row>
    <row r="256" spans="2:26">
      <c r="D256" s="70"/>
      <c r="K256" s="70"/>
      <c r="P256" s="70"/>
      <c r="U256" s="70"/>
      <c r="Z256" s="70"/>
    </row>
    <row r="257" spans="2:26">
      <c r="D257" s="70"/>
      <c r="K257" s="70"/>
      <c r="P257" s="70"/>
      <c r="U257" s="70"/>
      <c r="Z257" s="70"/>
    </row>
    <row r="258" spans="2:26">
      <c r="B258" s="72" t="s">
        <v>410</v>
      </c>
      <c r="C258" s="22"/>
      <c r="D258" s="22"/>
      <c r="E258" s="22"/>
      <c r="F258" s="22"/>
      <c r="G258" s="22"/>
      <c r="J258" s="72" t="s">
        <v>411</v>
      </c>
      <c r="K258" s="22"/>
      <c r="L258" s="22"/>
      <c r="M258" s="22"/>
      <c r="P258" s="72" t="s">
        <v>412</v>
      </c>
      <c r="V258" s="72" t="s">
        <v>413</v>
      </c>
    </row>
    <row r="259" spans="2:26" ht="30">
      <c r="B259" s="73" t="s">
        <v>342</v>
      </c>
      <c r="C259" s="73" t="s">
        <v>343</v>
      </c>
      <c r="D259" s="78" t="s">
        <v>344</v>
      </c>
      <c r="E259" s="73" t="s">
        <v>345</v>
      </c>
      <c r="F259" s="73" t="s">
        <v>32</v>
      </c>
      <c r="G259" s="73" t="s">
        <v>33</v>
      </c>
      <c r="J259" s="73" t="s">
        <v>342</v>
      </c>
      <c r="K259" s="73" t="s">
        <v>343</v>
      </c>
      <c r="L259" s="78" t="s">
        <v>347</v>
      </c>
      <c r="M259" s="73" t="s">
        <v>345</v>
      </c>
      <c r="N259" s="73" t="s">
        <v>32</v>
      </c>
      <c r="P259" s="73" t="s">
        <v>342</v>
      </c>
      <c r="Q259" s="73" t="s">
        <v>343</v>
      </c>
      <c r="R259" s="81" t="s">
        <v>348</v>
      </c>
      <c r="S259" s="82" t="s">
        <v>345</v>
      </c>
      <c r="T259" s="73" t="s">
        <v>32</v>
      </c>
      <c r="V259" s="73" t="s">
        <v>342</v>
      </c>
      <c r="W259" s="82" t="s">
        <v>343</v>
      </c>
      <c r="X259" s="73" t="s">
        <v>348</v>
      </c>
      <c r="Y259" s="81" t="s">
        <v>345</v>
      </c>
      <c r="Z259" s="73" t="s">
        <v>32</v>
      </c>
    </row>
    <row r="260" spans="2:26" ht="15">
      <c r="B260" s="73">
        <v>1</v>
      </c>
      <c r="C260" s="73" t="s">
        <v>98</v>
      </c>
      <c r="D260" s="74">
        <v>10.26</v>
      </c>
      <c r="E260" s="75">
        <v>0.4083</v>
      </c>
      <c r="F260" s="75">
        <f>10.26/5.08-1</f>
        <v>1.0196850393700787</v>
      </c>
      <c r="G260" s="75">
        <f>D260/D282-1</f>
        <v>-0.17854283426741391</v>
      </c>
      <c r="H260" s="79">
        <v>0.57699999999999996</v>
      </c>
      <c r="J260" s="73">
        <v>1</v>
      </c>
      <c r="K260" s="73" t="s">
        <v>98</v>
      </c>
      <c r="L260" s="81">
        <v>39.51</v>
      </c>
      <c r="M260" s="82">
        <v>0.43430000000000002</v>
      </c>
      <c r="N260" s="79">
        <f>39.51/30.59-1</f>
        <v>0.29159856162144493</v>
      </c>
      <c r="P260" s="73">
        <v>1</v>
      </c>
      <c r="Q260" s="81" t="s">
        <v>96</v>
      </c>
      <c r="R260" s="85">
        <v>27.72</v>
      </c>
      <c r="S260" s="86">
        <v>0.44669999999999999</v>
      </c>
      <c r="V260" s="73">
        <v>1</v>
      </c>
      <c r="W260" s="82" t="s">
        <v>98</v>
      </c>
      <c r="X260" s="73">
        <v>17.45</v>
      </c>
      <c r="Y260" s="93">
        <v>0.60409999999999997</v>
      </c>
    </row>
    <row r="261" spans="2:26" ht="15">
      <c r="B261" s="73">
        <v>2</v>
      </c>
      <c r="C261" s="73" t="s">
        <v>96</v>
      </c>
      <c r="D261" s="74">
        <v>7.32</v>
      </c>
      <c r="E261" s="75">
        <v>0.29110000000000003</v>
      </c>
      <c r="F261" s="75">
        <f>7.32/4.27-1</f>
        <v>0.71428571428571441</v>
      </c>
      <c r="G261" s="75">
        <f t="shared" ref="G261:G276" si="25">D261/D283-1</f>
        <v>-1.0810810810810811E-2</v>
      </c>
      <c r="J261" s="73">
        <v>2</v>
      </c>
      <c r="K261" s="73" t="s">
        <v>96</v>
      </c>
      <c r="L261" s="81">
        <v>27.73</v>
      </c>
      <c r="M261" s="82">
        <v>0.30470000000000003</v>
      </c>
      <c r="N261" s="79">
        <f>27.73/14.68-1</f>
        <v>0.88896457765667591</v>
      </c>
      <c r="P261" s="73">
        <v>2</v>
      </c>
      <c r="Q261" s="81" t="s">
        <v>98</v>
      </c>
      <c r="R261" s="85">
        <v>22.07</v>
      </c>
      <c r="S261" s="86">
        <v>0.35570000000000002</v>
      </c>
      <c r="V261" s="73">
        <v>2</v>
      </c>
      <c r="W261" s="82" t="s">
        <v>109</v>
      </c>
      <c r="X261" s="73">
        <v>4.1100000000000003</v>
      </c>
      <c r="Y261" s="93">
        <v>0.1421</v>
      </c>
    </row>
    <row r="262" spans="2:26">
      <c r="B262" s="73">
        <v>3</v>
      </c>
      <c r="C262" s="73" t="s">
        <v>109</v>
      </c>
      <c r="D262" s="74">
        <v>2.2000000000000002</v>
      </c>
      <c r="E262" s="75">
        <v>8.7400000000000005E-2</v>
      </c>
      <c r="F262" s="75">
        <f>2.2/0.9-1</f>
        <v>1.4444444444444446</v>
      </c>
      <c r="G262" s="75">
        <f t="shared" si="25"/>
        <v>-0.23076923076923073</v>
      </c>
      <c r="J262" s="73">
        <v>3</v>
      </c>
      <c r="K262" s="73" t="s">
        <v>109</v>
      </c>
      <c r="L262" s="81">
        <v>7.47</v>
      </c>
      <c r="M262" s="82">
        <v>8.2100000000000006E-2</v>
      </c>
      <c r="N262" s="79">
        <f>7.47/5.09-1</f>
        <v>0.46758349705304525</v>
      </c>
      <c r="P262" s="73">
        <v>3</v>
      </c>
      <c r="Q262" s="81" t="s">
        <v>103</v>
      </c>
      <c r="R262" s="85">
        <v>3.56</v>
      </c>
      <c r="S262" s="86">
        <v>5.74E-2</v>
      </c>
      <c r="V262" s="73">
        <v>3</v>
      </c>
      <c r="W262" s="73" t="s">
        <v>101</v>
      </c>
      <c r="X262" s="73">
        <v>1.73</v>
      </c>
      <c r="Y262" s="93">
        <v>5.9799999999999999E-2</v>
      </c>
    </row>
    <row r="263" spans="2:26" ht="15">
      <c r="B263" s="73">
        <v>4</v>
      </c>
      <c r="C263" s="73" t="s">
        <v>116</v>
      </c>
      <c r="D263" s="74">
        <v>1.38</v>
      </c>
      <c r="E263" s="75">
        <v>5.4800000000000001E-2</v>
      </c>
      <c r="F263" s="75">
        <f>1.38/0.29-1</f>
        <v>3.7586206896551726</v>
      </c>
      <c r="G263" s="75">
        <f>D263/D286-1</f>
        <v>0.28971962616822422</v>
      </c>
      <c r="J263" s="73">
        <v>4</v>
      </c>
      <c r="K263" s="73" t="s">
        <v>103</v>
      </c>
      <c r="L263" s="81">
        <v>3.83</v>
      </c>
      <c r="M263" s="82">
        <v>4.2099999999999999E-2</v>
      </c>
      <c r="N263" s="79">
        <f>3.83/3.27-1</f>
        <v>0.17125382262996935</v>
      </c>
      <c r="P263" s="73">
        <v>4</v>
      </c>
      <c r="Q263" s="81" t="s">
        <v>109</v>
      </c>
      <c r="R263" s="85">
        <v>3.36</v>
      </c>
      <c r="S263" s="86">
        <v>5.4199999999999998E-2</v>
      </c>
      <c r="V263" s="73">
        <v>4</v>
      </c>
      <c r="W263" s="82" t="s">
        <v>114</v>
      </c>
      <c r="X263" s="73">
        <v>1.61</v>
      </c>
      <c r="Y263" s="93">
        <v>5.5599999999999997E-2</v>
      </c>
    </row>
    <row r="264" spans="2:26" ht="15">
      <c r="B264" s="73">
        <v>5</v>
      </c>
      <c r="C264" s="73" t="s">
        <v>103</v>
      </c>
      <c r="D264" s="74">
        <v>1.18</v>
      </c>
      <c r="E264" s="75">
        <v>4.6800000000000001E-2</v>
      </c>
      <c r="F264" s="75">
        <f>1.18/0.7-1</f>
        <v>0.68571428571428572</v>
      </c>
      <c r="G264" s="75">
        <f>D264/D285-1</f>
        <v>-5.600000000000005E-2</v>
      </c>
      <c r="J264" s="73">
        <v>5</v>
      </c>
      <c r="K264" s="73" t="s">
        <v>116</v>
      </c>
      <c r="L264" s="81">
        <v>3.8</v>
      </c>
      <c r="M264" s="82">
        <v>4.1700000000000001E-2</v>
      </c>
      <c r="N264" s="79">
        <f>3.8/1.38-1</f>
        <v>1.7536231884057973</v>
      </c>
      <c r="P264" s="73">
        <v>5</v>
      </c>
      <c r="Q264" s="81" t="s">
        <v>116</v>
      </c>
      <c r="R264" s="85">
        <v>2.86</v>
      </c>
      <c r="S264" s="86">
        <v>4.6100000000000002E-2</v>
      </c>
      <c r="V264" s="73">
        <v>5</v>
      </c>
      <c r="W264" s="82" t="s">
        <v>108</v>
      </c>
      <c r="X264" s="73">
        <v>1.08</v>
      </c>
      <c r="Y264" s="93">
        <v>3.7400000000000003E-2</v>
      </c>
    </row>
    <row r="265" spans="2:26" ht="15">
      <c r="B265" s="73">
        <v>6</v>
      </c>
      <c r="C265" s="73" t="s">
        <v>114</v>
      </c>
      <c r="D265" s="74">
        <v>0.91</v>
      </c>
      <c r="E265" s="75">
        <v>3.6200000000000003E-2</v>
      </c>
      <c r="F265" s="75">
        <f>0.91/0.51-1</f>
        <v>0.78431372549019618</v>
      </c>
      <c r="G265" s="75">
        <f>D265/D288-1</f>
        <v>0.59649122807017574</v>
      </c>
      <c r="J265" s="73">
        <v>6</v>
      </c>
      <c r="K265" s="73" t="s">
        <v>114</v>
      </c>
      <c r="L265" s="81">
        <v>2.31</v>
      </c>
      <c r="M265" s="82">
        <v>2.53E-2</v>
      </c>
      <c r="N265" s="79">
        <f>2.31/1.32-1</f>
        <v>0.75</v>
      </c>
      <c r="P265" s="73">
        <v>6</v>
      </c>
      <c r="Q265" s="81" t="s">
        <v>114</v>
      </c>
      <c r="R265" s="85">
        <v>0.7</v>
      </c>
      <c r="S265" s="86">
        <v>1.1299999999999999E-2</v>
      </c>
      <c r="V265" s="73">
        <v>6</v>
      </c>
      <c r="W265" s="82" t="s">
        <v>116</v>
      </c>
      <c r="X265" s="73">
        <v>0.94</v>
      </c>
      <c r="Y265" s="93">
        <v>3.2500000000000001E-2</v>
      </c>
    </row>
    <row r="266" spans="2:26" ht="15">
      <c r="B266" s="73">
        <v>7</v>
      </c>
      <c r="C266" s="73" t="s">
        <v>101</v>
      </c>
      <c r="D266" s="74">
        <v>0.44</v>
      </c>
      <c r="E266" s="75">
        <v>1.7299999999999999E-2</v>
      </c>
      <c r="F266" s="75">
        <f>0.44/0.07-1</f>
        <v>5.2857142857142856</v>
      </c>
      <c r="G266" s="75">
        <f>D266/D287-1</f>
        <v>-0.26666666666666661</v>
      </c>
      <c r="J266" s="73">
        <v>7</v>
      </c>
      <c r="K266" s="73" t="s">
        <v>101</v>
      </c>
      <c r="L266" s="81">
        <v>1.73</v>
      </c>
      <c r="M266" s="82">
        <v>1.9E-2</v>
      </c>
      <c r="N266" s="79">
        <f>1.73/1.33-1</f>
        <v>0.3007518796992481</v>
      </c>
      <c r="P266" s="73">
        <v>7</v>
      </c>
      <c r="Q266" s="81" t="s">
        <v>129</v>
      </c>
      <c r="R266" s="85">
        <v>0.63</v>
      </c>
      <c r="S266" s="86">
        <v>1.01E-2</v>
      </c>
      <c r="V266" s="73">
        <v>7</v>
      </c>
      <c r="W266" s="82" t="s">
        <v>129</v>
      </c>
      <c r="X266" s="73">
        <v>0.56999999999999995</v>
      </c>
      <c r="Y266" s="93">
        <v>1.9599999999999999E-2</v>
      </c>
    </row>
    <row r="267" spans="2:26" ht="15">
      <c r="B267" s="73">
        <v>8</v>
      </c>
      <c r="C267" s="73" t="s">
        <v>129</v>
      </c>
      <c r="D267" s="74">
        <v>0.42</v>
      </c>
      <c r="E267" s="75">
        <v>1.66E-2</v>
      </c>
      <c r="F267" s="75">
        <f>0.42/0.36-1</f>
        <v>0.16666666666666674</v>
      </c>
      <c r="G267" s="75">
        <f>D267/D290-1</f>
        <v>-2.3255813953488413E-2</v>
      </c>
      <c r="J267" s="73">
        <v>8</v>
      </c>
      <c r="K267" s="73" t="s">
        <v>129</v>
      </c>
      <c r="L267" s="81">
        <v>1.2</v>
      </c>
      <c r="M267" s="82" t="s">
        <v>414</v>
      </c>
      <c r="N267" s="79">
        <f>1.2/1.64-1</f>
        <v>-0.26829268292682928</v>
      </c>
      <c r="P267" s="73">
        <v>8</v>
      </c>
      <c r="Q267" s="81" t="s">
        <v>336</v>
      </c>
      <c r="R267" s="85">
        <v>0.28000000000000003</v>
      </c>
      <c r="S267" s="86">
        <v>4.4999999999999997E-3</v>
      </c>
      <c r="V267" s="73">
        <v>8</v>
      </c>
      <c r="W267" s="82" t="s">
        <v>357</v>
      </c>
      <c r="X267" s="73">
        <v>0.46</v>
      </c>
      <c r="Y267" s="93">
        <v>1.5900000000000001E-2</v>
      </c>
    </row>
    <row r="268" spans="2:26" ht="15">
      <c r="B268" s="73">
        <v>9</v>
      </c>
      <c r="C268" s="22" t="s">
        <v>108</v>
      </c>
      <c r="D268" s="74">
        <v>0.28999999999999998</v>
      </c>
      <c r="E268" s="75">
        <v>1.17E-2</v>
      </c>
      <c r="F268" s="75">
        <f>0.29/0.26-1</f>
        <v>0.1153846153846152</v>
      </c>
      <c r="G268" s="75">
        <f>D268/D289-1</f>
        <v>-0.34090909090909094</v>
      </c>
      <c r="J268" s="73">
        <v>9</v>
      </c>
      <c r="K268" s="22" t="s">
        <v>108</v>
      </c>
      <c r="L268" s="81">
        <v>1.08</v>
      </c>
      <c r="M268" s="82">
        <v>1.1900000000000001E-2</v>
      </c>
      <c r="N268" s="79">
        <f>1.08/1.2-1</f>
        <v>-9.9999999999999867E-2</v>
      </c>
      <c r="P268" s="73">
        <v>9</v>
      </c>
      <c r="Q268" s="81" t="s">
        <v>337</v>
      </c>
      <c r="R268" s="85">
        <v>0.22</v>
      </c>
      <c r="S268" s="86">
        <v>3.5000000000000001E-3</v>
      </c>
      <c r="V268" s="73">
        <v>9</v>
      </c>
      <c r="W268" s="82" t="s">
        <v>103</v>
      </c>
      <c r="X268" s="73">
        <v>0.27</v>
      </c>
      <c r="Y268" s="93">
        <v>9.2999999999999992E-3</v>
      </c>
    </row>
    <row r="269" spans="2:26" ht="15">
      <c r="B269" s="73">
        <v>10</v>
      </c>
      <c r="C269" s="73" t="s">
        <v>336</v>
      </c>
      <c r="D269" s="74">
        <v>0.16</v>
      </c>
      <c r="E269" s="75">
        <v>6.4999999999999997E-3</v>
      </c>
      <c r="F269" s="75">
        <f>0.16/0.23-1</f>
        <v>-0.30434782608695654</v>
      </c>
      <c r="G269" s="75">
        <f>D269/D292-1</f>
        <v>6.6666666666666652E-2</v>
      </c>
      <c r="J269" s="73">
        <v>10</v>
      </c>
      <c r="K269" s="73" t="s">
        <v>357</v>
      </c>
      <c r="L269" s="81">
        <v>0.48</v>
      </c>
      <c r="M269" s="82">
        <v>5.3E-3</v>
      </c>
      <c r="N269" s="79">
        <f>0.48/0.58-1</f>
        <v>-0.17241379310344829</v>
      </c>
      <c r="P269" s="73">
        <v>10</v>
      </c>
      <c r="Q269" s="81" t="s">
        <v>352</v>
      </c>
      <c r="R269" s="85">
        <v>0.14000000000000001</v>
      </c>
      <c r="S269" s="86">
        <v>2.3E-3</v>
      </c>
      <c r="V269" s="73">
        <v>10</v>
      </c>
      <c r="W269" s="82" t="s">
        <v>336</v>
      </c>
      <c r="X269" s="73">
        <v>0.14000000000000001</v>
      </c>
      <c r="Y269" s="93">
        <v>4.8999999999999998E-3</v>
      </c>
    </row>
    <row r="270" spans="2:26" ht="15">
      <c r="B270" s="73">
        <v>11</v>
      </c>
      <c r="C270" s="73" t="s">
        <v>337</v>
      </c>
      <c r="D270" s="74">
        <v>0.15</v>
      </c>
      <c r="E270" s="75">
        <v>6.1000000000000004E-3</v>
      </c>
      <c r="F270" s="83"/>
      <c r="G270" s="75"/>
      <c r="J270" s="73">
        <v>11</v>
      </c>
      <c r="K270" s="73" t="s">
        <v>336</v>
      </c>
      <c r="L270" s="81">
        <v>0.42</v>
      </c>
      <c r="M270" s="83">
        <v>4.5999999999999999E-3</v>
      </c>
      <c r="N270" s="79">
        <f>0.42/0.64-1</f>
        <v>-0.34375</v>
      </c>
      <c r="P270" s="73">
        <v>11</v>
      </c>
      <c r="Q270" s="81" t="s">
        <v>363</v>
      </c>
      <c r="R270" s="85">
        <v>0.12</v>
      </c>
      <c r="S270" s="86">
        <v>1.9E-3</v>
      </c>
      <c r="V270" s="73">
        <v>11</v>
      </c>
      <c r="W270" s="82" t="s">
        <v>337</v>
      </c>
      <c r="X270" s="73">
        <v>0.1</v>
      </c>
      <c r="Y270" s="93">
        <v>3.5000000000000001E-3</v>
      </c>
    </row>
    <row r="271" spans="2:26" ht="15">
      <c r="B271" s="73">
        <v>12</v>
      </c>
      <c r="C271" s="73" t="s">
        <v>357</v>
      </c>
      <c r="D271" s="74">
        <v>0.13</v>
      </c>
      <c r="E271" s="75">
        <v>5.1000000000000004E-3</v>
      </c>
      <c r="F271" s="83">
        <f>0.13/0.05-1</f>
        <v>1.6</v>
      </c>
      <c r="G271" s="75">
        <f>D271/D291-1</f>
        <v>-0.35</v>
      </c>
      <c r="J271" s="73">
        <v>12</v>
      </c>
      <c r="K271" s="73" t="s">
        <v>337</v>
      </c>
      <c r="L271" s="81">
        <v>0.32</v>
      </c>
      <c r="M271" s="83">
        <v>3.5000000000000001E-3</v>
      </c>
      <c r="N271" s="79">
        <f>0.32/0.3-1</f>
        <v>6.6666666666666652E-2</v>
      </c>
      <c r="P271" s="73">
        <v>12</v>
      </c>
      <c r="Q271" s="81" t="s">
        <v>354</v>
      </c>
      <c r="R271" s="85">
        <v>0.12</v>
      </c>
      <c r="S271" s="86">
        <v>1.9E-3</v>
      </c>
      <c r="V271" s="73">
        <v>12</v>
      </c>
      <c r="W271" s="82" t="s">
        <v>113</v>
      </c>
      <c r="X271" s="73">
        <v>0.1</v>
      </c>
      <c r="Y271" s="93">
        <v>3.3999999999999998E-3</v>
      </c>
    </row>
    <row r="272" spans="2:26" ht="15">
      <c r="B272" s="73">
        <v>13</v>
      </c>
      <c r="C272" s="73" t="s">
        <v>354</v>
      </c>
      <c r="D272" s="74">
        <v>0.06</v>
      </c>
      <c r="E272" s="75">
        <v>2.5000000000000001E-3</v>
      </c>
      <c r="F272" s="83"/>
      <c r="G272" s="75"/>
      <c r="J272" s="73">
        <v>13</v>
      </c>
      <c r="K272" s="73" t="s">
        <v>352</v>
      </c>
      <c r="L272" s="81">
        <v>0.17</v>
      </c>
      <c r="M272" s="83">
        <v>1.9E-3</v>
      </c>
      <c r="N272" s="79">
        <f>0.17/0.63-1</f>
        <v>-0.73015873015873012</v>
      </c>
      <c r="P272" s="73">
        <v>13</v>
      </c>
      <c r="Q272" s="81" t="s">
        <v>355</v>
      </c>
      <c r="R272" s="85">
        <v>7.0000000000000007E-2</v>
      </c>
      <c r="S272" s="86">
        <v>1.1999999999999999E-3</v>
      </c>
      <c r="V272" s="73">
        <v>13</v>
      </c>
      <c r="W272" s="82" t="s">
        <v>384</v>
      </c>
      <c r="X272" s="73">
        <v>0.09</v>
      </c>
      <c r="Y272" s="93">
        <v>3.2000000000000002E-3</v>
      </c>
    </row>
    <row r="273" spans="2:26" ht="15">
      <c r="B273" s="73">
        <v>14</v>
      </c>
      <c r="C273" s="73" t="s">
        <v>352</v>
      </c>
      <c r="D273" s="74">
        <v>0.05</v>
      </c>
      <c r="E273" s="75">
        <v>1.8E-3</v>
      </c>
      <c r="F273" s="83">
        <f>0.05/0.14-1</f>
        <v>-0.64285714285714279</v>
      </c>
      <c r="G273" s="75">
        <f>D273/D296-1</f>
        <v>0.66666666666666674</v>
      </c>
      <c r="J273" s="73">
        <v>14</v>
      </c>
      <c r="K273" s="73" t="s">
        <v>113</v>
      </c>
      <c r="L273" s="81">
        <v>0.16</v>
      </c>
      <c r="M273" s="83">
        <v>1.8E-3</v>
      </c>
      <c r="N273" s="79">
        <f>0.16/0.3-1</f>
        <v>-0.46666666666666667</v>
      </c>
      <c r="P273" s="73">
        <v>14</v>
      </c>
      <c r="Q273" s="81" t="s">
        <v>113</v>
      </c>
      <c r="R273" s="85">
        <v>0.06</v>
      </c>
      <c r="S273" s="86">
        <v>1E-3</v>
      </c>
      <c r="V273" s="73">
        <v>14</v>
      </c>
      <c r="W273" s="82" t="s">
        <v>351</v>
      </c>
      <c r="X273" s="73">
        <v>0.05</v>
      </c>
      <c r="Y273" s="93">
        <v>1.8E-3</v>
      </c>
    </row>
    <row r="274" spans="2:26" ht="15">
      <c r="B274" s="73">
        <v>15</v>
      </c>
      <c r="C274" s="73" t="s">
        <v>113</v>
      </c>
      <c r="D274" s="74">
        <v>0.03</v>
      </c>
      <c r="E274" s="75">
        <v>1.2999999999999999E-3</v>
      </c>
      <c r="F274" s="83">
        <f>0.03/0.05-1</f>
        <v>-0.4</v>
      </c>
      <c r="G274" s="75"/>
      <c r="J274" s="73">
        <v>15</v>
      </c>
      <c r="K274" s="73" t="s">
        <v>363</v>
      </c>
      <c r="L274" s="81">
        <v>0.12</v>
      </c>
      <c r="M274" s="83">
        <v>1.2999999999999999E-3</v>
      </c>
      <c r="N274" s="79">
        <f>0.12/0.39-1</f>
        <v>-0.69230769230769229</v>
      </c>
      <c r="P274" s="73">
        <v>15</v>
      </c>
      <c r="Q274" s="81" t="s">
        <v>225</v>
      </c>
      <c r="R274" s="85">
        <v>0.05</v>
      </c>
      <c r="S274" s="86">
        <v>8.0000000000000004E-4</v>
      </c>
      <c r="V274" s="73">
        <v>15</v>
      </c>
      <c r="W274" s="82" t="s">
        <v>366</v>
      </c>
      <c r="X274" s="73">
        <v>0.05</v>
      </c>
      <c r="Y274" s="93">
        <v>1.6999999999999999E-3</v>
      </c>
    </row>
    <row r="275" spans="2:26">
      <c r="B275" s="73"/>
      <c r="C275" s="73" t="s">
        <v>39</v>
      </c>
      <c r="D275" s="74">
        <f>D276-SUM(D260:D274)</f>
        <v>0.12000000000000455</v>
      </c>
      <c r="E275" s="75">
        <f>D275/$D$276</f>
        <v>4.7808764940240854E-3</v>
      </c>
      <c r="F275" s="83"/>
      <c r="G275" s="75">
        <f>D275/D297-1</f>
        <v>-0.36842105263155922</v>
      </c>
      <c r="J275" s="73"/>
      <c r="K275" s="73" t="s">
        <v>39</v>
      </c>
      <c r="L275" s="74">
        <f>L276-SUM(L260:L274)</f>
        <v>0.67000000000000171</v>
      </c>
      <c r="M275" s="83">
        <f>L275/91</f>
        <v>7.3626373626373811E-3</v>
      </c>
      <c r="Q275" s="73" t="s">
        <v>39</v>
      </c>
      <c r="R275" s="74">
        <f>R276-SUM(R260:R274)</f>
        <v>3.9999999999999147E-2</v>
      </c>
      <c r="S275" s="83">
        <f>R275/62</f>
        <v>6.4516129032256688E-4</v>
      </c>
      <c r="V275" s="82"/>
      <c r="W275" s="73" t="s">
        <v>39</v>
      </c>
      <c r="X275" s="74">
        <f>X276-SUM(X260:X274)</f>
        <v>0.14999999999999503</v>
      </c>
      <c r="Y275" s="83">
        <f>X275/28.9</f>
        <v>5.1903114186849491E-3</v>
      </c>
    </row>
    <row r="276" spans="2:26">
      <c r="B276" s="73"/>
      <c r="C276" s="73" t="s">
        <v>48</v>
      </c>
      <c r="D276" s="74">
        <v>25.1</v>
      </c>
      <c r="E276" s="75">
        <f>D276/$D$276</f>
        <v>1</v>
      </c>
      <c r="F276" s="83"/>
      <c r="G276" s="75">
        <f t="shared" si="25"/>
        <v>-9.7122302158273333E-2</v>
      </c>
      <c r="J276" s="73"/>
      <c r="K276" s="73" t="s">
        <v>48</v>
      </c>
      <c r="L276" s="81">
        <v>91</v>
      </c>
      <c r="M276" s="83">
        <v>1</v>
      </c>
      <c r="N276" s="79"/>
      <c r="Q276" s="73" t="s">
        <v>48</v>
      </c>
      <c r="R276" s="81">
        <v>62</v>
      </c>
      <c r="S276" s="83">
        <v>1</v>
      </c>
      <c r="T276" s="79"/>
      <c r="W276" s="73" t="s">
        <v>48</v>
      </c>
      <c r="X276" s="81">
        <v>28.9</v>
      </c>
      <c r="Y276" s="83">
        <v>1</v>
      </c>
      <c r="Z276" s="79"/>
    </row>
    <row r="280" spans="2:26">
      <c r="B280" s="72" t="s">
        <v>415</v>
      </c>
      <c r="C280" s="22"/>
      <c r="D280" s="22"/>
      <c r="E280" s="22"/>
      <c r="F280" s="22"/>
      <c r="G280" s="22"/>
      <c r="J280" s="72" t="s">
        <v>416</v>
      </c>
      <c r="K280" s="22"/>
      <c r="L280" s="22"/>
      <c r="M280" s="22"/>
      <c r="P280" s="72" t="s">
        <v>417</v>
      </c>
      <c r="V280" s="72" t="s">
        <v>418</v>
      </c>
    </row>
    <row r="281" spans="2:26" ht="30">
      <c r="B281" s="73" t="s">
        <v>342</v>
      </c>
      <c r="C281" s="73" t="s">
        <v>343</v>
      </c>
      <c r="D281" s="78" t="s">
        <v>344</v>
      </c>
      <c r="E281" s="73" t="s">
        <v>345</v>
      </c>
      <c r="F281" s="73" t="s">
        <v>32</v>
      </c>
      <c r="G281" s="73" t="s">
        <v>33</v>
      </c>
      <c r="J281" s="73" t="s">
        <v>342</v>
      </c>
      <c r="K281" s="73" t="s">
        <v>343</v>
      </c>
      <c r="L281" s="78" t="s">
        <v>347</v>
      </c>
      <c r="M281" s="73" t="s">
        <v>345</v>
      </c>
      <c r="N281" s="73" t="s">
        <v>32</v>
      </c>
      <c r="P281" s="73" t="s">
        <v>342</v>
      </c>
      <c r="Q281" s="73" t="s">
        <v>343</v>
      </c>
      <c r="R281" s="81" t="s">
        <v>348</v>
      </c>
      <c r="S281" s="82" t="s">
        <v>345</v>
      </c>
      <c r="T281" s="73" t="s">
        <v>32</v>
      </c>
      <c r="V281" s="73" t="s">
        <v>342</v>
      </c>
      <c r="W281" s="82" t="s">
        <v>343</v>
      </c>
      <c r="X281" s="73" t="s">
        <v>348</v>
      </c>
      <c r="Y281" s="81" t="s">
        <v>345</v>
      </c>
      <c r="Z281" s="73" t="s">
        <v>32</v>
      </c>
    </row>
    <row r="282" spans="2:26" ht="15">
      <c r="B282" s="73">
        <v>1</v>
      </c>
      <c r="C282" s="73" t="s">
        <v>98</v>
      </c>
      <c r="D282" s="74">
        <v>12.49</v>
      </c>
      <c r="E282" s="75">
        <v>0.44950000000000001</v>
      </c>
      <c r="F282" s="75">
        <v>0.155</v>
      </c>
      <c r="G282" s="75">
        <v>0.30099999999999999</v>
      </c>
      <c r="H282" s="79">
        <v>0.61199999999999999</v>
      </c>
      <c r="J282" s="73">
        <v>1</v>
      </c>
      <c r="K282" s="73" t="s">
        <v>98</v>
      </c>
      <c r="L282" s="81">
        <v>29.25</v>
      </c>
      <c r="M282" s="82">
        <v>0.44419999999999998</v>
      </c>
      <c r="N282" s="79">
        <v>0.14699999999999999</v>
      </c>
      <c r="P282" s="73">
        <v>1</v>
      </c>
      <c r="Q282" s="81" t="s">
        <v>96</v>
      </c>
      <c r="R282" s="85">
        <v>20.41</v>
      </c>
      <c r="S282" s="86">
        <v>0.45429999999999998</v>
      </c>
      <c r="V282" s="73">
        <v>1</v>
      </c>
      <c r="W282" s="82" t="s">
        <v>98</v>
      </c>
      <c r="X282" s="73">
        <v>12.95</v>
      </c>
      <c r="Y282" s="93">
        <v>0.62019999999999997</v>
      </c>
    </row>
    <row r="283" spans="2:26" ht="15">
      <c r="B283" s="73">
        <v>2</v>
      </c>
      <c r="C283" s="73" t="s">
        <v>96</v>
      </c>
      <c r="D283" s="74">
        <v>7.4</v>
      </c>
      <c r="E283" s="75">
        <v>0.26650000000000001</v>
      </c>
      <c r="F283" s="75">
        <v>0.79600000000000004</v>
      </c>
      <c r="G283" s="75">
        <v>-1.2999999999999999E-2</v>
      </c>
      <c r="J283" s="73">
        <v>2</v>
      </c>
      <c r="K283" s="73" t="s">
        <v>96</v>
      </c>
      <c r="L283" s="81">
        <v>20.41</v>
      </c>
      <c r="M283" s="82">
        <v>0.30990000000000001</v>
      </c>
      <c r="N283" s="79">
        <v>0.96099999999999997</v>
      </c>
      <c r="P283" s="73">
        <v>2</v>
      </c>
      <c r="Q283" s="81" t="s">
        <v>98</v>
      </c>
      <c r="R283" s="85">
        <v>16.3</v>
      </c>
      <c r="S283" s="86">
        <v>0.36299999999999999</v>
      </c>
      <c r="V283" s="73">
        <v>2</v>
      </c>
      <c r="W283" s="82" t="s">
        <v>109</v>
      </c>
      <c r="X283" s="73">
        <v>2.72</v>
      </c>
      <c r="Y283" s="93">
        <v>0.1303</v>
      </c>
    </row>
    <row r="284" spans="2:26">
      <c r="B284" s="73">
        <v>3</v>
      </c>
      <c r="C284" s="73" t="s">
        <v>109</v>
      </c>
      <c r="D284" s="74">
        <v>2.86</v>
      </c>
      <c r="E284" s="75">
        <v>0.1028</v>
      </c>
      <c r="F284" s="75">
        <v>0.55400000000000005</v>
      </c>
      <c r="G284" s="75">
        <v>0.76500000000000001</v>
      </c>
      <c r="J284" s="73">
        <v>3</v>
      </c>
      <c r="K284" s="73" t="s">
        <v>109</v>
      </c>
      <c r="L284" s="81">
        <v>5.27</v>
      </c>
      <c r="M284" s="82">
        <v>8.0100000000000005E-2</v>
      </c>
      <c r="N284" s="79">
        <v>0.25800000000000001</v>
      </c>
      <c r="P284" s="73">
        <v>3</v>
      </c>
      <c r="Q284" s="81" t="s">
        <v>109</v>
      </c>
      <c r="R284" s="85">
        <v>2.5499999999999998</v>
      </c>
      <c r="S284" s="86">
        <v>5.6800000000000003E-2</v>
      </c>
      <c r="V284" s="73">
        <v>3</v>
      </c>
      <c r="W284" s="73" t="s">
        <v>101</v>
      </c>
      <c r="X284" s="73">
        <v>1.29</v>
      </c>
      <c r="Y284" s="93">
        <v>6.1899999999999997E-2</v>
      </c>
    </row>
    <row r="285" spans="2:26" ht="15">
      <c r="B285" s="73">
        <v>4</v>
      </c>
      <c r="C285" s="73" t="s">
        <v>103</v>
      </c>
      <c r="D285" s="74">
        <v>1.25</v>
      </c>
      <c r="E285" s="75">
        <v>4.5100000000000001E-2</v>
      </c>
      <c r="F285" s="75">
        <v>0.34399999999999997</v>
      </c>
      <c r="G285" s="75">
        <v>0.60299999999999998</v>
      </c>
      <c r="J285" s="73">
        <v>4</v>
      </c>
      <c r="K285" s="73" t="s">
        <v>103</v>
      </c>
      <c r="L285" s="81">
        <v>2.65</v>
      </c>
      <c r="M285" s="82">
        <v>4.0300000000000002E-2</v>
      </c>
      <c r="N285" s="79">
        <v>3.1E-2</v>
      </c>
      <c r="P285" s="73">
        <v>4</v>
      </c>
      <c r="Q285" s="81" t="s">
        <v>103</v>
      </c>
      <c r="R285" s="85">
        <v>2.5</v>
      </c>
      <c r="S285" s="86">
        <v>5.57E-2</v>
      </c>
      <c r="V285" s="73">
        <v>4</v>
      </c>
      <c r="W285" s="82" t="s">
        <v>114</v>
      </c>
      <c r="X285" s="73">
        <v>1.1200000000000001</v>
      </c>
      <c r="Y285" s="93">
        <v>5.3699999999999998E-2</v>
      </c>
    </row>
    <row r="286" spans="2:26" ht="15">
      <c r="B286" s="73">
        <v>5</v>
      </c>
      <c r="C286" s="73" t="s">
        <v>116</v>
      </c>
      <c r="D286" s="74">
        <v>1.07</v>
      </c>
      <c r="E286" s="75">
        <v>3.8600000000000002E-2</v>
      </c>
      <c r="F286" s="75">
        <v>1.2769999999999999</v>
      </c>
      <c r="G286" s="75">
        <v>0.50700000000000001</v>
      </c>
      <c r="J286" s="73">
        <v>5</v>
      </c>
      <c r="K286" s="73" t="s">
        <v>116</v>
      </c>
      <c r="L286" s="81">
        <v>2.42</v>
      </c>
      <c r="M286" s="82">
        <v>3.6799999999999999E-2</v>
      </c>
      <c r="N286" s="79">
        <v>1.22</v>
      </c>
      <c r="P286" s="73">
        <v>5</v>
      </c>
      <c r="Q286" s="81" t="s">
        <v>116</v>
      </c>
      <c r="R286" s="85">
        <v>1.66</v>
      </c>
      <c r="S286" s="86">
        <v>3.6900000000000002E-2</v>
      </c>
      <c r="V286" s="73">
        <v>5</v>
      </c>
      <c r="W286" s="82" t="s">
        <v>108</v>
      </c>
      <c r="X286" s="73">
        <v>0.79</v>
      </c>
      <c r="Y286" s="93">
        <v>3.7600000000000001E-2</v>
      </c>
    </row>
    <row r="287" spans="2:26" ht="15">
      <c r="B287" s="73">
        <v>6</v>
      </c>
      <c r="C287" s="73" t="s">
        <v>101</v>
      </c>
      <c r="D287" s="74">
        <v>0.6</v>
      </c>
      <c r="E287" s="75">
        <v>2.1600000000000001E-2</v>
      </c>
      <c r="F287" s="75">
        <v>-0.24099999999999999</v>
      </c>
      <c r="G287" s="75">
        <v>0.2</v>
      </c>
      <c r="J287" s="73">
        <v>6</v>
      </c>
      <c r="K287" s="73" t="s">
        <v>114</v>
      </c>
      <c r="L287" s="81">
        <v>1.4</v>
      </c>
      <c r="M287" s="82">
        <v>2.12E-2</v>
      </c>
      <c r="N287" s="79">
        <v>0.72799999999999998</v>
      </c>
      <c r="P287" s="73">
        <v>6</v>
      </c>
      <c r="Q287" s="81" t="s">
        <v>129</v>
      </c>
      <c r="R287" s="85">
        <v>0.49</v>
      </c>
      <c r="S287" s="86">
        <v>1.0800000000000001E-2</v>
      </c>
      <c r="V287" s="73">
        <v>6</v>
      </c>
      <c r="W287" s="82" t="s">
        <v>116</v>
      </c>
      <c r="X287" s="73">
        <v>0.76</v>
      </c>
      <c r="Y287" s="93">
        <v>3.6499999999999998E-2</v>
      </c>
    </row>
    <row r="288" spans="2:26" ht="15">
      <c r="B288" s="73">
        <v>7</v>
      </c>
      <c r="C288" s="73" t="s">
        <v>114</v>
      </c>
      <c r="D288" s="74">
        <v>0.56999999999999995</v>
      </c>
      <c r="E288" s="75">
        <v>2.0500000000000001E-2</v>
      </c>
      <c r="F288" s="75">
        <v>0.629</v>
      </c>
      <c r="G288" s="75">
        <v>0.46200000000000002</v>
      </c>
      <c r="J288" s="73">
        <v>7</v>
      </c>
      <c r="K288" s="73" t="s">
        <v>101</v>
      </c>
      <c r="L288" s="81">
        <v>1.29</v>
      </c>
      <c r="M288" s="82">
        <v>1.9599999999999999E-2</v>
      </c>
      <c r="N288" s="79">
        <v>2.4E-2</v>
      </c>
      <c r="P288" s="73">
        <v>7</v>
      </c>
      <c r="Q288" s="81" t="s">
        <v>114</v>
      </c>
      <c r="R288" s="85">
        <v>0.27</v>
      </c>
      <c r="S288" s="86">
        <v>6.1000000000000004E-3</v>
      </c>
      <c r="V288" s="73">
        <v>7</v>
      </c>
      <c r="W288" s="82" t="s">
        <v>357</v>
      </c>
      <c r="X288" s="73">
        <v>0.33</v>
      </c>
      <c r="Y288" s="93">
        <v>1.6E-2</v>
      </c>
    </row>
    <row r="289" spans="2:26" ht="15">
      <c r="B289" s="73">
        <v>8</v>
      </c>
      <c r="C289" s="73" t="s">
        <v>108</v>
      </c>
      <c r="D289" s="74">
        <v>0.44</v>
      </c>
      <c r="E289" s="75">
        <v>1.6E-2</v>
      </c>
      <c r="F289" s="75">
        <v>0.1</v>
      </c>
      <c r="G289" s="75">
        <v>1.3160000000000001</v>
      </c>
      <c r="J289" s="73">
        <v>8</v>
      </c>
      <c r="K289" s="73" t="s">
        <v>108</v>
      </c>
      <c r="L289" s="81">
        <v>0.79</v>
      </c>
      <c r="M289" s="82">
        <v>1.1900000000000001E-2</v>
      </c>
      <c r="N289" s="79">
        <v>-0.16</v>
      </c>
      <c r="P289" s="73">
        <v>8</v>
      </c>
      <c r="Q289" s="81" t="s">
        <v>336</v>
      </c>
      <c r="R289" s="85">
        <v>0.19</v>
      </c>
      <c r="S289" s="86">
        <v>4.1999999999999997E-3</v>
      </c>
      <c r="V289" s="73">
        <v>8</v>
      </c>
      <c r="W289" s="82" t="s">
        <v>129</v>
      </c>
      <c r="X289" s="73">
        <v>0.28999999999999998</v>
      </c>
      <c r="Y289" s="93">
        <v>1.41E-2</v>
      </c>
    </row>
    <row r="290" spans="2:26" ht="15">
      <c r="B290" s="73">
        <v>9</v>
      </c>
      <c r="C290" s="22" t="s">
        <v>129</v>
      </c>
      <c r="D290" s="74">
        <v>0.43</v>
      </c>
      <c r="E290" s="75">
        <v>1.5299999999999999E-2</v>
      </c>
      <c r="F290" s="75">
        <v>-0.157</v>
      </c>
      <c r="G290" s="75">
        <v>1.1499999999999999</v>
      </c>
      <c r="J290" s="73">
        <v>9</v>
      </c>
      <c r="K290" s="22" t="s">
        <v>129</v>
      </c>
      <c r="L290" s="81">
        <v>0.78</v>
      </c>
      <c r="M290" s="82">
        <v>1.1900000000000001E-2</v>
      </c>
      <c r="N290" s="79">
        <v>-0.39100000000000001</v>
      </c>
      <c r="P290" s="73">
        <v>9</v>
      </c>
      <c r="Q290" s="81" t="s">
        <v>337</v>
      </c>
      <c r="R290" s="85">
        <v>0.1</v>
      </c>
      <c r="S290" s="86">
        <v>2.3E-3</v>
      </c>
      <c r="V290" s="73">
        <v>9</v>
      </c>
      <c r="W290" s="82" t="s">
        <v>103</v>
      </c>
      <c r="X290" s="73">
        <v>0.15</v>
      </c>
      <c r="Y290" s="93">
        <v>7.0000000000000001E-3</v>
      </c>
    </row>
    <row r="291" spans="2:26" ht="15">
      <c r="B291" s="73">
        <v>10</v>
      </c>
      <c r="C291" s="73" t="s">
        <v>357</v>
      </c>
      <c r="D291" s="74">
        <v>0.2</v>
      </c>
      <c r="E291" s="75">
        <v>7.1999999999999998E-3</v>
      </c>
      <c r="F291" s="75">
        <v>1</v>
      </c>
      <c r="G291" s="75">
        <v>2.3330000000000002</v>
      </c>
      <c r="J291" s="73">
        <v>10</v>
      </c>
      <c r="K291" s="73" t="s">
        <v>357</v>
      </c>
      <c r="L291" s="81">
        <v>0.35</v>
      </c>
      <c r="M291" s="82">
        <v>5.3E-3</v>
      </c>
      <c r="N291" s="79">
        <v>-0.34</v>
      </c>
      <c r="P291" s="73">
        <v>10</v>
      </c>
      <c r="Q291" s="81" t="s">
        <v>363</v>
      </c>
      <c r="R291" s="85">
        <v>0.1</v>
      </c>
      <c r="S291" s="86">
        <v>2.3E-3</v>
      </c>
      <c r="V291" s="73">
        <v>10</v>
      </c>
      <c r="W291" s="82" t="s">
        <v>113</v>
      </c>
      <c r="X291" s="73">
        <v>0.1</v>
      </c>
      <c r="Y291" s="93">
        <v>4.5999999999999999E-3</v>
      </c>
    </row>
    <row r="292" spans="2:26" ht="15">
      <c r="B292" s="73">
        <v>11</v>
      </c>
      <c r="C292" s="73" t="s">
        <v>336</v>
      </c>
      <c r="D292" s="74">
        <v>0.15</v>
      </c>
      <c r="E292" s="83">
        <v>5.4999999999999997E-3</v>
      </c>
      <c r="F292" s="83">
        <f>D292/0.22-1</f>
        <v>-0.31818181818181823</v>
      </c>
      <c r="G292" s="83">
        <f>D292/D313-1</f>
        <v>0.875</v>
      </c>
      <c r="J292" s="73">
        <v>11</v>
      </c>
      <c r="K292" s="73" t="s">
        <v>336</v>
      </c>
      <c r="L292" s="81">
        <v>0.25</v>
      </c>
      <c r="M292" s="83">
        <v>3.8999999999999998E-3</v>
      </c>
      <c r="N292" s="79">
        <f>L292/0.4-1</f>
        <v>-0.375</v>
      </c>
      <c r="P292" s="73">
        <v>11</v>
      </c>
      <c r="Q292" s="81" t="s">
        <v>352</v>
      </c>
      <c r="R292" s="85">
        <v>0.1</v>
      </c>
      <c r="S292" s="86">
        <v>2.2000000000000001E-3</v>
      </c>
      <c r="V292" s="73">
        <v>11</v>
      </c>
      <c r="W292" s="82" t="s">
        <v>384</v>
      </c>
      <c r="X292" s="73">
        <v>0.08</v>
      </c>
      <c r="Y292" s="93">
        <v>3.8999999999999998E-3</v>
      </c>
    </row>
    <row r="293" spans="2:26" ht="15">
      <c r="B293" s="73">
        <v>12</v>
      </c>
      <c r="C293" s="73" t="s">
        <v>225</v>
      </c>
      <c r="D293" s="74">
        <v>0.04</v>
      </c>
      <c r="E293" s="83">
        <v>1.6000000000000001E-3</v>
      </c>
      <c r="F293" s="83"/>
      <c r="G293" s="83"/>
      <c r="J293" s="73">
        <v>12</v>
      </c>
      <c r="K293" s="73" t="s">
        <v>337</v>
      </c>
      <c r="L293" s="81">
        <v>0.16</v>
      </c>
      <c r="M293" s="83">
        <v>2.5000000000000001E-3</v>
      </c>
      <c r="N293" s="79">
        <f>0.16/0.27-1</f>
        <v>-0.40740740740740744</v>
      </c>
      <c r="P293" s="73">
        <v>12</v>
      </c>
      <c r="Q293" s="81" t="s">
        <v>354</v>
      </c>
      <c r="R293" s="85">
        <v>0.05</v>
      </c>
      <c r="S293" s="86">
        <v>1.1999999999999999E-3</v>
      </c>
      <c r="V293" s="73">
        <v>12</v>
      </c>
      <c r="W293" s="82" t="s">
        <v>336</v>
      </c>
      <c r="X293" s="73">
        <v>7.0000000000000007E-2</v>
      </c>
      <c r="Y293" s="93">
        <v>3.0999999999999999E-3</v>
      </c>
    </row>
    <row r="294" spans="2:26" ht="15">
      <c r="B294" s="73">
        <v>13</v>
      </c>
      <c r="C294" s="73" t="s">
        <v>351</v>
      </c>
      <c r="D294" s="74">
        <v>0.04</v>
      </c>
      <c r="E294" s="83">
        <v>1.2999999999999999E-3</v>
      </c>
      <c r="F294" s="83"/>
      <c r="G294" s="83"/>
      <c r="J294" s="73">
        <v>13</v>
      </c>
      <c r="K294" s="73" t="s">
        <v>113</v>
      </c>
      <c r="L294" s="81">
        <v>0.13</v>
      </c>
      <c r="M294" s="83">
        <v>2E-3</v>
      </c>
      <c r="N294" s="79">
        <f>0.13/0.26-1</f>
        <v>-0.5</v>
      </c>
      <c r="P294" s="73">
        <v>13</v>
      </c>
      <c r="Q294" s="81" t="s">
        <v>355</v>
      </c>
      <c r="R294" s="85">
        <v>0.05</v>
      </c>
      <c r="S294" s="86">
        <v>1E-3</v>
      </c>
      <c r="V294" s="73">
        <v>13</v>
      </c>
      <c r="W294" s="82" t="s">
        <v>337</v>
      </c>
      <c r="X294" s="73">
        <v>0.06</v>
      </c>
      <c r="Y294" s="93">
        <v>2.8E-3</v>
      </c>
    </row>
    <row r="295" spans="2:26" ht="15">
      <c r="B295" s="73">
        <v>14</v>
      </c>
      <c r="C295" s="73" t="s">
        <v>384</v>
      </c>
      <c r="D295" s="74">
        <v>0.04</v>
      </c>
      <c r="E295" s="83">
        <v>1.2999999999999999E-3</v>
      </c>
      <c r="F295" s="83"/>
      <c r="G295" s="83">
        <f>D295/D315-1</f>
        <v>-0.20000000000000007</v>
      </c>
      <c r="J295" s="73">
        <v>14</v>
      </c>
      <c r="K295" s="73" t="s">
        <v>352</v>
      </c>
      <c r="L295" s="81">
        <v>0.13</v>
      </c>
      <c r="M295" s="83">
        <v>1.9E-3</v>
      </c>
      <c r="N295" s="79">
        <f>0.13/0.49-1</f>
        <v>-0.73469387755102034</v>
      </c>
      <c r="P295" s="73">
        <v>14</v>
      </c>
      <c r="Q295" s="81" t="s">
        <v>113</v>
      </c>
      <c r="R295" s="85">
        <v>0.03</v>
      </c>
      <c r="S295" s="86">
        <v>8.0000000000000004E-4</v>
      </c>
      <c r="V295" s="73">
        <v>14</v>
      </c>
      <c r="W295" s="82" t="s">
        <v>351</v>
      </c>
      <c r="X295" s="73">
        <v>0.05</v>
      </c>
      <c r="Y295" s="93">
        <v>2.2000000000000001E-3</v>
      </c>
    </row>
    <row r="296" spans="2:26" ht="15">
      <c r="B296" s="73">
        <v>15</v>
      </c>
      <c r="C296" s="73" t="s">
        <v>352</v>
      </c>
      <c r="D296" s="74">
        <v>0.03</v>
      </c>
      <c r="E296" s="83">
        <v>1.1000000000000001E-3</v>
      </c>
      <c r="F296" s="83">
        <f>D296/0.16-1</f>
        <v>-0.8125</v>
      </c>
      <c r="G296" s="83"/>
      <c r="J296" s="73">
        <v>15</v>
      </c>
      <c r="K296" s="73" t="s">
        <v>363</v>
      </c>
      <c r="L296" s="81">
        <v>0.1</v>
      </c>
      <c r="M296" s="83">
        <v>1.6000000000000001E-3</v>
      </c>
      <c r="N296" s="79">
        <f>0.1/0.29-1</f>
        <v>-0.65517241379310343</v>
      </c>
      <c r="P296" s="73">
        <v>15</v>
      </c>
      <c r="Q296" s="81" t="s">
        <v>225</v>
      </c>
      <c r="R296" s="85">
        <v>0.03</v>
      </c>
      <c r="S296" s="86">
        <v>6.9999999999999999E-4</v>
      </c>
      <c r="V296" s="73">
        <v>15</v>
      </c>
      <c r="W296" s="82" t="s">
        <v>352</v>
      </c>
      <c r="X296" s="73">
        <v>0.03</v>
      </c>
      <c r="Y296" s="93">
        <v>1.2999999999999999E-3</v>
      </c>
    </row>
    <row r="297" spans="2:26">
      <c r="B297" s="73"/>
      <c r="C297" s="73" t="s">
        <v>39</v>
      </c>
      <c r="D297" s="74">
        <f>D298-SUM(D282:D296)</f>
        <v>0.19000000000000128</v>
      </c>
      <c r="E297" s="83">
        <f>D297/27.8</f>
        <v>6.8345323741007651E-3</v>
      </c>
      <c r="F297" s="83"/>
      <c r="G297" s="83"/>
      <c r="J297" s="73"/>
      <c r="K297" s="73" t="s">
        <v>39</v>
      </c>
      <c r="L297" s="74">
        <f>L298-SUM(L282:L296)</f>
        <v>0.52000000000003865</v>
      </c>
      <c r="M297" s="83">
        <f>L297/65.9</f>
        <v>7.8907435508351834E-3</v>
      </c>
      <c r="N297" s="79"/>
      <c r="Q297" s="73" t="s">
        <v>39</v>
      </c>
      <c r="R297" s="74">
        <f>R298-SUM(R282:R296)</f>
        <v>7.0000000000000284E-2</v>
      </c>
      <c r="S297" s="83">
        <f>R297/44.9</f>
        <v>1.5590200445434362E-3</v>
      </c>
      <c r="V297" s="82"/>
      <c r="W297" s="73" t="s">
        <v>39</v>
      </c>
      <c r="X297" s="74">
        <f>X298-SUM(X282:X296)</f>
        <v>0.10999999999999943</v>
      </c>
      <c r="Y297" s="83">
        <f>X297/20.9</f>
        <v>5.2631578947368151E-3</v>
      </c>
    </row>
    <row r="298" spans="2:26">
      <c r="B298" s="73"/>
      <c r="C298" s="73" t="s">
        <v>48</v>
      </c>
      <c r="D298" s="74">
        <v>27.8</v>
      </c>
      <c r="E298" s="83">
        <f>D298/27.8</f>
        <v>1</v>
      </c>
      <c r="F298" s="83">
        <v>0.29699999999999999</v>
      </c>
      <c r="G298" s="83">
        <v>0.26700000000000002</v>
      </c>
      <c r="J298" s="73"/>
      <c r="K298" s="73" t="s">
        <v>48</v>
      </c>
      <c r="L298" s="81">
        <v>65.900000000000006</v>
      </c>
      <c r="M298" s="83">
        <f>L298/65.9</f>
        <v>1</v>
      </c>
      <c r="N298" s="79">
        <v>0.28399999999999997</v>
      </c>
      <c r="Q298" s="73" t="s">
        <v>48</v>
      </c>
      <c r="R298" s="81">
        <v>44.9</v>
      </c>
      <c r="S298" s="83">
        <f>R298/44.9</f>
        <v>1</v>
      </c>
      <c r="T298" s="79">
        <v>0.505</v>
      </c>
      <c r="W298" s="73" t="s">
        <v>48</v>
      </c>
      <c r="X298" s="81">
        <v>20.9</v>
      </c>
      <c r="Y298" s="83">
        <f>X298/20.9</f>
        <v>1</v>
      </c>
      <c r="Z298" s="79">
        <v>-2.1999999999999999E-2</v>
      </c>
    </row>
    <row r="302" spans="2:26">
      <c r="B302" s="72" t="s">
        <v>419</v>
      </c>
      <c r="C302" s="22"/>
      <c r="D302" s="22"/>
      <c r="E302" s="22"/>
      <c r="F302" s="22"/>
      <c r="G302" s="22"/>
      <c r="J302" s="72" t="s">
        <v>420</v>
      </c>
      <c r="K302" s="22"/>
      <c r="L302" s="22"/>
      <c r="M302" s="22"/>
    </row>
    <row r="303" spans="2:26" ht="30">
      <c r="B303" s="73" t="s">
        <v>342</v>
      </c>
      <c r="C303" s="73" t="s">
        <v>343</v>
      </c>
      <c r="D303" s="78" t="s">
        <v>344</v>
      </c>
      <c r="E303" s="73" t="s">
        <v>345</v>
      </c>
      <c r="F303" s="73"/>
      <c r="G303" s="73"/>
      <c r="J303" s="73" t="s">
        <v>342</v>
      </c>
      <c r="K303" s="73" t="s">
        <v>343</v>
      </c>
      <c r="L303" s="78" t="s">
        <v>347</v>
      </c>
      <c r="M303" s="73" t="s">
        <v>345</v>
      </c>
    </row>
    <row r="304" spans="2:26">
      <c r="B304" s="73">
        <v>1</v>
      </c>
      <c r="C304" s="73" t="s">
        <v>98</v>
      </c>
      <c r="D304" s="74">
        <v>9.6</v>
      </c>
      <c r="E304" s="75">
        <v>0.43759999999999999</v>
      </c>
      <c r="F304" s="75"/>
      <c r="G304" s="75"/>
      <c r="J304" s="73">
        <v>1</v>
      </c>
      <c r="K304" s="73" t="s">
        <v>98</v>
      </c>
      <c r="L304" s="81">
        <v>16.760000000000002</v>
      </c>
      <c r="M304" s="82">
        <v>0.44040000000000001</v>
      </c>
    </row>
    <row r="305" spans="2:13">
      <c r="B305" s="73">
        <v>2</v>
      </c>
      <c r="C305" s="73" t="s">
        <v>96</v>
      </c>
      <c r="D305" s="74">
        <v>7.5</v>
      </c>
      <c r="E305" s="75">
        <v>0.34189999999999998</v>
      </c>
      <c r="F305" s="75"/>
      <c r="G305" s="75"/>
      <c r="J305" s="73">
        <v>2</v>
      </c>
      <c r="K305" s="73" t="s">
        <v>96</v>
      </c>
      <c r="L305" s="81">
        <v>13.01</v>
      </c>
      <c r="M305" s="82">
        <v>0.34160000000000001</v>
      </c>
    </row>
    <row r="306" spans="2:13">
      <c r="B306" s="73">
        <v>3</v>
      </c>
      <c r="C306" s="73" t="s">
        <v>109</v>
      </c>
      <c r="D306" s="74">
        <v>1.62</v>
      </c>
      <c r="E306" s="75">
        <v>7.3899999999999993E-2</v>
      </c>
      <c r="F306" s="75"/>
      <c r="G306" s="75"/>
      <c r="J306" s="73">
        <v>3</v>
      </c>
      <c r="K306" s="73" t="s">
        <v>109</v>
      </c>
      <c r="L306" s="81">
        <v>2.42</v>
      </c>
      <c r="M306" s="82">
        <v>6.3500000000000001E-2</v>
      </c>
    </row>
    <row r="307" spans="2:13">
      <c r="B307" s="73">
        <v>4</v>
      </c>
      <c r="C307" s="73" t="s">
        <v>103</v>
      </c>
      <c r="D307" s="74">
        <v>0.78</v>
      </c>
      <c r="E307" s="75">
        <v>3.5799999999999998E-2</v>
      </c>
      <c r="F307" s="75"/>
      <c r="G307" s="75"/>
      <c r="J307" s="73">
        <v>4</v>
      </c>
      <c r="K307" s="73" t="s">
        <v>103</v>
      </c>
      <c r="L307" s="81">
        <v>1.4</v>
      </c>
      <c r="M307" s="82">
        <v>3.6700000000000003E-2</v>
      </c>
    </row>
    <row r="308" spans="2:13">
      <c r="B308" s="73">
        <v>5</v>
      </c>
      <c r="C308" s="73" t="s">
        <v>116</v>
      </c>
      <c r="D308" s="74">
        <v>0.71</v>
      </c>
      <c r="E308" s="75">
        <v>3.2500000000000001E-2</v>
      </c>
      <c r="F308" s="75"/>
      <c r="G308" s="75"/>
      <c r="J308" s="73">
        <v>5</v>
      </c>
      <c r="K308" s="73" t="s">
        <v>116</v>
      </c>
      <c r="L308" s="81">
        <v>1.35</v>
      </c>
      <c r="M308" s="82">
        <v>3.5400000000000001E-2</v>
      </c>
    </row>
    <row r="309" spans="2:13">
      <c r="B309" s="73">
        <v>6</v>
      </c>
      <c r="C309" s="73" t="s">
        <v>101</v>
      </c>
      <c r="D309" s="74">
        <v>0.5</v>
      </c>
      <c r="E309" s="75">
        <v>2.3E-2</v>
      </c>
      <c r="F309" s="75"/>
      <c r="G309" s="75"/>
      <c r="J309" s="73">
        <v>6</v>
      </c>
      <c r="K309" s="73" t="s">
        <v>114</v>
      </c>
      <c r="L309" s="81">
        <v>0.8</v>
      </c>
      <c r="M309" s="82">
        <v>2.0899999999999998E-2</v>
      </c>
    </row>
    <row r="310" spans="2:13">
      <c r="B310" s="73">
        <v>7</v>
      </c>
      <c r="C310" s="73" t="s">
        <v>114</v>
      </c>
      <c r="D310" s="74">
        <v>0.39</v>
      </c>
      <c r="E310" s="75">
        <v>1.77E-2</v>
      </c>
      <c r="F310" s="75"/>
      <c r="G310" s="75"/>
      <c r="J310" s="73">
        <v>7</v>
      </c>
      <c r="K310" s="73" t="s">
        <v>101</v>
      </c>
      <c r="L310" s="81">
        <v>0.72</v>
      </c>
      <c r="M310" s="82">
        <v>1.9E-2</v>
      </c>
    </row>
    <row r="311" spans="2:13">
      <c r="B311" s="73">
        <v>8</v>
      </c>
      <c r="C311" s="73" t="s">
        <v>129</v>
      </c>
      <c r="D311" s="74">
        <v>0.2</v>
      </c>
      <c r="E311" s="75">
        <v>9.2999999999999992E-3</v>
      </c>
      <c r="F311" s="75"/>
      <c r="G311" s="75"/>
      <c r="J311" s="73">
        <v>8</v>
      </c>
      <c r="K311" s="73" t="s">
        <v>129</v>
      </c>
      <c r="L311" s="81">
        <v>0.36</v>
      </c>
      <c r="M311" s="82">
        <v>9.4000000000000004E-3</v>
      </c>
    </row>
    <row r="312" spans="2:13">
      <c r="B312" s="73">
        <v>9</v>
      </c>
      <c r="C312" s="22" t="s">
        <v>108</v>
      </c>
      <c r="D312" s="74">
        <v>0.19</v>
      </c>
      <c r="E312" s="75">
        <v>8.8000000000000005E-3</v>
      </c>
      <c r="F312" s="75"/>
      <c r="G312" s="75"/>
      <c r="J312" s="73">
        <v>9</v>
      </c>
      <c r="K312" s="73" t="s">
        <v>108</v>
      </c>
      <c r="L312" s="81">
        <v>0.34</v>
      </c>
      <c r="M312" s="82">
        <v>8.9999999999999993E-3</v>
      </c>
    </row>
    <row r="313" spans="2:13">
      <c r="B313" s="73">
        <v>10</v>
      </c>
      <c r="C313" s="73" t="s">
        <v>336</v>
      </c>
      <c r="D313" s="74">
        <v>0.08</v>
      </c>
      <c r="E313" s="75">
        <v>3.8E-3</v>
      </c>
      <c r="F313" s="75"/>
      <c r="G313" s="75"/>
      <c r="J313" s="73">
        <v>10</v>
      </c>
      <c r="K313" s="73" t="s">
        <v>357</v>
      </c>
      <c r="L313" s="81">
        <v>0.15</v>
      </c>
      <c r="M313" s="82">
        <v>3.8999999999999998E-3</v>
      </c>
    </row>
    <row r="314" spans="2:13">
      <c r="B314" s="73">
        <v>11</v>
      </c>
      <c r="C314" s="73" t="s">
        <v>357</v>
      </c>
      <c r="D314" s="74">
        <v>0.06</v>
      </c>
      <c r="E314" s="83">
        <v>2.8999999999999998E-3</v>
      </c>
      <c r="F314" s="83"/>
      <c r="G314" s="83"/>
      <c r="J314" s="73">
        <v>11</v>
      </c>
      <c r="K314" s="73" t="s">
        <v>337</v>
      </c>
      <c r="L314" s="81">
        <v>0.13</v>
      </c>
      <c r="M314" s="83">
        <v>3.5000000000000001E-3</v>
      </c>
    </row>
    <row r="315" spans="2:13">
      <c r="B315" s="73">
        <v>12</v>
      </c>
      <c r="C315" s="73" t="s">
        <v>384</v>
      </c>
      <c r="D315" s="74">
        <v>0.05</v>
      </c>
      <c r="E315" s="83">
        <v>2.2000000000000001E-3</v>
      </c>
      <c r="F315" s="83"/>
      <c r="G315" s="83"/>
      <c r="J315" s="73">
        <v>12</v>
      </c>
      <c r="K315" s="73" t="s">
        <v>113</v>
      </c>
      <c r="L315" s="81">
        <v>0.12</v>
      </c>
      <c r="M315" s="83">
        <v>3.0999999999999999E-3</v>
      </c>
    </row>
    <row r="316" spans="2:13">
      <c r="B316" s="73">
        <v>13</v>
      </c>
      <c r="C316" s="73" t="s">
        <v>113</v>
      </c>
      <c r="D316" s="74">
        <v>0.04</v>
      </c>
      <c r="E316" s="83">
        <v>2E-3</v>
      </c>
      <c r="F316" s="83"/>
      <c r="G316" s="83"/>
      <c r="J316" s="73">
        <v>13</v>
      </c>
      <c r="K316" s="73" t="s">
        <v>336</v>
      </c>
      <c r="L316" s="81">
        <v>0.1</v>
      </c>
      <c r="M316" s="83">
        <v>2.7000000000000001E-3</v>
      </c>
    </row>
    <row r="317" spans="2:13">
      <c r="B317" s="73">
        <v>14</v>
      </c>
      <c r="C317" s="73" t="s">
        <v>363</v>
      </c>
      <c r="D317" s="74">
        <v>0.04</v>
      </c>
      <c r="E317" s="83">
        <v>2E-3</v>
      </c>
      <c r="F317" s="83"/>
      <c r="G317" s="83"/>
      <c r="J317" s="73">
        <v>14</v>
      </c>
      <c r="K317" s="73" t="s">
        <v>352</v>
      </c>
      <c r="L317" s="81">
        <v>0.1</v>
      </c>
      <c r="M317" s="83">
        <v>2.5000000000000001E-3</v>
      </c>
    </row>
    <row r="318" spans="2:13">
      <c r="B318" s="73">
        <v>15</v>
      </c>
      <c r="C318" s="73" t="s">
        <v>337</v>
      </c>
      <c r="D318" s="74">
        <v>0.03</v>
      </c>
      <c r="E318" s="83">
        <v>1.5E-3</v>
      </c>
      <c r="F318" s="83"/>
      <c r="G318" s="83"/>
      <c r="J318" s="73">
        <v>15</v>
      </c>
      <c r="K318" s="73" t="s">
        <v>363</v>
      </c>
      <c r="L318" s="81">
        <v>0.09</v>
      </c>
      <c r="M318" s="83">
        <v>2.3999999999999998E-3</v>
      </c>
    </row>
    <row r="322" spans="2:13">
      <c r="B322" s="72" t="s">
        <v>421</v>
      </c>
      <c r="C322" s="22"/>
      <c r="D322" s="22"/>
      <c r="E322" s="22"/>
      <c r="F322" s="22"/>
      <c r="G322" s="22"/>
      <c r="H322" s="29"/>
      <c r="I322" s="22"/>
      <c r="J322" s="72"/>
      <c r="K322" s="22"/>
      <c r="L322" s="22"/>
      <c r="M322" s="22"/>
    </row>
    <row r="323" spans="2:13" ht="15">
      <c r="B323" s="73" t="s">
        <v>342</v>
      </c>
      <c r="C323" s="73" t="s">
        <v>343</v>
      </c>
      <c r="D323" s="78" t="s">
        <v>344</v>
      </c>
      <c r="E323" s="73" t="s">
        <v>345</v>
      </c>
      <c r="F323" s="73"/>
      <c r="G323" s="73"/>
      <c r="H323" s="88"/>
      <c r="I323" s="22"/>
      <c r="J323" s="73"/>
      <c r="K323" s="73"/>
      <c r="L323" s="78"/>
      <c r="M323" s="73"/>
    </row>
    <row r="324" spans="2:13">
      <c r="B324" s="73">
        <v>1</v>
      </c>
      <c r="C324" s="73" t="s">
        <v>98</v>
      </c>
      <c r="D324" s="74">
        <v>7.17</v>
      </c>
      <c r="E324" s="75">
        <v>0.44409999999999999</v>
      </c>
      <c r="F324" s="75"/>
      <c r="G324" s="75"/>
      <c r="H324" s="88"/>
      <c r="I324" s="22"/>
      <c r="J324" s="73" t="s">
        <v>422</v>
      </c>
      <c r="K324" s="73"/>
      <c r="L324" s="81"/>
      <c r="M324" s="82"/>
    </row>
    <row r="325" spans="2:13">
      <c r="B325" s="73">
        <v>2</v>
      </c>
      <c r="C325" s="73" t="s">
        <v>96</v>
      </c>
      <c r="D325" s="74">
        <v>5.51</v>
      </c>
      <c r="E325" s="75">
        <v>0.3412</v>
      </c>
      <c r="F325" s="75"/>
      <c r="G325" s="75"/>
      <c r="H325" s="86"/>
      <c r="I325" s="22"/>
      <c r="J325" s="73"/>
      <c r="K325" s="73"/>
      <c r="L325" s="81"/>
      <c r="M325" s="82"/>
    </row>
    <row r="326" spans="2:13">
      <c r="B326" s="73">
        <v>3</v>
      </c>
      <c r="C326" s="73" t="s">
        <v>109</v>
      </c>
      <c r="D326" s="74">
        <v>0.79</v>
      </c>
      <c r="E326" s="75">
        <v>4.9299999999999997E-2</v>
      </c>
      <c r="F326" s="75"/>
      <c r="G326" s="75"/>
      <c r="H326" s="86"/>
      <c r="I326" s="22"/>
      <c r="J326" s="73"/>
      <c r="K326" s="73"/>
      <c r="L326" s="81"/>
      <c r="M326" s="82"/>
    </row>
    <row r="327" spans="2:13">
      <c r="B327" s="73">
        <v>4</v>
      </c>
      <c r="C327" s="73" t="s">
        <v>116</v>
      </c>
      <c r="D327" s="74">
        <v>0.64</v>
      </c>
      <c r="E327" s="75">
        <v>3.9399999999999998E-2</v>
      </c>
      <c r="F327" s="75"/>
      <c r="G327" s="75"/>
      <c r="H327" s="86"/>
      <c r="I327" s="22"/>
      <c r="J327" s="73"/>
      <c r="K327" s="73"/>
      <c r="L327" s="81"/>
      <c r="M327" s="82"/>
    </row>
    <row r="328" spans="2:13">
      <c r="B328" s="73">
        <v>5</v>
      </c>
      <c r="C328" s="73" t="s">
        <v>103</v>
      </c>
      <c r="D328" s="74">
        <v>0.61</v>
      </c>
      <c r="E328" s="75">
        <v>3.7999999999999999E-2</v>
      </c>
      <c r="F328" s="75"/>
      <c r="G328" s="75"/>
      <c r="H328" s="86"/>
      <c r="I328" s="22"/>
      <c r="J328" s="73"/>
      <c r="K328" s="73"/>
      <c r="L328" s="81"/>
      <c r="M328" s="82"/>
    </row>
    <row r="329" spans="2:13">
      <c r="B329" s="73">
        <v>6</v>
      </c>
      <c r="C329" s="73" t="s">
        <v>114</v>
      </c>
      <c r="D329" s="74">
        <v>0.41</v>
      </c>
      <c r="E329" s="75">
        <v>2.5399999999999999E-2</v>
      </c>
      <c r="F329" s="75"/>
      <c r="G329" s="75"/>
      <c r="H329" s="86"/>
      <c r="I329" s="22"/>
      <c r="J329" s="73"/>
      <c r="K329" s="73"/>
      <c r="L329" s="81"/>
      <c r="M329" s="82"/>
    </row>
    <row r="330" spans="2:13">
      <c r="B330" s="73">
        <v>7</v>
      </c>
      <c r="C330" s="73" t="s">
        <v>101</v>
      </c>
      <c r="D330" s="74">
        <v>0.22</v>
      </c>
      <c r="E330" s="75">
        <v>1.3599999999999999E-2</v>
      </c>
      <c r="F330" s="75"/>
      <c r="G330" s="75"/>
      <c r="H330" s="86"/>
      <c r="I330" s="22"/>
      <c r="J330" s="73"/>
      <c r="K330" s="73"/>
      <c r="L330" s="81"/>
      <c r="M330" s="82"/>
    </row>
    <row r="331" spans="2:13">
      <c r="B331" s="73">
        <v>8</v>
      </c>
      <c r="C331" s="73" t="s">
        <v>129</v>
      </c>
      <c r="D331" s="74">
        <v>0.15</v>
      </c>
      <c r="E331" s="75">
        <v>9.4999999999999998E-3</v>
      </c>
      <c r="F331" s="75"/>
      <c r="G331" s="75"/>
      <c r="H331" s="86"/>
      <c r="I331" s="22"/>
      <c r="J331" s="73"/>
      <c r="K331" s="73"/>
      <c r="L331" s="81"/>
      <c r="M331" s="82"/>
    </row>
    <row r="332" spans="2:13">
      <c r="B332" s="73">
        <v>9</v>
      </c>
      <c r="C332" s="73" t="s">
        <v>108</v>
      </c>
      <c r="D332" s="74">
        <v>0.15</v>
      </c>
      <c r="E332" s="75">
        <v>9.1999999999999998E-3</v>
      </c>
      <c r="F332" s="75"/>
      <c r="G332" s="75"/>
      <c r="H332" s="86"/>
      <c r="I332" s="22"/>
      <c r="J332" s="73"/>
      <c r="K332" s="73"/>
      <c r="L332" s="81"/>
      <c r="M332" s="82"/>
    </row>
    <row r="333" spans="2:13">
      <c r="B333" s="73">
        <v>10</v>
      </c>
      <c r="C333" s="73" t="s">
        <v>337</v>
      </c>
      <c r="D333" s="74">
        <v>0.1</v>
      </c>
      <c r="E333" s="75">
        <v>6.1000000000000004E-3</v>
      </c>
      <c r="F333" s="75"/>
      <c r="G333" s="75"/>
      <c r="H333" s="86"/>
      <c r="I333" s="22"/>
      <c r="J333" s="73"/>
      <c r="K333" s="73"/>
      <c r="L333" s="81"/>
      <c r="M333" s="82"/>
    </row>
    <row r="334" spans="2:13">
      <c r="B334" s="73">
        <v>11</v>
      </c>
      <c r="C334" s="73" t="s">
        <v>357</v>
      </c>
      <c r="D334" s="74">
        <v>0.09</v>
      </c>
      <c r="E334" s="83">
        <v>5.3E-3</v>
      </c>
      <c r="F334" s="83"/>
      <c r="G334" s="83"/>
      <c r="H334" s="86"/>
      <c r="I334" s="22"/>
      <c r="J334" s="73"/>
      <c r="K334" s="73"/>
      <c r="L334" s="81"/>
      <c r="M334" s="83"/>
    </row>
    <row r="335" spans="2:13">
      <c r="B335" s="73">
        <v>12</v>
      </c>
      <c r="C335" s="73" t="s">
        <v>352</v>
      </c>
      <c r="D335" s="74">
        <v>0.08</v>
      </c>
      <c r="E335" s="83">
        <v>4.7000000000000002E-3</v>
      </c>
      <c r="F335" s="83"/>
      <c r="G335" s="83"/>
      <c r="H335" s="86"/>
      <c r="I335" s="22"/>
      <c r="J335" s="73"/>
      <c r="K335" s="73"/>
      <c r="L335" s="81"/>
      <c r="M335" s="83"/>
    </row>
    <row r="336" spans="2:13">
      <c r="B336" s="73">
        <v>13</v>
      </c>
      <c r="C336" s="73" t="s">
        <v>113</v>
      </c>
      <c r="D336" s="74">
        <v>7.0000000000000007E-2</v>
      </c>
      <c r="E336" s="83">
        <v>4.5999999999999999E-3</v>
      </c>
      <c r="F336" s="83"/>
      <c r="G336" s="83"/>
      <c r="H336" s="86"/>
      <c r="I336" s="22"/>
      <c r="J336" s="73"/>
      <c r="K336" s="73"/>
      <c r="L336" s="81"/>
      <c r="M336" s="83"/>
    </row>
    <row r="337" spans="2:25">
      <c r="B337" s="73">
        <v>14</v>
      </c>
      <c r="C337" s="73" t="s">
        <v>363</v>
      </c>
      <c r="D337" s="74">
        <v>0.05</v>
      </c>
      <c r="E337" s="83">
        <v>3.0000000000000001E-3</v>
      </c>
      <c r="F337" s="83"/>
      <c r="G337" s="83"/>
      <c r="H337" s="86"/>
      <c r="I337" s="22"/>
      <c r="J337" s="73"/>
      <c r="K337" s="73"/>
      <c r="L337" s="81"/>
      <c r="M337" s="83"/>
    </row>
    <row r="338" spans="2:25">
      <c r="B338" s="73">
        <v>15</v>
      </c>
      <c r="C338" s="73" t="s">
        <v>336</v>
      </c>
      <c r="D338" s="74">
        <v>0.02</v>
      </c>
      <c r="E338" s="83">
        <v>1.1000000000000001E-3</v>
      </c>
      <c r="F338" s="83"/>
      <c r="G338" s="83"/>
      <c r="H338" s="86"/>
      <c r="I338" s="22"/>
      <c r="J338" s="73"/>
      <c r="K338" s="73"/>
      <c r="L338" s="81"/>
      <c r="M338" s="83"/>
    </row>
    <row r="339" spans="2:25">
      <c r="B339" s="73"/>
      <c r="C339" s="73"/>
      <c r="D339" s="74"/>
      <c r="E339" s="83"/>
      <c r="F339" s="83"/>
      <c r="G339" s="83"/>
      <c r="H339" s="86"/>
      <c r="I339" s="22"/>
      <c r="J339" s="73"/>
      <c r="K339" s="73"/>
      <c r="L339" s="81"/>
      <c r="M339" s="83"/>
    </row>
    <row r="340" spans="2:25">
      <c r="B340" s="73"/>
      <c r="C340" s="73"/>
      <c r="D340" s="74"/>
      <c r="E340" s="83"/>
      <c r="F340" s="83"/>
      <c r="G340" s="83"/>
      <c r="H340" s="86"/>
      <c r="I340" s="22"/>
      <c r="J340" s="73"/>
      <c r="K340" s="73"/>
      <c r="L340" s="81"/>
      <c r="M340" s="83"/>
    </row>
    <row r="341" spans="2:25">
      <c r="B341" s="73"/>
      <c r="C341" s="73"/>
      <c r="D341" s="74"/>
      <c r="E341" s="83"/>
      <c r="F341" s="83"/>
      <c r="G341" s="83"/>
      <c r="H341" s="86"/>
      <c r="I341" s="22"/>
      <c r="J341" s="73"/>
      <c r="K341" s="73"/>
      <c r="L341" s="81"/>
      <c r="M341" s="83"/>
    </row>
    <row r="342" spans="2:25">
      <c r="B342" s="72" t="s">
        <v>423</v>
      </c>
      <c r="C342" s="22"/>
      <c r="D342" s="22"/>
      <c r="E342" s="22"/>
      <c r="F342" s="22"/>
      <c r="G342" s="22"/>
      <c r="H342" s="29"/>
      <c r="I342" s="22"/>
      <c r="J342" s="72" t="s">
        <v>424</v>
      </c>
      <c r="K342" s="22"/>
      <c r="L342" s="22"/>
      <c r="M342" s="22"/>
    </row>
    <row r="343" spans="2:25" ht="30">
      <c r="B343" s="73" t="s">
        <v>342</v>
      </c>
      <c r="C343" s="73" t="s">
        <v>343</v>
      </c>
      <c r="D343" s="78" t="s">
        <v>344</v>
      </c>
      <c r="E343" s="73" t="s">
        <v>345</v>
      </c>
      <c r="F343" s="73"/>
      <c r="G343" s="73"/>
      <c r="H343" s="88"/>
      <c r="I343" s="22"/>
      <c r="J343" s="73" t="s">
        <v>342</v>
      </c>
      <c r="K343" s="73" t="s">
        <v>343</v>
      </c>
      <c r="L343" s="78" t="s">
        <v>347</v>
      </c>
      <c r="M343" s="73" t="s">
        <v>345</v>
      </c>
    </row>
    <row r="344" spans="2:25">
      <c r="B344" s="73">
        <v>1</v>
      </c>
      <c r="C344" s="73" t="s">
        <v>98</v>
      </c>
      <c r="D344" s="74">
        <v>17.89</v>
      </c>
      <c r="E344" s="75">
        <v>0.49490000000000001</v>
      </c>
      <c r="F344" s="75"/>
      <c r="G344" s="75"/>
      <c r="H344" s="88"/>
      <c r="I344" s="22"/>
      <c r="J344" s="73">
        <v>1</v>
      </c>
      <c r="K344" s="73" t="s">
        <v>98</v>
      </c>
      <c r="L344" s="81">
        <v>142.02000000000001</v>
      </c>
      <c r="M344" s="82">
        <v>0.48199999999999998</v>
      </c>
      <c r="N344" s="22"/>
      <c r="O344" s="22"/>
      <c r="P344" s="72"/>
      <c r="Q344" s="94"/>
      <c r="R344" s="72"/>
      <c r="S344" s="29"/>
      <c r="T344" s="22"/>
      <c r="U344" s="22"/>
      <c r="V344" s="72"/>
      <c r="W344" s="94"/>
      <c r="X344" s="72"/>
    </row>
    <row r="345" spans="2:25">
      <c r="B345" s="73">
        <v>2</v>
      </c>
      <c r="C345" s="73" t="s">
        <v>96</v>
      </c>
      <c r="D345" s="74">
        <v>9.36</v>
      </c>
      <c r="E345" s="75">
        <v>0.25900000000000001</v>
      </c>
      <c r="F345" s="75"/>
      <c r="G345" s="75"/>
      <c r="H345" s="86"/>
      <c r="I345" s="22"/>
      <c r="J345" s="73">
        <v>2</v>
      </c>
      <c r="K345" s="73" t="s">
        <v>96</v>
      </c>
      <c r="L345" s="81">
        <v>69.099999999999994</v>
      </c>
      <c r="M345" s="82">
        <v>0.23449999999999999</v>
      </c>
      <c r="N345" s="29"/>
      <c r="O345" s="22"/>
      <c r="P345" s="22"/>
      <c r="Q345" s="72"/>
      <c r="R345" s="94"/>
      <c r="S345" s="72"/>
      <c r="T345" s="29"/>
      <c r="U345" s="22"/>
      <c r="V345" s="22"/>
      <c r="W345" s="72"/>
      <c r="X345" s="94"/>
      <c r="Y345" s="72"/>
    </row>
    <row r="346" spans="2:25">
      <c r="B346" s="73">
        <v>3</v>
      </c>
      <c r="C346" s="73" t="s">
        <v>109</v>
      </c>
      <c r="D346" s="74">
        <v>1.85</v>
      </c>
      <c r="E346" s="75">
        <v>5.11E-2</v>
      </c>
      <c r="F346" s="75"/>
      <c r="G346" s="75"/>
      <c r="H346" s="86"/>
      <c r="I346" s="22"/>
      <c r="J346" s="73">
        <v>3</v>
      </c>
      <c r="K346" s="73" t="s">
        <v>109</v>
      </c>
      <c r="L346" s="81">
        <v>19.239999999999998</v>
      </c>
      <c r="M346" s="82">
        <v>6.5299999999999997E-2</v>
      </c>
      <c r="N346" s="29"/>
      <c r="O346" s="22"/>
      <c r="P346" s="72"/>
      <c r="Q346" s="22"/>
      <c r="R346" s="22"/>
      <c r="S346" s="22"/>
      <c r="T346" s="22"/>
      <c r="U346" s="22"/>
      <c r="V346" s="22"/>
      <c r="W346" s="22"/>
      <c r="X346" s="22"/>
      <c r="Y346" s="22"/>
    </row>
    <row r="347" spans="2:25">
      <c r="B347" s="73">
        <v>4</v>
      </c>
      <c r="C347" s="73" t="s">
        <v>114</v>
      </c>
      <c r="D347" s="74">
        <v>1.4</v>
      </c>
      <c r="E347" s="75">
        <v>3.8699999999999998E-2</v>
      </c>
      <c r="F347" s="75"/>
      <c r="G347" s="75"/>
      <c r="H347" s="86"/>
      <c r="I347" s="22"/>
      <c r="J347" s="73">
        <v>4</v>
      </c>
      <c r="K347" s="73" t="s">
        <v>103</v>
      </c>
      <c r="L347" s="81">
        <v>13.33</v>
      </c>
      <c r="M347" s="82">
        <v>4.5199999999999997E-2</v>
      </c>
      <c r="N347" s="88"/>
      <c r="O347" s="22"/>
      <c r="P347" s="73"/>
      <c r="Q347" s="73"/>
      <c r="R347" s="78"/>
      <c r="S347" s="73"/>
      <c r="T347" s="88"/>
      <c r="U347" s="22"/>
      <c r="V347" s="22"/>
      <c r="W347" s="22"/>
      <c r="X347" s="22"/>
      <c r="Y347" s="22"/>
    </row>
    <row r="348" spans="2:25">
      <c r="B348" s="73">
        <v>5</v>
      </c>
      <c r="C348" s="73" t="s">
        <v>103</v>
      </c>
      <c r="D348" s="74">
        <v>1.31</v>
      </c>
      <c r="E348" s="75">
        <v>3.6299999999999999E-2</v>
      </c>
      <c r="F348" s="75"/>
      <c r="G348" s="75"/>
      <c r="H348" s="86"/>
      <c r="I348" s="22"/>
      <c r="J348" s="73">
        <v>5</v>
      </c>
      <c r="K348" s="73" t="s">
        <v>114</v>
      </c>
      <c r="L348" s="81">
        <v>7.73</v>
      </c>
      <c r="M348" s="82">
        <v>2.6200000000000001E-2</v>
      </c>
      <c r="N348" s="22"/>
      <c r="O348" s="22"/>
      <c r="P348" s="22"/>
      <c r="Q348" s="22"/>
      <c r="R348" s="22"/>
      <c r="S348" s="22"/>
      <c r="T348" s="88"/>
      <c r="U348" s="22"/>
      <c r="V348" s="22"/>
      <c r="W348" s="22"/>
      <c r="X348" s="22"/>
      <c r="Y348" s="22"/>
    </row>
    <row r="349" spans="2:25">
      <c r="B349" s="73">
        <v>6</v>
      </c>
      <c r="C349" s="73" t="s">
        <v>116</v>
      </c>
      <c r="D349" s="74">
        <v>1.27</v>
      </c>
      <c r="E349" s="75">
        <v>3.5099999999999999E-2</v>
      </c>
      <c r="F349" s="75"/>
      <c r="G349" s="75"/>
      <c r="H349" s="86"/>
      <c r="I349" s="22"/>
      <c r="J349" s="73">
        <v>6</v>
      </c>
      <c r="K349" s="73" t="s">
        <v>116</v>
      </c>
      <c r="L349" s="81">
        <v>7.18</v>
      </c>
      <c r="M349" s="82">
        <v>2.4400000000000002E-2</v>
      </c>
      <c r="N349" s="22"/>
      <c r="O349" s="22"/>
      <c r="P349" s="22"/>
      <c r="Q349" s="22"/>
      <c r="R349" s="22"/>
      <c r="S349" s="22"/>
      <c r="T349" s="88"/>
      <c r="U349" s="22"/>
      <c r="V349" s="22"/>
      <c r="W349" s="22"/>
      <c r="X349" s="22"/>
      <c r="Y349" s="22"/>
    </row>
    <row r="350" spans="2:25">
      <c r="B350" s="73">
        <v>7</v>
      </c>
      <c r="C350" s="73" t="s">
        <v>108</v>
      </c>
      <c r="D350" s="74">
        <v>0.78</v>
      </c>
      <c r="E350" s="75">
        <v>2.1499999999999998E-2</v>
      </c>
      <c r="F350" s="75"/>
      <c r="G350" s="75"/>
      <c r="H350" s="86"/>
      <c r="I350" s="22"/>
      <c r="J350" s="73">
        <v>7</v>
      </c>
      <c r="K350" s="73" t="s">
        <v>129</v>
      </c>
      <c r="L350" s="81">
        <v>6.1</v>
      </c>
      <c r="M350" s="82">
        <v>2.07E-2</v>
      </c>
      <c r="N350" s="22"/>
      <c r="O350" s="22"/>
      <c r="P350" s="22"/>
      <c r="Q350" s="22"/>
      <c r="R350" s="22"/>
      <c r="S350" s="22"/>
      <c r="T350" s="88"/>
      <c r="U350" s="22"/>
      <c r="V350" s="22"/>
      <c r="W350" s="22"/>
      <c r="X350" s="22"/>
      <c r="Y350" s="22"/>
    </row>
    <row r="351" spans="2:25">
      <c r="B351" s="73">
        <v>8</v>
      </c>
      <c r="C351" s="73" t="s">
        <v>336</v>
      </c>
      <c r="D351" s="74">
        <v>0.48</v>
      </c>
      <c r="E351" s="75">
        <v>1.32E-2</v>
      </c>
      <c r="F351" s="75"/>
      <c r="G351" s="75"/>
      <c r="H351" s="86"/>
      <c r="I351" s="22"/>
      <c r="J351" s="73">
        <v>8</v>
      </c>
      <c r="K351" s="73" t="s">
        <v>108</v>
      </c>
      <c r="L351" s="81">
        <v>5.36</v>
      </c>
      <c r="M351" s="82">
        <v>1.8200000000000001E-2</v>
      </c>
      <c r="N351" s="22"/>
      <c r="O351" s="22"/>
      <c r="P351" s="22"/>
      <c r="Q351" s="22"/>
      <c r="R351" s="22"/>
      <c r="S351" s="22"/>
      <c r="T351" s="88"/>
      <c r="U351" s="22"/>
      <c r="V351" s="22"/>
      <c r="W351" s="22"/>
      <c r="X351" s="22"/>
      <c r="Y351" s="22"/>
    </row>
    <row r="352" spans="2:25">
      <c r="B352" s="73">
        <v>9</v>
      </c>
      <c r="C352" s="73" t="s">
        <v>129</v>
      </c>
      <c r="D352" s="74">
        <v>0.46</v>
      </c>
      <c r="E352" s="75">
        <v>1.2800000000000001E-2</v>
      </c>
      <c r="F352" s="75"/>
      <c r="G352" s="75"/>
      <c r="H352" s="86"/>
      <c r="I352" s="22"/>
      <c r="J352" s="73">
        <v>9</v>
      </c>
      <c r="K352" s="73" t="s">
        <v>101</v>
      </c>
      <c r="L352" s="81">
        <v>5.2</v>
      </c>
      <c r="M352" s="82">
        <v>1.77E-2</v>
      </c>
      <c r="N352" s="22"/>
      <c r="O352" s="22"/>
      <c r="P352" s="22"/>
      <c r="Q352" s="22"/>
      <c r="R352" s="22"/>
      <c r="S352" s="22"/>
      <c r="T352" s="88"/>
      <c r="U352" s="22"/>
      <c r="V352" s="22"/>
      <c r="W352" s="22"/>
      <c r="X352" s="22"/>
      <c r="Y352" s="22"/>
    </row>
    <row r="353" spans="2:25">
      <c r="B353" s="73">
        <v>10</v>
      </c>
      <c r="C353" s="73" t="s">
        <v>101</v>
      </c>
      <c r="D353" s="74">
        <v>0.25</v>
      </c>
      <c r="E353" s="75">
        <v>6.8999999999999999E-3</v>
      </c>
      <c r="F353" s="75"/>
      <c r="G353" s="75"/>
      <c r="H353" s="86"/>
      <c r="I353" s="22"/>
      <c r="J353" s="73">
        <v>10</v>
      </c>
      <c r="K353" s="73" t="s">
        <v>336</v>
      </c>
      <c r="L353" s="81">
        <v>4.5199999999999996</v>
      </c>
      <c r="M353" s="82">
        <v>1.5299999999999999E-2</v>
      </c>
      <c r="N353" s="22"/>
      <c r="O353" s="22"/>
      <c r="P353" s="22"/>
      <c r="Q353" s="22"/>
      <c r="R353" s="22"/>
      <c r="S353" s="22"/>
      <c r="T353" s="88"/>
      <c r="U353" s="22"/>
      <c r="V353" s="22"/>
      <c r="W353" s="22"/>
      <c r="X353" s="22"/>
      <c r="Y353" s="22"/>
    </row>
    <row r="354" spans="2:25">
      <c r="B354" s="73">
        <v>11</v>
      </c>
      <c r="C354" s="73" t="s">
        <v>113</v>
      </c>
      <c r="D354" s="74">
        <v>0.18</v>
      </c>
      <c r="E354" s="83">
        <v>4.8999999999999998E-3</v>
      </c>
      <c r="F354" s="83"/>
      <c r="G354" s="83"/>
      <c r="H354" s="86"/>
      <c r="I354" s="22"/>
      <c r="J354" s="73">
        <v>11</v>
      </c>
      <c r="K354" s="73" t="s">
        <v>357</v>
      </c>
      <c r="L354" s="81">
        <v>2.4300000000000002</v>
      </c>
      <c r="M354" s="83">
        <v>8.2000000000000007E-3</v>
      </c>
      <c r="N354" s="22"/>
      <c r="O354" s="22"/>
      <c r="P354" s="22"/>
      <c r="Q354" s="22"/>
      <c r="R354" s="22"/>
      <c r="S354" s="22"/>
      <c r="T354" s="88"/>
      <c r="U354" s="22"/>
      <c r="V354" s="22"/>
      <c r="W354" s="22"/>
      <c r="X354" s="22"/>
      <c r="Y354" s="22"/>
    </row>
    <row r="355" spans="2:25">
      <c r="B355" s="73">
        <v>12</v>
      </c>
      <c r="C355" s="73" t="s">
        <v>357</v>
      </c>
      <c r="D355" s="74">
        <v>0.14000000000000001</v>
      </c>
      <c r="E355" s="83">
        <v>3.8999999999999998E-3</v>
      </c>
      <c r="F355" s="83"/>
      <c r="G355" s="83"/>
      <c r="H355" s="86"/>
      <c r="I355" s="22"/>
      <c r="J355" s="73">
        <v>12</v>
      </c>
      <c r="K355" s="73" t="s">
        <v>337</v>
      </c>
      <c r="L355" s="81">
        <v>2.36</v>
      </c>
      <c r="M355" s="83">
        <v>8.0000000000000002E-3</v>
      </c>
      <c r="N355" s="22"/>
      <c r="O355" s="22"/>
      <c r="P355" s="22"/>
      <c r="Q355" s="22"/>
      <c r="R355" s="22"/>
      <c r="S355" s="22"/>
      <c r="T355" s="88"/>
      <c r="U355" s="22"/>
      <c r="V355" s="22"/>
      <c r="W355" s="22"/>
      <c r="X355" s="22"/>
      <c r="Y355" s="22"/>
    </row>
    <row r="356" spans="2:25">
      <c r="B356" s="73">
        <v>13</v>
      </c>
      <c r="C356" s="73" t="s">
        <v>363</v>
      </c>
      <c r="D356" s="74">
        <v>0.1</v>
      </c>
      <c r="E356" s="83">
        <v>2.7000000000000001E-3</v>
      </c>
      <c r="F356" s="83"/>
      <c r="G356" s="83"/>
      <c r="H356" s="86"/>
      <c r="I356" s="22"/>
      <c r="J356" s="73">
        <v>13</v>
      </c>
      <c r="K356" s="73" t="s">
        <v>352</v>
      </c>
      <c r="L356" s="81">
        <v>1.76</v>
      </c>
      <c r="M356" s="83">
        <v>6.0000000000000001E-3</v>
      </c>
      <c r="N356" s="22"/>
      <c r="O356" s="22"/>
      <c r="P356" s="22"/>
      <c r="Q356" s="22"/>
      <c r="R356" s="22"/>
      <c r="S356" s="22"/>
      <c r="T356" s="88"/>
      <c r="U356" s="22"/>
      <c r="V356" s="22"/>
      <c r="W356" s="22"/>
      <c r="X356" s="22"/>
      <c r="Y356" s="22"/>
    </row>
    <row r="357" spans="2:25">
      <c r="B357" s="73">
        <v>14</v>
      </c>
      <c r="C357" s="73" t="s">
        <v>337</v>
      </c>
      <c r="D357" s="74">
        <v>0.09</v>
      </c>
      <c r="E357" s="83">
        <v>2.5000000000000001E-3</v>
      </c>
      <c r="F357" s="83"/>
      <c r="G357" s="83"/>
      <c r="H357" s="86"/>
      <c r="I357" s="22"/>
      <c r="J357" s="73">
        <v>14</v>
      </c>
      <c r="K357" s="73" t="s">
        <v>113</v>
      </c>
      <c r="L357" s="81">
        <v>1.52</v>
      </c>
      <c r="M357" s="83">
        <v>5.1999999999999998E-3</v>
      </c>
      <c r="N357" s="22"/>
      <c r="O357" s="22"/>
      <c r="P357" s="22"/>
      <c r="Q357" s="22"/>
      <c r="R357" s="22"/>
      <c r="S357" s="22"/>
      <c r="T357" s="88"/>
      <c r="U357" s="22"/>
      <c r="V357" s="22"/>
      <c r="W357" s="22"/>
      <c r="X357" s="22"/>
      <c r="Y357" s="22"/>
    </row>
    <row r="358" spans="2:25">
      <c r="B358" s="73">
        <v>15</v>
      </c>
      <c r="C358" s="73" t="s">
        <v>366</v>
      </c>
      <c r="D358" s="74">
        <v>0.08</v>
      </c>
      <c r="E358" s="83">
        <v>2.3E-3</v>
      </c>
      <c r="F358" s="83"/>
      <c r="G358" s="83"/>
      <c r="H358" s="86"/>
      <c r="I358" s="22"/>
      <c r="J358" s="73">
        <v>15</v>
      </c>
      <c r="K358" s="73" t="s">
        <v>363</v>
      </c>
      <c r="L358" s="81">
        <v>1.29</v>
      </c>
      <c r="M358" s="83">
        <v>4.4000000000000003E-3</v>
      </c>
      <c r="N358" s="22"/>
      <c r="O358" s="22"/>
      <c r="P358" s="22"/>
      <c r="Q358" s="22"/>
      <c r="R358" s="22"/>
      <c r="S358" s="22"/>
      <c r="T358" s="88"/>
      <c r="U358" s="22"/>
      <c r="V358" s="22"/>
      <c r="W358" s="22"/>
      <c r="X358" s="22"/>
      <c r="Y358" s="22"/>
    </row>
    <row r="359" spans="2:25">
      <c r="N359" s="22"/>
      <c r="O359" s="22"/>
      <c r="P359" s="22"/>
      <c r="Q359" s="22"/>
      <c r="R359" s="22"/>
      <c r="S359" s="22"/>
      <c r="T359" s="88"/>
      <c r="U359" s="22"/>
      <c r="V359" s="22"/>
      <c r="W359" s="22"/>
      <c r="X359" s="22"/>
      <c r="Y359" s="22"/>
    </row>
    <row r="360" spans="2:25">
      <c r="N360" s="22"/>
      <c r="O360" s="22"/>
      <c r="P360" s="22"/>
      <c r="Q360" s="22"/>
      <c r="R360" s="22"/>
      <c r="S360" s="22"/>
      <c r="T360" s="88"/>
      <c r="U360" s="22"/>
      <c r="V360" s="22"/>
      <c r="W360" s="22"/>
      <c r="X360" s="22"/>
      <c r="Y360" s="22"/>
    </row>
    <row r="361" spans="2:25">
      <c r="B361" s="22"/>
      <c r="C361" s="22"/>
      <c r="D361" s="22"/>
      <c r="E361" s="22"/>
      <c r="F361" s="22"/>
      <c r="G361" s="22"/>
      <c r="H361" s="22"/>
      <c r="I361" s="22"/>
      <c r="J361" s="72"/>
      <c r="K361" s="94"/>
      <c r="L361" s="72"/>
      <c r="M361" s="29"/>
      <c r="N361" s="22"/>
      <c r="O361" s="22"/>
      <c r="P361" s="22"/>
      <c r="Q361" s="22"/>
      <c r="R361" s="22"/>
      <c r="S361" s="22"/>
      <c r="T361" s="88"/>
      <c r="U361" s="22"/>
      <c r="V361" s="22"/>
      <c r="W361" s="22"/>
      <c r="X361" s="22"/>
      <c r="Y361" s="22"/>
    </row>
    <row r="362" spans="2:25">
      <c r="B362" s="22"/>
      <c r="C362" s="22"/>
      <c r="D362" s="22"/>
      <c r="E362" s="22"/>
      <c r="F362" s="22"/>
      <c r="G362" s="22"/>
      <c r="H362" s="22"/>
      <c r="I362" s="22"/>
      <c r="J362" s="22"/>
      <c r="K362" s="72"/>
      <c r="L362" s="94"/>
      <c r="M362" s="72"/>
      <c r="N362" s="22"/>
      <c r="O362" s="22"/>
      <c r="P362" s="22"/>
      <c r="Q362" s="22"/>
      <c r="R362" s="22"/>
      <c r="S362" s="22"/>
      <c r="T362" s="88"/>
      <c r="U362" s="22"/>
      <c r="V362" s="22"/>
      <c r="W362" s="22"/>
      <c r="X362" s="22"/>
      <c r="Y362" s="22"/>
    </row>
    <row r="363" spans="2:25">
      <c r="B363" s="72" t="s">
        <v>425</v>
      </c>
      <c r="C363" s="22"/>
      <c r="D363" s="22"/>
      <c r="E363" s="22"/>
      <c r="F363" s="22"/>
      <c r="G363" s="22"/>
      <c r="H363" s="29"/>
      <c r="I363" s="22"/>
      <c r="J363" s="72" t="s">
        <v>426</v>
      </c>
      <c r="K363" s="22"/>
      <c r="L363" s="22"/>
      <c r="M363" s="22"/>
      <c r="N363" s="29"/>
      <c r="O363" s="22"/>
      <c r="P363" s="22"/>
      <c r="Q363" s="72"/>
      <c r="R363" s="94"/>
      <c r="S363" s="72"/>
      <c r="T363" s="29"/>
      <c r="U363" s="22"/>
      <c r="V363" s="22"/>
      <c r="W363" s="72"/>
      <c r="X363" s="94"/>
      <c r="Y363" s="72"/>
    </row>
    <row r="364" spans="2:25" ht="30">
      <c r="B364" s="73" t="s">
        <v>342</v>
      </c>
      <c r="C364" s="73" t="s">
        <v>343</v>
      </c>
      <c r="D364" s="78" t="s">
        <v>344</v>
      </c>
      <c r="E364" s="73" t="s">
        <v>345</v>
      </c>
      <c r="F364" s="73"/>
      <c r="G364" s="73"/>
      <c r="H364" s="88"/>
      <c r="I364" s="22"/>
      <c r="J364" s="73" t="s">
        <v>342</v>
      </c>
      <c r="K364" s="73" t="s">
        <v>343</v>
      </c>
      <c r="L364" s="78" t="s">
        <v>347</v>
      </c>
      <c r="M364" s="73" t="s">
        <v>345</v>
      </c>
      <c r="N364" s="29"/>
      <c r="O364" s="22"/>
      <c r="P364" s="22"/>
      <c r="Q364" s="72"/>
      <c r="R364" s="94"/>
      <c r="S364" s="72"/>
      <c r="T364" s="29"/>
      <c r="U364" s="22"/>
      <c r="V364" s="22"/>
      <c r="W364" s="72"/>
      <c r="X364" s="94"/>
      <c r="Y364" s="72"/>
    </row>
    <row r="365" spans="2:25">
      <c r="B365" s="73">
        <v>1</v>
      </c>
      <c r="C365" s="73" t="s">
        <v>98</v>
      </c>
      <c r="D365" s="74">
        <v>17.350000000000001</v>
      </c>
      <c r="E365" s="75">
        <v>0.50639999999999996</v>
      </c>
      <c r="F365" s="75"/>
      <c r="G365" s="75"/>
      <c r="H365" s="88"/>
      <c r="I365" s="22"/>
      <c r="J365" s="73">
        <v>1</v>
      </c>
      <c r="K365" s="73" t="s">
        <v>98</v>
      </c>
      <c r="L365" s="81">
        <v>124.13</v>
      </c>
      <c r="M365" s="82">
        <v>0.48020000000000002</v>
      </c>
      <c r="N365" s="29"/>
      <c r="O365" s="22"/>
      <c r="P365" s="22"/>
      <c r="Q365" s="72"/>
      <c r="R365" s="94"/>
      <c r="S365" s="72"/>
      <c r="T365" s="29"/>
      <c r="U365" s="22"/>
      <c r="V365" s="22"/>
      <c r="W365" s="72"/>
      <c r="X365" s="94"/>
      <c r="Y365" s="72"/>
    </row>
    <row r="366" spans="2:25">
      <c r="B366" s="73">
        <v>2</v>
      </c>
      <c r="C366" s="73" t="s">
        <v>96</v>
      </c>
      <c r="D366" s="74">
        <v>8.94</v>
      </c>
      <c r="E366" s="75">
        <v>0.26090000000000002</v>
      </c>
      <c r="F366" s="75"/>
      <c r="G366" s="75"/>
      <c r="H366" s="86"/>
      <c r="I366" s="22"/>
      <c r="J366" s="73">
        <v>2</v>
      </c>
      <c r="K366" s="73" t="s">
        <v>96</v>
      </c>
      <c r="L366" s="81">
        <v>59.74</v>
      </c>
      <c r="M366" s="82">
        <v>0.2311</v>
      </c>
      <c r="N366" s="29"/>
      <c r="O366" s="22"/>
      <c r="P366" s="22"/>
      <c r="Q366" s="72"/>
      <c r="R366" s="94"/>
      <c r="S366" s="72"/>
      <c r="T366" s="29"/>
      <c r="U366" s="22"/>
      <c r="V366" s="22"/>
      <c r="W366" s="72"/>
      <c r="X366" s="94"/>
      <c r="Y366" s="72"/>
    </row>
    <row r="367" spans="2:25">
      <c r="B367" s="73">
        <v>3</v>
      </c>
      <c r="C367" s="73" t="s">
        <v>109</v>
      </c>
      <c r="D367" s="74">
        <v>2</v>
      </c>
      <c r="E367" s="75">
        <v>5.8200000000000002E-2</v>
      </c>
      <c r="F367" s="75"/>
      <c r="G367" s="75"/>
      <c r="H367" s="86"/>
      <c r="I367" s="22"/>
      <c r="J367" s="73">
        <v>3</v>
      </c>
      <c r="K367" s="73" t="s">
        <v>109</v>
      </c>
      <c r="L367" s="81">
        <v>17.39</v>
      </c>
      <c r="M367" s="82">
        <v>6.7299999999999999E-2</v>
      </c>
      <c r="N367" s="29"/>
      <c r="O367" s="22"/>
      <c r="P367" s="72"/>
      <c r="Q367" s="22"/>
      <c r="R367" s="22"/>
      <c r="S367" s="22"/>
      <c r="T367" s="22"/>
      <c r="U367" s="22"/>
      <c r="V367" s="22"/>
      <c r="W367" s="22"/>
      <c r="X367" s="22"/>
      <c r="Y367" s="22"/>
    </row>
    <row r="368" spans="2:25">
      <c r="B368" s="73">
        <v>4</v>
      </c>
      <c r="C368" s="73" t="s">
        <v>103</v>
      </c>
      <c r="D368" s="74">
        <v>1.28</v>
      </c>
      <c r="E368" s="75">
        <v>3.73E-2</v>
      </c>
      <c r="F368" s="75"/>
      <c r="G368" s="75"/>
      <c r="H368" s="86"/>
      <c r="I368" s="22"/>
      <c r="J368" s="73">
        <v>4</v>
      </c>
      <c r="K368" s="73" t="s">
        <v>103</v>
      </c>
      <c r="L368" s="81">
        <v>12.01</v>
      </c>
      <c r="M368" s="82">
        <v>4.65E-2</v>
      </c>
      <c r="N368" s="88"/>
      <c r="O368" s="22"/>
      <c r="P368" s="73"/>
      <c r="Q368" s="73"/>
      <c r="R368" s="78"/>
      <c r="S368" s="73"/>
      <c r="T368" s="88"/>
      <c r="U368" s="22"/>
      <c r="V368" s="22"/>
      <c r="W368" s="22"/>
      <c r="X368" s="22"/>
      <c r="Y368" s="22"/>
    </row>
    <row r="369" spans="2:25">
      <c r="B369" s="73">
        <v>5</v>
      </c>
      <c r="C369" s="73" t="s">
        <v>114</v>
      </c>
      <c r="D369" s="74">
        <v>0.83</v>
      </c>
      <c r="E369" s="75">
        <v>2.4299999999999999E-2</v>
      </c>
      <c r="F369" s="75"/>
      <c r="G369" s="75"/>
      <c r="H369" s="86"/>
      <c r="I369" s="22"/>
      <c r="J369" s="73">
        <v>5</v>
      </c>
      <c r="K369" s="73" t="s">
        <v>114</v>
      </c>
      <c r="L369" s="81">
        <v>6.33</v>
      </c>
      <c r="M369" s="82">
        <v>2.4500000000000001E-2</v>
      </c>
      <c r="N369" s="22"/>
      <c r="O369" s="22"/>
      <c r="P369" s="22"/>
      <c r="Q369" s="22"/>
      <c r="R369" s="22"/>
      <c r="S369" s="22"/>
      <c r="T369" s="88"/>
      <c r="U369" s="22"/>
      <c r="V369" s="22"/>
      <c r="W369" s="22"/>
      <c r="X369" s="22"/>
      <c r="Y369" s="22"/>
    </row>
    <row r="370" spans="2:25">
      <c r="B370" s="73">
        <v>6</v>
      </c>
      <c r="C370" s="73" t="s">
        <v>116</v>
      </c>
      <c r="D370" s="74">
        <v>0.81</v>
      </c>
      <c r="E370" s="75">
        <v>2.35E-2</v>
      </c>
      <c r="F370" s="75"/>
      <c r="G370" s="75"/>
      <c r="H370" s="86"/>
      <c r="I370" s="22"/>
      <c r="J370" s="73">
        <v>6</v>
      </c>
      <c r="K370" s="73" t="s">
        <v>116</v>
      </c>
      <c r="L370" s="81">
        <v>5.91</v>
      </c>
      <c r="M370" s="82">
        <v>2.29E-2</v>
      </c>
      <c r="N370" s="22"/>
      <c r="O370" s="22"/>
      <c r="P370" s="22"/>
      <c r="Q370" s="22"/>
      <c r="R370" s="22"/>
      <c r="S370" s="22"/>
      <c r="T370" s="88"/>
      <c r="U370" s="22"/>
      <c r="V370" s="22"/>
      <c r="W370" s="22"/>
      <c r="X370" s="22"/>
      <c r="Y370" s="22"/>
    </row>
    <row r="371" spans="2:25">
      <c r="B371" s="73">
        <v>7</v>
      </c>
      <c r="C371" s="73" t="s">
        <v>129</v>
      </c>
      <c r="D371" s="74">
        <v>0.59</v>
      </c>
      <c r="E371" s="75">
        <v>1.7299999999999999E-2</v>
      </c>
      <c r="F371" s="75"/>
      <c r="G371" s="75"/>
      <c r="H371" s="86"/>
      <c r="I371" s="22"/>
      <c r="J371" s="73">
        <v>7</v>
      </c>
      <c r="K371" s="73" t="s">
        <v>129</v>
      </c>
      <c r="L371" s="81">
        <v>5.64</v>
      </c>
      <c r="M371" s="82">
        <v>2.18E-2</v>
      </c>
      <c r="N371" s="22"/>
      <c r="O371" s="22"/>
      <c r="P371" s="22"/>
      <c r="Q371" s="22"/>
      <c r="R371" s="22"/>
      <c r="S371" s="22"/>
      <c r="T371" s="88"/>
      <c r="U371" s="22"/>
      <c r="V371" s="22"/>
      <c r="W371" s="22"/>
      <c r="X371" s="22"/>
      <c r="Y371" s="22"/>
    </row>
    <row r="372" spans="2:25">
      <c r="B372" s="73">
        <v>8</v>
      </c>
      <c r="C372" s="73" t="s">
        <v>427</v>
      </c>
      <c r="D372" s="74">
        <v>0.42</v>
      </c>
      <c r="E372" s="75">
        <v>1.2200000000000001E-2</v>
      </c>
      <c r="F372" s="75"/>
      <c r="G372" s="75"/>
      <c r="H372" s="86"/>
      <c r="I372" s="22"/>
      <c r="J372" s="73">
        <v>8</v>
      </c>
      <c r="K372" s="73" t="s">
        <v>101</v>
      </c>
      <c r="L372" s="81">
        <v>4.95</v>
      </c>
      <c r="M372" s="82">
        <v>1.9099999999999999E-2</v>
      </c>
      <c r="N372" s="22"/>
      <c r="O372" s="22"/>
      <c r="P372" s="22"/>
      <c r="Q372" s="22"/>
      <c r="R372" s="22"/>
      <c r="S372" s="22"/>
      <c r="T372" s="88"/>
      <c r="U372" s="22"/>
      <c r="V372" s="22"/>
      <c r="W372" s="22"/>
      <c r="X372" s="22"/>
      <c r="Y372" s="22"/>
    </row>
    <row r="373" spans="2:25">
      <c r="B373" s="73">
        <v>9</v>
      </c>
      <c r="C373" s="73" t="s">
        <v>108</v>
      </c>
      <c r="D373" s="74">
        <v>0.39</v>
      </c>
      <c r="E373" s="75">
        <v>1.1299999999999999E-2</v>
      </c>
      <c r="F373" s="75"/>
      <c r="G373" s="75"/>
      <c r="H373" s="86"/>
      <c r="I373" s="22"/>
      <c r="J373" s="73">
        <v>9</v>
      </c>
      <c r="K373" s="73" t="s">
        <v>108</v>
      </c>
      <c r="L373" s="81">
        <v>4.58</v>
      </c>
      <c r="M373" s="82">
        <v>1.77E-2</v>
      </c>
      <c r="N373" s="22"/>
      <c r="O373" s="22"/>
      <c r="P373" s="22"/>
      <c r="Q373" s="22"/>
      <c r="R373" s="22"/>
      <c r="S373" s="22"/>
      <c r="T373" s="88"/>
      <c r="U373" s="22"/>
      <c r="V373" s="22"/>
      <c r="W373" s="22"/>
      <c r="X373" s="22"/>
      <c r="Y373" s="22"/>
    </row>
    <row r="374" spans="2:25">
      <c r="B374" s="73">
        <v>10</v>
      </c>
      <c r="C374" s="73" t="s">
        <v>357</v>
      </c>
      <c r="D374" s="74">
        <v>0.28000000000000003</v>
      </c>
      <c r="E374" s="75">
        <v>8.2000000000000007E-3</v>
      </c>
      <c r="F374" s="75"/>
      <c r="G374" s="75"/>
      <c r="H374" s="86"/>
      <c r="I374" s="22"/>
      <c r="J374" s="73">
        <v>10</v>
      </c>
      <c r="K374" s="73" t="s">
        <v>336</v>
      </c>
      <c r="L374" s="81">
        <v>4.04</v>
      </c>
      <c r="M374" s="82">
        <v>1.5599999999999999E-2</v>
      </c>
      <c r="N374" s="22"/>
      <c r="O374" s="22"/>
      <c r="P374" s="22"/>
      <c r="Q374" s="22"/>
      <c r="R374" s="22"/>
      <c r="S374" s="22"/>
      <c r="T374" s="88"/>
      <c r="U374" s="22"/>
      <c r="V374" s="22"/>
      <c r="W374" s="22"/>
      <c r="X374" s="22"/>
      <c r="Y374" s="22"/>
    </row>
    <row r="375" spans="2:25">
      <c r="B375" s="73">
        <v>11</v>
      </c>
      <c r="C375" s="73" t="s">
        <v>101</v>
      </c>
      <c r="D375" s="74">
        <v>0.24</v>
      </c>
      <c r="E375" s="83">
        <v>7.1000000000000004E-3</v>
      </c>
      <c r="F375" s="83"/>
      <c r="G375" s="83"/>
      <c r="H375" s="86"/>
      <c r="I375" s="22"/>
      <c r="J375" s="73">
        <v>11</v>
      </c>
      <c r="K375" s="73" t="s">
        <v>357</v>
      </c>
      <c r="L375" s="81">
        <v>2.29</v>
      </c>
      <c r="M375" s="83">
        <v>8.8999999999999999E-3</v>
      </c>
      <c r="N375" s="22"/>
      <c r="O375" s="22"/>
      <c r="P375" s="22"/>
      <c r="Q375" s="22"/>
      <c r="R375" s="22"/>
      <c r="S375" s="22"/>
      <c r="T375" s="88"/>
      <c r="U375" s="22"/>
      <c r="V375" s="22"/>
      <c r="W375" s="22"/>
      <c r="X375" s="22"/>
      <c r="Y375" s="22"/>
    </row>
    <row r="376" spans="2:25">
      <c r="B376" s="73">
        <v>12</v>
      </c>
      <c r="C376" s="73" t="s">
        <v>113</v>
      </c>
      <c r="D376" s="74">
        <v>0.22</v>
      </c>
      <c r="E376" s="83">
        <v>6.4000000000000003E-3</v>
      </c>
      <c r="F376" s="83"/>
      <c r="G376" s="83"/>
      <c r="H376" s="86"/>
      <c r="I376" s="22"/>
      <c r="J376" s="73">
        <v>12</v>
      </c>
      <c r="K376" s="73" t="s">
        <v>428</v>
      </c>
      <c r="L376" s="81">
        <v>2.27</v>
      </c>
      <c r="M376" s="83">
        <v>8.8000000000000005E-3</v>
      </c>
      <c r="N376" s="22"/>
      <c r="O376" s="22"/>
      <c r="P376" s="22"/>
      <c r="Q376" s="22"/>
      <c r="R376" s="22"/>
      <c r="S376" s="22"/>
      <c r="T376" s="88"/>
      <c r="U376" s="22"/>
      <c r="V376" s="22"/>
      <c r="W376" s="22"/>
      <c r="X376" s="22"/>
      <c r="Y376" s="22"/>
    </row>
    <row r="377" spans="2:25">
      <c r="B377" s="73">
        <v>13</v>
      </c>
      <c r="C377" s="73" t="s">
        <v>428</v>
      </c>
      <c r="D377" s="74">
        <v>0.18</v>
      </c>
      <c r="E377" s="83">
        <v>5.4000000000000003E-3</v>
      </c>
      <c r="F377" s="83"/>
      <c r="G377" s="83"/>
      <c r="H377" s="86"/>
      <c r="I377" s="22"/>
      <c r="J377" s="73">
        <v>13</v>
      </c>
      <c r="K377" s="73" t="s">
        <v>352</v>
      </c>
      <c r="L377" s="81">
        <v>1.69</v>
      </c>
      <c r="M377" s="83">
        <v>6.4999999999999997E-3</v>
      </c>
      <c r="N377" s="22"/>
      <c r="O377" s="22"/>
      <c r="P377" s="22"/>
      <c r="Q377" s="22"/>
      <c r="R377" s="22"/>
      <c r="S377" s="22"/>
      <c r="T377" s="88"/>
      <c r="U377" s="22"/>
      <c r="V377" s="22"/>
      <c r="W377" s="22"/>
      <c r="X377" s="22"/>
      <c r="Y377" s="22"/>
    </row>
    <row r="378" spans="2:25">
      <c r="B378" s="73">
        <v>14</v>
      </c>
      <c r="C378" s="73" t="s">
        <v>363</v>
      </c>
      <c r="D378" s="74">
        <v>0.13</v>
      </c>
      <c r="E378" s="83">
        <v>3.7000000000000002E-3</v>
      </c>
      <c r="F378" s="83"/>
      <c r="G378" s="83"/>
      <c r="H378" s="86"/>
      <c r="I378" s="22"/>
      <c r="J378" s="73">
        <v>14</v>
      </c>
      <c r="K378" s="73" t="s">
        <v>113</v>
      </c>
      <c r="L378" s="81">
        <v>1.35</v>
      </c>
      <c r="M378" s="83">
        <v>5.1999999999999998E-3</v>
      </c>
      <c r="N378" s="22"/>
      <c r="O378" s="22"/>
      <c r="P378" s="22"/>
      <c r="Q378" s="22"/>
      <c r="R378" s="22"/>
      <c r="S378" s="22"/>
      <c r="T378" s="88"/>
      <c r="U378" s="22"/>
      <c r="V378" s="22"/>
      <c r="W378" s="22"/>
      <c r="X378" s="22"/>
      <c r="Y378" s="22"/>
    </row>
    <row r="379" spans="2:25">
      <c r="B379" s="73">
        <v>15</v>
      </c>
      <c r="C379" s="73" t="s">
        <v>429</v>
      </c>
      <c r="D379" s="74">
        <v>0.11</v>
      </c>
      <c r="E379" s="83">
        <v>3.2000000000000002E-3</v>
      </c>
      <c r="F379" s="83"/>
      <c r="G379" s="83"/>
      <c r="H379" s="86"/>
      <c r="I379" s="22"/>
      <c r="J379" s="73">
        <v>15</v>
      </c>
      <c r="K379" s="73" t="s">
        <v>363</v>
      </c>
      <c r="L379" s="81">
        <v>1.19</v>
      </c>
      <c r="M379" s="83">
        <v>4.5999999999999999E-3</v>
      </c>
      <c r="N379" s="22"/>
      <c r="O379" s="22"/>
      <c r="P379" s="22"/>
      <c r="Q379" s="22"/>
      <c r="R379" s="22"/>
      <c r="S379" s="22"/>
      <c r="T379" s="88"/>
      <c r="U379" s="22"/>
      <c r="V379" s="22"/>
      <c r="W379" s="22"/>
      <c r="X379" s="22"/>
      <c r="Y379" s="22"/>
    </row>
    <row r="380" spans="2:25">
      <c r="B380" s="22"/>
      <c r="C380" s="22"/>
      <c r="D380" s="22"/>
      <c r="E380" s="22"/>
      <c r="F380" s="22"/>
      <c r="G380" s="22"/>
      <c r="H380" s="22"/>
      <c r="I380" s="22"/>
      <c r="J380" s="22"/>
      <c r="K380" s="72"/>
      <c r="L380" s="94"/>
      <c r="M380" s="72"/>
      <c r="N380" s="22"/>
      <c r="O380" s="22"/>
      <c r="P380" s="22"/>
      <c r="Q380" s="22"/>
      <c r="R380" s="22"/>
      <c r="S380" s="22"/>
      <c r="T380" s="88"/>
      <c r="U380" s="22"/>
      <c r="V380" s="22"/>
      <c r="W380" s="22"/>
      <c r="X380" s="22"/>
      <c r="Y380" s="22"/>
    </row>
    <row r="381" spans="2:25">
      <c r="B381" s="22"/>
      <c r="C381" s="22"/>
      <c r="D381" s="22"/>
      <c r="E381" s="22"/>
      <c r="F381" s="22"/>
      <c r="G381" s="22"/>
      <c r="H381" s="22"/>
      <c r="I381" s="22"/>
      <c r="J381" s="22"/>
      <c r="K381" s="72"/>
      <c r="L381" s="94"/>
      <c r="M381" s="72"/>
      <c r="N381" s="22"/>
      <c r="O381" s="22"/>
      <c r="P381" s="22"/>
      <c r="Q381" s="22"/>
      <c r="R381" s="22"/>
      <c r="S381" s="22"/>
      <c r="T381" s="88"/>
      <c r="U381" s="22"/>
      <c r="V381" s="22"/>
      <c r="W381" s="22"/>
      <c r="X381" s="22"/>
      <c r="Y381" s="22"/>
    </row>
    <row r="382" spans="2:25">
      <c r="B382" s="22"/>
      <c r="C382" s="22"/>
      <c r="D382" s="22"/>
      <c r="E382" s="22"/>
      <c r="F382" s="22"/>
      <c r="G382" s="22"/>
      <c r="H382" s="22"/>
      <c r="I382" s="22"/>
      <c r="J382" s="22"/>
      <c r="K382" s="72"/>
      <c r="L382" s="94"/>
      <c r="M382" s="72"/>
      <c r="N382" s="22"/>
      <c r="O382" s="22"/>
      <c r="P382" s="22"/>
      <c r="Q382" s="22"/>
      <c r="R382" s="22"/>
      <c r="S382" s="22"/>
      <c r="T382" s="88"/>
      <c r="U382" s="22"/>
      <c r="V382" s="22"/>
      <c r="W382" s="22"/>
      <c r="X382" s="22"/>
      <c r="Y382" s="22"/>
    </row>
    <row r="383" spans="2:25">
      <c r="B383" s="22"/>
      <c r="C383" s="22"/>
      <c r="D383" s="22"/>
      <c r="E383" s="22"/>
      <c r="F383" s="22"/>
      <c r="G383" s="22"/>
      <c r="H383" s="22"/>
      <c r="I383" s="22"/>
      <c r="J383" s="22"/>
      <c r="K383" s="72"/>
      <c r="L383" s="94"/>
      <c r="M383" s="72"/>
      <c r="N383" s="22"/>
      <c r="O383" s="22"/>
      <c r="P383" s="22"/>
      <c r="Q383" s="22"/>
      <c r="R383" s="22"/>
      <c r="S383" s="22"/>
      <c r="T383" s="88"/>
      <c r="U383" s="22"/>
      <c r="V383" s="22"/>
      <c r="W383" s="22"/>
      <c r="X383" s="22"/>
      <c r="Y383" s="22"/>
    </row>
    <row r="384" spans="2:25">
      <c r="B384" s="72" t="s">
        <v>430</v>
      </c>
      <c r="C384" s="22"/>
      <c r="D384" s="22"/>
      <c r="E384" s="22"/>
      <c r="F384" s="22"/>
      <c r="G384" s="22"/>
      <c r="H384" s="29"/>
      <c r="I384" s="22"/>
      <c r="J384" s="72" t="s">
        <v>431</v>
      </c>
      <c r="K384" s="22"/>
      <c r="L384" s="22"/>
      <c r="M384" s="22"/>
      <c r="N384" s="22"/>
      <c r="O384" s="22"/>
      <c r="P384" s="22"/>
      <c r="Q384" s="22"/>
      <c r="R384" s="22"/>
      <c r="S384" s="22"/>
      <c r="T384" s="88"/>
      <c r="U384" s="22"/>
      <c r="V384" s="22"/>
      <c r="W384" s="22"/>
      <c r="X384" s="22"/>
      <c r="Y384" s="22"/>
    </row>
    <row r="385" spans="2:25" ht="30">
      <c r="B385" s="73" t="s">
        <v>342</v>
      </c>
      <c r="C385" s="73" t="s">
        <v>343</v>
      </c>
      <c r="D385" s="78" t="s">
        <v>344</v>
      </c>
      <c r="E385" s="73" t="s">
        <v>345</v>
      </c>
      <c r="F385" s="73"/>
      <c r="G385" s="73"/>
      <c r="H385" s="88"/>
      <c r="I385" s="22"/>
      <c r="J385" s="73" t="s">
        <v>342</v>
      </c>
      <c r="K385" s="73" t="s">
        <v>343</v>
      </c>
      <c r="L385" s="78" t="s">
        <v>347</v>
      </c>
      <c r="M385" s="73" t="s">
        <v>345</v>
      </c>
      <c r="N385" s="22"/>
      <c r="O385" s="22"/>
      <c r="P385" s="22"/>
      <c r="Q385" s="22"/>
      <c r="R385" s="22"/>
      <c r="S385" s="22"/>
      <c r="T385" s="88"/>
      <c r="U385" s="22"/>
      <c r="V385" s="22"/>
      <c r="W385" s="22"/>
      <c r="X385" s="22"/>
      <c r="Y385" s="22"/>
    </row>
    <row r="386" spans="2:25">
      <c r="B386" s="73">
        <v>1</v>
      </c>
      <c r="C386" s="73" t="s">
        <v>98</v>
      </c>
      <c r="D386" s="74">
        <v>14.76</v>
      </c>
      <c r="E386" s="83">
        <v>0.48330000000000001</v>
      </c>
      <c r="F386" s="83"/>
      <c r="G386" s="83"/>
      <c r="H386" s="88"/>
      <c r="I386" s="22"/>
      <c r="J386" s="73">
        <v>1</v>
      </c>
      <c r="K386" s="73" t="s">
        <v>98</v>
      </c>
      <c r="L386" s="81">
        <v>106.78</v>
      </c>
      <c r="M386" s="83">
        <v>0.47620000000000001</v>
      </c>
      <c r="N386" s="29"/>
      <c r="O386" s="22"/>
      <c r="P386" s="22"/>
      <c r="Q386" s="72"/>
      <c r="R386" s="94"/>
      <c r="S386" s="72"/>
      <c r="T386" s="29"/>
      <c r="U386" s="22"/>
      <c r="V386" s="22"/>
      <c r="W386" s="72"/>
      <c r="X386" s="94"/>
      <c r="Y386" s="72"/>
    </row>
    <row r="387" spans="2:25">
      <c r="B387" s="73">
        <v>2</v>
      </c>
      <c r="C387" s="73" t="s">
        <v>96</v>
      </c>
      <c r="D387" s="74">
        <v>7.74</v>
      </c>
      <c r="E387" s="83">
        <v>0.25359999999999999</v>
      </c>
      <c r="F387" s="83"/>
      <c r="G387" s="83"/>
      <c r="H387" s="86"/>
      <c r="I387" s="22"/>
      <c r="J387" s="73">
        <v>2</v>
      </c>
      <c r="K387" s="73" t="s">
        <v>96</v>
      </c>
      <c r="L387" s="81">
        <v>50.8</v>
      </c>
      <c r="M387" s="83">
        <v>0.2266</v>
      </c>
      <c r="N387" s="29"/>
      <c r="O387" s="22"/>
      <c r="P387" s="72"/>
      <c r="Q387" s="22"/>
      <c r="R387" s="22"/>
      <c r="S387" s="22"/>
      <c r="T387" s="22"/>
      <c r="U387" s="22"/>
      <c r="V387" s="22"/>
      <c r="W387" s="22"/>
      <c r="X387" s="22"/>
      <c r="Y387" s="22"/>
    </row>
    <row r="388" spans="2:25">
      <c r="B388" s="73">
        <v>3</v>
      </c>
      <c r="C388" s="73" t="s">
        <v>109</v>
      </c>
      <c r="D388" s="74">
        <v>2.06</v>
      </c>
      <c r="E388" s="83">
        <v>6.7599999999999993E-2</v>
      </c>
      <c r="F388" s="83"/>
      <c r="G388" s="83"/>
      <c r="H388" s="86"/>
      <c r="I388" s="22"/>
      <c r="J388" s="73">
        <v>3</v>
      </c>
      <c r="K388" s="73" t="s">
        <v>109</v>
      </c>
      <c r="L388" s="81">
        <v>15.39</v>
      </c>
      <c r="M388" s="83">
        <v>6.8599999999999994E-2</v>
      </c>
      <c r="N388" s="88"/>
      <c r="O388" s="22"/>
      <c r="P388" s="73"/>
      <c r="Q388" s="73"/>
      <c r="R388" s="78"/>
      <c r="S388" s="73"/>
      <c r="T388" s="88"/>
      <c r="U388" s="22"/>
      <c r="V388" s="22"/>
      <c r="W388" s="22"/>
      <c r="X388" s="22"/>
      <c r="Y388" s="22"/>
    </row>
    <row r="389" spans="2:25">
      <c r="B389" s="73">
        <v>4</v>
      </c>
      <c r="C389" s="73" t="s">
        <v>103</v>
      </c>
      <c r="D389" s="74">
        <v>1.38</v>
      </c>
      <c r="E389" s="83">
        <v>4.5199999999999997E-2</v>
      </c>
      <c r="F389" s="83"/>
      <c r="G389" s="83"/>
      <c r="H389" s="86"/>
      <c r="I389" s="22"/>
      <c r="J389" s="73">
        <v>4</v>
      </c>
      <c r="K389" s="73" t="s">
        <v>103</v>
      </c>
      <c r="L389" s="81">
        <v>10.73</v>
      </c>
      <c r="M389" s="83">
        <v>4.7899999999999998E-2</v>
      </c>
      <c r="N389" s="22"/>
      <c r="O389" s="22"/>
      <c r="P389" s="22"/>
      <c r="Q389" s="22"/>
      <c r="R389" s="22"/>
      <c r="S389" s="22"/>
      <c r="T389" s="88"/>
      <c r="U389" s="22"/>
      <c r="V389" s="22"/>
      <c r="W389" s="22"/>
      <c r="X389" s="22"/>
      <c r="Y389" s="22"/>
    </row>
    <row r="390" spans="2:25">
      <c r="B390" s="73">
        <v>5</v>
      </c>
      <c r="C390" s="73" t="s">
        <v>116</v>
      </c>
      <c r="D390" s="74">
        <v>0.68</v>
      </c>
      <c r="E390" s="83">
        <v>2.23E-2</v>
      </c>
      <c r="F390" s="83"/>
      <c r="G390" s="83"/>
      <c r="H390" s="86"/>
      <c r="I390" s="22"/>
      <c r="J390" s="73">
        <v>5</v>
      </c>
      <c r="K390" s="73" t="s">
        <v>114</v>
      </c>
      <c r="L390" s="81">
        <v>5.5</v>
      </c>
      <c r="M390" s="83">
        <v>2.4500000000000001E-2</v>
      </c>
      <c r="N390" s="22"/>
      <c r="O390" s="22"/>
      <c r="P390" s="22"/>
      <c r="Q390" s="22"/>
      <c r="R390" s="22"/>
      <c r="S390" s="22"/>
      <c r="T390" s="88"/>
      <c r="U390" s="22"/>
      <c r="V390" s="22"/>
      <c r="W390" s="22"/>
      <c r="X390" s="22"/>
      <c r="Y390" s="22"/>
    </row>
    <row r="391" spans="2:25">
      <c r="B391" s="73">
        <v>6</v>
      </c>
      <c r="C391" s="73" t="s">
        <v>114</v>
      </c>
      <c r="D391" s="74">
        <v>0.66</v>
      </c>
      <c r="E391" s="83">
        <v>2.1700000000000001E-2</v>
      </c>
      <c r="F391" s="83"/>
      <c r="G391" s="83"/>
      <c r="H391" s="86"/>
      <c r="I391" s="22"/>
      <c r="J391" s="73">
        <v>6</v>
      </c>
      <c r="K391" s="73" t="s">
        <v>116</v>
      </c>
      <c r="L391" s="81">
        <v>5.0999999999999996</v>
      </c>
      <c r="M391" s="83">
        <v>2.2800000000000001E-2</v>
      </c>
      <c r="N391" s="22"/>
      <c r="O391" s="22"/>
      <c r="P391" s="22"/>
      <c r="Q391" s="22"/>
      <c r="R391" s="22"/>
      <c r="S391" s="22"/>
      <c r="T391" s="88"/>
      <c r="U391" s="22"/>
      <c r="V391" s="22"/>
      <c r="W391" s="22"/>
      <c r="X391" s="22"/>
      <c r="Y391" s="22"/>
    </row>
    <row r="392" spans="2:25">
      <c r="B392" s="73">
        <v>7</v>
      </c>
      <c r="C392" s="73" t="s">
        <v>129</v>
      </c>
      <c r="D392" s="74">
        <v>0.53</v>
      </c>
      <c r="E392" s="83">
        <v>1.7299999999999999E-2</v>
      </c>
      <c r="F392" s="83"/>
      <c r="G392" s="83"/>
      <c r="H392" s="86"/>
      <c r="I392" s="22"/>
      <c r="J392" s="73">
        <v>7</v>
      </c>
      <c r="K392" s="73" t="s">
        <v>129</v>
      </c>
      <c r="L392" s="81">
        <v>5.05</v>
      </c>
      <c r="M392" s="83">
        <v>2.2499999999999999E-2</v>
      </c>
      <c r="N392" s="22"/>
      <c r="O392" s="22"/>
      <c r="P392" s="22"/>
      <c r="Q392" s="22"/>
      <c r="R392" s="22"/>
      <c r="S392" s="22"/>
      <c r="T392" s="88"/>
      <c r="U392" s="22"/>
      <c r="V392" s="22"/>
      <c r="W392" s="22"/>
      <c r="X392" s="22"/>
      <c r="Y392" s="22"/>
    </row>
    <row r="393" spans="2:25">
      <c r="B393" s="73">
        <v>8</v>
      </c>
      <c r="C393" s="73" t="s">
        <v>108</v>
      </c>
      <c r="D393" s="74">
        <v>0.51</v>
      </c>
      <c r="E393" s="83">
        <v>1.6799999999999999E-2</v>
      </c>
      <c r="F393" s="83"/>
      <c r="G393" s="83"/>
      <c r="H393" s="86"/>
      <c r="I393" s="22"/>
      <c r="J393" s="73">
        <v>8</v>
      </c>
      <c r="K393" s="73" t="s">
        <v>101</v>
      </c>
      <c r="L393" s="81">
        <v>4.71</v>
      </c>
      <c r="M393" s="83">
        <v>2.1000000000000001E-2</v>
      </c>
      <c r="N393" s="22"/>
      <c r="O393" s="22"/>
      <c r="P393" s="22"/>
      <c r="Q393" s="22"/>
      <c r="R393" s="22"/>
      <c r="S393" s="22"/>
      <c r="T393" s="88"/>
      <c r="U393" s="22"/>
      <c r="V393" s="22"/>
      <c r="W393" s="22"/>
      <c r="X393" s="22"/>
      <c r="Y393" s="22"/>
    </row>
    <row r="394" spans="2:25">
      <c r="B394" s="73">
        <v>9</v>
      </c>
      <c r="C394" s="73" t="s">
        <v>427</v>
      </c>
      <c r="D394" s="74">
        <v>0.47</v>
      </c>
      <c r="E394" s="83">
        <v>1.55E-2</v>
      </c>
      <c r="F394" s="83"/>
      <c r="G394" s="83"/>
      <c r="H394" s="86"/>
      <c r="I394" s="22"/>
      <c r="J394" s="73">
        <v>9</v>
      </c>
      <c r="K394" s="73" t="s">
        <v>108</v>
      </c>
      <c r="L394" s="81">
        <v>4.1900000000000004</v>
      </c>
      <c r="M394" s="83">
        <v>1.8700000000000001E-2</v>
      </c>
      <c r="N394" s="22"/>
      <c r="O394" s="22"/>
      <c r="P394" s="22"/>
      <c r="Q394" s="22"/>
      <c r="R394" s="22"/>
      <c r="S394" s="22"/>
      <c r="T394" s="88"/>
      <c r="U394" s="22"/>
      <c r="V394" s="22"/>
      <c r="W394" s="22"/>
      <c r="X394" s="22"/>
      <c r="Y394" s="22"/>
    </row>
    <row r="395" spans="2:25">
      <c r="B395" s="73">
        <v>10</v>
      </c>
      <c r="C395" s="73" t="s">
        <v>432</v>
      </c>
      <c r="D395" s="74">
        <v>0.31</v>
      </c>
      <c r="E395" s="83">
        <v>1.0200000000000001E-2</v>
      </c>
      <c r="F395" s="83"/>
      <c r="G395" s="83"/>
      <c r="H395" s="86"/>
      <c r="I395" s="22"/>
      <c r="J395" s="73">
        <v>10</v>
      </c>
      <c r="K395" s="73" t="s">
        <v>336</v>
      </c>
      <c r="L395" s="81">
        <v>3.62</v>
      </c>
      <c r="M395" s="83">
        <v>1.6199999999999999E-2</v>
      </c>
      <c r="N395" s="22"/>
      <c r="O395" s="22"/>
      <c r="P395" s="22"/>
      <c r="Q395" s="22"/>
      <c r="R395" s="22"/>
      <c r="S395" s="22"/>
      <c r="T395" s="88"/>
      <c r="U395" s="22"/>
      <c r="V395" s="22"/>
      <c r="W395" s="22"/>
      <c r="X395" s="22"/>
      <c r="Y395" s="22"/>
    </row>
    <row r="396" spans="2:25">
      <c r="B396" s="73">
        <v>11</v>
      </c>
      <c r="C396" s="73" t="s">
        <v>433</v>
      </c>
      <c r="D396" s="74">
        <v>0.25</v>
      </c>
      <c r="E396" s="83">
        <v>8.2000000000000007E-3</v>
      </c>
      <c r="F396" s="83"/>
      <c r="G396" s="83"/>
      <c r="H396" s="86"/>
      <c r="I396" s="22"/>
      <c r="J396" s="73">
        <v>11</v>
      </c>
      <c r="K396" s="73" t="s">
        <v>428</v>
      </c>
      <c r="L396" s="81">
        <v>2.08</v>
      </c>
      <c r="M396" s="83">
        <v>9.2999999999999992E-3</v>
      </c>
      <c r="N396" s="22"/>
      <c r="O396" s="22"/>
      <c r="P396" s="22"/>
      <c r="Q396" s="22"/>
      <c r="R396" s="22"/>
      <c r="S396" s="22"/>
      <c r="T396" s="88"/>
      <c r="U396" s="22"/>
      <c r="V396" s="22"/>
      <c r="W396" s="22"/>
      <c r="X396" s="22"/>
      <c r="Y396" s="22"/>
    </row>
    <row r="397" spans="2:25">
      <c r="B397" s="73">
        <v>12</v>
      </c>
      <c r="C397" s="73" t="s">
        <v>357</v>
      </c>
      <c r="D397" s="74">
        <v>0.2</v>
      </c>
      <c r="E397" s="83">
        <v>6.6E-3</v>
      </c>
      <c r="F397" s="83"/>
      <c r="G397" s="83"/>
      <c r="H397" s="86"/>
      <c r="I397" s="22"/>
      <c r="J397" s="73">
        <v>12</v>
      </c>
      <c r="K397" s="73" t="s">
        <v>357</v>
      </c>
      <c r="L397" s="81">
        <v>2.0099999999999998</v>
      </c>
      <c r="M397" s="83">
        <v>8.9999999999999993E-3</v>
      </c>
      <c r="N397" s="22"/>
      <c r="O397" s="22"/>
      <c r="P397" s="22"/>
      <c r="Q397" s="22"/>
      <c r="R397" s="22"/>
      <c r="S397" s="22"/>
      <c r="T397" s="88"/>
      <c r="U397" s="22"/>
      <c r="V397" s="22"/>
      <c r="W397" s="22"/>
      <c r="X397" s="22"/>
      <c r="Y397" s="22"/>
    </row>
    <row r="398" spans="2:25">
      <c r="B398" s="73">
        <v>13</v>
      </c>
      <c r="C398" s="73" t="s">
        <v>101</v>
      </c>
      <c r="D398" s="74">
        <v>0.19</v>
      </c>
      <c r="E398" s="83">
        <v>6.1999999999999998E-3</v>
      </c>
      <c r="F398" s="83"/>
      <c r="G398" s="83"/>
      <c r="H398" s="86"/>
      <c r="I398" s="22"/>
      <c r="J398" s="73">
        <v>13</v>
      </c>
      <c r="K398" s="73" t="s">
        <v>352</v>
      </c>
      <c r="L398" s="81">
        <v>1.61</v>
      </c>
      <c r="M398" s="83">
        <v>7.1999999999999998E-3</v>
      </c>
      <c r="N398" s="22"/>
      <c r="O398" s="22"/>
      <c r="P398" s="22"/>
      <c r="Q398" s="22"/>
      <c r="R398" s="22"/>
      <c r="S398" s="22"/>
      <c r="T398" s="88"/>
      <c r="U398" s="22"/>
      <c r="V398" s="22"/>
      <c r="W398" s="22"/>
      <c r="X398" s="22"/>
      <c r="Y398" s="22"/>
    </row>
    <row r="399" spans="2:25">
      <c r="B399" s="73">
        <v>14</v>
      </c>
      <c r="C399" s="73" t="s">
        <v>113</v>
      </c>
      <c r="D399" s="74">
        <v>0.16</v>
      </c>
      <c r="E399" s="83">
        <v>5.1999999999999998E-3</v>
      </c>
      <c r="F399" s="83"/>
      <c r="G399" s="83"/>
      <c r="H399" s="86"/>
      <c r="I399" s="22"/>
      <c r="J399" s="73">
        <v>14</v>
      </c>
      <c r="K399" s="73" t="s">
        <v>113</v>
      </c>
      <c r="L399" s="81">
        <v>1.1299999999999999</v>
      </c>
      <c r="M399" s="83">
        <v>5.0000000000000001E-3</v>
      </c>
      <c r="N399" s="22"/>
      <c r="O399" s="22"/>
      <c r="P399" s="22"/>
      <c r="Q399" s="22"/>
      <c r="R399" s="22"/>
      <c r="S399" s="22"/>
      <c r="T399" s="88"/>
      <c r="U399" s="22"/>
      <c r="V399" s="22"/>
      <c r="W399" s="22"/>
      <c r="X399" s="22"/>
      <c r="Y399" s="22"/>
    </row>
    <row r="400" spans="2:25">
      <c r="B400" s="73">
        <v>15</v>
      </c>
      <c r="C400" s="73" t="s">
        <v>352</v>
      </c>
      <c r="D400" s="74">
        <v>0.15</v>
      </c>
      <c r="E400" s="83">
        <v>4.7999999999999996E-3</v>
      </c>
      <c r="F400" s="83"/>
      <c r="G400" s="83"/>
      <c r="H400" s="86"/>
      <c r="I400" s="22"/>
      <c r="J400" s="73">
        <v>15</v>
      </c>
      <c r="K400" s="73" t="s">
        <v>363</v>
      </c>
      <c r="L400" s="81">
        <v>1.07</v>
      </c>
      <c r="M400" s="83">
        <v>4.7999999999999996E-3</v>
      </c>
      <c r="N400" s="22"/>
      <c r="O400" s="22"/>
      <c r="P400" s="22"/>
      <c r="Q400" s="22"/>
      <c r="R400" s="22"/>
      <c r="S400" s="22"/>
      <c r="T400" s="88"/>
      <c r="U400" s="22"/>
      <c r="V400" s="22"/>
      <c r="W400" s="22"/>
      <c r="X400" s="22"/>
      <c r="Y400" s="22"/>
    </row>
    <row r="401" spans="2:25">
      <c r="B401" s="73"/>
      <c r="C401" s="73"/>
      <c r="D401" s="74"/>
      <c r="E401" s="83"/>
      <c r="F401" s="83"/>
      <c r="G401" s="83"/>
      <c r="H401" s="86"/>
      <c r="I401" s="22"/>
      <c r="J401" s="73"/>
      <c r="K401" s="73"/>
      <c r="L401" s="81"/>
      <c r="M401" s="83"/>
      <c r="N401" s="22"/>
      <c r="O401" s="22"/>
      <c r="P401" s="22"/>
      <c r="Q401" s="22"/>
      <c r="R401" s="22"/>
      <c r="S401" s="22"/>
      <c r="T401" s="88"/>
      <c r="U401" s="22"/>
      <c r="V401" s="22"/>
      <c r="W401" s="22"/>
      <c r="X401" s="22"/>
      <c r="Y401" s="22"/>
    </row>
    <row r="402" spans="2:25">
      <c r="B402" s="73"/>
      <c r="C402" s="73"/>
      <c r="D402" s="74"/>
      <c r="E402" s="83"/>
      <c r="F402" s="83"/>
      <c r="G402" s="83"/>
      <c r="H402" s="86"/>
      <c r="I402" s="22"/>
      <c r="J402" s="73"/>
      <c r="K402" s="73"/>
      <c r="L402" s="81"/>
      <c r="M402" s="83"/>
      <c r="N402" s="22"/>
      <c r="O402" s="22"/>
      <c r="P402" s="22"/>
      <c r="Q402" s="22"/>
      <c r="R402" s="22"/>
      <c r="S402" s="22"/>
      <c r="T402" s="88"/>
      <c r="U402" s="22"/>
      <c r="V402" s="22"/>
      <c r="W402" s="22"/>
      <c r="X402" s="22"/>
      <c r="Y402" s="22"/>
    </row>
    <row r="403" spans="2:25">
      <c r="B403" s="22"/>
      <c r="C403" s="22"/>
      <c r="D403" s="22"/>
      <c r="E403" s="22"/>
      <c r="F403" s="22"/>
      <c r="G403" s="22"/>
      <c r="H403" s="22"/>
      <c r="I403" s="22"/>
      <c r="J403" s="22"/>
      <c r="K403" s="72"/>
      <c r="L403" s="94"/>
      <c r="M403" s="72"/>
      <c r="N403" s="22"/>
      <c r="O403" s="22"/>
      <c r="P403" s="22"/>
      <c r="Q403" s="22"/>
      <c r="R403" s="22"/>
      <c r="S403" s="22"/>
      <c r="T403" s="88"/>
      <c r="U403" s="22"/>
      <c r="V403" s="22"/>
      <c r="W403" s="22"/>
      <c r="X403" s="22"/>
      <c r="Y403" s="22"/>
    </row>
    <row r="404" spans="2:25">
      <c r="B404" s="72" t="s">
        <v>434</v>
      </c>
      <c r="C404" s="22"/>
      <c r="D404" s="22"/>
      <c r="E404" s="22"/>
      <c r="F404" s="22"/>
      <c r="G404" s="22"/>
      <c r="H404" s="29"/>
      <c r="I404" s="22"/>
      <c r="J404" s="72" t="s">
        <v>435</v>
      </c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 spans="2:25" ht="30">
      <c r="B405" s="73" t="s">
        <v>342</v>
      </c>
      <c r="C405" s="73" t="s">
        <v>343</v>
      </c>
      <c r="D405" s="78" t="s">
        <v>344</v>
      </c>
      <c r="E405" s="73" t="s">
        <v>345</v>
      </c>
      <c r="F405" s="73"/>
      <c r="G405" s="73"/>
      <c r="H405" s="88"/>
      <c r="I405" s="22"/>
      <c r="J405" s="73" t="s">
        <v>342</v>
      </c>
      <c r="K405" s="73" t="s">
        <v>343</v>
      </c>
      <c r="L405" s="78" t="s">
        <v>347</v>
      </c>
      <c r="M405" s="73" t="s">
        <v>345</v>
      </c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 spans="2:25">
      <c r="B406" s="73">
        <v>1</v>
      </c>
      <c r="C406" s="73" t="s">
        <v>98</v>
      </c>
      <c r="D406" s="74">
        <v>15.12</v>
      </c>
      <c r="E406" s="83">
        <v>0.47799999999999998</v>
      </c>
      <c r="F406" s="83"/>
      <c r="G406" s="83"/>
      <c r="H406" s="88"/>
      <c r="I406" s="22"/>
      <c r="J406" s="73">
        <v>1</v>
      </c>
      <c r="K406" s="73" t="s">
        <v>98</v>
      </c>
      <c r="L406" s="73">
        <v>92.02</v>
      </c>
      <c r="M406" s="83">
        <v>0.47510000000000002</v>
      </c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 spans="2:25">
      <c r="B407" s="73">
        <v>2</v>
      </c>
      <c r="C407" s="73" t="s">
        <v>96</v>
      </c>
      <c r="D407" s="74">
        <v>7.1</v>
      </c>
      <c r="E407" s="83">
        <v>0.22439999999999999</v>
      </c>
      <c r="F407" s="83"/>
      <c r="G407" s="83"/>
      <c r="H407" s="86"/>
      <c r="I407" s="22"/>
      <c r="J407" s="73">
        <v>2</v>
      </c>
      <c r="K407" s="73" t="s">
        <v>96</v>
      </c>
      <c r="L407" s="73">
        <v>43.06</v>
      </c>
      <c r="M407" s="83">
        <v>0.2223</v>
      </c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 spans="2:25">
      <c r="B408" s="73">
        <v>3</v>
      </c>
      <c r="C408" s="73" t="s">
        <v>109</v>
      </c>
      <c r="D408" s="74">
        <v>1.95</v>
      </c>
      <c r="E408" s="83">
        <v>6.1600000000000002E-2</v>
      </c>
      <c r="F408" s="83"/>
      <c r="G408" s="83"/>
      <c r="H408" s="86"/>
      <c r="I408" s="22"/>
      <c r="J408" s="73">
        <v>3</v>
      </c>
      <c r="K408" s="73" t="s">
        <v>109</v>
      </c>
      <c r="L408" s="73">
        <v>13.33</v>
      </c>
      <c r="M408" s="83">
        <v>6.88E-2</v>
      </c>
      <c r="N408" s="29"/>
      <c r="O408" s="22"/>
      <c r="P408" s="72"/>
      <c r="Q408" s="22"/>
      <c r="R408" s="22"/>
      <c r="S408" s="22"/>
      <c r="T408" s="22"/>
      <c r="U408" s="22"/>
      <c r="V408" s="22"/>
      <c r="W408" s="22"/>
      <c r="X408" s="22"/>
      <c r="Y408" s="22"/>
    </row>
    <row r="409" spans="2:25">
      <c r="B409" s="73">
        <v>4</v>
      </c>
      <c r="C409" s="73" t="s">
        <v>103</v>
      </c>
      <c r="D409" s="74">
        <v>1.37</v>
      </c>
      <c r="E409" s="83">
        <v>4.3299999999999998E-2</v>
      </c>
      <c r="F409" s="83"/>
      <c r="G409" s="83"/>
      <c r="H409" s="86"/>
      <c r="I409" s="22"/>
      <c r="J409" s="73">
        <v>4</v>
      </c>
      <c r="K409" s="73" t="s">
        <v>103</v>
      </c>
      <c r="L409" s="73">
        <v>9.35</v>
      </c>
      <c r="M409" s="83">
        <v>4.8300000000000003E-2</v>
      </c>
      <c r="N409" s="88"/>
      <c r="O409" s="22"/>
      <c r="P409" s="73"/>
      <c r="Q409" s="73"/>
      <c r="R409" s="78"/>
      <c r="S409" s="73"/>
      <c r="T409" s="88"/>
      <c r="U409" s="22"/>
      <c r="V409" s="22"/>
      <c r="W409" s="22"/>
      <c r="X409" s="22"/>
      <c r="Y409" s="22"/>
    </row>
    <row r="410" spans="2:25">
      <c r="B410" s="73">
        <v>5</v>
      </c>
      <c r="C410" s="73" t="s">
        <v>101</v>
      </c>
      <c r="D410" s="74">
        <v>0.94</v>
      </c>
      <c r="E410" s="83">
        <v>2.9600000000000001E-2</v>
      </c>
      <c r="F410" s="83"/>
      <c r="G410" s="83"/>
      <c r="H410" s="86"/>
      <c r="I410" s="22"/>
      <c r="J410" s="73">
        <v>5</v>
      </c>
      <c r="K410" s="73" t="s">
        <v>114</v>
      </c>
      <c r="L410" s="73">
        <v>4.4800000000000004</v>
      </c>
      <c r="M410" s="83">
        <v>2.5000000000000001E-2</v>
      </c>
      <c r="N410" s="22"/>
      <c r="O410" s="22"/>
      <c r="P410" s="22"/>
      <c r="Q410" s="22"/>
      <c r="R410" s="22"/>
      <c r="S410" s="22"/>
      <c r="T410" s="88"/>
      <c r="U410" s="22"/>
      <c r="V410" s="22"/>
      <c r="W410" s="22"/>
      <c r="X410" s="22"/>
      <c r="Y410" s="22"/>
    </row>
    <row r="411" spans="2:25">
      <c r="B411" s="73">
        <v>6</v>
      </c>
      <c r="C411" s="73" t="s">
        <v>114</v>
      </c>
      <c r="D411" s="74">
        <v>0.8</v>
      </c>
      <c r="E411" s="83">
        <v>2.52E-2</v>
      </c>
      <c r="F411" s="83"/>
      <c r="G411" s="83"/>
      <c r="H411" s="86"/>
      <c r="I411" s="22"/>
      <c r="J411" s="73">
        <v>6</v>
      </c>
      <c r="K411" s="73" t="s">
        <v>101</v>
      </c>
      <c r="L411" s="73">
        <v>4.5199999999999996</v>
      </c>
      <c r="M411" s="83">
        <v>2.3300000000000001E-2</v>
      </c>
      <c r="N411" s="22"/>
      <c r="O411" s="22"/>
      <c r="P411" s="22"/>
      <c r="Q411" s="22"/>
      <c r="R411" s="22"/>
      <c r="S411" s="22"/>
      <c r="T411" s="88"/>
      <c r="U411" s="22"/>
      <c r="V411" s="22"/>
      <c r="W411" s="22"/>
      <c r="X411" s="22"/>
      <c r="Y411" s="22"/>
    </row>
    <row r="412" spans="2:25">
      <c r="B412" s="73">
        <v>7</v>
      </c>
      <c r="C412" s="73" t="s">
        <v>116</v>
      </c>
      <c r="D412" s="74">
        <v>0.74</v>
      </c>
      <c r="E412" s="83">
        <v>2.35E-2</v>
      </c>
      <c r="F412" s="83"/>
      <c r="G412" s="83"/>
      <c r="H412" s="86"/>
      <c r="I412" s="22"/>
      <c r="J412" s="73">
        <v>7</v>
      </c>
      <c r="K412" s="73" t="s">
        <v>129</v>
      </c>
      <c r="L412" s="73">
        <v>4.5199999999999996</v>
      </c>
      <c r="M412" s="83">
        <v>2.3300000000000001E-2</v>
      </c>
      <c r="N412" s="22"/>
      <c r="O412" s="22"/>
      <c r="P412" s="22"/>
      <c r="Q412" s="22"/>
      <c r="R412" s="22"/>
      <c r="S412" s="22"/>
      <c r="T412" s="88"/>
      <c r="U412" s="22"/>
      <c r="V412" s="22"/>
      <c r="W412" s="22"/>
      <c r="X412" s="22"/>
      <c r="Y412" s="22"/>
    </row>
    <row r="413" spans="2:25">
      <c r="B413" s="73">
        <v>8</v>
      </c>
      <c r="C413" s="73" t="s">
        <v>336</v>
      </c>
      <c r="D413" s="74">
        <v>0.66</v>
      </c>
      <c r="E413" s="83">
        <v>2.0799999999999999E-2</v>
      </c>
      <c r="F413" s="83"/>
      <c r="G413" s="83"/>
      <c r="H413" s="86"/>
      <c r="I413" s="22"/>
      <c r="J413" s="73">
        <v>8</v>
      </c>
      <c r="K413" s="73" t="s">
        <v>116</v>
      </c>
      <c r="L413" s="73">
        <v>4.42</v>
      </c>
      <c r="M413" s="83">
        <v>2.2800000000000001E-2</v>
      </c>
      <c r="N413" s="22"/>
      <c r="O413" s="22"/>
      <c r="P413" s="22"/>
      <c r="Q413" s="22"/>
      <c r="R413" s="22"/>
      <c r="S413" s="22"/>
      <c r="T413" s="88"/>
      <c r="U413" s="22"/>
      <c r="V413" s="22"/>
      <c r="W413" s="22"/>
      <c r="X413" s="22"/>
      <c r="Y413" s="22"/>
    </row>
    <row r="414" spans="2:25">
      <c r="B414" s="73">
        <v>9</v>
      </c>
      <c r="C414" s="73" t="s">
        <v>129</v>
      </c>
      <c r="D414" s="74">
        <v>0.66</v>
      </c>
      <c r="E414" s="83">
        <v>2.07E-2</v>
      </c>
      <c r="F414" s="83"/>
      <c r="G414" s="83"/>
      <c r="H414" s="86"/>
      <c r="I414" s="22"/>
      <c r="J414" s="73">
        <v>9</v>
      </c>
      <c r="K414" s="73" t="s">
        <v>108</v>
      </c>
      <c r="L414" s="73">
        <v>3.68</v>
      </c>
      <c r="M414" s="83">
        <v>1.9E-2</v>
      </c>
      <c r="N414" s="22"/>
      <c r="O414" s="22"/>
      <c r="P414" s="22"/>
      <c r="Q414" s="22"/>
      <c r="R414" s="22"/>
      <c r="S414" s="22"/>
      <c r="T414" s="88"/>
      <c r="U414" s="22"/>
      <c r="V414" s="22"/>
      <c r="W414" s="22"/>
      <c r="X414" s="22"/>
      <c r="Y414" s="22"/>
    </row>
    <row r="415" spans="2:25">
      <c r="B415" s="73">
        <v>10</v>
      </c>
      <c r="C415" s="73" t="s">
        <v>428</v>
      </c>
      <c r="D415" s="74">
        <v>0.57999999999999996</v>
      </c>
      <c r="E415" s="83">
        <v>1.8499999999999999E-2</v>
      </c>
      <c r="F415" s="83"/>
      <c r="G415" s="83"/>
      <c r="H415" s="86"/>
      <c r="I415" s="22"/>
      <c r="J415" s="73">
        <v>10</v>
      </c>
      <c r="K415" s="73" t="s">
        <v>336</v>
      </c>
      <c r="L415" s="73">
        <v>3.15</v>
      </c>
      <c r="M415" s="83">
        <v>1.6299999999999999E-2</v>
      </c>
      <c r="N415" s="22"/>
      <c r="O415" s="22"/>
      <c r="P415" s="22"/>
      <c r="Q415" s="22"/>
      <c r="R415" s="22"/>
      <c r="S415" s="22"/>
      <c r="T415" s="88"/>
      <c r="U415" s="22"/>
      <c r="V415" s="22"/>
      <c r="W415" s="22"/>
      <c r="X415" s="22"/>
      <c r="Y415" s="22"/>
    </row>
    <row r="416" spans="2:25">
      <c r="B416" s="73">
        <v>11</v>
      </c>
      <c r="C416" s="73" t="s">
        <v>108</v>
      </c>
      <c r="D416" s="74">
        <v>0.52</v>
      </c>
      <c r="E416" s="83">
        <v>1.6299999999999999E-2</v>
      </c>
      <c r="F416" s="83"/>
      <c r="G416" s="83"/>
      <c r="H416" s="86"/>
      <c r="I416" s="22"/>
      <c r="J416" s="73">
        <v>11</v>
      </c>
      <c r="K416" s="73" t="s">
        <v>428</v>
      </c>
      <c r="L416" s="73">
        <v>1.83</v>
      </c>
      <c r="M416" s="83">
        <v>9.4999999999999998E-3</v>
      </c>
      <c r="N416" s="22"/>
      <c r="O416" s="22"/>
      <c r="P416" s="22"/>
      <c r="Q416" s="22"/>
      <c r="R416" s="22"/>
      <c r="S416" s="22"/>
      <c r="T416" s="88"/>
      <c r="U416" s="22"/>
      <c r="V416" s="22"/>
      <c r="W416" s="22"/>
      <c r="X416" s="22"/>
      <c r="Y416" s="22"/>
    </row>
    <row r="417" spans="2:25">
      <c r="B417" s="73">
        <v>12</v>
      </c>
      <c r="C417" s="73" t="s">
        <v>357</v>
      </c>
      <c r="D417" s="74">
        <v>0.31</v>
      </c>
      <c r="E417" s="83">
        <v>9.7000000000000003E-3</v>
      </c>
      <c r="F417" s="83"/>
      <c r="G417" s="83"/>
      <c r="H417" s="86"/>
      <c r="I417" s="22"/>
      <c r="J417" s="73">
        <v>12</v>
      </c>
      <c r="K417" s="73" t="s">
        <v>357</v>
      </c>
      <c r="L417" s="73">
        <v>1.81</v>
      </c>
      <c r="M417" s="83">
        <v>9.2999999999999992E-3</v>
      </c>
      <c r="N417" s="22"/>
      <c r="O417" s="22"/>
      <c r="P417" s="22"/>
      <c r="Q417" s="22"/>
      <c r="R417" s="22"/>
      <c r="S417" s="22"/>
      <c r="T417" s="88"/>
      <c r="U417" s="22"/>
      <c r="V417" s="22"/>
      <c r="W417" s="22"/>
      <c r="X417" s="22"/>
      <c r="Y417" s="22"/>
    </row>
    <row r="418" spans="2:25">
      <c r="B418" s="73">
        <v>13</v>
      </c>
      <c r="C418" s="73" t="s">
        <v>352</v>
      </c>
      <c r="D418" s="74">
        <v>0.14000000000000001</v>
      </c>
      <c r="E418" s="83">
        <v>4.4000000000000003E-3</v>
      </c>
      <c r="F418" s="83"/>
      <c r="G418" s="83"/>
      <c r="H418" s="86"/>
      <c r="I418" s="22"/>
      <c r="J418" s="73">
        <v>13</v>
      </c>
      <c r="K418" s="73" t="s">
        <v>352</v>
      </c>
      <c r="L418" s="73">
        <v>1.46</v>
      </c>
      <c r="M418" s="83">
        <v>7.6E-3</v>
      </c>
      <c r="N418" s="22"/>
      <c r="O418" s="22"/>
      <c r="P418" s="22"/>
      <c r="Q418" s="22"/>
      <c r="R418" s="22"/>
      <c r="S418" s="22"/>
      <c r="T418" s="88"/>
      <c r="U418" s="22"/>
      <c r="V418" s="22"/>
      <c r="W418" s="22"/>
      <c r="X418" s="22"/>
      <c r="Y418" s="22"/>
    </row>
    <row r="419" spans="2:25">
      <c r="B419" s="73">
        <v>14</v>
      </c>
      <c r="C419" s="73" t="s">
        <v>113</v>
      </c>
      <c r="D419" s="74">
        <v>0.14000000000000001</v>
      </c>
      <c r="E419" s="83">
        <v>4.3E-3</v>
      </c>
      <c r="F419" s="83"/>
      <c r="G419" s="83"/>
      <c r="H419" s="86"/>
      <c r="I419" s="22"/>
      <c r="J419" s="73">
        <v>14</v>
      </c>
      <c r="K419" s="73" t="s">
        <v>113</v>
      </c>
      <c r="L419" s="73">
        <v>0.97</v>
      </c>
      <c r="M419" s="83">
        <v>5.0000000000000001E-3</v>
      </c>
      <c r="N419" s="22"/>
      <c r="O419" s="22"/>
      <c r="P419" s="22"/>
      <c r="Q419" s="22"/>
      <c r="R419" s="22"/>
      <c r="S419" s="22"/>
      <c r="T419" s="88"/>
      <c r="U419" s="22"/>
      <c r="V419" s="22"/>
      <c r="W419" s="22"/>
      <c r="X419" s="22"/>
      <c r="Y419" s="22"/>
    </row>
    <row r="420" spans="2:25">
      <c r="B420" s="73">
        <v>15</v>
      </c>
      <c r="C420" s="73" t="s">
        <v>363</v>
      </c>
      <c r="D420" s="74">
        <v>0.11</v>
      </c>
      <c r="E420" s="83">
        <v>3.5000000000000001E-3</v>
      </c>
      <c r="F420" s="83"/>
      <c r="G420" s="83"/>
      <c r="H420" s="86"/>
      <c r="I420" s="22"/>
      <c r="J420" s="73">
        <v>15</v>
      </c>
      <c r="K420" s="73" t="s">
        <v>363</v>
      </c>
      <c r="L420" s="73">
        <v>0.97</v>
      </c>
      <c r="M420" s="83">
        <v>5.0000000000000001E-3</v>
      </c>
      <c r="N420" s="22"/>
      <c r="O420" s="22"/>
      <c r="P420" s="22"/>
      <c r="Q420" s="22"/>
      <c r="R420" s="22"/>
      <c r="S420" s="22"/>
      <c r="T420" s="88"/>
      <c r="U420" s="22"/>
      <c r="V420" s="22"/>
      <c r="W420" s="22"/>
      <c r="X420" s="22"/>
      <c r="Y420" s="22"/>
    </row>
    <row r="421" spans="2:25"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88"/>
      <c r="U421" s="22"/>
      <c r="V421" s="22"/>
      <c r="W421" s="22"/>
      <c r="X421" s="22"/>
      <c r="Y421" s="22"/>
    </row>
    <row r="422" spans="2:25"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88"/>
      <c r="U422" s="22"/>
      <c r="V422" s="22"/>
      <c r="W422" s="22"/>
      <c r="X422" s="22"/>
      <c r="Y422" s="22"/>
    </row>
    <row r="423" spans="2:25"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88"/>
      <c r="U423" s="22"/>
      <c r="V423" s="22"/>
      <c r="W423" s="22"/>
      <c r="X423" s="22"/>
      <c r="Y423" s="22"/>
    </row>
    <row r="424" spans="2:25"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88"/>
      <c r="U424" s="22"/>
      <c r="V424" s="22"/>
      <c r="W424" s="22"/>
      <c r="X424" s="22"/>
      <c r="Y424" s="22"/>
    </row>
    <row r="425" spans="2:25">
      <c r="B425" s="72" t="s">
        <v>436</v>
      </c>
      <c r="C425" s="22"/>
      <c r="D425" s="22"/>
      <c r="E425" s="22"/>
      <c r="F425" s="22"/>
      <c r="G425" s="22"/>
      <c r="H425" s="29"/>
      <c r="I425" s="22"/>
      <c r="J425" s="72" t="s">
        <v>437</v>
      </c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 spans="2:25" ht="30">
      <c r="B426" s="73" t="s">
        <v>342</v>
      </c>
      <c r="C426" s="73" t="s">
        <v>343</v>
      </c>
      <c r="D426" s="78" t="s">
        <v>344</v>
      </c>
      <c r="E426" s="73" t="s">
        <v>345</v>
      </c>
      <c r="F426" s="73"/>
      <c r="G426" s="73"/>
      <c r="H426" s="88"/>
      <c r="I426" s="22"/>
      <c r="J426" s="73" t="s">
        <v>342</v>
      </c>
      <c r="K426" s="73" t="s">
        <v>343</v>
      </c>
      <c r="L426" s="78" t="s">
        <v>347</v>
      </c>
      <c r="M426" s="73" t="s">
        <v>345</v>
      </c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 spans="2:25">
      <c r="B427" s="73">
        <v>1</v>
      </c>
      <c r="C427" s="73" t="s">
        <v>98</v>
      </c>
      <c r="D427" s="78">
        <v>12.99</v>
      </c>
      <c r="E427" s="83">
        <v>0.46789999999999998</v>
      </c>
      <c r="F427" s="83"/>
      <c r="G427" s="83"/>
      <c r="H427" s="88"/>
      <c r="I427" s="22"/>
      <c r="J427" s="73">
        <v>1</v>
      </c>
      <c r="K427" s="73" t="s">
        <v>98</v>
      </c>
      <c r="L427" s="73">
        <v>76.900000000000006</v>
      </c>
      <c r="M427" s="83">
        <v>0.47449999999999998</v>
      </c>
      <c r="N427" s="29"/>
      <c r="O427" s="22"/>
      <c r="P427" s="72"/>
      <c r="Q427" s="22"/>
      <c r="R427" s="22"/>
      <c r="S427" s="22"/>
      <c r="T427" s="22"/>
      <c r="U427" s="22"/>
      <c r="V427" s="22"/>
      <c r="W427" s="22"/>
      <c r="X427" s="22"/>
      <c r="Y427" s="22"/>
    </row>
    <row r="428" spans="2:25">
      <c r="B428" s="73">
        <v>2</v>
      </c>
      <c r="C428" s="73" t="s">
        <v>96</v>
      </c>
      <c r="D428" s="78">
        <v>6.08</v>
      </c>
      <c r="E428" s="83">
        <v>0.21909999999999999</v>
      </c>
      <c r="F428" s="83"/>
      <c r="G428" s="83"/>
      <c r="H428" s="86"/>
      <c r="I428" s="22"/>
      <c r="J428" s="73">
        <v>2</v>
      </c>
      <c r="K428" s="73" t="s">
        <v>96</v>
      </c>
      <c r="L428" s="73">
        <v>35.96</v>
      </c>
      <c r="M428" s="83">
        <v>0.22189999999999999</v>
      </c>
      <c r="N428" s="88"/>
      <c r="O428" s="22"/>
      <c r="P428" s="73"/>
      <c r="Q428" s="73"/>
      <c r="R428" s="78"/>
      <c r="S428" s="73"/>
      <c r="T428" s="88"/>
      <c r="U428" s="22"/>
      <c r="V428" s="22"/>
      <c r="W428" s="22"/>
      <c r="X428" s="22"/>
      <c r="Y428" s="22"/>
    </row>
    <row r="429" spans="2:25">
      <c r="B429" s="73">
        <v>3</v>
      </c>
      <c r="C429" s="73" t="s">
        <v>109</v>
      </c>
      <c r="D429" s="78">
        <v>1.56</v>
      </c>
      <c r="E429" s="83">
        <v>5.62E-2</v>
      </c>
      <c r="F429" s="83"/>
      <c r="G429" s="83"/>
      <c r="H429" s="86"/>
      <c r="I429" s="22"/>
      <c r="J429" s="73">
        <v>3</v>
      </c>
      <c r="K429" s="73" t="s">
        <v>109</v>
      </c>
      <c r="L429" s="73">
        <v>11.38</v>
      </c>
      <c r="M429" s="83">
        <v>7.0199999999999999E-2</v>
      </c>
      <c r="N429" s="22"/>
      <c r="O429" s="22"/>
      <c r="P429" s="73"/>
      <c r="Q429" s="73"/>
      <c r="R429" s="73"/>
      <c r="S429" s="86"/>
      <c r="T429" s="99"/>
      <c r="U429" s="22"/>
      <c r="V429" s="22"/>
      <c r="W429" s="22"/>
      <c r="X429" s="22"/>
      <c r="Y429" s="22"/>
    </row>
    <row r="430" spans="2:25">
      <c r="B430" s="73">
        <v>4</v>
      </c>
      <c r="C430" s="73" t="s">
        <v>103</v>
      </c>
      <c r="D430" s="78">
        <v>1.32</v>
      </c>
      <c r="E430" s="83">
        <v>4.7600000000000003E-2</v>
      </c>
      <c r="F430" s="83"/>
      <c r="G430" s="83"/>
      <c r="H430" s="86"/>
      <c r="I430" s="22"/>
      <c r="J430" s="73">
        <v>4</v>
      </c>
      <c r="K430" s="73" t="s">
        <v>103</v>
      </c>
      <c r="L430" s="73">
        <v>7.98</v>
      </c>
      <c r="M430" s="83">
        <v>4.9299999999999997E-2</v>
      </c>
      <c r="N430" s="22"/>
      <c r="O430" s="22"/>
      <c r="P430" s="73"/>
      <c r="Q430" s="73"/>
      <c r="R430" s="73"/>
      <c r="S430" s="86"/>
      <c r="T430" s="99"/>
      <c r="U430" s="22"/>
      <c r="V430" s="22"/>
      <c r="W430" s="22"/>
      <c r="X430" s="22"/>
      <c r="Y430" s="22"/>
    </row>
    <row r="431" spans="2:25">
      <c r="B431" s="73">
        <v>5</v>
      </c>
      <c r="C431" s="73" t="s">
        <v>114</v>
      </c>
      <c r="D431" s="78">
        <v>0.8</v>
      </c>
      <c r="E431" s="83">
        <v>2.8799999999999999E-2</v>
      </c>
      <c r="F431" s="83"/>
      <c r="G431" s="83"/>
      <c r="H431" s="86"/>
      <c r="I431" s="22"/>
      <c r="J431" s="73">
        <v>5</v>
      </c>
      <c r="K431" s="73" t="s">
        <v>114</v>
      </c>
      <c r="L431" s="73">
        <v>4.04</v>
      </c>
      <c r="M431" s="83">
        <v>2.5000000000000001E-2</v>
      </c>
      <c r="N431" s="22"/>
      <c r="O431" s="22"/>
      <c r="P431" s="73"/>
      <c r="Q431" s="73"/>
      <c r="R431" s="73"/>
      <c r="S431" s="86"/>
      <c r="T431" s="99"/>
      <c r="U431" s="22"/>
      <c r="V431" s="22"/>
      <c r="W431" s="22"/>
      <c r="X431" s="22"/>
      <c r="Y431" s="22"/>
    </row>
    <row r="432" spans="2:25">
      <c r="B432" s="73">
        <v>6</v>
      </c>
      <c r="C432" s="73" t="s">
        <v>129</v>
      </c>
      <c r="D432" s="78">
        <v>0.69</v>
      </c>
      <c r="E432" s="83">
        <v>2.4899999999999999E-2</v>
      </c>
      <c r="F432" s="83"/>
      <c r="G432" s="83"/>
      <c r="H432" s="86"/>
      <c r="I432" s="22"/>
      <c r="J432" s="73">
        <v>6</v>
      </c>
      <c r="K432" s="73" t="s">
        <v>129</v>
      </c>
      <c r="L432" s="73">
        <v>3.86</v>
      </c>
      <c r="M432" s="83">
        <v>2.3800000000000002E-2</v>
      </c>
      <c r="N432" s="22"/>
      <c r="O432" s="22"/>
      <c r="P432" s="73"/>
      <c r="Q432" s="73"/>
      <c r="R432" s="73"/>
      <c r="S432" s="86"/>
      <c r="T432" s="99"/>
      <c r="U432" s="22"/>
      <c r="V432" s="22"/>
      <c r="W432" s="22"/>
      <c r="X432" s="22"/>
      <c r="Y432" s="22"/>
    </row>
    <row r="433" spans="2:25">
      <c r="B433" s="73">
        <v>7</v>
      </c>
      <c r="C433" s="73" t="s">
        <v>116</v>
      </c>
      <c r="D433" s="78">
        <v>0.66</v>
      </c>
      <c r="E433" s="83">
        <v>2.3699999999999999E-2</v>
      </c>
      <c r="F433" s="83"/>
      <c r="G433" s="83"/>
      <c r="H433" s="86"/>
      <c r="I433" s="22"/>
      <c r="J433" s="73">
        <v>7</v>
      </c>
      <c r="K433" s="73" t="s">
        <v>116</v>
      </c>
      <c r="L433" s="73">
        <v>3.68</v>
      </c>
      <c r="M433" s="83">
        <v>2.2700000000000001E-2</v>
      </c>
      <c r="N433" s="22"/>
      <c r="O433" s="22"/>
      <c r="P433" s="73"/>
      <c r="Q433" s="73"/>
      <c r="R433" s="73"/>
      <c r="S433" s="86"/>
      <c r="T433" s="99"/>
      <c r="U433" s="22"/>
      <c r="V433" s="22"/>
      <c r="W433" s="22"/>
      <c r="X433" s="22"/>
      <c r="Y433" s="22"/>
    </row>
    <row r="434" spans="2:25">
      <c r="B434" s="73">
        <v>8</v>
      </c>
      <c r="C434" s="73" t="s">
        <v>108</v>
      </c>
      <c r="D434" s="78">
        <v>0.63</v>
      </c>
      <c r="E434" s="83">
        <v>2.2700000000000001E-2</v>
      </c>
      <c r="F434" s="83"/>
      <c r="G434" s="83"/>
      <c r="H434" s="86"/>
      <c r="I434" s="22"/>
      <c r="J434" s="73">
        <v>8</v>
      </c>
      <c r="K434" s="73" t="s">
        <v>101</v>
      </c>
      <c r="L434" s="73">
        <v>3.58</v>
      </c>
      <c r="M434" s="83">
        <v>2.2100000000000002E-2</v>
      </c>
      <c r="N434" s="22"/>
      <c r="O434" s="22"/>
      <c r="P434" s="73"/>
      <c r="Q434" s="73"/>
      <c r="R434" s="73"/>
      <c r="S434" s="86"/>
      <c r="T434" s="99"/>
      <c r="U434" s="22"/>
      <c r="V434" s="22"/>
      <c r="W434" s="22"/>
      <c r="X434" s="22"/>
      <c r="Y434" s="22"/>
    </row>
    <row r="435" spans="2:25">
      <c r="B435" s="73">
        <v>9</v>
      </c>
      <c r="C435" s="73" t="s">
        <v>336</v>
      </c>
      <c r="D435" s="78">
        <v>0.61</v>
      </c>
      <c r="E435" s="83">
        <v>2.1999999999999999E-2</v>
      </c>
      <c r="F435" s="83"/>
      <c r="G435" s="83"/>
      <c r="H435" s="86"/>
      <c r="I435" s="22"/>
      <c r="J435" s="73">
        <v>9</v>
      </c>
      <c r="K435" s="73" t="s">
        <v>108</v>
      </c>
      <c r="L435" s="73">
        <v>3.17</v>
      </c>
      <c r="M435" s="83">
        <v>1.95E-2</v>
      </c>
      <c r="N435" s="22"/>
      <c r="O435" s="22"/>
      <c r="P435" s="73"/>
      <c r="Q435" s="73"/>
      <c r="R435" s="73"/>
      <c r="S435" s="86"/>
      <c r="T435" s="99"/>
      <c r="U435" s="22"/>
      <c r="V435" s="22"/>
      <c r="W435" s="22"/>
      <c r="X435" s="22"/>
      <c r="Y435" s="22"/>
    </row>
    <row r="436" spans="2:25">
      <c r="B436" s="73">
        <v>10</v>
      </c>
      <c r="C436" s="73" t="s">
        <v>357</v>
      </c>
      <c r="D436" s="78">
        <v>0.43</v>
      </c>
      <c r="E436" s="83">
        <v>1.55E-2</v>
      </c>
      <c r="F436" s="83"/>
      <c r="G436" s="83"/>
      <c r="H436" s="86"/>
      <c r="I436" s="22"/>
      <c r="J436" s="73">
        <v>10</v>
      </c>
      <c r="K436" s="73" t="s">
        <v>336</v>
      </c>
      <c r="L436" s="73">
        <v>2.4900000000000002</v>
      </c>
      <c r="M436" s="83">
        <v>1.54E-2</v>
      </c>
      <c r="N436" s="22"/>
      <c r="O436" s="22"/>
      <c r="P436" s="73"/>
      <c r="Q436" s="73"/>
      <c r="R436" s="73"/>
      <c r="S436" s="86"/>
      <c r="T436" s="99"/>
      <c r="U436" s="22"/>
      <c r="V436" s="22"/>
      <c r="W436" s="22"/>
      <c r="X436" s="22"/>
      <c r="Y436" s="22"/>
    </row>
    <row r="437" spans="2:25">
      <c r="B437" s="73">
        <v>11</v>
      </c>
      <c r="C437" s="73" t="s">
        <v>101</v>
      </c>
      <c r="D437" s="78">
        <v>0.42</v>
      </c>
      <c r="E437" s="83">
        <v>1.5100000000000001E-2</v>
      </c>
      <c r="F437" s="83"/>
      <c r="G437" s="83"/>
      <c r="H437" s="86"/>
      <c r="I437" s="22"/>
      <c r="J437" s="73">
        <v>11</v>
      </c>
      <c r="K437" s="73" t="s">
        <v>357</v>
      </c>
      <c r="L437" s="73">
        <v>1.5</v>
      </c>
      <c r="M437" s="83">
        <v>9.2999999999999992E-3</v>
      </c>
      <c r="N437" s="22"/>
      <c r="O437" s="22"/>
      <c r="P437" s="73"/>
      <c r="Q437" s="73"/>
      <c r="R437" s="73"/>
      <c r="S437" s="86"/>
      <c r="T437" s="99"/>
      <c r="U437" s="22"/>
      <c r="V437" s="22"/>
      <c r="W437" s="22"/>
      <c r="X437" s="22"/>
      <c r="Y437" s="22"/>
    </row>
    <row r="438" spans="2:25">
      <c r="B438" s="73">
        <v>12</v>
      </c>
      <c r="C438" s="73" t="s">
        <v>428</v>
      </c>
      <c r="D438" s="78">
        <v>0.28999999999999998</v>
      </c>
      <c r="E438" s="83">
        <v>1.06E-2</v>
      </c>
      <c r="F438" s="83"/>
      <c r="G438" s="83"/>
      <c r="H438" s="86"/>
      <c r="I438" s="22"/>
      <c r="J438" s="73">
        <v>12</v>
      </c>
      <c r="K438" s="73" t="s">
        <v>352</v>
      </c>
      <c r="L438" s="73">
        <v>1.32</v>
      </c>
      <c r="M438" s="83">
        <v>8.2000000000000007E-3</v>
      </c>
      <c r="N438" s="22"/>
      <c r="O438" s="22"/>
      <c r="P438" s="73"/>
      <c r="Q438" s="73"/>
      <c r="R438" s="73"/>
      <c r="S438" s="86"/>
      <c r="T438" s="99"/>
      <c r="U438" s="22"/>
      <c r="V438" s="22"/>
      <c r="W438" s="22"/>
      <c r="X438" s="22"/>
      <c r="Y438" s="22"/>
    </row>
    <row r="439" spans="2:25">
      <c r="B439" s="73">
        <v>13</v>
      </c>
      <c r="C439" s="73" t="s">
        <v>432</v>
      </c>
      <c r="D439" s="78">
        <v>0.22</v>
      </c>
      <c r="E439" s="83">
        <v>7.9000000000000008E-3</v>
      </c>
      <c r="F439" s="83"/>
      <c r="G439" s="83"/>
      <c r="H439" s="86"/>
      <c r="I439" s="22"/>
      <c r="J439" s="73">
        <v>13</v>
      </c>
      <c r="K439" s="73" t="s">
        <v>428</v>
      </c>
      <c r="L439" s="73">
        <v>1.25</v>
      </c>
      <c r="M439" s="83">
        <v>7.7000000000000002E-3</v>
      </c>
      <c r="N439" s="22"/>
      <c r="O439" s="22"/>
      <c r="P439" s="73"/>
      <c r="Q439" s="22"/>
      <c r="R439" s="22"/>
      <c r="S439" s="86"/>
      <c r="T439" s="22"/>
      <c r="U439" s="22"/>
      <c r="V439" s="22"/>
      <c r="W439" s="22"/>
      <c r="X439" s="22"/>
      <c r="Y439" s="22"/>
    </row>
    <row r="440" spans="2:25">
      <c r="B440" s="73">
        <v>14</v>
      </c>
      <c r="C440" s="73" t="s">
        <v>352</v>
      </c>
      <c r="D440" s="74">
        <v>0.2</v>
      </c>
      <c r="E440" s="83">
        <v>7.1999999999999998E-3</v>
      </c>
      <c r="F440" s="83"/>
      <c r="G440" s="83"/>
      <c r="H440" s="86"/>
      <c r="I440" s="22"/>
      <c r="J440" s="73">
        <v>14</v>
      </c>
      <c r="K440" s="73" t="s">
        <v>363</v>
      </c>
      <c r="L440" s="73">
        <v>0.86</v>
      </c>
      <c r="M440" s="83">
        <v>5.3E-3</v>
      </c>
      <c r="N440" s="22"/>
      <c r="O440" s="22"/>
      <c r="P440" s="22"/>
      <c r="Q440" s="22"/>
      <c r="R440" s="22"/>
      <c r="S440" s="100"/>
      <c r="T440" s="22"/>
      <c r="U440" s="22"/>
      <c r="V440" s="22"/>
      <c r="W440" s="22"/>
      <c r="X440" s="22"/>
      <c r="Y440" s="22"/>
    </row>
    <row r="441" spans="2:25">
      <c r="B441" s="73">
        <v>15</v>
      </c>
      <c r="C441" s="73" t="s">
        <v>113</v>
      </c>
      <c r="D441" s="78">
        <v>0.14000000000000001</v>
      </c>
      <c r="E441" s="83">
        <v>5.1000000000000004E-3</v>
      </c>
      <c r="F441" s="83"/>
      <c r="G441" s="83"/>
      <c r="H441" s="86"/>
      <c r="I441" s="22"/>
      <c r="J441" s="73">
        <v>15</v>
      </c>
      <c r="K441" s="73" t="s">
        <v>113</v>
      </c>
      <c r="L441" s="73">
        <v>0.83</v>
      </c>
      <c r="M441" s="83">
        <v>5.1000000000000004E-3</v>
      </c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 spans="2:25">
      <c r="B442" s="22"/>
      <c r="C442" s="22"/>
      <c r="D442" s="22">
        <f>SUM(D432:D441)</f>
        <v>4.29</v>
      </c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 spans="2:25"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 spans="2:25">
      <c r="B444" s="72" t="s">
        <v>438</v>
      </c>
      <c r="C444" s="22"/>
      <c r="D444" s="22"/>
      <c r="E444" s="22"/>
      <c r="F444" s="22"/>
      <c r="G444" s="22"/>
      <c r="H444" s="29"/>
      <c r="I444" s="22"/>
      <c r="J444" s="72" t="s">
        <v>439</v>
      </c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 spans="2:25" ht="30">
      <c r="B445" s="73" t="s">
        <v>342</v>
      </c>
      <c r="C445" s="73" t="s">
        <v>343</v>
      </c>
      <c r="D445" s="78" t="s">
        <v>440</v>
      </c>
      <c r="E445" s="73" t="s">
        <v>345</v>
      </c>
      <c r="F445" s="73"/>
      <c r="G445" s="73"/>
      <c r="H445" s="88"/>
      <c r="I445" s="22"/>
      <c r="J445" s="73" t="s">
        <v>342</v>
      </c>
      <c r="K445" s="73" t="s">
        <v>343</v>
      </c>
      <c r="L445" s="78" t="s">
        <v>347</v>
      </c>
      <c r="M445" s="73" t="s">
        <v>345</v>
      </c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 spans="2:25" ht="15">
      <c r="B446" s="95">
        <v>1</v>
      </c>
      <c r="C446" s="95" t="s">
        <v>98</v>
      </c>
      <c r="D446" s="95">
        <v>11.41</v>
      </c>
      <c r="E446" s="96">
        <v>0.47189999999999999</v>
      </c>
      <c r="F446" s="75"/>
      <c r="G446" s="75"/>
      <c r="H446" s="88"/>
      <c r="I446" s="22"/>
      <c r="J446" s="97">
        <v>1</v>
      </c>
      <c r="K446" s="97" t="s">
        <v>98</v>
      </c>
      <c r="L446" s="97">
        <v>63.91</v>
      </c>
      <c r="M446" s="98">
        <v>0.47589999999999999</v>
      </c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 spans="2:25" ht="15">
      <c r="B447" s="22">
        <v>2</v>
      </c>
      <c r="C447" s="22" t="s">
        <v>96</v>
      </c>
      <c r="D447" s="22">
        <v>6.1</v>
      </c>
      <c r="E447" s="75">
        <v>0.25230000000000002</v>
      </c>
      <c r="F447" s="75"/>
      <c r="G447" s="75"/>
      <c r="H447" s="86"/>
      <c r="I447" s="22"/>
      <c r="J447" s="85">
        <v>2</v>
      </c>
      <c r="K447" s="85" t="s">
        <v>96</v>
      </c>
      <c r="L447" s="85">
        <v>29.88</v>
      </c>
      <c r="M447" s="82">
        <v>0.2225</v>
      </c>
      <c r="N447" s="29"/>
      <c r="O447" s="22"/>
      <c r="P447" s="72"/>
      <c r="Q447" s="22"/>
      <c r="R447" s="22"/>
      <c r="S447" s="22"/>
      <c r="T447" s="22"/>
      <c r="U447" s="22"/>
      <c r="V447" s="22"/>
      <c r="W447" s="22"/>
      <c r="X447" s="22"/>
      <c r="Y447" s="22"/>
    </row>
    <row r="448" spans="2:25" ht="15">
      <c r="B448" s="22">
        <v>3</v>
      </c>
      <c r="C448" s="22" t="s">
        <v>109</v>
      </c>
      <c r="D448" s="22">
        <v>1.47</v>
      </c>
      <c r="E448" s="75">
        <v>6.0699999999999997E-2</v>
      </c>
      <c r="F448" s="75"/>
      <c r="G448" s="75"/>
      <c r="H448" s="86"/>
      <c r="I448" s="22"/>
      <c r="J448" s="85">
        <v>3</v>
      </c>
      <c r="K448" s="85" t="s">
        <v>109</v>
      </c>
      <c r="L448" s="85">
        <v>9.82</v>
      </c>
      <c r="M448" s="82">
        <v>7.3099999999999998E-2</v>
      </c>
      <c r="N448" s="88"/>
      <c r="O448" s="22"/>
      <c r="P448" s="73"/>
      <c r="Q448" s="73"/>
      <c r="R448" s="78"/>
      <c r="S448" s="73"/>
      <c r="T448" s="88"/>
      <c r="U448" s="22"/>
      <c r="V448" s="22"/>
      <c r="W448" s="22"/>
      <c r="X448" s="22"/>
      <c r="Y448" s="22"/>
    </row>
    <row r="449" spans="2:25" ht="15">
      <c r="B449" s="22">
        <v>4</v>
      </c>
      <c r="C449" s="22" t="s">
        <v>103</v>
      </c>
      <c r="D449" s="22">
        <v>1.1399999999999999</v>
      </c>
      <c r="E449" s="75">
        <v>4.7E-2</v>
      </c>
      <c r="F449" s="75"/>
      <c r="G449" s="75"/>
      <c r="H449" s="86"/>
      <c r="I449" s="22"/>
      <c r="J449" s="85">
        <v>4</v>
      </c>
      <c r="K449" s="85" t="s">
        <v>103</v>
      </c>
      <c r="L449" s="85">
        <v>6.66</v>
      </c>
      <c r="M449" s="82">
        <v>4.9599999999999998E-2</v>
      </c>
      <c r="N449" s="22"/>
      <c r="O449" s="22"/>
      <c r="P449" s="73"/>
      <c r="Q449" s="73"/>
      <c r="R449" s="73"/>
      <c r="S449" s="86"/>
      <c r="T449" s="99"/>
      <c r="U449" s="22"/>
      <c r="V449" s="22"/>
      <c r="W449" s="22"/>
      <c r="X449" s="22"/>
      <c r="Y449" s="22"/>
    </row>
    <row r="450" spans="2:25" ht="15">
      <c r="B450" s="22">
        <v>5</v>
      </c>
      <c r="C450" s="22" t="s">
        <v>114</v>
      </c>
      <c r="D450" s="22">
        <v>0.75</v>
      </c>
      <c r="E450" s="75">
        <v>3.1099999999999999E-2</v>
      </c>
      <c r="F450" s="75"/>
      <c r="G450" s="75"/>
      <c r="H450" s="86"/>
      <c r="I450" s="22"/>
      <c r="J450" s="85">
        <v>5</v>
      </c>
      <c r="K450" s="85" t="s">
        <v>114</v>
      </c>
      <c r="L450" s="85">
        <v>3.24</v>
      </c>
      <c r="M450" s="82">
        <v>2.4199999999999999E-2</v>
      </c>
      <c r="N450" s="22"/>
      <c r="O450" s="22"/>
      <c r="P450" s="73"/>
      <c r="Q450" s="73"/>
      <c r="R450" s="73"/>
      <c r="S450" s="86"/>
      <c r="T450" s="99"/>
      <c r="U450" s="22"/>
      <c r="V450" s="22"/>
      <c r="W450" s="22"/>
      <c r="X450" s="22"/>
      <c r="Y450" s="22"/>
    </row>
    <row r="451" spans="2:25" ht="15">
      <c r="B451" s="22">
        <v>6</v>
      </c>
      <c r="C451" s="22" t="s">
        <v>129</v>
      </c>
      <c r="D451" s="22">
        <v>0.59</v>
      </c>
      <c r="E451" s="75">
        <v>2.4400000000000002E-2</v>
      </c>
      <c r="F451" s="75"/>
      <c r="G451" s="75"/>
      <c r="H451" s="86"/>
      <c r="I451" s="22"/>
      <c r="J451" s="85">
        <v>6</v>
      </c>
      <c r="K451" s="85" t="s">
        <v>129</v>
      </c>
      <c r="L451" s="85">
        <v>3.17</v>
      </c>
      <c r="M451" s="82">
        <v>2.3599999999999999E-2</v>
      </c>
      <c r="N451" s="22"/>
      <c r="O451" s="22"/>
      <c r="P451" s="73"/>
      <c r="Q451" s="73"/>
      <c r="R451" s="73"/>
      <c r="S451" s="86"/>
      <c r="T451" s="99"/>
      <c r="U451" s="22"/>
      <c r="V451" s="22"/>
      <c r="W451" s="22"/>
      <c r="X451" s="22"/>
      <c r="Y451" s="22"/>
    </row>
    <row r="452" spans="2:25" ht="15">
      <c r="B452" s="22">
        <v>7</v>
      </c>
      <c r="C452" s="22" t="s">
        <v>116</v>
      </c>
      <c r="D452" s="22">
        <v>0.57999999999999996</v>
      </c>
      <c r="E452" s="75">
        <v>2.3800000000000002E-2</v>
      </c>
      <c r="F452" s="75"/>
      <c r="G452" s="75"/>
      <c r="H452" s="86"/>
      <c r="I452" s="22"/>
      <c r="J452" s="85">
        <v>7</v>
      </c>
      <c r="K452" s="85" t="s">
        <v>101</v>
      </c>
      <c r="L452" s="85">
        <v>3.16</v>
      </c>
      <c r="M452" s="82">
        <v>2.3599999999999999E-2</v>
      </c>
      <c r="N452" s="22"/>
      <c r="O452" s="22"/>
      <c r="P452" s="73"/>
      <c r="Q452" s="73"/>
      <c r="R452" s="73"/>
      <c r="S452" s="86"/>
      <c r="T452" s="99"/>
      <c r="U452" s="22"/>
      <c r="V452" s="22"/>
      <c r="W452" s="22"/>
      <c r="X452" s="22"/>
      <c r="Y452" s="22"/>
    </row>
    <row r="453" spans="2:25" ht="15">
      <c r="B453" s="22">
        <v>8</v>
      </c>
      <c r="C453" s="22" t="s">
        <v>336</v>
      </c>
      <c r="D453" s="22">
        <v>0.54</v>
      </c>
      <c r="E453" s="75">
        <v>2.23E-2</v>
      </c>
      <c r="F453" s="75"/>
      <c r="G453" s="75"/>
      <c r="H453" s="86"/>
      <c r="I453" s="22"/>
      <c r="J453" s="85">
        <v>8</v>
      </c>
      <c r="K453" s="85" t="s">
        <v>116</v>
      </c>
      <c r="L453" s="85">
        <v>3.02</v>
      </c>
      <c r="M453" s="82">
        <v>2.2499999999999999E-2</v>
      </c>
      <c r="N453" s="22"/>
      <c r="O453" s="22"/>
      <c r="P453" s="73"/>
      <c r="Q453" s="73"/>
      <c r="R453" s="73"/>
      <c r="S453" s="86"/>
      <c r="T453" s="99"/>
      <c r="U453" s="22"/>
      <c r="V453" s="22"/>
      <c r="W453" s="22"/>
      <c r="X453" s="22"/>
      <c r="Y453" s="22"/>
    </row>
    <row r="454" spans="2:25" ht="15">
      <c r="B454" s="22">
        <v>9</v>
      </c>
      <c r="C454" s="22" t="s">
        <v>108</v>
      </c>
      <c r="D454" s="22">
        <v>0.43</v>
      </c>
      <c r="E454" s="75">
        <v>1.7600000000000001E-2</v>
      </c>
      <c r="F454" s="75"/>
      <c r="G454" s="75"/>
      <c r="H454" s="86"/>
      <c r="I454" s="22"/>
      <c r="J454" s="85">
        <v>9</v>
      </c>
      <c r="K454" s="85" t="s">
        <v>108</v>
      </c>
      <c r="L454" s="85">
        <v>2.5299999999999998</v>
      </c>
      <c r="M454" s="82">
        <v>1.89E-2</v>
      </c>
      <c r="N454" s="22"/>
      <c r="O454" s="22"/>
      <c r="P454" s="73"/>
      <c r="Q454" s="73"/>
      <c r="R454" s="73"/>
      <c r="S454" s="86"/>
      <c r="T454" s="99"/>
      <c r="U454" s="22"/>
      <c r="V454" s="22"/>
      <c r="W454" s="22"/>
      <c r="X454" s="22"/>
      <c r="Y454" s="22"/>
    </row>
    <row r="455" spans="2:25" ht="15">
      <c r="B455" s="101">
        <v>10</v>
      </c>
      <c r="C455" s="101" t="s">
        <v>433</v>
      </c>
      <c r="D455" s="101">
        <v>0.2</v>
      </c>
      <c r="E455" s="102">
        <v>8.3999999999999995E-3</v>
      </c>
      <c r="F455" s="75"/>
      <c r="G455" s="75"/>
      <c r="H455" s="86"/>
      <c r="I455" s="22"/>
      <c r="J455" s="118">
        <v>10</v>
      </c>
      <c r="K455" s="118" t="s">
        <v>332</v>
      </c>
      <c r="L455" s="118">
        <v>1.88</v>
      </c>
      <c r="M455" s="119">
        <v>1.4E-2</v>
      </c>
      <c r="N455" s="22"/>
      <c r="O455" s="22"/>
      <c r="P455" s="73"/>
      <c r="Q455" s="73"/>
      <c r="R455" s="73"/>
      <c r="S455" s="86"/>
      <c r="T455" s="99"/>
      <c r="U455" s="22"/>
      <c r="V455" s="22"/>
      <c r="W455" s="22"/>
      <c r="X455" s="22"/>
      <c r="Y455" s="22"/>
    </row>
    <row r="456" spans="2:25">
      <c r="B456" s="73">
        <v>11</v>
      </c>
      <c r="C456" s="73" t="s">
        <v>357</v>
      </c>
      <c r="D456" s="73">
        <v>0.17</v>
      </c>
      <c r="E456" s="86">
        <v>7.1000000000000004E-3</v>
      </c>
      <c r="F456" s="86"/>
      <c r="G456" s="86"/>
      <c r="H456" s="86"/>
      <c r="I456" s="22"/>
      <c r="J456" s="73">
        <v>11</v>
      </c>
      <c r="K456" s="73" t="s">
        <v>352</v>
      </c>
      <c r="L456" s="73">
        <v>1.1200000000000001</v>
      </c>
      <c r="M456" s="86">
        <v>8.3999999999999995E-3</v>
      </c>
      <c r="N456" s="22"/>
      <c r="O456" s="22"/>
      <c r="P456" s="73"/>
      <c r="Q456" s="73"/>
      <c r="R456" s="73"/>
      <c r="S456" s="86"/>
      <c r="T456" s="99"/>
      <c r="U456" s="22"/>
      <c r="V456" s="22"/>
      <c r="W456" s="22"/>
      <c r="X456" s="22"/>
      <c r="Y456" s="22"/>
    </row>
    <row r="457" spans="2:25">
      <c r="B457" s="73">
        <v>12</v>
      </c>
      <c r="C457" s="73" t="s">
        <v>363</v>
      </c>
      <c r="D457" s="73">
        <v>0.15</v>
      </c>
      <c r="E457" s="86">
        <v>6.0000000000000001E-3</v>
      </c>
      <c r="F457" s="86"/>
      <c r="G457" s="86"/>
      <c r="H457" s="86"/>
      <c r="I457" s="22"/>
      <c r="J457" s="73">
        <v>12</v>
      </c>
      <c r="K457" s="73" t="s">
        <v>357</v>
      </c>
      <c r="L457" s="73">
        <v>1.07</v>
      </c>
      <c r="M457" s="86">
        <v>8.0000000000000002E-3</v>
      </c>
      <c r="N457" s="22"/>
      <c r="O457" s="22"/>
      <c r="P457" s="73"/>
      <c r="Q457" s="73"/>
      <c r="R457" s="73"/>
      <c r="S457" s="86"/>
      <c r="T457" s="99"/>
      <c r="U457" s="22"/>
      <c r="V457" s="22"/>
      <c r="W457" s="22"/>
      <c r="X457" s="22"/>
      <c r="Y457" s="22"/>
    </row>
    <row r="458" spans="2:25">
      <c r="B458" s="73">
        <v>13</v>
      </c>
      <c r="C458" s="73" t="s">
        <v>113</v>
      </c>
      <c r="D458" s="73">
        <v>0.14000000000000001</v>
      </c>
      <c r="E458" s="86">
        <v>5.8999999999999999E-3</v>
      </c>
      <c r="F458" s="86"/>
      <c r="G458" s="86"/>
      <c r="H458" s="86"/>
      <c r="I458" s="22"/>
      <c r="J458" s="73">
        <v>13</v>
      </c>
      <c r="K458" s="73" t="s">
        <v>433</v>
      </c>
      <c r="L458" s="73">
        <v>0.95</v>
      </c>
      <c r="M458" s="86">
        <v>7.1000000000000004E-3</v>
      </c>
      <c r="N458" s="22"/>
      <c r="O458" s="22"/>
      <c r="P458" s="73"/>
      <c r="Q458" s="73"/>
      <c r="R458" s="73"/>
      <c r="S458" s="86"/>
      <c r="T458" s="99"/>
      <c r="U458" s="22"/>
      <c r="V458" s="22"/>
      <c r="W458" s="22"/>
      <c r="X458" s="22"/>
      <c r="Y458" s="22"/>
    </row>
    <row r="459" spans="2:25">
      <c r="B459" s="73">
        <v>14</v>
      </c>
      <c r="C459" s="73" t="s">
        <v>352</v>
      </c>
      <c r="D459" s="73">
        <v>0.12</v>
      </c>
      <c r="E459" s="86">
        <v>4.7999999999999996E-3</v>
      </c>
      <c r="F459" s="86"/>
      <c r="G459" s="86"/>
      <c r="H459" s="86"/>
      <c r="I459" s="22"/>
      <c r="J459" s="73">
        <v>14</v>
      </c>
      <c r="K459" s="73" t="s">
        <v>363</v>
      </c>
      <c r="L459" s="73">
        <v>0.75</v>
      </c>
      <c r="M459" s="86">
        <v>5.5999999999999999E-3</v>
      </c>
      <c r="N459" s="22"/>
      <c r="O459" s="22"/>
      <c r="P459" s="73"/>
      <c r="Q459" s="22"/>
      <c r="R459" s="22"/>
      <c r="S459" s="86"/>
      <c r="T459" s="22"/>
      <c r="U459" s="22"/>
      <c r="V459" s="22"/>
      <c r="W459" s="22"/>
      <c r="X459" s="22"/>
      <c r="Y459" s="22"/>
    </row>
    <row r="460" spans="2:25">
      <c r="B460" s="73">
        <v>15</v>
      </c>
      <c r="C460" s="73" t="s">
        <v>372</v>
      </c>
      <c r="D460" s="73">
        <v>0.08</v>
      </c>
      <c r="E460" s="86">
        <v>3.5000000000000001E-3</v>
      </c>
      <c r="F460" s="86"/>
      <c r="G460" s="86"/>
      <c r="H460" s="86"/>
      <c r="I460" s="22"/>
      <c r="J460" s="73">
        <v>15</v>
      </c>
      <c r="K460" s="73" t="s">
        <v>113</v>
      </c>
      <c r="L460" s="73">
        <v>0.69</v>
      </c>
      <c r="M460" s="86">
        <v>5.1000000000000004E-3</v>
      </c>
      <c r="N460" s="22"/>
      <c r="O460" s="22"/>
      <c r="P460" s="22"/>
      <c r="Q460" s="22"/>
      <c r="R460" s="22"/>
      <c r="S460" s="100"/>
      <c r="T460" s="22"/>
      <c r="U460" s="22"/>
      <c r="V460" s="22"/>
      <c r="W460" s="22"/>
      <c r="X460" s="22"/>
      <c r="Y460" s="22"/>
    </row>
    <row r="461" spans="2:25"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 spans="2:25"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 spans="2:25"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 spans="2:25">
      <c r="B464" s="72" t="s">
        <v>441</v>
      </c>
      <c r="C464" s="22"/>
      <c r="D464" s="22"/>
      <c r="E464" s="22"/>
      <c r="F464" s="22"/>
      <c r="G464" s="22"/>
      <c r="H464" s="29"/>
      <c r="I464" s="22"/>
      <c r="J464" s="72" t="s">
        <v>442</v>
      </c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 spans="2:25" ht="30">
      <c r="B465" s="73" t="s">
        <v>342</v>
      </c>
      <c r="C465" s="73" t="s">
        <v>343</v>
      </c>
      <c r="D465" s="78" t="s">
        <v>440</v>
      </c>
      <c r="E465" s="73" t="s">
        <v>345</v>
      </c>
      <c r="F465" s="73"/>
      <c r="G465" s="73"/>
      <c r="H465" s="88"/>
      <c r="I465" s="22"/>
      <c r="J465" s="73" t="s">
        <v>342</v>
      </c>
      <c r="K465" s="73" t="s">
        <v>343</v>
      </c>
      <c r="L465" s="78" t="s">
        <v>347</v>
      </c>
      <c r="M465" s="73" t="s">
        <v>345</v>
      </c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 spans="2:25">
      <c r="B466" s="73">
        <v>1</v>
      </c>
      <c r="C466" s="73" t="s">
        <v>98</v>
      </c>
      <c r="D466" s="73">
        <v>13.4</v>
      </c>
      <c r="E466" s="86">
        <v>0.496</v>
      </c>
      <c r="F466" s="86"/>
      <c r="G466" s="86"/>
      <c r="H466" s="88"/>
      <c r="I466" s="22"/>
      <c r="J466" s="73">
        <v>1</v>
      </c>
      <c r="K466" s="73" t="s">
        <v>98</v>
      </c>
      <c r="L466" s="73">
        <v>52.5</v>
      </c>
      <c r="M466" s="86">
        <v>0.47670000000000001</v>
      </c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 spans="2:25">
      <c r="B467" s="73">
        <v>2</v>
      </c>
      <c r="C467" s="73" t="s">
        <v>96</v>
      </c>
      <c r="D467" s="73">
        <v>5.01</v>
      </c>
      <c r="E467" s="86">
        <v>0.18529999999999999</v>
      </c>
      <c r="F467" s="86"/>
      <c r="G467" s="86"/>
      <c r="H467" s="86"/>
      <c r="I467" s="22"/>
      <c r="J467" s="73">
        <v>2</v>
      </c>
      <c r="K467" s="73" t="s">
        <v>96</v>
      </c>
      <c r="L467" s="73">
        <v>23.78</v>
      </c>
      <c r="M467" s="86">
        <v>0.21590000000000001</v>
      </c>
      <c r="N467" s="22"/>
      <c r="O467" s="22"/>
      <c r="P467" s="22" t="s">
        <v>443</v>
      </c>
      <c r="Q467" s="22"/>
      <c r="R467" s="22"/>
      <c r="S467" s="22"/>
      <c r="T467" s="22"/>
      <c r="U467" s="22"/>
      <c r="V467" s="22"/>
      <c r="W467" s="22"/>
      <c r="X467" s="22"/>
      <c r="Y467" s="22"/>
    </row>
    <row r="468" spans="2:25" ht="30">
      <c r="B468" s="73">
        <v>3</v>
      </c>
      <c r="C468" s="73" t="s">
        <v>101</v>
      </c>
      <c r="D468" s="73">
        <v>1.67</v>
      </c>
      <c r="E468" s="86">
        <v>6.1899999999999997E-2</v>
      </c>
      <c r="F468" s="86"/>
      <c r="G468" s="86"/>
      <c r="H468" s="86"/>
      <c r="I468" s="22"/>
      <c r="J468" s="73">
        <v>3</v>
      </c>
      <c r="K468" s="73" t="s">
        <v>109</v>
      </c>
      <c r="L468" s="73">
        <v>8.35</v>
      </c>
      <c r="M468" s="86">
        <v>7.5800000000000006E-2</v>
      </c>
      <c r="N468" s="22"/>
      <c r="O468" s="73"/>
      <c r="P468" s="103" t="s">
        <v>342</v>
      </c>
      <c r="Q468" s="104" t="s">
        <v>343</v>
      </c>
      <c r="R468" s="105" t="s">
        <v>347</v>
      </c>
      <c r="S468" s="106" t="s">
        <v>345</v>
      </c>
      <c r="T468" s="22"/>
      <c r="U468" s="22"/>
      <c r="V468" s="22"/>
      <c r="W468" s="22"/>
      <c r="X468" s="22"/>
      <c r="Y468" s="22"/>
    </row>
    <row r="469" spans="2:25">
      <c r="B469" s="73">
        <v>4</v>
      </c>
      <c r="C469" s="73" t="s">
        <v>109</v>
      </c>
      <c r="D469" s="73">
        <v>1.62</v>
      </c>
      <c r="E469" s="86">
        <v>6.0100000000000001E-2</v>
      </c>
      <c r="F469" s="86"/>
      <c r="G469" s="86"/>
      <c r="H469" s="86"/>
      <c r="I469" s="22"/>
      <c r="J469" s="73">
        <v>4</v>
      </c>
      <c r="K469" s="73" t="s">
        <v>103</v>
      </c>
      <c r="L469" s="73">
        <v>5.52</v>
      </c>
      <c r="M469" s="86">
        <v>5.0200000000000002E-2</v>
      </c>
      <c r="N469" s="22"/>
      <c r="O469" s="73"/>
      <c r="P469" s="107">
        <v>1</v>
      </c>
      <c r="Q469" s="73" t="s">
        <v>98</v>
      </c>
      <c r="R469" s="73">
        <v>39.1</v>
      </c>
      <c r="S469" s="108">
        <v>0.47049999999999997</v>
      </c>
      <c r="T469" s="22"/>
      <c r="U469" s="22"/>
      <c r="V469" s="22"/>
      <c r="W469" s="22"/>
      <c r="X469" s="22"/>
      <c r="Y469" s="22"/>
    </row>
    <row r="470" spans="2:25">
      <c r="B470" s="73">
        <v>5</v>
      </c>
      <c r="C470" s="73" t="s">
        <v>103</v>
      </c>
      <c r="D470" s="73">
        <v>1.34</v>
      </c>
      <c r="E470" s="86">
        <v>4.9399999999999999E-2</v>
      </c>
      <c r="F470" s="86"/>
      <c r="G470" s="86"/>
      <c r="H470" s="86"/>
      <c r="I470" s="22"/>
      <c r="J470" s="73">
        <v>5</v>
      </c>
      <c r="K470" s="73" t="s">
        <v>101</v>
      </c>
      <c r="L470" s="73">
        <v>3.14</v>
      </c>
      <c r="M470" s="86">
        <v>2.8500000000000001E-2</v>
      </c>
      <c r="N470" s="22"/>
      <c r="O470" s="73"/>
      <c r="P470" s="107">
        <v>2</v>
      </c>
      <c r="Q470" s="73" t="s">
        <v>96</v>
      </c>
      <c r="R470" s="73">
        <v>18.77</v>
      </c>
      <c r="S470" s="108">
        <v>0.2258</v>
      </c>
      <c r="T470" s="22"/>
      <c r="U470" s="22"/>
      <c r="V470" s="22"/>
      <c r="W470" s="22"/>
      <c r="X470" s="22"/>
      <c r="Y470" s="22"/>
    </row>
    <row r="471" spans="2:25">
      <c r="B471" s="73">
        <v>6</v>
      </c>
      <c r="C471" s="73" t="s">
        <v>114</v>
      </c>
      <c r="D471" s="73">
        <v>0.64</v>
      </c>
      <c r="E471" s="86">
        <v>2.3699999999999999E-2</v>
      </c>
      <c r="F471" s="86"/>
      <c r="G471" s="86"/>
      <c r="H471" s="86"/>
      <c r="I471" s="22"/>
      <c r="J471" s="73">
        <v>6</v>
      </c>
      <c r="K471" s="73" t="s">
        <v>129</v>
      </c>
      <c r="L471" s="73">
        <v>2.58</v>
      </c>
      <c r="M471" s="86">
        <v>2.35E-2</v>
      </c>
      <c r="N471" s="22"/>
      <c r="O471" s="73"/>
      <c r="P471" s="107">
        <v>3</v>
      </c>
      <c r="Q471" s="73" t="s">
        <v>109</v>
      </c>
      <c r="R471" s="73">
        <v>6.73</v>
      </c>
      <c r="S471" s="108">
        <v>8.09E-2</v>
      </c>
      <c r="T471" s="22"/>
      <c r="U471" s="22"/>
      <c r="V471" s="22"/>
      <c r="W471" s="22"/>
      <c r="X471" s="22"/>
      <c r="Y471" s="22"/>
    </row>
    <row r="472" spans="2:25">
      <c r="B472" s="73">
        <v>7</v>
      </c>
      <c r="C472" s="73" t="s">
        <v>129</v>
      </c>
      <c r="D472" s="73">
        <v>0.56999999999999995</v>
      </c>
      <c r="E472" s="86">
        <v>2.1100000000000001E-2</v>
      </c>
      <c r="F472" s="86"/>
      <c r="G472" s="86"/>
      <c r="H472" s="86"/>
      <c r="I472" s="22"/>
      <c r="J472" s="73">
        <v>7</v>
      </c>
      <c r="K472" s="73" t="s">
        <v>114</v>
      </c>
      <c r="L472" s="73">
        <v>2.4900000000000002</v>
      </c>
      <c r="M472" s="86">
        <v>2.2599999999999999E-2</v>
      </c>
      <c r="N472" s="22"/>
      <c r="O472" s="73"/>
      <c r="P472" s="107">
        <v>4</v>
      </c>
      <c r="Q472" s="73" t="s">
        <v>103</v>
      </c>
      <c r="R472" s="73">
        <v>4.1900000000000004</v>
      </c>
      <c r="S472" s="108">
        <v>5.04E-2</v>
      </c>
      <c r="T472" s="22"/>
      <c r="U472" s="22"/>
      <c r="V472" s="22"/>
      <c r="W472" s="22"/>
      <c r="X472" s="22"/>
      <c r="Y472" s="22"/>
    </row>
    <row r="473" spans="2:25">
      <c r="B473" s="73">
        <v>8</v>
      </c>
      <c r="C473" s="73" t="s">
        <v>116</v>
      </c>
      <c r="D473" s="73">
        <v>0.56999999999999995</v>
      </c>
      <c r="E473" s="86">
        <v>2.0899999999999998E-2</v>
      </c>
      <c r="F473" s="86"/>
      <c r="G473" s="86"/>
      <c r="H473" s="86"/>
      <c r="I473" s="22"/>
      <c r="J473" s="73">
        <v>8</v>
      </c>
      <c r="K473" s="73" t="s">
        <v>116</v>
      </c>
      <c r="L473" s="73">
        <v>2.4500000000000002</v>
      </c>
      <c r="M473" s="86">
        <v>2.2200000000000001E-2</v>
      </c>
      <c r="N473" s="22"/>
      <c r="O473" s="73"/>
      <c r="P473" s="107">
        <v>5</v>
      </c>
      <c r="Q473" s="73" t="s">
        <v>129</v>
      </c>
      <c r="R473" s="73">
        <v>2.0099999999999998</v>
      </c>
      <c r="S473" s="108">
        <v>2.4199999999999999E-2</v>
      </c>
      <c r="T473" s="22"/>
      <c r="U473" s="22"/>
      <c r="V473" s="22"/>
      <c r="W473" s="22"/>
      <c r="X473" s="22"/>
      <c r="Y473" s="22"/>
    </row>
    <row r="474" spans="2:25">
      <c r="B474" s="73">
        <v>9</v>
      </c>
      <c r="C474" s="73" t="s">
        <v>108</v>
      </c>
      <c r="D474" s="73">
        <v>0.48</v>
      </c>
      <c r="E474" s="86">
        <v>1.7899999999999999E-2</v>
      </c>
      <c r="F474" s="86"/>
      <c r="G474" s="86"/>
      <c r="H474" s="86"/>
      <c r="I474" s="22"/>
      <c r="J474" s="73">
        <v>9</v>
      </c>
      <c r="K474" s="73" t="s">
        <v>108</v>
      </c>
      <c r="L474" s="73">
        <v>2.11</v>
      </c>
      <c r="M474" s="86">
        <v>1.9099999999999999E-2</v>
      </c>
      <c r="N474" s="22"/>
      <c r="O474" s="73"/>
      <c r="P474" s="107">
        <v>6</v>
      </c>
      <c r="Q474" s="73" t="s">
        <v>116</v>
      </c>
      <c r="R474" s="73">
        <v>1.88</v>
      </c>
      <c r="S474" s="108">
        <v>2.2599999999999999E-2</v>
      </c>
      <c r="T474" s="22"/>
      <c r="U474" s="22"/>
      <c r="V474" s="22"/>
      <c r="W474" s="22"/>
      <c r="X474" s="22"/>
      <c r="Y474" s="22"/>
    </row>
    <row r="475" spans="2:25">
      <c r="B475" s="73">
        <v>10</v>
      </c>
      <c r="C475" s="73" t="s">
        <v>332</v>
      </c>
      <c r="D475" s="73">
        <v>0.48</v>
      </c>
      <c r="E475" s="86">
        <v>1.7899999999999999E-2</v>
      </c>
      <c r="F475" s="86"/>
      <c r="G475" s="86"/>
      <c r="H475" s="86"/>
      <c r="I475" s="22"/>
      <c r="J475" s="73">
        <v>10</v>
      </c>
      <c r="K475" s="73" t="s">
        <v>332</v>
      </c>
      <c r="L475" s="73">
        <v>1.34</v>
      </c>
      <c r="M475" s="86">
        <v>1.2200000000000001E-2</v>
      </c>
      <c r="N475" s="22"/>
      <c r="O475" s="73"/>
      <c r="P475" s="107">
        <v>7</v>
      </c>
      <c r="Q475" s="73" t="s">
        <v>114</v>
      </c>
      <c r="R475" s="73">
        <v>1.85</v>
      </c>
      <c r="S475" s="108">
        <v>2.23E-2</v>
      </c>
      <c r="T475" s="22"/>
      <c r="U475" s="22"/>
      <c r="V475" s="22"/>
      <c r="W475" s="22"/>
      <c r="X475" s="22"/>
      <c r="Y475" s="22"/>
    </row>
    <row r="476" spans="2:25">
      <c r="B476" s="73">
        <v>11</v>
      </c>
      <c r="C476" s="73" t="s">
        <v>433</v>
      </c>
      <c r="D476" s="73">
        <v>0.27</v>
      </c>
      <c r="E476" s="86">
        <v>9.7999999999999997E-3</v>
      </c>
      <c r="F476" s="86"/>
      <c r="G476" s="86"/>
      <c r="H476" s="86"/>
      <c r="I476" s="22"/>
      <c r="J476" s="73">
        <v>11</v>
      </c>
      <c r="K476" s="73" t="s">
        <v>352</v>
      </c>
      <c r="L476" s="73">
        <v>1.01</v>
      </c>
      <c r="M476" s="86">
        <v>9.1000000000000004E-3</v>
      </c>
      <c r="N476" s="22"/>
      <c r="O476" s="73"/>
      <c r="P476" s="107">
        <v>8</v>
      </c>
      <c r="Q476" s="73" t="s">
        <v>108</v>
      </c>
      <c r="R476" s="73">
        <v>1.62</v>
      </c>
      <c r="S476" s="108">
        <v>1.95E-2</v>
      </c>
      <c r="T476" s="22"/>
      <c r="U476" s="22"/>
      <c r="V476" s="22"/>
      <c r="W476" s="22"/>
      <c r="X476" s="22"/>
      <c r="Y476" s="22"/>
    </row>
    <row r="477" spans="2:25">
      <c r="B477" s="73">
        <v>12</v>
      </c>
      <c r="C477" s="73" t="s">
        <v>352</v>
      </c>
      <c r="D477" s="73">
        <v>0.18</v>
      </c>
      <c r="E477" s="86">
        <v>6.4999999999999997E-3</v>
      </c>
      <c r="F477" s="86"/>
      <c r="G477" s="86"/>
      <c r="H477" s="86"/>
      <c r="I477" s="22"/>
      <c r="J477" s="73">
        <v>12</v>
      </c>
      <c r="K477" s="73" t="s">
        <v>357</v>
      </c>
      <c r="L477" s="73">
        <v>0.9</v>
      </c>
      <c r="M477" s="86">
        <v>8.2000000000000007E-3</v>
      </c>
      <c r="N477" s="22"/>
      <c r="O477" s="73"/>
      <c r="P477" s="107">
        <v>9</v>
      </c>
      <c r="Q477" s="73" t="s">
        <v>101</v>
      </c>
      <c r="R477" s="73">
        <v>1.47</v>
      </c>
      <c r="S477" s="108">
        <v>1.7600000000000001E-2</v>
      </c>
      <c r="T477" s="22"/>
      <c r="U477" s="22"/>
      <c r="V477" s="22"/>
      <c r="W477" s="22"/>
      <c r="X477" s="22"/>
      <c r="Y477" s="22"/>
    </row>
    <row r="478" spans="2:25">
      <c r="B478" s="73">
        <v>13</v>
      </c>
      <c r="C478" s="73" t="s">
        <v>363</v>
      </c>
      <c r="D478" s="73">
        <v>0.12</v>
      </c>
      <c r="E478" s="86">
        <v>4.4999999999999997E-3</v>
      </c>
      <c r="F478" s="86"/>
      <c r="G478" s="86"/>
      <c r="H478" s="86"/>
      <c r="I478" s="22"/>
      <c r="J478" s="73">
        <v>13</v>
      </c>
      <c r="K478" s="73" t="s">
        <v>433</v>
      </c>
      <c r="L478" s="73">
        <v>0.75</v>
      </c>
      <c r="M478" s="86">
        <v>6.7999999999999996E-3</v>
      </c>
      <c r="N478" s="22"/>
      <c r="O478" s="73"/>
      <c r="P478" s="107">
        <v>10</v>
      </c>
      <c r="Q478" s="73" t="s">
        <v>332</v>
      </c>
      <c r="R478" s="73">
        <v>0.86</v>
      </c>
      <c r="S478" s="108">
        <v>1.03E-2</v>
      </c>
      <c r="T478" s="22"/>
      <c r="U478" s="22"/>
      <c r="V478" s="22"/>
      <c r="W478" s="22"/>
      <c r="X478" s="22"/>
      <c r="Y478" s="22"/>
    </row>
    <row r="479" spans="2:25">
      <c r="B479" s="73">
        <v>14</v>
      </c>
      <c r="C479" s="73" t="s">
        <v>113</v>
      </c>
      <c r="D479" s="73">
        <v>0.12</v>
      </c>
      <c r="E479" s="86">
        <v>4.3E-3</v>
      </c>
      <c r="F479" s="86"/>
      <c r="G479" s="86"/>
      <c r="H479" s="86"/>
      <c r="I479" s="22"/>
      <c r="J479" s="73">
        <v>14</v>
      </c>
      <c r="K479" s="73" t="s">
        <v>363</v>
      </c>
      <c r="L479" s="73">
        <v>0.61</v>
      </c>
      <c r="M479" s="86">
        <v>5.4999999999999997E-3</v>
      </c>
      <c r="N479" s="22"/>
      <c r="O479" s="22"/>
      <c r="P479" s="109"/>
      <c r="Q479" s="101" t="s">
        <v>39</v>
      </c>
      <c r="R479" s="102"/>
      <c r="S479" s="111">
        <f>1-SUM(S469:S478)</f>
        <v>5.5900000000000283E-2</v>
      </c>
      <c r="T479" s="22"/>
      <c r="U479" s="22"/>
      <c r="V479" s="22"/>
      <c r="W479" s="22"/>
      <c r="X479" s="22"/>
      <c r="Y479" s="22"/>
    </row>
    <row r="480" spans="2:25">
      <c r="B480" s="73">
        <v>15</v>
      </c>
      <c r="C480" s="73" t="s">
        <v>357</v>
      </c>
      <c r="D480" s="73">
        <v>0.1</v>
      </c>
      <c r="E480" s="86">
        <v>3.5999999999999999E-3</v>
      </c>
      <c r="F480" s="86"/>
      <c r="G480" s="86"/>
      <c r="H480" s="86"/>
      <c r="I480" s="22"/>
      <c r="J480" s="73">
        <v>15</v>
      </c>
      <c r="K480" s="73" t="s">
        <v>113</v>
      </c>
      <c r="L480" s="73">
        <v>0.55000000000000004</v>
      </c>
      <c r="M480" s="86">
        <v>5.0000000000000001E-3</v>
      </c>
      <c r="N480" s="22"/>
      <c r="O480" s="22"/>
      <c r="P480" s="22"/>
      <c r="Q480" s="22"/>
      <c r="R480" s="22"/>
      <c r="S480" s="86"/>
      <c r="T480" s="22"/>
      <c r="U480" s="22"/>
      <c r="V480" s="22"/>
      <c r="W480" s="22"/>
      <c r="X480" s="22"/>
      <c r="Y480" s="22"/>
    </row>
    <row r="481" spans="2:25"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86"/>
      <c r="T481" s="22"/>
      <c r="U481" s="22"/>
      <c r="V481" s="22"/>
      <c r="W481" s="22"/>
      <c r="X481" s="22"/>
      <c r="Y481" s="22"/>
    </row>
    <row r="482" spans="2:25"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 spans="2:25"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 spans="2:25">
      <c r="B484" s="29" t="s">
        <v>444</v>
      </c>
      <c r="C484" s="22"/>
      <c r="D484" s="22"/>
      <c r="E484" s="22"/>
      <c r="F484" s="22"/>
      <c r="G484" s="22"/>
      <c r="H484" s="22"/>
      <c r="I484" s="22"/>
      <c r="J484" s="22" t="s">
        <v>443</v>
      </c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 spans="2:25" ht="30">
      <c r="B485" s="103" t="s">
        <v>342</v>
      </c>
      <c r="C485" s="104" t="s">
        <v>343</v>
      </c>
      <c r="D485" s="105" t="s">
        <v>440</v>
      </c>
      <c r="E485" s="106" t="s">
        <v>345</v>
      </c>
      <c r="F485" s="73"/>
      <c r="G485" s="73"/>
      <c r="H485" s="73"/>
      <c r="I485" s="22"/>
      <c r="J485" s="103" t="s">
        <v>342</v>
      </c>
      <c r="K485" s="104" t="s">
        <v>343</v>
      </c>
      <c r="L485" s="105" t="s">
        <v>347</v>
      </c>
      <c r="M485" s="106" t="s">
        <v>345</v>
      </c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 spans="2:25">
      <c r="B486" s="107">
        <v>1</v>
      </c>
      <c r="C486" s="73" t="s">
        <v>98</v>
      </c>
      <c r="D486" s="73">
        <v>8.51</v>
      </c>
      <c r="E486" s="108">
        <v>0.45850000000000002</v>
      </c>
      <c r="F486" s="86"/>
      <c r="G486" s="86"/>
      <c r="H486" s="86"/>
      <c r="I486" s="22"/>
      <c r="J486" s="107">
        <v>1</v>
      </c>
      <c r="K486" s="73" t="s">
        <v>98</v>
      </c>
      <c r="L486" s="73">
        <v>39.1</v>
      </c>
      <c r="M486" s="108">
        <v>0.47049999999999997</v>
      </c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 spans="2:25">
      <c r="B487" s="107">
        <v>2</v>
      </c>
      <c r="C487" s="73" t="s">
        <v>96</v>
      </c>
      <c r="D487" s="73">
        <v>4.09</v>
      </c>
      <c r="E487" s="108">
        <v>0.22009999999999999</v>
      </c>
      <c r="F487" s="86"/>
      <c r="G487" s="86"/>
      <c r="H487" s="86"/>
      <c r="I487" s="22"/>
      <c r="J487" s="107">
        <v>2</v>
      </c>
      <c r="K487" s="73" t="s">
        <v>96</v>
      </c>
      <c r="L487" s="73">
        <v>18.77</v>
      </c>
      <c r="M487" s="108">
        <v>0.2258</v>
      </c>
      <c r="N487" s="22"/>
      <c r="O487" s="22"/>
      <c r="P487" s="22" t="s">
        <v>445</v>
      </c>
      <c r="Q487" s="22"/>
      <c r="R487" s="22"/>
      <c r="S487" s="22"/>
      <c r="T487" s="22"/>
      <c r="U487" s="22"/>
      <c r="V487" s="22"/>
      <c r="W487" s="22"/>
      <c r="X487" s="22"/>
      <c r="Y487" s="22"/>
    </row>
    <row r="488" spans="2:25" ht="30">
      <c r="B488" s="107">
        <v>3</v>
      </c>
      <c r="C488" s="73" t="s">
        <v>109</v>
      </c>
      <c r="D488" s="73">
        <v>1.64</v>
      </c>
      <c r="E488" s="108">
        <v>8.8200000000000001E-2</v>
      </c>
      <c r="F488" s="86"/>
      <c r="G488" s="86"/>
      <c r="H488" s="86"/>
      <c r="I488" s="22"/>
      <c r="J488" s="107">
        <v>3</v>
      </c>
      <c r="K488" s="73" t="s">
        <v>109</v>
      </c>
      <c r="L488" s="73">
        <v>6.73</v>
      </c>
      <c r="M488" s="108">
        <v>8.09E-2</v>
      </c>
      <c r="N488" s="22"/>
      <c r="O488" s="73"/>
      <c r="P488" s="103" t="s">
        <v>342</v>
      </c>
      <c r="Q488" s="104" t="s">
        <v>343</v>
      </c>
      <c r="R488" s="105" t="s">
        <v>347</v>
      </c>
      <c r="S488" s="106" t="s">
        <v>345</v>
      </c>
      <c r="T488" s="22"/>
      <c r="U488" s="22"/>
      <c r="V488" s="22"/>
      <c r="W488" s="22"/>
      <c r="X488" s="22"/>
      <c r="Y488" s="22"/>
    </row>
    <row r="489" spans="2:25">
      <c r="B489" s="107">
        <v>4</v>
      </c>
      <c r="C489" s="73" t="s">
        <v>103</v>
      </c>
      <c r="D489" s="73">
        <v>0.91</v>
      </c>
      <c r="E489" s="108">
        <v>4.9200000000000001E-2</v>
      </c>
      <c r="F489" s="86"/>
      <c r="G489" s="86"/>
      <c r="H489" s="86"/>
      <c r="I489" s="22"/>
      <c r="J489" s="107">
        <v>4</v>
      </c>
      <c r="K489" s="73" t="s">
        <v>103</v>
      </c>
      <c r="L489" s="73">
        <v>4.1900000000000004</v>
      </c>
      <c r="M489" s="108">
        <v>5.04E-2</v>
      </c>
      <c r="N489" s="22"/>
      <c r="O489" s="73"/>
      <c r="P489" s="107">
        <v>1</v>
      </c>
      <c r="Q489" s="113" t="s">
        <v>98</v>
      </c>
      <c r="R489" s="116">
        <v>30.59</v>
      </c>
      <c r="S489" s="117">
        <v>0.47389999999999999</v>
      </c>
      <c r="T489" s="22"/>
      <c r="U489" s="22"/>
      <c r="V489" s="22"/>
      <c r="W489" s="22"/>
      <c r="X489" s="22"/>
      <c r="Y489" s="22"/>
    </row>
    <row r="490" spans="2:25">
      <c r="B490" s="107">
        <v>5</v>
      </c>
      <c r="C490" s="73" t="s">
        <v>114</v>
      </c>
      <c r="D490" s="73">
        <v>0.54</v>
      </c>
      <c r="E490" s="108">
        <v>2.8799999999999999E-2</v>
      </c>
      <c r="F490" s="86"/>
      <c r="G490" s="86"/>
      <c r="H490" s="86"/>
      <c r="I490" s="22"/>
      <c r="J490" s="107">
        <v>5</v>
      </c>
      <c r="K490" s="73" t="s">
        <v>129</v>
      </c>
      <c r="L490" s="73">
        <v>2.0099999999999998</v>
      </c>
      <c r="M490" s="108">
        <v>2.4199999999999999E-2</v>
      </c>
      <c r="N490" s="22"/>
      <c r="O490" s="73"/>
      <c r="P490" s="107">
        <v>2</v>
      </c>
      <c r="Q490" s="73" t="s">
        <v>96</v>
      </c>
      <c r="R490" s="88">
        <v>14.68</v>
      </c>
      <c r="S490" s="108">
        <v>0.22750000000000001</v>
      </c>
      <c r="T490" s="22"/>
      <c r="U490" s="22"/>
      <c r="V490" s="22"/>
      <c r="W490" s="22"/>
      <c r="X490" s="22"/>
      <c r="Y490" s="22"/>
    </row>
    <row r="491" spans="2:25">
      <c r="B491" s="107">
        <v>6</v>
      </c>
      <c r="C491" s="73" t="s">
        <v>116</v>
      </c>
      <c r="D491" s="73">
        <v>0.5</v>
      </c>
      <c r="E491" s="108">
        <v>2.7099999999999999E-2</v>
      </c>
      <c r="F491" s="86"/>
      <c r="G491" s="86"/>
      <c r="H491" s="86"/>
      <c r="I491" s="22"/>
      <c r="J491" s="107">
        <v>6</v>
      </c>
      <c r="K491" s="73" t="s">
        <v>116</v>
      </c>
      <c r="L491" s="73">
        <v>1.88</v>
      </c>
      <c r="M491" s="108">
        <v>2.2599999999999999E-2</v>
      </c>
      <c r="N491" s="22"/>
      <c r="O491" s="73"/>
      <c r="P491" s="107">
        <v>3</v>
      </c>
      <c r="Q491" s="73" t="s">
        <v>109</v>
      </c>
      <c r="R491" s="88">
        <v>5.09</v>
      </c>
      <c r="S491" s="108">
        <v>7.8899999999999998E-2</v>
      </c>
      <c r="T491" s="22"/>
      <c r="U491" s="22"/>
      <c r="V491" s="22"/>
      <c r="W491" s="22"/>
      <c r="X491" s="22"/>
      <c r="Y491" s="22"/>
    </row>
    <row r="492" spans="2:25">
      <c r="B492" s="107">
        <v>7</v>
      </c>
      <c r="C492" s="73" t="s">
        <v>108</v>
      </c>
      <c r="D492" s="73">
        <v>0.43</v>
      </c>
      <c r="E492" s="108">
        <v>2.3099999999999999E-2</v>
      </c>
      <c r="F492" s="86"/>
      <c r="G492" s="86"/>
      <c r="H492" s="86"/>
      <c r="I492" s="22"/>
      <c r="J492" s="107">
        <v>7</v>
      </c>
      <c r="K492" s="73" t="s">
        <v>114</v>
      </c>
      <c r="L492" s="73">
        <v>1.85</v>
      </c>
      <c r="M492" s="108">
        <v>2.23E-2</v>
      </c>
      <c r="N492" s="22"/>
      <c r="O492" s="73"/>
      <c r="P492" s="107">
        <v>4</v>
      </c>
      <c r="Q492" s="73" t="s">
        <v>103</v>
      </c>
      <c r="R492" s="88">
        <v>3.27</v>
      </c>
      <c r="S492" s="108">
        <v>5.0700000000000002E-2</v>
      </c>
      <c r="T492" s="22"/>
      <c r="U492" s="22"/>
      <c r="V492" s="22"/>
      <c r="W492" s="22"/>
      <c r="X492" s="22"/>
      <c r="Y492" s="22"/>
    </row>
    <row r="493" spans="2:25">
      <c r="B493" s="107">
        <v>8</v>
      </c>
      <c r="C493" s="73" t="s">
        <v>129</v>
      </c>
      <c r="D493" s="73">
        <v>0.37</v>
      </c>
      <c r="E493" s="108">
        <v>2.01E-2</v>
      </c>
      <c r="F493" s="86"/>
      <c r="G493" s="86"/>
      <c r="H493" s="86"/>
      <c r="I493" s="22"/>
      <c r="J493" s="107">
        <v>8</v>
      </c>
      <c r="K493" s="73" t="s">
        <v>108</v>
      </c>
      <c r="L493" s="73">
        <v>1.62</v>
      </c>
      <c r="M493" s="108">
        <v>1.95E-2</v>
      </c>
      <c r="N493" s="22"/>
      <c r="O493" s="73"/>
      <c r="P493" s="107">
        <v>5</v>
      </c>
      <c r="Q493" s="73" t="s">
        <v>129</v>
      </c>
      <c r="R493" s="88">
        <v>1.64</v>
      </c>
      <c r="S493" s="108">
        <v>2.5399999999999999E-2</v>
      </c>
      <c r="T493" s="22"/>
      <c r="U493" s="22"/>
      <c r="V493" s="22"/>
      <c r="W493" s="22"/>
      <c r="X493" s="22"/>
      <c r="Y493" s="22"/>
    </row>
    <row r="494" spans="2:25">
      <c r="B494" s="107">
        <v>9</v>
      </c>
      <c r="C494" s="73" t="s">
        <v>357</v>
      </c>
      <c r="D494" s="73">
        <v>0.22</v>
      </c>
      <c r="E494" s="108">
        <v>1.21E-2</v>
      </c>
      <c r="F494" s="86"/>
      <c r="G494" s="86"/>
      <c r="H494" s="86"/>
      <c r="I494" s="22"/>
      <c r="J494" s="107">
        <v>9</v>
      </c>
      <c r="K494" s="73" t="s">
        <v>101</v>
      </c>
      <c r="L494" s="73">
        <v>1.47</v>
      </c>
      <c r="M494" s="108">
        <v>1.7600000000000001E-2</v>
      </c>
      <c r="N494" s="22"/>
      <c r="O494" s="73"/>
      <c r="P494" s="107">
        <v>6</v>
      </c>
      <c r="Q494" s="73" t="s">
        <v>116</v>
      </c>
      <c r="R494" s="88">
        <v>1.38</v>
      </c>
      <c r="S494" s="108">
        <v>2.1399999999999999E-2</v>
      </c>
      <c r="T494" s="22"/>
      <c r="U494" s="22"/>
      <c r="V494" s="22"/>
      <c r="W494" s="22"/>
      <c r="X494" s="22"/>
      <c r="Y494" s="22"/>
    </row>
    <row r="495" spans="2:25">
      <c r="B495" s="107">
        <v>10</v>
      </c>
      <c r="C495" s="73" t="s">
        <v>332</v>
      </c>
      <c r="D495" s="73">
        <v>0.22</v>
      </c>
      <c r="E495" s="108">
        <v>1.1900000000000001E-2</v>
      </c>
      <c r="F495" s="86"/>
      <c r="G495" s="86"/>
      <c r="H495" s="86"/>
      <c r="I495" s="22"/>
      <c r="J495" s="107">
        <v>10</v>
      </c>
      <c r="K495" s="73" t="s">
        <v>332</v>
      </c>
      <c r="L495" s="73">
        <v>0.86</v>
      </c>
      <c r="M495" s="108">
        <v>1.03E-2</v>
      </c>
      <c r="N495" s="22"/>
      <c r="O495" s="73"/>
      <c r="P495" s="107">
        <v>7</v>
      </c>
      <c r="Q495" s="73" t="s">
        <v>101</v>
      </c>
      <c r="R495" s="88">
        <v>1.33</v>
      </c>
      <c r="S495" s="108">
        <v>2.06E-2</v>
      </c>
      <c r="T495" s="22"/>
      <c r="U495" s="22"/>
      <c r="V495" s="22"/>
      <c r="W495" s="22"/>
      <c r="X495" s="22"/>
      <c r="Y495" s="22"/>
    </row>
    <row r="496" spans="2:25">
      <c r="B496" s="107">
        <v>11</v>
      </c>
      <c r="C496" s="73" t="s">
        <v>352</v>
      </c>
      <c r="D496" s="73">
        <v>0.2</v>
      </c>
      <c r="E496" s="108">
        <v>1.09E-2</v>
      </c>
      <c r="F496" s="86"/>
      <c r="G496" s="86"/>
      <c r="H496" s="86"/>
      <c r="I496" s="22"/>
      <c r="J496" s="107">
        <v>11</v>
      </c>
      <c r="K496" s="73" t="s">
        <v>352</v>
      </c>
      <c r="L496" s="73">
        <v>0.83</v>
      </c>
      <c r="M496" s="108">
        <v>0.01</v>
      </c>
      <c r="N496" s="22"/>
      <c r="O496" s="73"/>
      <c r="P496" s="107">
        <v>8</v>
      </c>
      <c r="Q496" s="73" t="s">
        <v>114</v>
      </c>
      <c r="R496" s="88">
        <v>1.32</v>
      </c>
      <c r="S496" s="108">
        <v>2.0400000000000001E-2</v>
      </c>
      <c r="T496" s="22"/>
      <c r="U496" s="22"/>
      <c r="V496" s="22"/>
      <c r="W496" s="22"/>
      <c r="X496" s="22"/>
      <c r="Y496" s="22"/>
    </row>
    <row r="497" spans="2:25">
      <c r="B497" s="107">
        <v>12</v>
      </c>
      <c r="C497" s="73" t="s">
        <v>433</v>
      </c>
      <c r="D497" s="73">
        <v>0.18</v>
      </c>
      <c r="E497" s="108">
        <v>9.7999999999999997E-3</v>
      </c>
      <c r="F497" s="86"/>
      <c r="G497" s="86"/>
      <c r="H497" s="86"/>
      <c r="I497" s="22"/>
      <c r="J497" s="107">
        <v>12</v>
      </c>
      <c r="K497" s="73" t="s">
        <v>357</v>
      </c>
      <c r="L497" s="73">
        <v>0.8</v>
      </c>
      <c r="M497" s="108">
        <v>9.7000000000000003E-3</v>
      </c>
      <c r="N497" s="22"/>
      <c r="O497" s="73"/>
      <c r="P497" s="107">
        <v>9</v>
      </c>
      <c r="Q497" s="73" t="s">
        <v>108</v>
      </c>
      <c r="R497" s="88">
        <v>1.2</v>
      </c>
      <c r="S497" s="108">
        <v>1.8499999999999999E-2</v>
      </c>
      <c r="T497" s="22"/>
      <c r="U497" s="22"/>
      <c r="V497" s="22"/>
      <c r="W497" s="22"/>
      <c r="X497" s="22"/>
      <c r="Y497" s="22"/>
    </row>
    <row r="498" spans="2:25">
      <c r="B498" s="107">
        <v>13</v>
      </c>
      <c r="C498" s="73" t="s">
        <v>101</v>
      </c>
      <c r="D498" s="73">
        <v>0.13</v>
      </c>
      <c r="E498" s="108">
        <v>7.1999999999999998E-3</v>
      </c>
      <c r="F498" s="86"/>
      <c r="G498" s="86"/>
      <c r="H498" s="86"/>
      <c r="I498" s="22"/>
      <c r="J498" s="107">
        <v>13</v>
      </c>
      <c r="K498" s="73" t="s">
        <v>433</v>
      </c>
      <c r="L498" s="73">
        <v>0.49</v>
      </c>
      <c r="M498" s="108">
        <v>5.8999999999999999E-3</v>
      </c>
      <c r="N498" s="22"/>
      <c r="O498" s="73"/>
      <c r="P498" s="107">
        <v>10</v>
      </c>
      <c r="Q498" s="73" t="s">
        <v>332</v>
      </c>
      <c r="R498" s="88">
        <v>0.64</v>
      </c>
      <c r="S498" s="108">
        <v>9.9000000000000008E-3</v>
      </c>
      <c r="T498" s="22"/>
      <c r="U498" s="22"/>
      <c r="V498" s="22"/>
      <c r="W498" s="22"/>
      <c r="X498" s="22"/>
      <c r="Y498" s="22"/>
    </row>
    <row r="499" spans="2:25">
      <c r="B499" s="107">
        <v>14</v>
      </c>
      <c r="C499" s="73" t="s">
        <v>113</v>
      </c>
      <c r="D499" s="73">
        <v>0.13</v>
      </c>
      <c r="E499" s="108">
        <v>6.7999999999999996E-3</v>
      </c>
      <c r="F499" s="86"/>
      <c r="G499" s="86"/>
      <c r="H499" s="86"/>
      <c r="I499" s="22"/>
      <c r="J499" s="107">
        <v>14</v>
      </c>
      <c r="K499" s="73" t="s">
        <v>363</v>
      </c>
      <c r="L499" s="73">
        <v>0.49</v>
      </c>
      <c r="M499" s="108">
        <v>5.7999999999999996E-3</v>
      </c>
      <c r="N499" s="22"/>
      <c r="O499" s="22"/>
      <c r="P499" s="109"/>
      <c r="Q499" s="101" t="s">
        <v>39</v>
      </c>
      <c r="R499" s="102"/>
      <c r="S499" s="111">
        <f>1-SUM(S489:S498)</f>
        <v>5.280000000000018E-2</v>
      </c>
      <c r="T499" s="22"/>
      <c r="U499" s="22"/>
      <c r="V499" s="22"/>
      <c r="W499" s="22"/>
      <c r="X499" s="22"/>
      <c r="Y499" s="22"/>
    </row>
    <row r="500" spans="2:25">
      <c r="B500" s="109">
        <v>15</v>
      </c>
      <c r="C500" s="110" t="s">
        <v>363</v>
      </c>
      <c r="D500" s="110">
        <v>0.1</v>
      </c>
      <c r="E500" s="111">
        <v>5.3E-3</v>
      </c>
      <c r="F500" s="86"/>
      <c r="G500" s="86"/>
      <c r="H500" s="86"/>
      <c r="I500" s="22"/>
      <c r="J500" s="109">
        <v>15</v>
      </c>
      <c r="K500" s="110" t="s">
        <v>113</v>
      </c>
      <c r="L500" s="110">
        <v>0.43</v>
      </c>
      <c r="M500" s="111">
        <v>5.1999999999999998E-3</v>
      </c>
      <c r="N500" s="22"/>
      <c r="O500" s="22"/>
      <c r="P500" s="22"/>
      <c r="Q500" s="22"/>
      <c r="R500" s="22"/>
      <c r="S500" s="86"/>
      <c r="T500" s="22"/>
      <c r="U500" s="22"/>
      <c r="V500" s="22"/>
      <c r="W500" s="22"/>
      <c r="X500" s="22"/>
      <c r="Y500" s="22"/>
    </row>
    <row r="501" spans="2:25"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86"/>
      <c r="T501" s="22"/>
      <c r="U501" s="22"/>
      <c r="V501" s="22"/>
      <c r="W501" s="22"/>
      <c r="X501" s="22"/>
      <c r="Y501" s="22"/>
    </row>
    <row r="502" spans="2:25"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 spans="2:25"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 spans="2:25">
      <c r="B504" s="29" t="s">
        <v>446</v>
      </c>
      <c r="C504" s="22"/>
      <c r="D504" s="22"/>
      <c r="E504" s="22"/>
      <c r="F504" s="22"/>
      <c r="G504" s="22"/>
      <c r="H504" s="22"/>
      <c r="I504" s="22"/>
      <c r="J504" s="22" t="s">
        <v>445</v>
      </c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 spans="2:25" ht="30">
      <c r="B505" s="112" t="s">
        <v>342</v>
      </c>
      <c r="C505" s="113" t="s">
        <v>343</v>
      </c>
      <c r="D505" s="114" t="s">
        <v>440</v>
      </c>
      <c r="E505" s="115" t="s">
        <v>345</v>
      </c>
      <c r="F505" s="73"/>
      <c r="G505" s="73"/>
      <c r="H505" s="73"/>
      <c r="I505" s="22"/>
      <c r="J505" s="103" t="s">
        <v>342</v>
      </c>
      <c r="K505" s="104" t="s">
        <v>343</v>
      </c>
      <c r="L505" s="105" t="s">
        <v>347</v>
      </c>
      <c r="M505" s="106" t="s">
        <v>345</v>
      </c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 spans="2:25">
      <c r="B506" s="112">
        <v>1</v>
      </c>
      <c r="C506" s="113" t="s">
        <v>98</v>
      </c>
      <c r="D506" s="116">
        <v>5.08</v>
      </c>
      <c r="E506" s="117">
        <v>0.38279999999999997</v>
      </c>
      <c r="F506" s="86"/>
      <c r="G506" s="86"/>
      <c r="H506" s="86"/>
      <c r="I506" s="22"/>
      <c r="J506" s="112">
        <v>1</v>
      </c>
      <c r="K506" s="113" t="s">
        <v>98</v>
      </c>
      <c r="L506" s="116">
        <v>30.59</v>
      </c>
      <c r="M506" s="117">
        <v>0.47389999999999999</v>
      </c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 spans="2:25">
      <c r="B507" s="107">
        <v>2</v>
      </c>
      <c r="C507" s="73" t="s">
        <v>96</v>
      </c>
      <c r="D507" s="88">
        <v>4.2699999999999996</v>
      </c>
      <c r="E507" s="108">
        <v>0.32179999999999997</v>
      </c>
      <c r="F507" s="86"/>
      <c r="G507" s="86"/>
      <c r="H507" s="86"/>
      <c r="I507" s="22"/>
      <c r="J507" s="107">
        <v>2</v>
      </c>
      <c r="K507" s="73" t="s">
        <v>96</v>
      </c>
      <c r="L507" s="88">
        <v>14.68</v>
      </c>
      <c r="M507" s="108">
        <v>0.22750000000000001</v>
      </c>
      <c r="N507" s="22"/>
      <c r="O507" s="22"/>
      <c r="P507" s="29" t="s">
        <v>447</v>
      </c>
      <c r="Q507" s="22"/>
      <c r="R507" s="22"/>
      <c r="S507" s="22"/>
      <c r="T507" s="22"/>
      <c r="U507" s="22"/>
      <c r="V507" s="22"/>
      <c r="W507" s="22"/>
      <c r="X507" s="22"/>
      <c r="Y507" s="22"/>
    </row>
    <row r="508" spans="2:25" ht="30">
      <c r="B508" s="107">
        <v>3</v>
      </c>
      <c r="C508" s="73" t="s">
        <v>109</v>
      </c>
      <c r="D508" s="88">
        <v>0.9</v>
      </c>
      <c r="E508" s="108">
        <v>6.7900000000000002E-2</v>
      </c>
      <c r="F508" s="86"/>
      <c r="G508" s="86"/>
      <c r="H508" s="86"/>
      <c r="I508" s="22"/>
      <c r="J508" s="107">
        <v>3</v>
      </c>
      <c r="K508" s="73" t="s">
        <v>109</v>
      </c>
      <c r="L508" s="88">
        <v>5.09</v>
      </c>
      <c r="M508" s="108">
        <v>7.8899999999999998E-2</v>
      </c>
      <c r="N508" s="120"/>
      <c r="O508" s="22"/>
      <c r="P508" s="121" t="s">
        <v>342</v>
      </c>
      <c r="Q508" s="105" t="s">
        <v>343</v>
      </c>
      <c r="R508" s="105" t="s">
        <v>448</v>
      </c>
      <c r="S508" s="125" t="s">
        <v>345</v>
      </c>
      <c r="T508" s="22"/>
      <c r="U508" s="22"/>
      <c r="V508" s="22"/>
      <c r="W508" s="22"/>
      <c r="X508" s="22"/>
      <c r="Y508" s="22"/>
    </row>
    <row r="509" spans="2:25">
      <c r="B509" s="107">
        <v>4</v>
      </c>
      <c r="C509" s="73" t="s">
        <v>103</v>
      </c>
      <c r="D509" s="88">
        <v>0.7</v>
      </c>
      <c r="E509" s="108">
        <v>5.3100000000000001E-2</v>
      </c>
      <c r="F509" s="86"/>
      <c r="G509" s="86"/>
      <c r="H509" s="86"/>
      <c r="I509" s="22"/>
      <c r="J509" s="107">
        <v>4</v>
      </c>
      <c r="K509" s="73" t="s">
        <v>103</v>
      </c>
      <c r="L509" s="88">
        <v>3.27</v>
      </c>
      <c r="M509" s="108">
        <v>5.0700000000000002E-2</v>
      </c>
      <c r="N509" s="122"/>
      <c r="O509" s="22"/>
      <c r="P509" s="123">
        <v>1</v>
      </c>
      <c r="Q509" s="95" t="s">
        <v>98</v>
      </c>
      <c r="R509" s="95">
        <v>25.51</v>
      </c>
      <c r="S509" s="126">
        <v>0.4975</v>
      </c>
      <c r="T509" s="22"/>
      <c r="U509" s="22"/>
      <c r="V509" s="22"/>
      <c r="W509" s="22"/>
      <c r="X509" s="22"/>
      <c r="Y509" s="22"/>
    </row>
    <row r="510" spans="2:25">
      <c r="B510" s="107">
        <v>5</v>
      </c>
      <c r="C510" s="73" t="s">
        <v>114</v>
      </c>
      <c r="D510" s="88">
        <v>0.51</v>
      </c>
      <c r="E510" s="108">
        <v>3.8100000000000002E-2</v>
      </c>
      <c r="F510" s="86"/>
      <c r="G510" s="86"/>
      <c r="H510" s="86"/>
      <c r="I510" s="22"/>
      <c r="J510" s="107">
        <v>5</v>
      </c>
      <c r="K510" s="73" t="s">
        <v>129</v>
      </c>
      <c r="L510" s="88">
        <v>1.64</v>
      </c>
      <c r="M510" s="108">
        <v>2.5399999999999999E-2</v>
      </c>
      <c r="N510" s="122"/>
      <c r="O510" s="22"/>
      <c r="P510" s="124">
        <v>2</v>
      </c>
      <c r="Q510" s="22" t="s">
        <v>96</v>
      </c>
      <c r="R510" s="22">
        <v>10.41</v>
      </c>
      <c r="S510" s="127">
        <v>0.2031</v>
      </c>
      <c r="T510" s="22"/>
      <c r="U510" s="22"/>
      <c r="V510" s="22"/>
      <c r="W510" s="22"/>
      <c r="X510" s="22"/>
      <c r="Y510" s="22"/>
    </row>
    <row r="511" spans="2:25">
      <c r="B511" s="107">
        <v>6</v>
      </c>
      <c r="C511" s="73" t="s">
        <v>129</v>
      </c>
      <c r="D511" s="88">
        <v>0.36</v>
      </c>
      <c r="E511" s="108">
        <v>2.7E-2</v>
      </c>
      <c r="F511" s="86"/>
      <c r="G511" s="86"/>
      <c r="H511" s="86"/>
      <c r="I511" s="22"/>
      <c r="J511" s="107">
        <v>6</v>
      </c>
      <c r="K511" s="73" t="s">
        <v>116</v>
      </c>
      <c r="L511" s="88">
        <v>1.38</v>
      </c>
      <c r="M511" s="108">
        <v>2.1399999999999999E-2</v>
      </c>
      <c r="N511" s="122"/>
      <c r="O511" s="22"/>
      <c r="P511" s="124">
        <v>3</v>
      </c>
      <c r="Q511" s="22" t="s">
        <v>109</v>
      </c>
      <c r="R511" s="22">
        <v>4.1900000000000004</v>
      </c>
      <c r="S511" s="127">
        <v>8.1699999999999995E-2</v>
      </c>
      <c r="T511" s="72"/>
      <c r="U511" s="29"/>
      <c r="V511" s="22"/>
      <c r="W511" s="22"/>
      <c r="X511" s="72"/>
      <c r="Y511" s="94"/>
    </row>
    <row r="512" spans="2:25">
      <c r="B512" s="107">
        <v>7</v>
      </c>
      <c r="C512" s="73" t="s">
        <v>116</v>
      </c>
      <c r="D512" s="88">
        <v>0.28999999999999998</v>
      </c>
      <c r="E512" s="108">
        <v>2.1499999999999998E-2</v>
      </c>
      <c r="F512" s="86"/>
      <c r="G512" s="86"/>
      <c r="H512" s="86"/>
      <c r="I512" s="22"/>
      <c r="J512" s="107">
        <v>7</v>
      </c>
      <c r="K512" s="73" t="s">
        <v>101</v>
      </c>
      <c r="L512" s="88">
        <v>1.33</v>
      </c>
      <c r="M512" s="108">
        <v>2.06E-2</v>
      </c>
      <c r="N512" s="122"/>
      <c r="O512" s="29"/>
      <c r="P512" s="124">
        <v>4</v>
      </c>
      <c r="Q512" s="22" t="s">
        <v>103</v>
      </c>
      <c r="R512" s="22">
        <v>2.57</v>
      </c>
      <c r="S512" s="127">
        <v>5.0099999999999999E-2</v>
      </c>
      <c r="T512" s="72"/>
      <c r="U512" s="29"/>
      <c r="V512" s="22"/>
      <c r="W512" s="22"/>
      <c r="X512" s="72"/>
      <c r="Y512" s="94"/>
    </row>
    <row r="513" spans="2:25">
      <c r="B513" s="107">
        <v>8</v>
      </c>
      <c r="C513" s="73" t="s">
        <v>108</v>
      </c>
      <c r="D513" s="88">
        <v>0.26</v>
      </c>
      <c r="E513" s="108">
        <v>1.95E-2</v>
      </c>
      <c r="F513" s="86"/>
      <c r="G513" s="86"/>
      <c r="H513" s="86"/>
      <c r="I513" s="22"/>
      <c r="J513" s="107">
        <v>8</v>
      </c>
      <c r="K513" s="73" t="s">
        <v>114</v>
      </c>
      <c r="L513" s="88">
        <v>1.32</v>
      </c>
      <c r="M513" s="108">
        <v>2.0400000000000001E-2</v>
      </c>
      <c r="N513" s="122"/>
      <c r="O513" s="22"/>
      <c r="P513" s="124">
        <v>5</v>
      </c>
      <c r="Q513" s="22" t="s">
        <v>129</v>
      </c>
      <c r="R513" s="22">
        <v>1.28</v>
      </c>
      <c r="S513" s="127">
        <v>2.5000000000000001E-2</v>
      </c>
      <c r="T513" s="22"/>
      <c r="U513" s="22"/>
      <c r="V513" s="22"/>
      <c r="W513" s="22"/>
      <c r="X513" s="22"/>
      <c r="Y513" s="22"/>
    </row>
    <row r="514" spans="2:25">
      <c r="B514" s="107">
        <v>9</v>
      </c>
      <c r="C514" s="73" t="s">
        <v>332</v>
      </c>
      <c r="D514" s="88">
        <v>0.23</v>
      </c>
      <c r="E514" s="108">
        <v>1.7600000000000001E-2</v>
      </c>
      <c r="F514" s="86"/>
      <c r="G514" s="86"/>
      <c r="H514" s="86"/>
      <c r="I514" s="22"/>
      <c r="J514" s="107">
        <v>9</v>
      </c>
      <c r="K514" s="73" t="s">
        <v>108</v>
      </c>
      <c r="L514" s="88">
        <v>1.2</v>
      </c>
      <c r="M514" s="108">
        <v>1.8499999999999999E-2</v>
      </c>
      <c r="N514" s="122"/>
      <c r="O514" s="22"/>
      <c r="P514" s="124">
        <v>6</v>
      </c>
      <c r="Q514" s="22" t="s">
        <v>101</v>
      </c>
      <c r="R514" s="22">
        <v>1.26</v>
      </c>
      <c r="S514" s="127">
        <v>2.46E-2</v>
      </c>
      <c r="T514" s="22"/>
      <c r="U514" s="22"/>
      <c r="V514" s="22"/>
      <c r="W514" s="22"/>
      <c r="X514" s="22"/>
      <c r="Y514" s="22"/>
    </row>
    <row r="515" spans="2:25">
      <c r="B515" s="107">
        <v>10</v>
      </c>
      <c r="C515" s="73" t="s">
        <v>352</v>
      </c>
      <c r="D515" s="88">
        <v>0.14000000000000001</v>
      </c>
      <c r="E515" s="108">
        <v>1.0800000000000001E-2</v>
      </c>
      <c r="F515" s="86"/>
      <c r="G515" s="86"/>
      <c r="H515" s="86"/>
      <c r="I515" s="22"/>
      <c r="J515" s="107">
        <v>10</v>
      </c>
      <c r="K515" s="73" t="s">
        <v>332</v>
      </c>
      <c r="L515" s="88">
        <v>0.64</v>
      </c>
      <c r="M515" s="108">
        <v>9.9000000000000008E-3</v>
      </c>
      <c r="N515" s="122"/>
      <c r="O515" s="22"/>
      <c r="P515" s="124">
        <v>7</v>
      </c>
      <c r="Q515" s="22" t="s">
        <v>116</v>
      </c>
      <c r="R515" s="22">
        <v>1.0900000000000001</v>
      </c>
      <c r="S515" s="127">
        <v>2.1299999999999999E-2</v>
      </c>
      <c r="T515" s="22"/>
      <c r="U515" s="22"/>
      <c r="V515" s="22"/>
      <c r="W515" s="22"/>
      <c r="X515" s="22"/>
      <c r="Y515" s="22"/>
    </row>
    <row r="516" spans="2:25">
      <c r="B516" s="107">
        <v>11</v>
      </c>
      <c r="C516" s="73" t="s">
        <v>363</v>
      </c>
      <c r="D516" s="88">
        <v>0.09</v>
      </c>
      <c r="E516" s="108">
        <v>7.1000000000000004E-3</v>
      </c>
      <c r="F516" s="86"/>
      <c r="G516" s="86"/>
      <c r="H516" s="86"/>
      <c r="I516" s="22"/>
      <c r="J516" s="107">
        <v>11</v>
      </c>
      <c r="K516" s="73" t="s">
        <v>352</v>
      </c>
      <c r="L516" s="88">
        <v>0.63</v>
      </c>
      <c r="M516" s="108">
        <v>9.7000000000000003E-3</v>
      </c>
      <c r="N516" s="122"/>
      <c r="O516" s="22"/>
      <c r="P516" s="124">
        <v>8</v>
      </c>
      <c r="Q516" s="22" t="s">
        <v>108</v>
      </c>
      <c r="R516" s="22">
        <v>0.94</v>
      </c>
      <c r="S516" s="127">
        <v>1.83E-2</v>
      </c>
      <c r="T516" s="22"/>
      <c r="U516" s="22"/>
      <c r="V516" s="22"/>
      <c r="W516" s="22"/>
      <c r="X516" s="22"/>
      <c r="Y516" s="22"/>
    </row>
    <row r="517" spans="2:25">
      <c r="B517" s="107">
        <v>12</v>
      </c>
      <c r="C517" s="73" t="s">
        <v>101</v>
      </c>
      <c r="D517" s="88">
        <v>7.0000000000000007E-2</v>
      </c>
      <c r="E517" s="108">
        <v>5.4000000000000003E-3</v>
      </c>
      <c r="F517" s="86"/>
      <c r="G517" s="86"/>
      <c r="H517" s="86"/>
      <c r="I517" s="22"/>
      <c r="J517" s="107">
        <v>12</v>
      </c>
      <c r="K517" s="73" t="s">
        <v>357</v>
      </c>
      <c r="L517" s="88">
        <v>0.57999999999999996</v>
      </c>
      <c r="M517" s="108">
        <v>8.9999999999999993E-3</v>
      </c>
      <c r="N517" s="122"/>
      <c r="O517" s="22"/>
      <c r="P517" s="124">
        <v>9</v>
      </c>
      <c r="Q517" s="22" t="s">
        <v>114</v>
      </c>
      <c r="R517" s="22">
        <v>0.81</v>
      </c>
      <c r="S517" s="127">
        <v>1.5800000000000002E-2</v>
      </c>
      <c r="T517" s="22"/>
      <c r="U517" s="22"/>
      <c r="V517" s="22"/>
      <c r="W517" s="22"/>
      <c r="X517" s="22"/>
      <c r="Y517" s="22"/>
    </row>
    <row r="518" spans="2:25">
      <c r="B518" s="107">
        <v>13</v>
      </c>
      <c r="C518" s="73" t="s">
        <v>357</v>
      </c>
      <c r="D518" s="88">
        <v>0.05</v>
      </c>
      <c r="E518" s="108">
        <v>4.0000000000000001E-3</v>
      </c>
      <c r="F518" s="86"/>
      <c r="G518" s="86"/>
      <c r="H518" s="86"/>
      <c r="I518" s="22"/>
      <c r="J518" s="107">
        <v>13</v>
      </c>
      <c r="K518" s="73" t="s">
        <v>363</v>
      </c>
      <c r="L518" s="88">
        <v>0.39</v>
      </c>
      <c r="M518" s="108">
        <v>6.0000000000000001E-3</v>
      </c>
      <c r="N518" s="122"/>
      <c r="O518" s="29"/>
      <c r="P518" s="124">
        <v>10</v>
      </c>
      <c r="Q518" s="22" t="s">
        <v>357</v>
      </c>
      <c r="R518" s="22">
        <v>0.53</v>
      </c>
      <c r="S518" s="127">
        <v>1.0200000000000001E-2</v>
      </c>
      <c r="T518" s="72"/>
      <c r="U518" s="29"/>
      <c r="V518" s="22"/>
      <c r="W518" s="22"/>
      <c r="X518" s="72"/>
      <c r="Y518" s="94"/>
    </row>
    <row r="519" spans="2:25">
      <c r="B519" s="107">
        <v>14</v>
      </c>
      <c r="C519" s="73" t="s">
        <v>113</v>
      </c>
      <c r="D519" s="88">
        <v>0.05</v>
      </c>
      <c r="E519" s="108">
        <v>3.5000000000000001E-3</v>
      </c>
      <c r="F519" s="86"/>
      <c r="G519" s="86"/>
      <c r="H519" s="86"/>
      <c r="I519" s="22"/>
      <c r="J519" s="107">
        <v>14</v>
      </c>
      <c r="K519" s="73" t="s">
        <v>433</v>
      </c>
      <c r="L519" s="88">
        <v>0.3</v>
      </c>
      <c r="M519" s="108">
        <v>4.7000000000000002E-3</v>
      </c>
      <c r="N519" s="122"/>
      <c r="O519" s="22"/>
      <c r="P519" s="141"/>
      <c r="Q519" s="101" t="s">
        <v>39</v>
      </c>
      <c r="R519" s="101"/>
      <c r="S519" s="130">
        <f>1-SUM(S509:S518)</f>
        <v>5.2400000000000002E-2</v>
      </c>
      <c r="T519" s="22"/>
      <c r="U519" s="22"/>
      <c r="V519" s="22"/>
      <c r="W519" s="22"/>
      <c r="X519" s="22"/>
      <c r="Y519" s="22"/>
    </row>
    <row r="520" spans="2:25">
      <c r="B520" s="109">
        <v>15</v>
      </c>
      <c r="C520" s="110" t="s">
        <v>449</v>
      </c>
      <c r="D520" s="110">
        <v>0.04</v>
      </c>
      <c r="E520" s="111">
        <v>2.8999999999999998E-3</v>
      </c>
      <c r="F520" s="86"/>
      <c r="G520" s="86"/>
      <c r="H520" s="86"/>
      <c r="I520" s="22"/>
      <c r="J520" s="109">
        <v>15</v>
      </c>
      <c r="K520" s="110" t="s">
        <v>113</v>
      </c>
      <c r="L520" s="142">
        <v>0.3</v>
      </c>
      <c r="M520" s="111">
        <v>4.7000000000000002E-3</v>
      </c>
      <c r="N520" s="1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 spans="2:25"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1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 spans="2:25"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1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 spans="2:25"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1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 spans="2:25">
      <c r="B524" s="29" t="s">
        <v>450</v>
      </c>
      <c r="C524" s="22"/>
      <c r="D524" s="22"/>
      <c r="E524" s="22"/>
      <c r="F524" s="22"/>
      <c r="G524" s="22"/>
      <c r="H524" s="22"/>
      <c r="I524" s="22"/>
      <c r="J524" s="29" t="s">
        <v>447</v>
      </c>
      <c r="K524" s="22"/>
      <c r="L524" s="22"/>
      <c r="M524" s="22"/>
      <c r="N524" s="1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 spans="2:25" ht="30">
      <c r="B525" s="121" t="s">
        <v>342</v>
      </c>
      <c r="C525" s="105" t="s">
        <v>343</v>
      </c>
      <c r="D525" s="105" t="s">
        <v>448</v>
      </c>
      <c r="E525" s="128" t="s">
        <v>345</v>
      </c>
      <c r="F525" s="78"/>
      <c r="G525" s="78"/>
      <c r="H525" s="78"/>
      <c r="I525" s="22"/>
      <c r="J525" s="121" t="s">
        <v>342</v>
      </c>
      <c r="K525" s="105" t="s">
        <v>343</v>
      </c>
      <c r="L525" s="105" t="s">
        <v>448</v>
      </c>
      <c r="M525" s="125" t="s">
        <v>345</v>
      </c>
      <c r="N525" s="72"/>
      <c r="O525" s="29"/>
      <c r="P525" s="22"/>
      <c r="Q525" s="22"/>
      <c r="R525" s="72"/>
      <c r="S525" s="94"/>
      <c r="T525" s="72"/>
      <c r="U525" s="29"/>
      <c r="V525" s="22"/>
      <c r="W525" s="22"/>
      <c r="X525" s="72"/>
      <c r="Y525" s="94"/>
    </row>
    <row r="526" spans="2:25">
      <c r="B526" s="123">
        <v>1</v>
      </c>
      <c r="C526" s="95" t="s">
        <v>98</v>
      </c>
      <c r="D526" s="95">
        <v>10.81</v>
      </c>
      <c r="E526" s="126">
        <v>0.50490000000000002</v>
      </c>
      <c r="F526" s="122"/>
      <c r="G526" s="122"/>
      <c r="H526" s="122"/>
      <c r="I526" s="22"/>
      <c r="J526" s="123">
        <v>1</v>
      </c>
      <c r="K526" s="95" t="s">
        <v>98</v>
      </c>
      <c r="L526" s="95">
        <v>25.51</v>
      </c>
      <c r="M526" s="126">
        <v>0.4975</v>
      </c>
      <c r="N526" s="22"/>
      <c r="O526" s="29"/>
      <c r="P526" s="22"/>
      <c r="Q526" s="22"/>
      <c r="R526" s="72"/>
      <c r="S526" s="94"/>
      <c r="T526" s="72"/>
      <c r="U526" s="29"/>
      <c r="V526" s="22"/>
      <c r="W526" s="22"/>
      <c r="X526" s="72"/>
      <c r="Y526" s="94"/>
    </row>
    <row r="527" spans="2:25">
      <c r="B527" s="124">
        <v>2</v>
      </c>
      <c r="C527" s="22" t="s">
        <v>96</v>
      </c>
      <c r="D527" s="22">
        <v>4.12</v>
      </c>
      <c r="E527" s="127">
        <v>0.19239999999999999</v>
      </c>
      <c r="F527" s="122"/>
      <c r="G527" s="122"/>
      <c r="H527" s="122"/>
      <c r="I527" s="22"/>
      <c r="J527" s="124">
        <v>2</v>
      </c>
      <c r="K527" s="22" t="s">
        <v>96</v>
      </c>
      <c r="L527" s="22">
        <v>10.41</v>
      </c>
      <c r="M527" s="127">
        <v>0.2031</v>
      </c>
      <c r="N527" s="120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 spans="2:25">
      <c r="B528" s="124">
        <v>3</v>
      </c>
      <c r="C528" s="22" t="s">
        <v>109</v>
      </c>
      <c r="D528" s="22">
        <v>1.84</v>
      </c>
      <c r="E528" s="127">
        <v>8.5800000000000001E-2</v>
      </c>
      <c r="F528" s="122"/>
      <c r="G528" s="122"/>
      <c r="H528" s="122"/>
      <c r="I528" s="22"/>
      <c r="J528" s="124">
        <v>3</v>
      </c>
      <c r="K528" s="22" t="s">
        <v>109</v>
      </c>
      <c r="L528" s="22">
        <v>4.1900000000000004</v>
      </c>
      <c r="M528" s="127">
        <v>8.1699999999999995E-2</v>
      </c>
      <c r="N528" s="1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 spans="2:25">
      <c r="B529" s="124">
        <v>4</v>
      </c>
      <c r="C529" s="22" t="s">
        <v>103</v>
      </c>
      <c r="D529" s="22">
        <v>0.93</v>
      </c>
      <c r="E529" s="127">
        <v>4.3400000000000001E-2</v>
      </c>
      <c r="F529" s="122"/>
      <c r="G529" s="122"/>
      <c r="H529" s="122"/>
      <c r="I529" s="22"/>
      <c r="J529" s="124">
        <v>4</v>
      </c>
      <c r="K529" s="22" t="s">
        <v>103</v>
      </c>
      <c r="L529" s="22">
        <v>2.57</v>
      </c>
      <c r="M529" s="127">
        <v>5.0099999999999999E-2</v>
      </c>
      <c r="N529" s="75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 spans="2:25">
      <c r="B530" s="124">
        <v>5</v>
      </c>
      <c r="C530" s="22" t="s">
        <v>101</v>
      </c>
      <c r="D530" s="22">
        <v>0.79</v>
      </c>
      <c r="E530" s="127">
        <v>3.7100000000000001E-2</v>
      </c>
      <c r="F530" s="122"/>
      <c r="G530" s="122"/>
      <c r="H530" s="122"/>
      <c r="I530" s="22"/>
      <c r="J530" s="124">
        <v>5</v>
      </c>
      <c r="K530" s="22" t="s">
        <v>129</v>
      </c>
      <c r="L530" s="22">
        <v>1.28</v>
      </c>
      <c r="M530" s="127">
        <v>2.5000000000000001E-2</v>
      </c>
      <c r="N530" s="75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 spans="2:25">
      <c r="B531" s="124">
        <v>6</v>
      </c>
      <c r="C531" s="22" t="s">
        <v>129</v>
      </c>
      <c r="D531" s="22">
        <v>0.51</v>
      </c>
      <c r="E531" s="127">
        <v>2.3699999999999999E-2</v>
      </c>
      <c r="F531" s="122"/>
      <c r="G531" s="122"/>
      <c r="H531" s="122"/>
      <c r="I531" s="22"/>
      <c r="J531" s="124">
        <v>6</v>
      </c>
      <c r="K531" s="22" t="s">
        <v>101</v>
      </c>
      <c r="L531" s="22">
        <v>1.26</v>
      </c>
      <c r="M531" s="127">
        <v>2.46E-2</v>
      </c>
      <c r="N531" s="75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 spans="2:25">
      <c r="B532" s="124">
        <v>7</v>
      </c>
      <c r="C532" s="22" t="s">
        <v>116</v>
      </c>
      <c r="D532" s="22">
        <v>0.47</v>
      </c>
      <c r="E532" s="127">
        <v>2.1999999999999999E-2</v>
      </c>
      <c r="F532" s="122"/>
      <c r="G532" s="122"/>
      <c r="H532" s="122"/>
      <c r="I532" s="22"/>
      <c r="J532" s="124">
        <v>7</v>
      </c>
      <c r="K532" s="22" t="s">
        <v>116</v>
      </c>
      <c r="L532" s="22">
        <v>1.0900000000000001</v>
      </c>
      <c r="M532" s="127">
        <v>2.1299999999999999E-2</v>
      </c>
      <c r="N532" s="1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 spans="2:25">
      <c r="B533" s="124">
        <v>8</v>
      </c>
      <c r="C533" s="22" t="s">
        <v>108</v>
      </c>
      <c r="D533" s="22">
        <v>0.4</v>
      </c>
      <c r="E533" s="127">
        <v>1.8599999999999998E-2</v>
      </c>
      <c r="F533" s="122"/>
      <c r="G533" s="122"/>
      <c r="H533" s="122"/>
      <c r="I533" s="22"/>
      <c r="J533" s="124">
        <v>8</v>
      </c>
      <c r="K533" s="22" t="s">
        <v>108</v>
      </c>
      <c r="L533" s="22">
        <v>0.94</v>
      </c>
      <c r="M533" s="127">
        <v>1.83E-2</v>
      </c>
      <c r="N533" s="1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 spans="2:25">
      <c r="B534" s="124">
        <v>9</v>
      </c>
      <c r="C534" s="22" t="s">
        <v>114</v>
      </c>
      <c r="D534" s="22">
        <v>0.35</v>
      </c>
      <c r="E534" s="127">
        <v>1.6199999999999999E-2</v>
      </c>
      <c r="F534" s="122"/>
      <c r="G534" s="122"/>
      <c r="H534" s="122"/>
      <c r="I534" s="22"/>
      <c r="J534" s="124">
        <v>9</v>
      </c>
      <c r="K534" s="22" t="s">
        <v>114</v>
      </c>
      <c r="L534" s="22">
        <v>0.81</v>
      </c>
      <c r="M534" s="127">
        <v>1.5800000000000002E-2</v>
      </c>
      <c r="N534" s="1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 spans="2:25">
      <c r="B535" s="124">
        <v>10</v>
      </c>
      <c r="C535" s="22" t="s">
        <v>332</v>
      </c>
      <c r="D535" s="22">
        <v>0.22</v>
      </c>
      <c r="E535" s="127">
        <v>1.04E-2</v>
      </c>
      <c r="F535" s="122"/>
      <c r="G535" s="122"/>
      <c r="H535" s="122"/>
      <c r="I535" s="22"/>
      <c r="J535" s="124">
        <v>10</v>
      </c>
      <c r="K535" s="22" t="s">
        <v>357</v>
      </c>
      <c r="L535" s="22">
        <v>0.53</v>
      </c>
      <c r="M535" s="127">
        <v>1.0200000000000001E-2</v>
      </c>
      <c r="N535" s="1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 spans="2:25">
      <c r="B536" s="124">
        <v>11</v>
      </c>
      <c r="C536" s="22" t="s">
        <v>352</v>
      </c>
      <c r="D536" s="22">
        <v>0.16</v>
      </c>
      <c r="E536" s="127">
        <v>7.4000000000000003E-3</v>
      </c>
      <c r="F536" s="122"/>
      <c r="G536" s="122"/>
      <c r="H536" s="122"/>
      <c r="I536" s="22"/>
      <c r="J536" s="124">
        <v>11</v>
      </c>
      <c r="K536" s="22" t="s">
        <v>352</v>
      </c>
      <c r="L536" s="22">
        <v>0.49</v>
      </c>
      <c r="M536" s="127">
        <v>9.4999999999999998E-3</v>
      </c>
      <c r="N536" s="1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 spans="2:25">
      <c r="B537" s="124">
        <v>12</v>
      </c>
      <c r="C537" s="22" t="s">
        <v>451</v>
      </c>
      <c r="D537" s="22">
        <v>0.15</v>
      </c>
      <c r="E537" s="127">
        <v>7.1000000000000004E-3</v>
      </c>
      <c r="F537" s="122"/>
      <c r="G537" s="122"/>
      <c r="H537" s="122"/>
      <c r="I537" s="22"/>
      <c r="J537" s="124">
        <v>12</v>
      </c>
      <c r="K537" s="22" t="s">
        <v>332</v>
      </c>
      <c r="L537" s="22">
        <v>0.4</v>
      </c>
      <c r="M537" s="127">
        <v>7.9000000000000008E-3</v>
      </c>
      <c r="N537" s="1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 spans="2:25">
      <c r="B538" s="124">
        <v>13</v>
      </c>
      <c r="C538" s="22" t="s">
        <v>113</v>
      </c>
      <c r="D538" s="22">
        <v>0.11</v>
      </c>
      <c r="E538" s="127">
        <v>5.3E-3</v>
      </c>
      <c r="F538" s="122"/>
      <c r="G538" s="122"/>
      <c r="H538" s="122"/>
      <c r="I538" s="22"/>
      <c r="J538" s="124">
        <v>13</v>
      </c>
      <c r="K538" s="22" t="s">
        <v>363</v>
      </c>
      <c r="L538" s="22">
        <v>0.28999999999999998</v>
      </c>
      <c r="M538" s="127">
        <v>5.7000000000000002E-3</v>
      </c>
      <c r="N538" s="1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 spans="2:25">
      <c r="B539" s="124">
        <v>14</v>
      </c>
      <c r="C539" s="22" t="s">
        <v>433</v>
      </c>
      <c r="D539" s="22">
        <v>0.11</v>
      </c>
      <c r="E539" s="127">
        <v>5.0000000000000001E-3</v>
      </c>
      <c r="F539" s="122"/>
      <c r="G539" s="122"/>
      <c r="H539" s="122"/>
      <c r="I539" s="22"/>
      <c r="J539" s="124">
        <v>14</v>
      </c>
      <c r="K539" s="22" t="s">
        <v>433</v>
      </c>
      <c r="L539" s="22">
        <v>0.27</v>
      </c>
      <c r="M539" s="127">
        <v>5.4000000000000003E-3</v>
      </c>
      <c r="N539" s="1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 spans="2:25">
      <c r="B540" s="129">
        <v>15</v>
      </c>
      <c r="C540" s="101" t="s">
        <v>357</v>
      </c>
      <c r="D540" s="101">
        <v>0.1</v>
      </c>
      <c r="E540" s="130">
        <v>4.7000000000000002E-3</v>
      </c>
      <c r="F540" s="122"/>
      <c r="G540" s="122"/>
      <c r="H540" s="122"/>
      <c r="I540" s="22"/>
      <c r="J540" s="129">
        <v>15</v>
      </c>
      <c r="K540" s="101" t="s">
        <v>113</v>
      </c>
      <c r="L540" s="101">
        <v>0.26</v>
      </c>
      <c r="M540" s="130">
        <v>5.0000000000000001E-3</v>
      </c>
      <c r="N540" s="1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 spans="2:25">
      <c r="B541" s="78"/>
      <c r="C541" s="22"/>
      <c r="D541" s="22"/>
      <c r="E541" s="122"/>
      <c r="F541" s="122"/>
      <c r="G541" s="122"/>
      <c r="H541" s="122"/>
      <c r="I541" s="22"/>
      <c r="J541" s="78"/>
      <c r="K541" s="22"/>
      <c r="L541" s="22"/>
      <c r="M541" s="122"/>
      <c r="N541" s="1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 spans="2:25">
      <c r="B542" s="22"/>
      <c r="C542" s="22"/>
      <c r="D542" s="22"/>
      <c r="E542" s="75"/>
      <c r="F542" s="75"/>
      <c r="G542" s="75"/>
      <c r="H542" s="75"/>
      <c r="I542" s="22"/>
      <c r="J542" s="22"/>
      <c r="K542" s="72"/>
      <c r="L542" s="94"/>
      <c r="M542" s="72"/>
      <c r="N542" s="1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 spans="2:25">
      <c r="B543" s="29" t="s">
        <v>452</v>
      </c>
      <c r="C543" s="22"/>
      <c r="D543" s="22"/>
      <c r="E543" s="22"/>
      <c r="F543" s="22"/>
      <c r="G543" s="22"/>
      <c r="H543" s="22"/>
      <c r="I543" s="22"/>
      <c r="J543" s="29" t="s">
        <v>453</v>
      </c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 spans="2:25" ht="30">
      <c r="B544" s="123" t="s">
        <v>342</v>
      </c>
      <c r="C544" s="114" t="s">
        <v>343</v>
      </c>
      <c r="D544" s="114" t="s">
        <v>448</v>
      </c>
      <c r="E544" s="131" t="s">
        <v>345</v>
      </c>
      <c r="F544" s="78"/>
      <c r="G544" s="78"/>
      <c r="H544" s="78"/>
      <c r="I544" s="22"/>
      <c r="J544" s="123" t="s">
        <v>342</v>
      </c>
      <c r="K544" s="114" t="s">
        <v>343</v>
      </c>
      <c r="L544" s="114" t="s">
        <v>448</v>
      </c>
      <c r="M544" s="143" t="s">
        <v>345</v>
      </c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 spans="2:25">
      <c r="B545" s="124">
        <v>1</v>
      </c>
      <c r="C545" s="22" t="s">
        <v>98</v>
      </c>
      <c r="D545" s="22">
        <v>6.57</v>
      </c>
      <c r="E545" s="127">
        <v>0.48020000000000002</v>
      </c>
      <c r="F545" s="122"/>
      <c r="G545" s="122"/>
      <c r="H545" s="122"/>
      <c r="I545" s="22"/>
      <c r="J545" s="124">
        <v>1</v>
      </c>
      <c r="K545" s="22" t="s">
        <v>98</v>
      </c>
      <c r="L545" s="22">
        <v>14.7</v>
      </c>
      <c r="M545" s="127">
        <v>0.49220000000000003</v>
      </c>
      <c r="N545" s="144"/>
      <c r="O545" s="29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 spans="2:25">
      <c r="B546" s="124">
        <v>2</v>
      </c>
      <c r="C546" s="22" t="s">
        <v>96</v>
      </c>
      <c r="D546" s="22">
        <v>2.9</v>
      </c>
      <c r="E546" s="127">
        <v>0.21240000000000001</v>
      </c>
      <c r="F546" s="122"/>
      <c r="G546" s="122"/>
      <c r="H546" s="122"/>
      <c r="I546" s="22"/>
      <c r="J546" s="124">
        <v>2</v>
      </c>
      <c r="K546" s="22" t="s">
        <v>96</v>
      </c>
      <c r="L546" s="22">
        <v>6.29</v>
      </c>
      <c r="M546" s="145">
        <v>0.2107</v>
      </c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 spans="2:25">
      <c r="B547" s="124">
        <v>3</v>
      </c>
      <c r="C547" s="22" t="s">
        <v>109</v>
      </c>
      <c r="D547" s="22">
        <v>1.1499999999999999</v>
      </c>
      <c r="E547" s="127">
        <v>8.4400000000000003E-2</v>
      </c>
      <c r="F547" s="122"/>
      <c r="G547" s="122"/>
      <c r="H547" s="122"/>
      <c r="I547" s="22"/>
      <c r="J547" s="124">
        <v>3</v>
      </c>
      <c r="K547" s="22" t="s">
        <v>109</v>
      </c>
      <c r="L547" s="22">
        <v>2.35</v>
      </c>
      <c r="M547" s="145">
        <v>7.8700000000000006E-2</v>
      </c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 spans="2:25">
      <c r="B548" s="124">
        <v>4</v>
      </c>
      <c r="C548" s="22" t="s">
        <v>103</v>
      </c>
      <c r="D548" s="22">
        <v>0.7</v>
      </c>
      <c r="E548" s="127">
        <v>5.1400000000000001E-2</v>
      </c>
      <c r="F548" s="122"/>
      <c r="G548" s="122"/>
      <c r="H548" s="122"/>
      <c r="I548" s="22"/>
      <c r="J548" s="124">
        <v>4</v>
      </c>
      <c r="K548" s="22" t="s">
        <v>103</v>
      </c>
      <c r="L548" s="22">
        <v>1.64</v>
      </c>
      <c r="M548" s="145">
        <v>5.5E-2</v>
      </c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 spans="2:25">
      <c r="B549" s="124">
        <v>5</v>
      </c>
      <c r="C549" s="22" t="s">
        <v>101</v>
      </c>
      <c r="D549" s="22">
        <v>0.35</v>
      </c>
      <c r="E549" s="127">
        <v>2.5899999999999999E-2</v>
      </c>
      <c r="F549" s="122"/>
      <c r="G549" s="122"/>
      <c r="H549" s="122"/>
      <c r="I549" s="22"/>
      <c r="J549" s="124">
        <v>5</v>
      </c>
      <c r="K549" s="22" t="s">
        <v>129</v>
      </c>
      <c r="L549" s="22">
        <v>0.77</v>
      </c>
      <c r="M549" s="127">
        <v>2.5899999999999999E-2</v>
      </c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 spans="2:25">
      <c r="B550" s="124">
        <v>6</v>
      </c>
      <c r="C550" s="22" t="s">
        <v>129</v>
      </c>
      <c r="D550" s="22">
        <v>0.34</v>
      </c>
      <c r="E550" s="127">
        <v>2.4799999999999999E-2</v>
      </c>
      <c r="F550" s="122"/>
      <c r="G550" s="122"/>
      <c r="H550" s="122"/>
      <c r="I550" s="22"/>
      <c r="J550" s="124">
        <v>6</v>
      </c>
      <c r="K550" s="22" t="s">
        <v>116</v>
      </c>
      <c r="L550" s="22">
        <v>0.62</v>
      </c>
      <c r="M550" s="127">
        <v>2.0899999999999998E-2</v>
      </c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 spans="2:25">
      <c r="B551" s="124">
        <v>7</v>
      </c>
      <c r="C551" s="22" t="s">
        <v>357</v>
      </c>
      <c r="D551" s="22">
        <v>0.25</v>
      </c>
      <c r="E551" s="127">
        <v>1.84E-2</v>
      </c>
      <c r="F551" s="122"/>
      <c r="G551" s="122"/>
      <c r="H551" s="122"/>
      <c r="I551" s="22"/>
      <c r="J551" s="124">
        <v>7</v>
      </c>
      <c r="K551" s="22" t="s">
        <v>108</v>
      </c>
      <c r="L551" s="22">
        <v>0.54</v>
      </c>
      <c r="M551" s="127">
        <v>1.8100000000000002E-2</v>
      </c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 spans="2:25">
      <c r="B552" s="124">
        <v>8</v>
      </c>
      <c r="C552" s="22" t="s">
        <v>116</v>
      </c>
      <c r="D552" s="22">
        <v>0.25</v>
      </c>
      <c r="E552" s="127">
        <v>1.83E-2</v>
      </c>
      <c r="F552" s="122"/>
      <c r="G552" s="122"/>
      <c r="H552" s="122"/>
      <c r="I552" s="22"/>
      <c r="J552" s="124">
        <v>8</v>
      </c>
      <c r="K552" s="22" t="s">
        <v>101</v>
      </c>
      <c r="L552" s="22">
        <v>0.47</v>
      </c>
      <c r="M552" s="127">
        <v>1.5599999999999999E-2</v>
      </c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 spans="2:25">
      <c r="B553" s="124">
        <v>9</v>
      </c>
      <c r="C553" s="22" t="s">
        <v>114</v>
      </c>
      <c r="D553" s="22">
        <v>0.24</v>
      </c>
      <c r="E553" s="127">
        <v>1.7299999999999999E-2</v>
      </c>
      <c r="F553" s="122"/>
      <c r="G553" s="122"/>
      <c r="H553" s="122"/>
      <c r="I553" s="22"/>
      <c r="J553" s="124">
        <v>9</v>
      </c>
      <c r="K553" s="22" t="s">
        <v>114</v>
      </c>
      <c r="L553" s="22">
        <v>0.46</v>
      </c>
      <c r="M553" s="127">
        <v>1.55E-2</v>
      </c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 spans="2:25">
      <c r="B554" s="124">
        <v>10</v>
      </c>
      <c r="C554" s="22" t="s">
        <v>352</v>
      </c>
      <c r="D554" s="22">
        <v>0.21</v>
      </c>
      <c r="E554" s="127">
        <v>1.5100000000000001E-2</v>
      </c>
      <c r="F554" s="122"/>
      <c r="G554" s="122"/>
      <c r="H554" s="122"/>
      <c r="I554" s="22"/>
      <c r="J554" s="124">
        <v>10</v>
      </c>
      <c r="K554" s="22" t="s">
        <v>357</v>
      </c>
      <c r="L554" s="22">
        <v>0.43</v>
      </c>
      <c r="M554" s="127">
        <v>1.4200000000000001E-2</v>
      </c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 spans="2:25">
      <c r="B555" s="124">
        <v>11</v>
      </c>
      <c r="C555" s="22" t="s">
        <v>108</v>
      </c>
      <c r="D555" s="22">
        <v>0.2</v>
      </c>
      <c r="E555" s="127">
        <v>1.4500000000000001E-2</v>
      </c>
      <c r="F555" s="122"/>
      <c r="G555" s="122"/>
      <c r="H555" s="122"/>
      <c r="I555" s="22"/>
      <c r="J555" s="124">
        <v>11</v>
      </c>
      <c r="K555" s="22" t="s">
        <v>352</v>
      </c>
      <c r="L555" s="22">
        <v>0.33</v>
      </c>
      <c r="M555" s="127">
        <v>1.09E-2</v>
      </c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 spans="2:25">
      <c r="B556" s="124">
        <v>12</v>
      </c>
      <c r="C556" s="22" t="s">
        <v>332</v>
      </c>
      <c r="D556" s="22">
        <v>0.09</v>
      </c>
      <c r="E556" s="127">
        <v>6.6E-3</v>
      </c>
      <c r="F556" s="122"/>
      <c r="G556" s="122"/>
      <c r="H556" s="122"/>
      <c r="I556" s="22"/>
      <c r="J556" s="124">
        <v>12</v>
      </c>
      <c r="K556" s="22" t="s">
        <v>332</v>
      </c>
      <c r="L556" s="22">
        <v>0.18</v>
      </c>
      <c r="M556" s="127">
        <v>6.0000000000000001E-3</v>
      </c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 spans="2:25">
      <c r="B557" s="124">
        <v>13</v>
      </c>
      <c r="C557" s="22" t="s">
        <v>113</v>
      </c>
      <c r="D557" s="22">
        <v>7.0000000000000007E-2</v>
      </c>
      <c r="E557" s="127">
        <v>4.7999999999999996E-3</v>
      </c>
      <c r="F557" s="122"/>
      <c r="G557" s="122"/>
      <c r="H557" s="122"/>
      <c r="I557" s="22"/>
      <c r="J557" s="124">
        <v>13</v>
      </c>
      <c r="K557" s="22" t="s">
        <v>433</v>
      </c>
      <c r="L557" s="22">
        <v>0.17</v>
      </c>
      <c r="M557" s="127">
        <v>5.5999999999999999E-3</v>
      </c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 spans="2:25">
      <c r="B558" s="124">
        <v>14</v>
      </c>
      <c r="C558" s="22" t="s">
        <v>363</v>
      </c>
      <c r="D558" s="22">
        <v>0.06</v>
      </c>
      <c r="E558" s="127">
        <v>4.3E-3</v>
      </c>
      <c r="F558" s="122"/>
      <c r="G558" s="122"/>
      <c r="H558" s="122"/>
      <c r="I558" s="22"/>
      <c r="J558" s="124">
        <v>14</v>
      </c>
      <c r="K558" s="22" t="s">
        <v>454</v>
      </c>
      <c r="L558" s="22">
        <v>0.15</v>
      </c>
      <c r="M558" s="127">
        <v>5.0000000000000001E-3</v>
      </c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 spans="2:25">
      <c r="B559" s="129">
        <v>15</v>
      </c>
      <c r="C559" s="101" t="s">
        <v>454</v>
      </c>
      <c r="D559" s="101">
        <v>0.06</v>
      </c>
      <c r="E559" s="130">
        <v>4.1999999999999997E-3</v>
      </c>
      <c r="F559" s="122"/>
      <c r="G559" s="122"/>
      <c r="H559" s="122"/>
      <c r="I559" s="22"/>
      <c r="J559" s="129">
        <v>15</v>
      </c>
      <c r="K559" s="101" t="s">
        <v>363</v>
      </c>
      <c r="L559" s="101">
        <v>0.14000000000000001</v>
      </c>
      <c r="M559" s="130">
        <v>4.7999999999999996E-3</v>
      </c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 spans="2:25"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 spans="2:25">
      <c r="M561" s="22"/>
      <c r="N561" s="29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 spans="2:25">
      <c r="B562" s="132" t="s">
        <v>455</v>
      </c>
      <c r="C562" s="133"/>
      <c r="D562" s="134"/>
      <c r="E562" s="135"/>
      <c r="F562" s="135"/>
      <c r="G562" s="135"/>
      <c r="H562" s="136" t="s">
        <v>456</v>
      </c>
      <c r="I562" s="29"/>
      <c r="J562" s="29"/>
      <c r="K562" s="29"/>
      <c r="L562" s="146"/>
      <c r="M562" s="144"/>
      <c r="N562" s="147" t="s">
        <v>457</v>
      </c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 spans="2:25" ht="15">
      <c r="B563" s="124" t="s">
        <v>92</v>
      </c>
      <c r="C563" s="78" t="s">
        <v>343</v>
      </c>
      <c r="D563" s="88" t="s">
        <v>458</v>
      </c>
      <c r="E563" s="120" t="s">
        <v>345</v>
      </c>
      <c r="F563" s="120"/>
      <c r="G563" s="120"/>
      <c r="H563" s="137" t="s">
        <v>459</v>
      </c>
      <c r="I563" s="148"/>
      <c r="J563" s="22"/>
      <c r="K563" s="22"/>
      <c r="L563" s="22"/>
      <c r="M563" s="22"/>
      <c r="N563" s="149">
        <v>154.5</v>
      </c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 spans="2:25">
      <c r="B564" s="124">
        <v>1</v>
      </c>
      <c r="C564" s="22" t="s">
        <v>98</v>
      </c>
      <c r="D564" s="22">
        <v>8.1300000000000008</v>
      </c>
      <c r="E564" s="75">
        <v>0.50239999999999996</v>
      </c>
      <c r="F564" s="75"/>
      <c r="G564" s="75"/>
      <c r="H564" s="138">
        <v>16.18</v>
      </c>
      <c r="I564" s="148"/>
      <c r="J564" s="22"/>
      <c r="K564" s="22"/>
      <c r="L564" s="22"/>
      <c r="M564" s="22"/>
      <c r="N564" s="149">
        <v>154.5</v>
      </c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 spans="2:25">
      <c r="B565" s="124">
        <v>2</v>
      </c>
      <c r="C565" s="22" t="s">
        <v>96</v>
      </c>
      <c r="D565" s="22">
        <v>3.39</v>
      </c>
      <c r="E565" s="75">
        <v>0.20930000000000001</v>
      </c>
      <c r="F565" s="75"/>
      <c r="G565" s="75"/>
      <c r="H565" s="138">
        <v>16.18</v>
      </c>
      <c r="I565" s="148"/>
      <c r="J565" s="22"/>
      <c r="K565" s="22"/>
      <c r="L565" s="22"/>
      <c r="M565" s="22"/>
      <c r="N565" s="149">
        <v>154.5</v>
      </c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 spans="2:25">
      <c r="B566" s="124">
        <v>3</v>
      </c>
      <c r="C566" s="22" t="s">
        <v>109</v>
      </c>
      <c r="D566" s="22">
        <v>1.2</v>
      </c>
      <c r="E566" s="75">
        <v>7.3999999999999996E-2</v>
      </c>
      <c r="F566" s="75"/>
      <c r="G566" s="75"/>
      <c r="H566" s="138">
        <v>16.18</v>
      </c>
      <c r="I566" s="148"/>
      <c r="J566" s="22"/>
      <c r="K566" s="22"/>
      <c r="L566" s="22"/>
      <c r="M566" s="22"/>
      <c r="N566" s="149">
        <v>154.5</v>
      </c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 spans="2:25">
      <c r="B567" s="124">
        <v>4</v>
      </c>
      <c r="C567" s="22" t="s">
        <v>103</v>
      </c>
      <c r="D567" s="22">
        <v>0.94</v>
      </c>
      <c r="E567" s="75">
        <v>5.8099999999999999E-2</v>
      </c>
      <c r="F567" s="75"/>
      <c r="G567" s="75"/>
      <c r="H567" s="138">
        <v>16.18</v>
      </c>
      <c r="I567" s="148"/>
      <c r="J567" s="22"/>
      <c r="K567" s="22"/>
      <c r="L567" s="22"/>
      <c r="M567" s="22"/>
      <c r="N567" s="149">
        <v>154.5</v>
      </c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 spans="2:25">
      <c r="B568" s="124">
        <v>5</v>
      </c>
      <c r="C568" s="22" t="s">
        <v>129</v>
      </c>
      <c r="D568" s="22">
        <v>0.44</v>
      </c>
      <c r="E568" s="75">
        <v>2.69E-2</v>
      </c>
      <c r="F568" s="75"/>
      <c r="G568" s="75"/>
      <c r="H568" s="138">
        <v>16.18</v>
      </c>
      <c r="I568" s="148"/>
      <c r="J568" s="22"/>
      <c r="K568" s="22"/>
      <c r="L568" s="22"/>
      <c r="M568" s="22"/>
      <c r="N568" s="149">
        <v>154.5</v>
      </c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 spans="2:25">
      <c r="B569" s="124">
        <v>6</v>
      </c>
      <c r="C569" s="22" t="s">
        <v>116</v>
      </c>
      <c r="D569" s="22">
        <v>0.37</v>
      </c>
      <c r="E569" s="75">
        <v>2.3099999999999999E-2</v>
      </c>
      <c r="F569" s="75"/>
      <c r="G569" s="75"/>
      <c r="H569" s="138">
        <v>16.18</v>
      </c>
      <c r="I569" s="148"/>
      <c r="J569" s="22"/>
      <c r="K569" s="22"/>
      <c r="L569" s="22"/>
      <c r="M569" s="22"/>
      <c r="N569" s="149">
        <v>154.5</v>
      </c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 spans="2:25">
      <c r="B570" s="124">
        <v>7</v>
      </c>
      <c r="C570" s="22" t="s">
        <v>108</v>
      </c>
      <c r="D570" s="22">
        <v>0.34</v>
      </c>
      <c r="E570" s="75">
        <v>2.1100000000000001E-2</v>
      </c>
      <c r="F570" s="75"/>
      <c r="G570" s="75"/>
      <c r="H570" s="138">
        <v>16.18</v>
      </c>
      <c r="I570" s="148"/>
      <c r="J570" s="22"/>
      <c r="K570" s="22"/>
      <c r="L570" s="22"/>
      <c r="M570" s="22"/>
      <c r="N570" s="149">
        <v>154.5</v>
      </c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 spans="2:25">
      <c r="B571" s="124">
        <v>8</v>
      </c>
      <c r="C571" s="22" t="s">
        <v>114</v>
      </c>
      <c r="D571" s="22">
        <v>0.23</v>
      </c>
      <c r="E571" s="75">
        <v>1.41E-2</v>
      </c>
      <c r="F571" s="75"/>
      <c r="G571" s="75"/>
      <c r="H571" s="138">
        <v>16.18</v>
      </c>
      <c r="I571" s="148"/>
      <c r="J571" s="22"/>
      <c r="K571" s="22"/>
      <c r="L571" s="22"/>
      <c r="M571" s="22"/>
      <c r="N571" s="149">
        <v>154.5</v>
      </c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 spans="2:25">
      <c r="B572" s="124">
        <v>9</v>
      </c>
      <c r="C572" s="22" t="s">
        <v>357</v>
      </c>
      <c r="D572" s="22">
        <v>0.17</v>
      </c>
      <c r="E572" s="75">
        <v>1.0800000000000001E-2</v>
      </c>
      <c r="F572" s="75"/>
      <c r="G572" s="75"/>
      <c r="H572" s="138">
        <v>16.18</v>
      </c>
      <c r="I572" s="148"/>
      <c r="J572" s="22"/>
      <c r="K572" s="22"/>
      <c r="L572" s="22"/>
      <c r="M572" s="22"/>
      <c r="N572" s="150">
        <v>154.5</v>
      </c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 spans="2:25">
      <c r="B573" s="129">
        <v>10</v>
      </c>
      <c r="C573" s="101" t="s">
        <v>433</v>
      </c>
      <c r="D573" s="101">
        <v>0.13</v>
      </c>
      <c r="E573" s="102">
        <v>8.2000000000000007E-3</v>
      </c>
      <c r="F573" s="102"/>
      <c r="G573" s="102"/>
      <c r="H573" s="139">
        <v>16.18</v>
      </c>
      <c r="I573" s="148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 spans="2:25">
      <c r="B574" s="78"/>
      <c r="C574" s="22"/>
      <c r="D574" s="22"/>
      <c r="E574" s="75"/>
      <c r="F574" s="75"/>
      <c r="G574" s="75"/>
      <c r="H574" s="140"/>
      <c r="I574" s="148"/>
      <c r="J574" s="22"/>
      <c r="K574" s="22"/>
      <c r="L574" s="22"/>
      <c r="M574" s="22"/>
      <c r="N574" s="29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 spans="2:25">
      <c r="B575" s="78"/>
      <c r="C575" s="22"/>
      <c r="D575" s="22"/>
      <c r="E575" s="75"/>
      <c r="F575" s="75"/>
      <c r="G575" s="75"/>
      <c r="H575" s="140"/>
      <c r="I575" s="148"/>
      <c r="J575" s="22"/>
      <c r="K575" s="22"/>
      <c r="L575" s="22"/>
      <c r="M575" s="22"/>
      <c r="N575" s="147" t="s">
        <v>457</v>
      </c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 spans="2:25">
      <c r="B576" s="78"/>
      <c r="C576" s="22"/>
      <c r="D576" s="22"/>
      <c r="E576" s="75"/>
      <c r="F576" s="75"/>
      <c r="G576" s="75"/>
      <c r="H576" s="140"/>
      <c r="I576" s="148"/>
      <c r="J576" s="22"/>
      <c r="K576" s="22"/>
      <c r="L576" s="22"/>
      <c r="M576" s="22"/>
      <c r="N576" s="138">
        <v>128.27600000000001</v>
      </c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 spans="2:25">
      <c r="B577" s="78"/>
      <c r="C577" s="22"/>
      <c r="D577" s="22"/>
      <c r="E577" s="75"/>
      <c r="F577" s="75"/>
      <c r="G577" s="75"/>
      <c r="H577" s="140"/>
      <c r="I577" s="148"/>
      <c r="J577" s="22"/>
      <c r="K577" s="22"/>
      <c r="L577" s="22"/>
      <c r="M577" s="22"/>
      <c r="N577" s="138">
        <v>128.27600000000001</v>
      </c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 spans="2:25">
      <c r="B578" s="29" t="s">
        <v>460</v>
      </c>
      <c r="C578" s="29"/>
      <c r="D578" s="146"/>
      <c r="E578" s="86"/>
      <c r="F578" s="86"/>
      <c r="G578" s="86"/>
      <c r="H578" s="29" t="s">
        <v>456</v>
      </c>
      <c r="I578" s="29"/>
      <c r="J578" s="29" t="s">
        <v>461</v>
      </c>
      <c r="K578" s="29"/>
      <c r="L578" s="146"/>
      <c r="M578" s="144"/>
      <c r="N578" s="138">
        <v>128.27600000000001</v>
      </c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 spans="2:25" ht="15">
      <c r="B579" s="123" t="s">
        <v>92</v>
      </c>
      <c r="C579" s="114" t="s">
        <v>343</v>
      </c>
      <c r="D579" s="116" t="s">
        <v>458</v>
      </c>
      <c r="E579" s="151" t="s">
        <v>345</v>
      </c>
      <c r="F579" s="151"/>
      <c r="G579" s="151"/>
      <c r="H579" s="147" t="s">
        <v>459</v>
      </c>
      <c r="I579" s="148"/>
      <c r="J579" s="123" t="s">
        <v>92</v>
      </c>
      <c r="K579" s="114" t="s">
        <v>343</v>
      </c>
      <c r="L579" s="116" t="s">
        <v>458</v>
      </c>
      <c r="M579" s="151" t="s">
        <v>345</v>
      </c>
      <c r="N579" s="138">
        <v>128.27600000000001</v>
      </c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 spans="2:25" ht="15">
      <c r="B580" s="124">
        <v>1</v>
      </c>
      <c r="C580" s="22" t="s">
        <v>98</v>
      </c>
      <c r="D580" s="22">
        <v>14.58</v>
      </c>
      <c r="E580" s="75">
        <v>0.55600000000000005</v>
      </c>
      <c r="F580" s="75"/>
      <c r="G580" s="75"/>
      <c r="H580" s="138">
        <v>26.2</v>
      </c>
      <c r="I580" s="148"/>
      <c r="J580" s="124">
        <v>1</v>
      </c>
      <c r="K580" s="78" t="s">
        <v>98</v>
      </c>
      <c r="L580" s="85">
        <v>80.510000000000005</v>
      </c>
      <c r="M580" s="82">
        <v>0.52100000000000002</v>
      </c>
      <c r="N580" s="138">
        <v>128.27600000000001</v>
      </c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 spans="2:25" ht="15">
      <c r="B581" s="124">
        <v>2</v>
      </c>
      <c r="C581" s="22" t="s">
        <v>96</v>
      </c>
      <c r="D581" s="22">
        <v>3.73</v>
      </c>
      <c r="E581" s="75">
        <v>0.14199999999999999</v>
      </c>
      <c r="F581" s="75"/>
      <c r="G581" s="75"/>
      <c r="H581" s="138">
        <v>26.2</v>
      </c>
      <c r="I581" s="148"/>
      <c r="J581" s="124">
        <v>2</v>
      </c>
      <c r="K581" s="78" t="s">
        <v>96</v>
      </c>
      <c r="L581" s="85">
        <v>25.06</v>
      </c>
      <c r="M581" s="82">
        <v>0.16200000000000001</v>
      </c>
      <c r="N581" s="138">
        <v>128.27600000000001</v>
      </c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 spans="2:25" ht="15">
      <c r="B582" s="124">
        <v>3</v>
      </c>
      <c r="C582" s="22" t="s">
        <v>109</v>
      </c>
      <c r="D582" s="22">
        <v>1.55</v>
      </c>
      <c r="E582" s="75">
        <v>5.8999999999999997E-2</v>
      </c>
      <c r="F582" s="75"/>
      <c r="G582" s="75"/>
      <c r="H582" s="138">
        <v>26.2</v>
      </c>
      <c r="I582" s="148"/>
      <c r="J582" s="124">
        <v>3</v>
      </c>
      <c r="K582" s="78" t="s">
        <v>462</v>
      </c>
      <c r="L582" s="85">
        <v>9.0500000000000007</v>
      </c>
      <c r="M582" s="82">
        <v>5.8999999999999997E-2</v>
      </c>
      <c r="N582" s="138">
        <v>128.27600000000001</v>
      </c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 spans="2:25" ht="15">
      <c r="B583" s="124">
        <v>4</v>
      </c>
      <c r="C583" s="22" t="s">
        <v>103</v>
      </c>
      <c r="D583" s="22">
        <v>1.42</v>
      </c>
      <c r="E583" s="75">
        <v>5.3999999999999999E-2</v>
      </c>
      <c r="F583" s="75"/>
      <c r="G583" s="75"/>
      <c r="H583" s="138">
        <v>26.2</v>
      </c>
      <c r="I583" s="148"/>
      <c r="J583" s="124">
        <v>4</v>
      </c>
      <c r="K583" s="78" t="s">
        <v>103</v>
      </c>
      <c r="L583" s="85">
        <v>8.02</v>
      </c>
      <c r="M583" s="82">
        <v>5.1999999999999998E-2</v>
      </c>
      <c r="N583" s="138">
        <v>128.27600000000001</v>
      </c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 spans="2:25" ht="15">
      <c r="B584" s="124">
        <v>5</v>
      </c>
      <c r="C584" s="22" t="s">
        <v>101</v>
      </c>
      <c r="D584" s="22">
        <v>0.89</v>
      </c>
      <c r="E584" s="75">
        <v>3.4000000000000002E-2</v>
      </c>
      <c r="F584" s="75"/>
      <c r="G584" s="75"/>
      <c r="H584" s="138">
        <v>26.2</v>
      </c>
      <c r="I584" s="148"/>
      <c r="J584" s="124">
        <v>5</v>
      </c>
      <c r="K584" s="78" t="s">
        <v>101</v>
      </c>
      <c r="L584" s="85">
        <v>6.25</v>
      </c>
      <c r="M584" s="82">
        <v>0.04</v>
      </c>
      <c r="N584" s="138">
        <v>128.27600000000001</v>
      </c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 spans="2:25" ht="15">
      <c r="B585" s="124">
        <v>6</v>
      </c>
      <c r="C585" s="22" t="s">
        <v>129</v>
      </c>
      <c r="D585" s="22">
        <v>0.61</v>
      </c>
      <c r="E585" s="75">
        <v>2.3E-2</v>
      </c>
      <c r="F585" s="75"/>
      <c r="G585" s="75"/>
      <c r="H585" s="138">
        <v>26.2</v>
      </c>
      <c r="I585" s="148"/>
      <c r="J585" s="124">
        <v>6</v>
      </c>
      <c r="K585" s="78" t="s">
        <v>129</v>
      </c>
      <c r="L585" s="85">
        <v>3.22</v>
      </c>
      <c r="M585" s="82">
        <v>2.1000000000000001E-2</v>
      </c>
      <c r="N585" s="139">
        <v>128.27600000000001</v>
      </c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 spans="2:25" ht="15">
      <c r="B586" s="124">
        <v>7</v>
      </c>
      <c r="C586" s="22" t="s">
        <v>333</v>
      </c>
      <c r="D586" s="22">
        <v>0.49</v>
      </c>
      <c r="E586" s="75">
        <v>1.9E-2</v>
      </c>
      <c r="F586" s="75"/>
      <c r="G586" s="75"/>
      <c r="H586" s="138">
        <v>26.2</v>
      </c>
      <c r="I586" s="148"/>
      <c r="J586" s="124">
        <v>7</v>
      </c>
      <c r="K586" s="78" t="s">
        <v>116</v>
      </c>
      <c r="L586" s="85">
        <v>3</v>
      </c>
      <c r="M586" s="82">
        <v>1.9E-2</v>
      </c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 spans="2:25" ht="15">
      <c r="B587" s="124">
        <v>8</v>
      </c>
      <c r="C587" s="22" t="s">
        <v>108</v>
      </c>
      <c r="D587" s="22">
        <v>0.47</v>
      </c>
      <c r="E587" s="75">
        <v>1.7999999999999999E-2</v>
      </c>
      <c r="F587" s="75"/>
      <c r="G587" s="75"/>
      <c r="H587" s="138">
        <v>26.2</v>
      </c>
      <c r="I587" s="148"/>
      <c r="J587" s="124">
        <v>8</v>
      </c>
      <c r="K587" s="78" t="s">
        <v>333</v>
      </c>
      <c r="L587" s="85">
        <v>2.92</v>
      </c>
      <c r="M587" s="82">
        <v>1.9E-2</v>
      </c>
      <c r="N587" s="29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 spans="2:25" ht="15">
      <c r="B588" s="124">
        <v>9</v>
      </c>
      <c r="C588" s="22" t="s">
        <v>114</v>
      </c>
      <c r="D588" s="22">
        <v>0.42</v>
      </c>
      <c r="E588" s="75">
        <v>1.6E-2</v>
      </c>
      <c r="F588" s="75"/>
      <c r="G588" s="75"/>
      <c r="H588" s="138">
        <v>26.2</v>
      </c>
      <c r="I588" s="148"/>
      <c r="J588" s="124">
        <v>9</v>
      </c>
      <c r="K588" s="78" t="s">
        <v>108</v>
      </c>
      <c r="L588" s="85">
        <v>2.4500000000000002</v>
      </c>
      <c r="M588" s="82">
        <v>1.6E-2</v>
      </c>
      <c r="N588" s="147" t="s">
        <v>457</v>
      </c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 spans="2:25" ht="15">
      <c r="B589" s="129">
        <v>10</v>
      </c>
      <c r="C589" s="101" t="s">
        <v>116</v>
      </c>
      <c r="D589" s="101">
        <v>0.33</v>
      </c>
      <c r="E589" s="102">
        <v>1.2999999999999999E-2</v>
      </c>
      <c r="F589" s="102"/>
      <c r="G589" s="102"/>
      <c r="H589" s="139">
        <v>26.2</v>
      </c>
      <c r="I589" s="148"/>
      <c r="J589" s="129">
        <v>10</v>
      </c>
      <c r="K589" s="154" t="s">
        <v>114</v>
      </c>
      <c r="L589" s="118">
        <v>2.06</v>
      </c>
      <c r="M589" s="119">
        <v>1.2999999999999999E-2</v>
      </c>
      <c r="N589" s="138">
        <v>107.45</v>
      </c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 spans="2:25">
      <c r="M590" s="22"/>
      <c r="N590" s="138">
        <v>107.45</v>
      </c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 spans="2:25">
      <c r="B591" s="29" t="s">
        <v>463</v>
      </c>
      <c r="C591" s="29"/>
      <c r="D591" s="146"/>
      <c r="E591" s="86"/>
      <c r="F591" s="86"/>
      <c r="G591" s="86"/>
      <c r="H591" s="29" t="s">
        <v>456</v>
      </c>
      <c r="I591" s="29"/>
      <c r="J591" s="29" t="s">
        <v>464</v>
      </c>
      <c r="K591" s="29"/>
      <c r="L591" s="146"/>
      <c r="M591" s="144"/>
      <c r="N591" s="138">
        <v>107.45</v>
      </c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 spans="2:25" ht="15">
      <c r="B592" s="123" t="s">
        <v>92</v>
      </c>
      <c r="C592" s="114" t="s">
        <v>343</v>
      </c>
      <c r="D592" s="116" t="s">
        <v>458</v>
      </c>
      <c r="E592" s="151" t="s">
        <v>345</v>
      </c>
      <c r="F592" s="151"/>
      <c r="G592" s="151"/>
      <c r="H592" s="147" t="s">
        <v>459</v>
      </c>
      <c r="I592" s="148"/>
      <c r="J592" s="123" t="s">
        <v>92</v>
      </c>
      <c r="K592" s="114" t="s">
        <v>343</v>
      </c>
      <c r="L592" s="116" t="s">
        <v>458</v>
      </c>
      <c r="M592" s="151" t="s">
        <v>345</v>
      </c>
      <c r="N592" s="138">
        <v>107.45</v>
      </c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 spans="2:25" ht="15">
      <c r="B593" s="124">
        <v>1</v>
      </c>
      <c r="C593" s="78" t="s">
        <v>98</v>
      </c>
      <c r="D593" s="152">
        <v>11.45</v>
      </c>
      <c r="E593" s="153">
        <v>0.55000000000000004</v>
      </c>
      <c r="F593" s="153"/>
      <c r="G593" s="153"/>
      <c r="H593" s="138">
        <v>20.824999999999999</v>
      </c>
      <c r="I593" s="148"/>
      <c r="J593" s="124">
        <v>1</v>
      </c>
      <c r="K593" s="78" t="s">
        <v>98</v>
      </c>
      <c r="L593" s="152">
        <v>65.930000000000007</v>
      </c>
      <c r="M593" s="153">
        <f t="shared" ref="M593:M602" si="26">L593/N576</f>
        <v>0.51396987745174472</v>
      </c>
      <c r="N593" s="138">
        <v>107.45</v>
      </c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 spans="2:25" ht="15">
      <c r="B594" s="124">
        <v>2</v>
      </c>
      <c r="C594" s="78" t="s">
        <v>96</v>
      </c>
      <c r="D594" s="152">
        <v>3.46</v>
      </c>
      <c r="E594" s="153">
        <v>0.20399999999999999</v>
      </c>
      <c r="F594" s="153"/>
      <c r="G594" s="153"/>
      <c r="H594" s="138">
        <v>20.824999999999999</v>
      </c>
      <c r="I594" s="148"/>
      <c r="J594" s="124">
        <v>2</v>
      </c>
      <c r="K594" s="78" t="s">
        <v>96</v>
      </c>
      <c r="L594" s="152">
        <v>21.34</v>
      </c>
      <c r="M594" s="153">
        <f t="shared" si="26"/>
        <v>0.16636003617200409</v>
      </c>
      <c r="N594" s="138">
        <v>107.45</v>
      </c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 spans="2:25" ht="15">
      <c r="B595" s="124">
        <v>3</v>
      </c>
      <c r="C595" s="78" t="s">
        <v>462</v>
      </c>
      <c r="D595" s="152">
        <v>1.0900000000000001</v>
      </c>
      <c r="E595" s="153">
        <f t="shared" ref="E595:E602" si="27">D595/H595</f>
        <v>5.2340936374549826E-2</v>
      </c>
      <c r="F595" s="153"/>
      <c r="G595" s="153"/>
      <c r="H595" s="138">
        <v>20.824999999999999</v>
      </c>
      <c r="I595" s="148"/>
      <c r="J595" s="124">
        <v>3</v>
      </c>
      <c r="K595" s="78" t="s">
        <v>462</v>
      </c>
      <c r="L595" s="152">
        <v>7.5</v>
      </c>
      <c r="M595" s="153">
        <f t="shared" si="26"/>
        <v>5.8467679067011752E-2</v>
      </c>
      <c r="N595" s="138">
        <v>107.45</v>
      </c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 spans="2:25" ht="15">
      <c r="B596" s="124">
        <v>4</v>
      </c>
      <c r="C596" s="78" t="s">
        <v>103</v>
      </c>
      <c r="D596" s="152">
        <v>1.08</v>
      </c>
      <c r="E596" s="153">
        <f t="shared" si="27"/>
        <v>5.1860744297719093E-2</v>
      </c>
      <c r="F596" s="153"/>
      <c r="G596" s="153"/>
      <c r="H596" s="138">
        <v>20.824999999999999</v>
      </c>
      <c r="I596" s="148"/>
      <c r="J596" s="124">
        <v>4</v>
      </c>
      <c r="K596" s="78" t="s">
        <v>103</v>
      </c>
      <c r="L596" s="152">
        <v>6.6</v>
      </c>
      <c r="M596" s="153">
        <f t="shared" si="26"/>
        <v>5.1451557578970339E-2</v>
      </c>
      <c r="N596" s="138">
        <v>107.45</v>
      </c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 spans="2:25" ht="15">
      <c r="B597" s="124">
        <v>5</v>
      </c>
      <c r="C597" s="78" t="s">
        <v>129</v>
      </c>
      <c r="D597" s="152">
        <v>0.56000000000000005</v>
      </c>
      <c r="E597" s="153">
        <f t="shared" si="27"/>
        <v>2.6890756302521013E-2</v>
      </c>
      <c r="F597" s="153"/>
      <c r="G597" s="153"/>
      <c r="H597" s="138">
        <v>20.824999999999999</v>
      </c>
      <c r="I597" s="148"/>
      <c r="J597" s="124">
        <v>5</v>
      </c>
      <c r="K597" s="78" t="s">
        <v>101</v>
      </c>
      <c r="L597" s="152">
        <v>5.36</v>
      </c>
      <c r="M597" s="153">
        <f t="shared" si="26"/>
        <v>4.1784901306557737E-2</v>
      </c>
      <c r="N597" s="138">
        <v>107.45</v>
      </c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 spans="2:25" ht="15">
      <c r="B598" s="124">
        <v>6</v>
      </c>
      <c r="C598" s="78" t="s">
        <v>333</v>
      </c>
      <c r="D598" s="152">
        <v>0.5</v>
      </c>
      <c r="E598" s="153">
        <f t="shared" si="27"/>
        <v>2.4009603841536616E-2</v>
      </c>
      <c r="F598" s="153"/>
      <c r="G598" s="153"/>
      <c r="H598" s="138">
        <v>20.824999999999999</v>
      </c>
      <c r="I598" s="148"/>
      <c r="J598" s="124">
        <v>6</v>
      </c>
      <c r="K598" s="78" t="s">
        <v>129</v>
      </c>
      <c r="L598" s="152">
        <v>2.61</v>
      </c>
      <c r="M598" s="153">
        <f t="shared" si="26"/>
        <v>2.0346752315320089E-2</v>
      </c>
      <c r="N598" s="139">
        <v>107.45</v>
      </c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 spans="2:25" ht="15">
      <c r="B599" s="124">
        <v>7</v>
      </c>
      <c r="C599" s="78" t="s">
        <v>116</v>
      </c>
      <c r="D599" s="152">
        <v>0.47</v>
      </c>
      <c r="E599" s="153">
        <f t="shared" si="27"/>
        <v>2.2569027611044418E-2</v>
      </c>
      <c r="F599" s="153"/>
      <c r="G599" s="153"/>
      <c r="H599" s="138">
        <v>20.824999999999999</v>
      </c>
      <c r="I599" s="148"/>
      <c r="J599" s="124">
        <v>7</v>
      </c>
      <c r="K599" s="78" t="s">
        <v>116</v>
      </c>
      <c r="L599" s="152">
        <v>2.59</v>
      </c>
      <c r="M599" s="153">
        <f t="shared" si="26"/>
        <v>2.0190838504474725E-2</v>
      </c>
      <c r="N599" s="148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 spans="2:25" ht="15">
      <c r="B600" s="124">
        <v>8</v>
      </c>
      <c r="C600" s="78" t="s">
        <v>108</v>
      </c>
      <c r="D600" s="152">
        <v>0.33</v>
      </c>
      <c r="E600" s="153">
        <f t="shared" si="27"/>
        <v>1.5846338535414166E-2</v>
      </c>
      <c r="F600" s="153"/>
      <c r="G600" s="153"/>
      <c r="H600" s="138">
        <v>20.824999999999999</v>
      </c>
      <c r="I600" s="148"/>
      <c r="J600" s="124">
        <v>8</v>
      </c>
      <c r="K600" s="78" t="s">
        <v>333</v>
      </c>
      <c r="L600" s="152">
        <v>2.5099999999999998</v>
      </c>
      <c r="M600" s="153">
        <f t="shared" si="26"/>
        <v>1.9567183261093263E-2</v>
      </c>
      <c r="N600" s="29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 spans="2:25" ht="15">
      <c r="B601" s="124">
        <v>9</v>
      </c>
      <c r="C601" s="78" t="s">
        <v>114</v>
      </c>
      <c r="D601" s="152">
        <v>0.28000000000000003</v>
      </c>
      <c r="E601" s="153">
        <f t="shared" si="27"/>
        <v>1.3445378151260507E-2</v>
      </c>
      <c r="F601" s="153"/>
      <c r="G601" s="153"/>
      <c r="H601" s="138">
        <v>20.824999999999999</v>
      </c>
      <c r="I601" s="148"/>
      <c r="J601" s="124">
        <v>9</v>
      </c>
      <c r="K601" s="78" t="s">
        <v>108</v>
      </c>
      <c r="L601" s="152">
        <v>1.98</v>
      </c>
      <c r="M601" s="153">
        <f t="shared" si="26"/>
        <v>1.5435467273691102E-2</v>
      </c>
      <c r="N601" s="147" t="s">
        <v>457</v>
      </c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 spans="2:25" ht="15">
      <c r="B602" s="129">
        <v>10</v>
      </c>
      <c r="C602" s="154" t="s">
        <v>101</v>
      </c>
      <c r="D602" s="155">
        <v>0.24</v>
      </c>
      <c r="E602" s="156">
        <f t="shared" si="27"/>
        <v>1.1524609843937574E-2</v>
      </c>
      <c r="F602" s="156"/>
      <c r="G602" s="156"/>
      <c r="H602" s="139">
        <v>20.824999999999999</v>
      </c>
      <c r="I602" s="148"/>
      <c r="J602" s="129">
        <v>10</v>
      </c>
      <c r="K602" s="154" t="s">
        <v>114</v>
      </c>
      <c r="L602" s="155">
        <v>1.64</v>
      </c>
      <c r="M602" s="156">
        <f t="shared" si="26"/>
        <v>1.2784932489319903E-2</v>
      </c>
      <c r="N602" s="138">
        <v>92.032600000000002</v>
      </c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 spans="2:25">
      <c r="M603" s="22"/>
      <c r="N603" s="138">
        <v>92.032600000000002</v>
      </c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 spans="2:25">
      <c r="B604" s="29" t="s">
        <v>465</v>
      </c>
      <c r="C604" s="29"/>
      <c r="D604" s="146"/>
      <c r="E604" s="86"/>
      <c r="F604" s="86"/>
      <c r="G604" s="86"/>
      <c r="H604" s="29" t="s">
        <v>456</v>
      </c>
      <c r="I604" s="29"/>
      <c r="J604" s="29" t="s">
        <v>466</v>
      </c>
      <c r="K604" s="29"/>
      <c r="L604" s="146"/>
      <c r="M604" s="144"/>
      <c r="N604" s="138">
        <v>92.032600000000002</v>
      </c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 spans="2:25" ht="15">
      <c r="B605" s="123" t="s">
        <v>92</v>
      </c>
      <c r="C605" s="114" t="s">
        <v>343</v>
      </c>
      <c r="D605" s="116" t="s">
        <v>458</v>
      </c>
      <c r="E605" s="151" t="s">
        <v>345</v>
      </c>
      <c r="F605" s="151"/>
      <c r="G605" s="151"/>
      <c r="H605" s="147" t="s">
        <v>459</v>
      </c>
      <c r="I605" s="148"/>
      <c r="J605" s="123" t="s">
        <v>92</v>
      </c>
      <c r="K605" s="114" t="s">
        <v>343</v>
      </c>
      <c r="L605" s="116" t="s">
        <v>458</v>
      </c>
      <c r="M605" s="151" t="s">
        <v>345</v>
      </c>
      <c r="N605" s="138">
        <v>92.032600000000002</v>
      </c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 spans="2:25" ht="15">
      <c r="B606" s="124">
        <v>1</v>
      </c>
      <c r="C606" s="78" t="s">
        <v>98</v>
      </c>
      <c r="D606" s="152">
        <v>7.69</v>
      </c>
      <c r="E606" s="120">
        <v>0.499</v>
      </c>
      <c r="F606" s="120"/>
      <c r="G606" s="120"/>
      <c r="H606" s="138">
        <v>15.42</v>
      </c>
      <c r="I606" s="148"/>
      <c r="J606" s="124">
        <v>1</v>
      </c>
      <c r="K606" s="78" t="s">
        <v>98</v>
      </c>
      <c r="L606" s="152">
        <v>54.48</v>
      </c>
      <c r="M606" s="120">
        <f t="shared" ref="M606:M615" si="28">L606/N589</f>
        <v>0.50702652396463466</v>
      </c>
      <c r="N606" s="138">
        <v>92.032600000000002</v>
      </c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 spans="2:25" ht="15">
      <c r="B607" s="124">
        <v>2</v>
      </c>
      <c r="C607" s="78" t="s">
        <v>96</v>
      </c>
      <c r="D607" s="152">
        <v>3.15</v>
      </c>
      <c r="E607" s="120">
        <v>0.20399999999999999</v>
      </c>
      <c r="F607" s="120"/>
      <c r="G607" s="120"/>
      <c r="H607" s="138">
        <v>15.42</v>
      </c>
      <c r="I607" s="148"/>
      <c r="J607" s="124">
        <v>2</v>
      </c>
      <c r="K607" s="78" t="s">
        <v>96</v>
      </c>
      <c r="L607" s="152">
        <v>17.88</v>
      </c>
      <c r="M607" s="120">
        <f t="shared" si="28"/>
        <v>0.16640297812936247</v>
      </c>
      <c r="N607" s="138">
        <v>92.032600000000002</v>
      </c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 spans="2:25" ht="15">
      <c r="B608" s="124">
        <v>3</v>
      </c>
      <c r="C608" s="78" t="s">
        <v>103</v>
      </c>
      <c r="D608" s="152">
        <v>0.8</v>
      </c>
      <c r="E608" s="120">
        <f t="shared" ref="E608:E615" si="29">D608/H608</f>
        <v>5.1880674448767837E-2</v>
      </c>
      <c r="F608" s="120"/>
      <c r="G608" s="120"/>
      <c r="H608" s="138">
        <v>15.42</v>
      </c>
      <c r="I608" s="148"/>
      <c r="J608" s="124">
        <v>3</v>
      </c>
      <c r="K608" s="78" t="s">
        <v>111</v>
      </c>
      <c r="L608" s="152">
        <v>6.42</v>
      </c>
      <c r="M608" s="120">
        <f t="shared" si="28"/>
        <v>5.974872033503955E-2</v>
      </c>
      <c r="N608" s="138">
        <v>92.032600000000002</v>
      </c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 spans="2:25" ht="15">
      <c r="B609" s="124">
        <v>4</v>
      </c>
      <c r="C609" s="78" t="s">
        <v>111</v>
      </c>
      <c r="D609" s="152">
        <v>0.78</v>
      </c>
      <c r="E609" s="120">
        <f t="shared" si="29"/>
        <v>5.0583657587548639E-2</v>
      </c>
      <c r="F609" s="120"/>
      <c r="G609" s="120"/>
      <c r="H609" s="138">
        <v>15.42</v>
      </c>
      <c r="I609" s="148"/>
      <c r="J609" s="124">
        <v>4</v>
      </c>
      <c r="K609" s="78" t="s">
        <v>103</v>
      </c>
      <c r="L609" s="152">
        <v>5.52</v>
      </c>
      <c r="M609" s="120">
        <f t="shared" si="28"/>
        <v>5.1372731503024655E-2</v>
      </c>
      <c r="N609" s="138">
        <v>92.032600000000002</v>
      </c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 spans="2:25" ht="15">
      <c r="B610" s="124">
        <v>5</v>
      </c>
      <c r="C610" s="78" t="s">
        <v>333</v>
      </c>
      <c r="D610" s="152">
        <v>0.48</v>
      </c>
      <c r="E610" s="120">
        <f t="shared" si="29"/>
        <v>3.1128404669260701E-2</v>
      </c>
      <c r="F610" s="120"/>
      <c r="G610" s="120"/>
      <c r="H610" s="138">
        <v>15.42</v>
      </c>
      <c r="I610" s="148"/>
      <c r="J610" s="124">
        <v>5</v>
      </c>
      <c r="K610" s="78" t="s">
        <v>101</v>
      </c>
      <c r="L610" s="152">
        <v>5.12</v>
      </c>
      <c r="M610" s="120">
        <f t="shared" si="28"/>
        <v>4.7650069799906936E-2</v>
      </c>
      <c r="N610" s="138">
        <v>92.032600000000002</v>
      </c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 spans="2:25" ht="15">
      <c r="B611" s="124">
        <v>6</v>
      </c>
      <c r="C611" s="78" t="s">
        <v>116</v>
      </c>
      <c r="D611" s="152">
        <v>0.43</v>
      </c>
      <c r="E611" s="120">
        <f t="shared" si="29"/>
        <v>2.7885862516212709E-2</v>
      </c>
      <c r="F611" s="120"/>
      <c r="G611" s="120"/>
      <c r="H611" s="138">
        <v>15.42</v>
      </c>
      <c r="I611" s="148"/>
      <c r="J611" s="124">
        <v>6</v>
      </c>
      <c r="K611" s="78" t="s">
        <v>116</v>
      </c>
      <c r="L611" s="152">
        <v>2.12</v>
      </c>
      <c r="M611" s="120">
        <f t="shared" si="28"/>
        <v>1.9730107026523964E-2</v>
      </c>
      <c r="N611" s="139">
        <v>92.03</v>
      </c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 spans="2:25" ht="15">
      <c r="B612" s="124">
        <v>7</v>
      </c>
      <c r="C612" s="78" t="s">
        <v>129</v>
      </c>
      <c r="D612" s="152">
        <v>0.35</v>
      </c>
      <c r="E612" s="120">
        <f t="shared" si="29"/>
        <v>2.2697795071335927E-2</v>
      </c>
      <c r="F612" s="120"/>
      <c r="G612" s="120"/>
      <c r="H612" s="138">
        <v>15.42</v>
      </c>
      <c r="I612" s="148"/>
      <c r="J612" s="124">
        <v>7</v>
      </c>
      <c r="K612" s="78" t="s">
        <v>129</v>
      </c>
      <c r="L612" s="152">
        <v>2.0499999999999998</v>
      </c>
      <c r="M612" s="120">
        <f t="shared" si="28"/>
        <v>1.9078641228478362E-2</v>
      </c>
      <c r="N612" s="148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 spans="2:25" ht="15">
      <c r="B613" s="124">
        <v>8</v>
      </c>
      <c r="C613" s="78" t="s">
        <v>114</v>
      </c>
      <c r="D613" s="152">
        <v>0.33</v>
      </c>
      <c r="E613" s="120">
        <f t="shared" si="29"/>
        <v>2.1400778210116732E-2</v>
      </c>
      <c r="F613" s="120"/>
      <c r="G613" s="120"/>
      <c r="H613" s="138">
        <v>15.42</v>
      </c>
      <c r="I613" s="148"/>
      <c r="J613" s="124">
        <v>8</v>
      </c>
      <c r="K613" s="78" t="s">
        <v>333</v>
      </c>
      <c r="L613" s="152">
        <v>2.0099999999999998</v>
      </c>
      <c r="M613" s="120">
        <f t="shared" si="28"/>
        <v>1.8706375058166587E-2</v>
      </c>
      <c r="N613" s="148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 spans="2:25" ht="15">
      <c r="B614" s="124">
        <v>9</v>
      </c>
      <c r="C614" s="78" t="s">
        <v>332</v>
      </c>
      <c r="D614" s="152">
        <v>0.16</v>
      </c>
      <c r="E614" s="120">
        <f t="shared" si="29"/>
        <v>1.0376134889753566E-2</v>
      </c>
      <c r="F614" s="120"/>
      <c r="G614" s="120"/>
      <c r="H614" s="138">
        <v>15.42</v>
      </c>
      <c r="I614" s="148"/>
      <c r="J614" s="124">
        <v>9</v>
      </c>
      <c r="K614" s="78" t="s">
        <v>108</v>
      </c>
      <c r="L614" s="152">
        <v>1.65</v>
      </c>
      <c r="M614" s="120">
        <f t="shared" si="28"/>
        <v>1.5355979525360632E-2</v>
      </c>
      <c r="N614" s="148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 spans="2:25" ht="15">
      <c r="B615" s="129">
        <v>10</v>
      </c>
      <c r="C615" s="154" t="s">
        <v>108</v>
      </c>
      <c r="D615" s="155">
        <v>0.16</v>
      </c>
      <c r="E615" s="157">
        <f t="shared" si="29"/>
        <v>1.0376134889753566E-2</v>
      </c>
      <c r="F615" s="157"/>
      <c r="G615" s="157"/>
      <c r="H615" s="139">
        <v>15.42</v>
      </c>
      <c r="I615" s="148"/>
      <c r="J615" s="129">
        <v>10</v>
      </c>
      <c r="K615" s="154" t="s">
        <v>114</v>
      </c>
      <c r="L615" s="155">
        <v>1.36</v>
      </c>
      <c r="M615" s="157">
        <f t="shared" si="28"/>
        <v>1.265704979060028E-2</v>
      </c>
      <c r="N615" s="147" t="s">
        <v>457</v>
      </c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 spans="2:25">
      <c r="B616" s="148"/>
      <c r="C616" s="148"/>
      <c r="D616" s="158"/>
      <c r="E616" s="159"/>
      <c r="F616" s="159"/>
      <c r="G616" s="159"/>
      <c r="H616" s="148"/>
      <c r="I616" s="148"/>
      <c r="J616" s="148"/>
      <c r="K616" s="148"/>
      <c r="L616" s="158"/>
      <c r="M616" s="159"/>
      <c r="N616" s="138">
        <v>76.337999999999994</v>
      </c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 spans="2:25">
      <c r="B617" s="29" t="s">
        <v>467</v>
      </c>
      <c r="C617" s="29"/>
      <c r="D617" s="146"/>
      <c r="E617" s="86"/>
      <c r="F617" s="86"/>
      <c r="G617" s="86"/>
      <c r="H617" s="29"/>
      <c r="I617" s="29"/>
      <c r="J617" s="29" t="s">
        <v>468</v>
      </c>
      <c r="K617" s="29"/>
      <c r="L617" s="146"/>
      <c r="M617" s="144"/>
      <c r="N617" s="138">
        <v>76.337999999999994</v>
      </c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 spans="2:25" ht="15">
      <c r="B618" s="112" t="s">
        <v>92</v>
      </c>
      <c r="C618" s="114" t="s">
        <v>343</v>
      </c>
      <c r="D618" s="116" t="s">
        <v>458</v>
      </c>
      <c r="E618" s="151" t="s">
        <v>345</v>
      </c>
      <c r="F618" s="151"/>
      <c r="G618" s="151"/>
      <c r="H618" s="147" t="s">
        <v>459</v>
      </c>
      <c r="I618" s="148"/>
      <c r="J618" s="112" t="s">
        <v>92</v>
      </c>
      <c r="K618" s="114" t="s">
        <v>343</v>
      </c>
      <c r="L618" s="116" t="s">
        <v>458</v>
      </c>
      <c r="M618" s="151" t="s">
        <v>345</v>
      </c>
      <c r="N618" s="138">
        <v>76.337999999999994</v>
      </c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 spans="2:25" ht="15">
      <c r="B619" s="107">
        <v>1</v>
      </c>
      <c r="C619" s="78" t="s">
        <v>98</v>
      </c>
      <c r="D619" s="152">
        <v>8.8699999999999992</v>
      </c>
      <c r="E619" s="120">
        <f t="shared" ref="E619:E628" si="30">D619/H619</f>
        <v>0.56515893900488701</v>
      </c>
      <c r="F619" s="120"/>
      <c r="G619" s="120"/>
      <c r="H619" s="138">
        <v>15.694699999999999</v>
      </c>
      <c r="I619" s="148"/>
      <c r="J619" s="107">
        <v>1</v>
      </c>
      <c r="K619" s="78" t="s">
        <v>98</v>
      </c>
      <c r="L619" s="152">
        <v>46.97</v>
      </c>
      <c r="M619" s="120">
        <f t="shared" ref="M619:M628" si="31">L619/N602</f>
        <v>0.51036263237157264</v>
      </c>
      <c r="N619" s="138">
        <v>76.337999999999994</v>
      </c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 spans="2:25" ht="15">
      <c r="B620" s="107">
        <v>2</v>
      </c>
      <c r="C620" s="78" t="s">
        <v>96</v>
      </c>
      <c r="D620" s="152">
        <v>2.79</v>
      </c>
      <c r="E620" s="120">
        <f t="shared" si="30"/>
        <v>0.1777670168910524</v>
      </c>
      <c r="F620" s="120"/>
      <c r="G620" s="120"/>
      <c r="H620" s="138">
        <v>15.694699999999999</v>
      </c>
      <c r="I620" s="148"/>
      <c r="J620" s="107">
        <v>2</v>
      </c>
      <c r="K620" s="78" t="s">
        <v>96</v>
      </c>
      <c r="L620" s="152">
        <v>14.73</v>
      </c>
      <c r="M620" s="120">
        <f t="shared" si="31"/>
        <v>0.16005198158043998</v>
      </c>
      <c r="N620" s="138">
        <v>76.337999999999994</v>
      </c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 spans="2:25" ht="15">
      <c r="B621" s="107">
        <v>3</v>
      </c>
      <c r="C621" s="78" t="s">
        <v>103</v>
      </c>
      <c r="D621" s="152">
        <v>0.64</v>
      </c>
      <c r="E621" s="120">
        <f t="shared" si="30"/>
        <v>4.0778097064614174E-2</v>
      </c>
      <c r="F621" s="120"/>
      <c r="G621" s="120"/>
      <c r="H621" s="138">
        <v>15.694699999999999</v>
      </c>
      <c r="I621" s="148"/>
      <c r="J621" s="107">
        <v>3</v>
      </c>
      <c r="K621" s="78" t="s">
        <v>111</v>
      </c>
      <c r="L621" s="152">
        <v>5.64</v>
      </c>
      <c r="M621" s="120">
        <f t="shared" si="31"/>
        <v>6.1282632458498396E-2</v>
      </c>
      <c r="N621" s="138">
        <v>76.337999999999994</v>
      </c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 spans="2:25" ht="15">
      <c r="B622" s="107">
        <v>4</v>
      </c>
      <c r="C622" s="78" t="s">
        <v>111</v>
      </c>
      <c r="D622" s="152">
        <v>0.63</v>
      </c>
      <c r="E622" s="120">
        <f t="shared" si="30"/>
        <v>4.0140939297979572E-2</v>
      </c>
      <c r="F622" s="120"/>
      <c r="G622" s="120"/>
      <c r="H622" s="138">
        <v>15.694699999999999</v>
      </c>
      <c r="I622" s="148"/>
      <c r="J622" s="107">
        <v>4</v>
      </c>
      <c r="K622" s="78" t="s">
        <v>101</v>
      </c>
      <c r="L622" s="152">
        <v>5.08</v>
      </c>
      <c r="M622" s="120">
        <f t="shared" si="31"/>
        <v>5.5197832072548206E-2</v>
      </c>
      <c r="N622" s="138">
        <v>76.337999999999994</v>
      </c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 spans="2:25" ht="15">
      <c r="B623" s="107">
        <v>5</v>
      </c>
      <c r="C623" s="78" t="s">
        <v>333</v>
      </c>
      <c r="D623" s="152">
        <v>0.47</v>
      </c>
      <c r="E623" s="120">
        <f t="shared" si="30"/>
        <v>2.9946415031826032E-2</v>
      </c>
      <c r="F623" s="120"/>
      <c r="G623" s="120"/>
      <c r="H623" s="138">
        <v>15.694699999999999</v>
      </c>
      <c r="I623" s="148"/>
      <c r="J623" s="107">
        <v>5</v>
      </c>
      <c r="K623" s="78" t="s">
        <v>103</v>
      </c>
      <c r="L623" s="152">
        <v>4.72</v>
      </c>
      <c r="M623" s="120">
        <f t="shared" si="31"/>
        <v>5.128617468158022E-2</v>
      </c>
      <c r="N623" s="138">
        <v>76.337999999999994</v>
      </c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 spans="2:25" ht="15">
      <c r="B624" s="107">
        <v>6</v>
      </c>
      <c r="C624" s="78" t="s">
        <v>114</v>
      </c>
      <c r="D624" s="152">
        <v>0.31</v>
      </c>
      <c r="E624" s="120">
        <f t="shared" si="30"/>
        <v>1.9751890765672488E-2</v>
      </c>
      <c r="F624" s="120"/>
      <c r="G624" s="120"/>
      <c r="H624" s="138">
        <v>15.694699999999999</v>
      </c>
      <c r="I624" s="148"/>
      <c r="J624" s="107">
        <v>6</v>
      </c>
      <c r="K624" s="78" t="s">
        <v>129</v>
      </c>
      <c r="L624" s="152">
        <v>1.7</v>
      </c>
      <c r="M624" s="120">
        <f t="shared" si="31"/>
        <v>1.8471715457348808E-2</v>
      </c>
      <c r="N624" s="138">
        <v>76.337999999999994</v>
      </c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 spans="2:25" ht="15">
      <c r="B625" s="107">
        <v>7</v>
      </c>
      <c r="C625" s="78" t="s">
        <v>129</v>
      </c>
      <c r="D625" s="152">
        <v>0.28000000000000003</v>
      </c>
      <c r="E625" s="120">
        <f t="shared" si="30"/>
        <v>1.7840417465768702E-2</v>
      </c>
      <c r="F625" s="120"/>
      <c r="G625" s="120"/>
      <c r="H625" s="138">
        <v>15.694699999999999</v>
      </c>
      <c r="I625" s="148"/>
      <c r="J625" s="107">
        <v>7</v>
      </c>
      <c r="K625" s="78" t="s">
        <v>116</v>
      </c>
      <c r="L625" s="152">
        <v>1.7</v>
      </c>
      <c r="M625" s="120">
        <f t="shared" si="31"/>
        <v>1.8471715457348808E-2</v>
      </c>
      <c r="N625" s="139">
        <v>76.34</v>
      </c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 spans="2:25" ht="15">
      <c r="B626" s="107">
        <v>8</v>
      </c>
      <c r="C626" s="78" t="s">
        <v>116</v>
      </c>
      <c r="D626" s="152">
        <v>0.26</v>
      </c>
      <c r="E626" s="120">
        <f t="shared" si="30"/>
        <v>1.6566101932499508E-2</v>
      </c>
      <c r="F626" s="120"/>
      <c r="G626" s="120"/>
      <c r="H626" s="138">
        <v>15.694699999999999</v>
      </c>
      <c r="I626" s="148"/>
      <c r="J626" s="107">
        <v>8</v>
      </c>
      <c r="K626" s="78" t="s">
        <v>333</v>
      </c>
      <c r="L626" s="152">
        <v>1.53</v>
      </c>
      <c r="M626" s="120">
        <f t="shared" si="31"/>
        <v>1.6624543911613929E-2</v>
      </c>
      <c r="N626" s="148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 spans="2:25" ht="15">
      <c r="B627" s="107">
        <v>9</v>
      </c>
      <c r="C627" s="78" t="s">
        <v>108</v>
      </c>
      <c r="D627" s="152">
        <v>0.22</v>
      </c>
      <c r="E627" s="120">
        <f t="shared" si="30"/>
        <v>1.4017470865961121E-2</v>
      </c>
      <c r="F627" s="120"/>
      <c r="G627" s="120"/>
      <c r="H627" s="138">
        <v>15.694699999999999</v>
      </c>
      <c r="I627" s="148"/>
      <c r="J627" s="107">
        <v>9</v>
      </c>
      <c r="K627" s="78" t="s">
        <v>108</v>
      </c>
      <c r="L627" s="152">
        <v>1.49</v>
      </c>
      <c r="M627" s="120">
        <f t="shared" si="31"/>
        <v>1.6189915312617487E-2</v>
      </c>
      <c r="N627" s="148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 spans="2:25" ht="15">
      <c r="B628" s="109">
        <v>10</v>
      </c>
      <c r="C628" s="154" t="s">
        <v>357</v>
      </c>
      <c r="D628" s="155">
        <v>0.16</v>
      </c>
      <c r="E628" s="157">
        <f t="shared" si="30"/>
        <v>1.019757807520714E-2</v>
      </c>
      <c r="F628" s="157"/>
      <c r="G628" s="157"/>
      <c r="H628" s="139">
        <v>15.69</v>
      </c>
      <c r="I628" s="148"/>
      <c r="J628" s="109">
        <v>10</v>
      </c>
      <c r="K628" s="154" t="s">
        <v>357</v>
      </c>
      <c r="L628" s="155">
        <v>1.05</v>
      </c>
      <c r="M628" s="157">
        <f t="shared" si="31"/>
        <v>1.1409323046832554E-2</v>
      </c>
      <c r="N628" s="148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 spans="2:25">
      <c r="B629" s="29"/>
      <c r="C629" s="148"/>
      <c r="D629" s="158"/>
      <c r="E629" s="159"/>
      <c r="F629" s="159"/>
      <c r="G629" s="159"/>
      <c r="H629" s="148"/>
      <c r="I629" s="148"/>
      <c r="J629" s="29"/>
      <c r="K629" s="148"/>
      <c r="L629" s="158"/>
      <c r="M629" s="159"/>
      <c r="N629" s="147" t="s">
        <v>457</v>
      </c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 spans="2:25">
      <c r="B630" s="29"/>
      <c r="C630" s="148"/>
      <c r="D630" s="158"/>
      <c r="E630" s="159"/>
      <c r="F630" s="159"/>
      <c r="G630" s="159"/>
      <c r="H630" s="148"/>
      <c r="I630" s="148"/>
      <c r="J630" s="29"/>
      <c r="K630" s="148"/>
      <c r="L630" s="158"/>
      <c r="M630" s="159"/>
      <c r="N630" s="138">
        <v>63.779000000000003</v>
      </c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 spans="2:25">
      <c r="B631" s="29" t="s">
        <v>469</v>
      </c>
      <c r="C631" s="148"/>
      <c r="D631" s="158"/>
      <c r="E631" s="159"/>
      <c r="F631" s="159"/>
      <c r="G631" s="159"/>
      <c r="H631" s="148"/>
      <c r="I631" s="148"/>
      <c r="J631" s="29" t="s">
        <v>470</v>
      </c>
      <c r="K631" s="148"/>
      <c r="L631" s="158"/>
      <c r="M631" s="159"/>
      <c r="N631" s="138">
        <v>63.779000000000003</v>
      </c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 spans="2:25" ht="15">
      <c r="B632" s="112" t="s">
        <v>92</v>
      </c>
      <c r="C632" s="114" t="s">
        <v>343</v>
      </c>
      <c r="D632" s="116" t="s">
        <v>458</v>
      </c>
      <c r="E632" s="151" t="s">
        <v>345</v>
      </c>
      <c r="F632" s="151"/>
      <c r="G632" s="151"/>
      <c r="H632" s="147" t="s">
        <v>459</v>
      </c>
      <c r="I632" s="148"/>
      <c r="J632" s="112" t="s">
        <v>92</v>
      </c>
      <c r="K632" s="114" t="s">
        <v>343</v>
      </c>
      <c r="L632" s="116" t="s">
        <v>471</v>
      </c>
      <c r="M632" s="151" t="s">
        <v>345</v>
      </c>
      <c r="N632" s="138">
        <v>63.779000000000003</v>
      </c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 spans="2:25" ht="15">
      <c r="B633" s="107">
        <v>1</v>
      </c>
      <c r="C633" s="78" t="s">
        <v>98</v>
      </c>
      <c r="D633" s="152">
        <v>6.5</v>
      </c>
      <c r="E633" s="120">
        <f t="shared" ref="E633:E642" si="32">D633/H633</f>
        <v>0.51751592356687892</v>
      </c>
      <c r="F633" s="120"/>
      <c r="G633" s="120"/>
      <c r="H633" s="138">
        <v>12.56</v>
      </c>
      <c r="I633" s="148"/>
      <c r="J633" s="107">
        <v>1</v>
      </c>
      <c r="K633" s="78" t="s">
        <v>98</v>
      </c>
      <c r="L633" s="152">
        <v>37.9</v>
      </c>
      <c r="M633" s="120">
        <f t="shared" ref="M633:M642" si="33">L633/N616</f>
        <v>0.49647619796169667</v>
      </c>
      <c r="N633" s="138">
        <v>63.779000000000003</v>
      </c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 spans="2:25" ht="15">
      <c r="B634" s="107">
        <v>2</v>
      </c>
      <c r="C634" s="78" t="s">
        <v>96</v>
      </c>
      <c r="D634" s="152">
        <v>2.4</v>
      </c>
      <c r="E634" s="120">
        <f t="shared" si="32"/>
        <v>0.19108280254777069</v>
      </c>
      <c r="F634" s="120"/>
      <c r="G634" s="120"/>
      <c r="H634" s="138">
        <v>12.56</v>
      </c>
      <c r="I634" s="148"/>
      <c r="J634" s="107">
        <v>2</v>
      </c>
      <c r="K634" s="78" t="s">
        <v>96</v>
      </c>
      <c r="L634" s="152">
        <v>11.9</v>
      </c>
      <c r="M634" s="120">
        <f t="shared" si="33"/>
        <v>0.1558856663784747</v>
      </c>
      <c r="N634" s="138">
        <v>63.779000000000003</v>
      </c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 spans="2:25" ht="15">
      <c r="B635" s="107">
        <v>3</v>
      </c>
      <c r="C635" s="78" t="s">
        <v>103</v>
      </c>
      <c r="D635" s="152">
        <v>0.69</v>
      </c>
      <c r="E635" s="120">
        <f t="shared" si="32"/>
        <v>5.4936305732484071E-2</v>
      </c>
      <c r="F635" s="120"/>
      <c r="G635" s="120"/>
      <c r="H635" s="138">
        <v>12.56</v>
      </c>
      <c r="I635" s="148"/>
      <c r="J635" s="107">
        <v>3</v>
      </c>
      <c r="K635" s="78" t="s">
        <v>111</v>
      </c>
      <c r="L635" s="152">
        <v>5</v>
      </c>
      <c r="M635" s="120">
        <f t="shared" si="33"/>
        <v>6.5498179150619618E-2</v>
      </c>
      <c r="N635" s="138">
        <v>63.779000000000003</v>
      </c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 spans="2:25" ht="15">
      <c r="B636" s="107">
        <v>4</v>
      </c>
      <c r="C636" s="78" t="s">
        <v>111</v>
      </c>
      <c r="D636" s="152">
        <v>0.62</v>
      </c>
      <c r="E636" s="120">
        <f t="shared" si="32"/>
        <v>4.936305732484076E-2</v>
      </c>
      <c r="F636" s="120"/>
      <c r="G636" s="120"/>
      <c r="H636" s="138">
        <v>12.56</v>
      </c>
      <c r="I636" s="148"/>
      <c r="J636" s="107">
        <v>4</v>
      </c>
      <c r="K636" s="78" t="s">
        <v>100</v>
      </c>
      <c r="L636" s="152">
        <v>4.9000000000000004</v>
      </c>
      <c r="M636" s="120">
        <f t="shared" si="33"/>
        <v>6.4188215567607232E-2</v>
      </c>
      <c r="N636" s="138">
        <v>63.779000000000003</v>
      </c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 spans="2:25" ht="15">
      <c r="B637" s="107">
        <v>5</v>
      </c>
      <c r="C637" s="78" t="s">
        <v>129</v>
      </c>
      <c r="D637" s="152">
        <v>0.34</v>
      </c>
      <c r="E637" s="120">
        <f t="shared" si="32"/>
        <v>2.7070063694267517E-2</v>
      </c>
      <c r="F637" s="120"/>
      <c r="G637" s="120"/>
      <c r="H637" s="138">
        <v>12.56</v>
      </c>
      <c r="I637" s="148"/>
      <c r="J637" s="107">
        <v>5</v>
      </c>
      <c r="K637" s="78" t="s">
        <v>103</v>
      </c>
      <c r="L637" s="152">
        <v>4.0999999999999996</v>
      </c>
      <c r="M637" s="120">
        <f t="shared" si="33"/>
        <v>5.3708506903508084E-2</v>
      </c>
      <c r="N637" s="138">
        <v>63.779000000000003</v>
      </c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 spans="2:25" ht="15">
      <c r="B638" s="107">
        <v>6</v>
      </c>
      <c r="C638" s="78" t="s">
        <v>108</v>
      </c>
      <c r="D638" s="152">
        <v>0.28000000000000003</v>
      </c>
      <c r="E638" s="120">
        <f t="shared" si="32"/>
        <v>2.229299363057325E-2</v>
      </c>
      <c r="F638" s="120"/>
      <c r="G638" s="120"/>
      <c r="H638" s="138">
        <v>12.56</v>
      </c>
      <c r="I638" s="148"/>
      <c r="J638" s="107">
        <v>6</v>
      </c>
      <c r="K638" s="78" t="s">
        <v>116</v>
      </c>
      <c r="L638" s="152">
        <v>1.4</v>
      </c>
      <c r="M638" s="120">
        <f t="shared" si="33"/>
        <v>1.8339490162173493E-2</v>
      </c>
      <c r="N638" s="138">
        <v>63.779000000000003</v>
      </c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 spans="2:25" ht="15">
      <c r="B639" s="107">
        <v>7</v>
      </c>
      <c r="C639" s="78" t="s">
        <v>333</v>
      </c>
      <c r="D639" s="152">
        <v>0.22</v>
      </c>
      <c r="E639" s="120">
        <f t="shared" si="32"/>
        <v>1.751592356687898E-2</v>
      </c>
      <c r="F639" s="120"/>
      <c r="G639" s="120"/>
      <c r="H639" s="138">
        <v>12.56</v>
      </c>
      <c r="I639" s="148"/>
      <c r="J639" s="107">
        <v>7</v>
      </c>
      <c r="K639" s="78" t="s">
        <v>129</v>
      </c>
      <c r="L639" s="152">
        <v>1.4</v>
      </c>
      <c r="M639" s="120">
        <f t="shared" si="33"/>
        <v>1.8339490162173493E-2</v>
      </c>
      <c r="N639" s="138">
        <v>63.779000000000003</v>
      </c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 spans="2:25" ht="15">
      <c r="B640" s="107">
        <v>8</v>
      </c>
      <c r="C640" s="78" t="s">
        <v>114</v>
      </c>
      <c r="D640" s="152">
        <v>0.2</v>
      </c>
      <c r="E640" s="120">
        <f t="shared" si="32"/>
        <v>1.5923566878980892E-2</v>
      </c>
      <c r="F640" s="120"/>
      <c r="G640" s="120"/>
      <c r="H640" s="138">
        <v>12.56</v>
      </c>
      <c r="I640" s="148"/>
      <c r="J640" s="107">
        <v>8</v>
      </c>
      <c r="K640" s="78" t="s">
        <v>108</v>
      </c>
      <c r="L640" s="152">
        <v>1.3</v>
      </c>
      <c r="M640" s="120">
        <f t="shared" si="33"/>
        <v>1.7029526579161101E-2</v>
      </c>
      <c r="N640" s="138">
        <v>63.779000000000003</v>
      </c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 spans="2:25" ht="15">
      <c r="B641" s="107">
        <v>9</v>
      </c>
      <c r="C641" s="78" t="s">
        <v>357</v>
      </c>
      <c r="D641" s="152">
        <v>0.2</v>
      </c>
      <c r="E641" s="120">
        <f t="shared" si="32"/>
        <v>1.5923566878980892E-2</v>
      </c>
      <c r="F641" s="120"/>
      <c r="G641" s="120"/>
      <c r="H641" s="138">
        <v>12.56</v>
      </c>
      <c r="I641" s="148"/>
      <c r="J641" s="107">
        <v>9</v>
      </c>
      <c r="K641" s="78" t="s">
        <v>333</v>
      </c>
      <c r="L641" s="152">
        <v>1.1000000000000001</v>
      </c>
      <c r="M641" s="120">
        <f t="shared" si="33"/>
        <v>1.4409599413136317E-2</v>
      </c>
      <c r="N641" s="138">
        <v>63.779000000000003</v>
      </c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 spans="2:25" ht="15">
      <c r="B642" s="109">
        <v>10</v>
      </c>
      <c r="C642" s="154" t="s">
        <v>116</v>
      </c>
      <c r="D642" s="155">
        <v>0.2</v>
      </c>
      <c r="E642" s="157">
        <f t="shared" si="32"/>
        <v>1.5923566878980892E-2</v>
      </c>
      <c r="F642" s="157"/>
      <c r="G642" s="157"/>
      <c r="H642" s="139">
        <v>12.56</v>
      </c>
      <c r="I642" s="148"/>
      <c r="J642" s="109">
        <v>10</v>
      </c>
      <c r="K642" s="154" t="s">
        <v>357</v>
      </c>
      <c r="L642" s="155">
        <v>0.9</v>
      </c>
      <c r="M642" s="157">
        <f t="shared" si="33"/>
        <v>1.1789363374377783E-2</v>
      </c>
      <c r="N642" s="138">
        <v>63.779000000000003</v>
      </c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 spans="2:25">
      <c r="B643" s="29"/>
      <c r="C643" s="148"/>
      <c r="D643" s="158"/>
      <c r="E643" s="159"/>
      <c r="F643" s="159"/>
      <c r="G643" s="159"/>
      <c r="H643" s="148"/>
      <c r="I643" s="148"/>
      <c r="J643" s="29"/>
      <c r="K643" s="148"/>
      <c r="L643" s="158"/>
      <c r="M643" s="159"/>
      <c r="N643" s="138">
        <v>63.779000000000003</v>
      </c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 spans="2:25">
      <c r="B644" s="29"/>
      <c r="C644" s="148"/>
      <c r="D644" s="158"/>
      <c r="E644" s="159"/>
      <c r="F644" s="159"/>
      <c r="G644" s="159"/>
      <c r="H644" s="148"/>
      <c r="I644" s="148"/>
      <c r="J644" s="29"/>
      <c r="K644" s="148"/>
      <c r="L644" s="158"/>
      <c r="M644" s="159"/>
      <c r="N644" s="139">
        <v>63.78</v>
      </c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 spans="2:25">
      <c r="B645" s="29" t="s">
        <v>472</v>
      </c>
      <c r="C645" s="148"/>
      <c r="D645" s="158"/>
      <c r="E645" s="159"/>
      <c r="F645" s="159"/>
      <c r="G645" s="159"/>
      <c r="H645" s="148"/>
      <c r="I645" s="148"/>
      <c r="J645" s="29" t="s">
        <v>473</v>
      </c>
      <c r="K645" s="148"/>
      <c r="L645" s="158"/>
      <c r="M645" s="159"/>
      <c r="N645" s="29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 spans="2:25" ht="15">
      <c r="B646" s="112" t="s">
        <v>92</v>
      </c>
      <c r="C646" s="114" t="s">
        <v>343</v>
      </c>
      <c r="D646" s="116" t="s">
        <v>458</v>
      </c>
      <c r="E646" s="151" t="s">
        <v>345</v>
      </c>
      <c r="F646" s="151"/>
      <c r="G646" s="151"/>
      <c r="H646" s="147" t="s">
        <v>459</v>
      </c>
      <c r="I646" s="148"/>
      <c r="J646" s="112" t="s">
        <v>92</v>
      </c>
      <c r="K646" s="114" t="s">
        <v>343</v>
      </c>
      <c r="L646" s="116" t="s">
        <v>471</v>
      </c>
      <c r="M646" s="151" t="s">
        <v>345</v>
      </c>
      <c r="N646" s="29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 spans="2:25" ht="15">
      <c r="B647" s="107">
        <v>1</v>
      </c>
      <c r="C647" s="78" t="s">
        <v>98</v>
      </c>
      <c r="D647" s="152">
        <v>5.66</v>
      </c>
      <c r="E647" s="120">
        <f t="shared" ref="E647:E661" si="34">D647/H647</f>
        <v>0.50122649947309239</v>
      </c>
      <c r="F647" s="120"/>
      <c r="G647" s="120"/>
      <c r="H647" s="138">
        <v>11.292299999999999</v>
      </c>
      <c r="I647" s="148"/>
      <c r="J647" s="107">
        <v>1</v>
      </c>
      <c r="K647" s="78" t="s">
        <v>98</v>
      </c>
      <c r="L647" s="152">
        <v>31.42</v>
      </c>
      <c r="M647" s="120">
        <f t="shared" ref="M647:M661" si="35">L647/N630</f>
        <v>0.49263864281346526</v>
      </c>
      <c r="N647" s="29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 spans="2:25" ht="15">
      <c r="B648" s="107">
        <v>2</v>
      </c>
      <c r="C648" s="78" t="s">
        <v>96</v>
      </c>
      <c r="D648" s="152">
        <v>1.9</v>
      </c>
      <c r="E648" s="120">
        <f t="shared" si="34"/>
        <v>0.16825624540616171</v>
      </c>
      <c r="F648" s="120"/>
      <c r="G648" s="120"/>
      <c r="H648" s="138">
        <v>11.292299999999999</v>
      </c>
      <c r="I648" s="148"/>
      <c r="J648" s="107">
        <v>2</v>
      </c>
      <c r="K648" s="78" t="s">
        <v>96</v>
      </c>
      <c r="L648" s="152">
        <v>9.5500000000000007</v>
      </c>
      <c r="M648" s="120">
        <f t="shared" si="35"/>
        <v>0.1497358064566707</v>
      </c>
      <c r="N648" s="147" t="s">
        <v>457</v>
      </c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 spans="2:25" ht="15">
      <c r="B649" s="107">
        <v>3</v>
      </c>
      <c r="C649" s="78" t="s">
        <v>474</v>
      </c>
      <c r="D649" s="152">
        <v>0.77</v>
      </c>
      <c r="E649" s="120">
        <f t="shared" si="34"/>
        <v>6.8188057348812919E-2</v>
      </c>
      <c r="F649" s="120"/>
      <c r="G649" s="120"/>
      <c r="H649" s="138">
        <v>11.292299999999999</v>
      </c>
      <c r="I649" s="148"/>
      <c r="J649" s="107">
        <v>3</v>
      </c>
      <c r="K649" s="78" t="s">
        <v>100</v>
      </c>
      <c r="L649" s="152">
        <v>4.92</v>
      </c>
      <c r="M649" s="120">
        <f t="shared" si="35"/>
        <v>7.7141378823750759E-2</v>
      </c>
      <c r="N649" s="138">
        <v>52.485700000000001</v>
      </c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 spans="2:25" ht="15">
      <c r="B650" s="107">
        <v>4</v>
      </c>
      <c r="C650" s="78" t="s">
        <v>475</v>
      </c>
      <c r="D650" s="152">
        <v>0.62</v>
      </c>
      <c r="E650" s="120">
        <f t="shared" si="34"/>
        <v>5.4904669553589615E-2</v>
      </c>
      <c r="F650" s="120"/>
      <c r="G650" s="120"/>
      <c r="H650" s="138">
        <v>11.292299999999999</v>
      </c>
      <c r="I650" s="148"/>
      <c r="J650" s="107">
        <v>4</v>
      </c>
      <c r="K650" s="78" t="s">
        <v>111</v>
      </c>
      <c r="L650" s="152">
        <v>4.4000000000000004</v>
      </c>
      <c r="M650" s="120">
        <f t="shared" si="35"/>
        <v>6.898822496432995E-2</v>
      </c>
      <c r="N650" s="138">
        <v>52.485700000000001</v>
      </c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 spans="2:25" ht="15">
      <c r="B651" s="107">
        <v>5</v>
      </c>
      <c r="C651" s="78" t="s">
        <v>116</v>
      </c>
      <c r="D651" s="152">
        <v>0.28000000000000003</v>
      </c>
      <c r="E651" s="120">
        <f t="shared" si="34"/>
        <v>2.4795657217750153E-2</v>
      </c>
      <c r="F651" s="120"/>
      <c r="G651" s="120"/>
      <c r="H651" s="138">
        <v>11.292299999999999</v>
      </c>
      <c r="I651" s="148"/>
      <c r="J651" s="107">
        <v>5</v>
      </c>
      <c r="K651" s="78" t="s">
        <v>103</v>
      </c>
      <c r="L651" s="152">
        <v>3.38</v>
      </c>
      <c r="M651" s="120">
        <f t="shared" si="35"/>
        <v>5.2995500086235277E-2</v>
      </c>
      <c r="N651" s="138">
        <v>52.485700000000001</v>
      </c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 spans="2:25" ht="15">
      <c r="B652" s="107">
        <v>6</v>
      </c>
      <c r="C652" s="78" t="s">
        <v>370</v>
      </c>
      <c r="D652" s="152">
        <v>0.24</v>
      </c>
      <c r="E652" s="120">
        <f t="shared" si="34"/>
        <v>2.125342047235727E-2</v>
      </c>
      <c r="F652" s="120"/>
      <c r="G652" s="120"/>
      <c r="H652" s="138">
        <v>11.292299999999999</v>
      </c>
      <c r="I652" s="148"/>
      <c r="J652" s="107">
        <v>6</v>
      </c>
      <c r="K652" s="78" t="s">
        <v>116</v>
      </c>
      <c r="L652" s="152">
        <v>1.24</v>
      </c>
      <c r="M652" s="120">
        <f t="shared" si="35"/>
        <v>1.9442136126311169E-2</v>
      </c>
      <c r="N652" s="138">
        <v>52.485700000000001</v>
      </c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 spans="2:25" ht="15">
      <c r="B653" s="107">
        <v>7</v>
      </c>
      <c r="C653" s="78" t="s">
        <v>114</v>
      </c>
      <c r="D653" s="152">
        <v>0.22</v>
      </c>
      <c r="E653" s="120">
        <f t="shared" si="34"/>
        <v>1.9482302099660832E-2</v>
      </c>
      <c r="F653" s="120"/>
      <c r="G653" s="120"/>
      <c r="H653" s="138">
        <v>11.292299999999999</v>
      </c>
      <c r="I653" s="148"/>
      <c r="J653" s="107">
        <v>7</v>
      </c>
      <c r="K653" s="78" t="s">
        <v>370</v>
      </c>
      <c r="L653" s="152">
        <v>1.07</v>
      </c>
      <c r="M653" s="120">
        <f t="shared" si="35"/>
        <v>1.6776681979962058E-2</v>
      </c>
      <c r="N653" s="138">
        <v>52.485700000000001</v>
      </c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 spans="2:25" ht="15">
      <c r="B654" s="107">
        <v>8</v>
      </c>
      <c r="C654" s="78" t="s">
        <v>108</v>
      </c>
      <c r="D654" s="152">
        <v>0.21</v>
      </c>
      <c r="E654" s="120">
        <f t="shared" si="34"/>
        <v>1.8596742913312612E-2</v>
      </c>
      <c r="F654" s="120"/>
      <c r="G654" s="120"/>
      <c r="H654" s="138">
        <v>11.292299999999999</v>
      </c>
      <c r="I654" s="148"/>
      <c r="J654" s="107">
        <v>8</v>
      </c>
      <c r="K654" s="78" t="s">
        <v>108</v>
      </c>
      <c r="L654" s="152">
        <v>0.99</v>
      </c>
      <c r="M654" s="120">
        <f t="shared" si="35"/>
        <v>1.5522350616974238E-2</v>
      </c>
      <c r="N654" s="138">
        <v>52.485700000000001</v>
      </c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 spans="2:25" ht="15">
      <c r="B655" s="107">
        <v>9</v>
      </c>
      <c r="C655" s="78" t="s">
        <v>333</v>
      </c>
      <c r="D655" s="152">
        <v>0.2</v>
      </c>
      <c r="E655" s="120">
        <f t="shared" si="34"/>
        <v>1.7711183726964393E-2</v>
      </c>
      <c r="F655" s="120"/>
      <c r="G655" s="120"/>
      <c r="H655" s="138">
        <v>11.292299999999999</v>
      </c>
      <c r="I655" s="148"/>
      <c r="J655" s="107">
        <v>9</v>
      </c>
      <c r="K655" s="78" t="s">
        <v>333</v>
      </c>
      <c r="L655" s="152">
        <v>0.84</v>
      </c>
      <c r="M655" s="120">
        <f t="shared" si="35"/>
        <v>1.317047931137208E-2</v>
      </c>
      <c r="N655" s="138">
        <v>52.485700000000001</v>
      </c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 spans="2:25" ht="15">
      <c r="B656" s="107">
        <v>10</v>
      </c>
      <c r="C656" s="78" t="s">
        <v>100</v>
      </c>
      <c r="D656" s="152">
        <v>0.2</v>
      </c>
      <c r="E656" s="120">
        <f t="shared" si="34"/>
        <v>1.7711183726964393E-2</v>
      </c>
      <c r="F656" s="120"/>
      <c r="G656" s="120"/>
      <c r="H656" s="138">
        <v>11.292299999999999</v>
      </c>
      <c r="I656" s="148"/>
      <c r="J656" s="107">
        <v>10</v>
      </c>
      <c r="K656" s="78" t="s">
        <v>357</v>
      </c>
      <c r="L656" s="152">
        <v>0.68</v>
      </c>
      <c r="M656" s="120">
        <f t="shared" si="35"/>
        <v>1.0661816585396448E-2</v>
      </c>
      <c r="N656" s="138">
        <v>52.485700000000001</v>
      </c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 spans="2:25" ht="15">
      <c r="B657" s="107">
        <v>11</v>
      </c>
      <c r="C657" s="78" t="s">
        <v>357</v>
      </c>
      <c r="D657" s="152">
        <v>0.16</v>
      </c>
      <c r="E657" s="120">
        <f t="shared" si="34"/>
        <v>1.4168946981571515E-2</v>
      </c>
      <c r="F657" s="120"/>
      <c r="G657" s="120"/>
      <c r="H657" s="138">
        <v>11.292299999999999</v>
      </c>
      <c r="I657" s="148"/>
      <c r="J657" s="107">
        <v>11</v>
      </c>
      <c r="K657" s="78" t="s">
        <v>328</v>
      </c>
      <c r="L657" s="152">
        <v>0.63</v>
      </c>
      <c r="M657" s="120">
        <f t="shared" si="35"/>
        <v>9.8778594835290615E-3</v>
      </c>
      <c r="N657" s="138">
        <v>52.485700000000001</v>
      </c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 spans="2:25" ht="15">
      <c r="B658" s="107">
        <v>12</v>
      </c>
      <c r="C658" s="78" t="s">
        <v>328</v>
      </c>
      <c r="D658" s="152">
        <v>0.14000000000000001</v>
      </c>
      <c r="E658" s="120">
        <f t="shared" si="34"/>
        <v>1.2397828608875077E-2</v>
      </c>
      <c r="F658" s="120"/>
      <c r="G658" s="120"/>
      <c r="H658" s="138">
        <v>11.292299999999999</v>
      </c>
      <c r="I658" s="148"/>
      <c r="J658" s="107">
        <v>12</v>
      </c>
      <c r="K658" s="78" t="s">
        <v>476</v>
      </c>
      <c r="L658" s="152">
        <v>0.6</v>
      </c>
      <c r="M658" s="120">
        <f t="shared" si="35"/>
        <v>9.4074852224086281E-3</v>
      </c>
      <c r="N658" s="139">
        <v>52.49</v>
      </c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 spans="2:25" ht="15">
      <c r="B659" s="107">
        <v>13</v>
      </c>
      <c r="C659" s="78" t="s">
        <v>477</v>
      </c>
      <c r="D659" s="152">
        <v>0.11</v>
      </c>
      <c r="E659" s="120">
        <f t="shared" si="34"/>
        <v>9.7411510498304158E-3</v>
      </c>
      <c r="F659" s="120"/>
      <c r="G659" s="120"/>
      <c r="H659" s="138">
        <v>11.292299999999999</v>
      </c>
      <c r="I659" s="148"/>
      <c r="J659" s="107">
        <v>13</v>
      </c>
      <c r="K659" s="78" t="s">
        <v>478</v>
      </c>
      <c r="L659" s="152">
        <v>0.52</v>
      </c>
      <c r="M659" s="120">
        <f t="shared" si="35"/>
        <v>8.1531538594208121E-3</v>
      </c>
      <c r="N659" s="29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 spans="2:25" ht="15">
      <c r="B660" s="107">
        <v>14</v>
      </c>
      <c r="C660" s="78" t="s">
        <v>479</v>
      </c>
      <c r="D660" s="152">
        <v>0.1</v>
      </c>
      <c r="E660" s="120">
        <f t="shared" si="34"/>
        <v>8.8555918634821967E-3</v>
      </c>
      <c r="F660" s="120"/>
      <c r="G660" s="120"/>
      <c r="H660" s="138">
        <v>11.292299999999999</v>
      </c>
      <c r="I660" s="148"/>
      <c r="J660" s="107">
        <v>14</v>
      </c>
      <c r="K660" s="78" t="s">
        <v>332</v>
      </c>
      <c r="L660" s="152">
        <v>0.51</v>
      </c>
      <c r="M660" s="120">
        <f t="shared" si="35"/>
        <v>7.9963624390473349E-3</v>
      </c>
      <c r="N660" s="29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 spans="2:25" ht="15">
      <c r="B661" s="109">
        <v>15</v>
      </c>
      <c r="C661" s="154" t="s">
        <v>480</v>
      </c>
      <c r="D661" s="155">
        <v>0.1</v>
      </c>
      <c r="E661" s="157">
        <f t="shared" si="34"/>
        <v>8.8573959255978749E-3</v>
      </c>
      <c r="F661" s="157"/>
      <c r="G661" s="157"/>
      <c r="H661" s="139">
        <v>11.29</v>
      </c>
      <c r="I661" s="148"/>
      <c r="J661" s="109">
        <v>15</v>
      </c>
      <c r="K661" s="154" t="s">
        <v>352</v>
      </c>
      <c r="L661" s="155">
        <v>0.42</v>
      </c>
      <c r="M661" s="157">
        <f t="shared" si="35"/>
        <v>6.5851364063969891E-3</v>
      </c>
      <c r="N661" s="29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 spans="2:25">
      <c r="B662" s="29"/>
      <c r="C662" s="29"/>
      <c r="D662" s="146"/>
      <c r="E662" s="144"/>
      <c r="F662" s="144"/>
      <c r="G662" s="144"/>
      <c r="H662" s="29"/>
      <c r="I662" s="29"/>
      <c r="J662" s="29"/>
      <c r="K662" s="29"/>
      <c r="L662" s="146"/>
      <c r="M662" s="144"/>
      <c r="N662" s="147" t="s">
        <v>457</v>
      </c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 spans="2:25">
      <c r="B663" s="29"/>
      <c r="C663" s="29"/>
      <c r="D663" s="146"/>
      <c r="E663" s="144"/>
      <c r="F663" s="144"/>
      <c r="G663" s="144"/>
      <c r="H663" s="29"/>
      <c r="I663" s="29"/>
      <c r="J663" s="29"/>
      <c r="K663" s="29"/>
      <c r="L663" s="146"/>
      <c r="M663" s="144"/>
      <c r="N663" s="138">
        <v>41.386400000000002</v>
      </c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 spans="2:25">
      <c r="B664" s="29" t="s">
        <v>481</v>
      </c>
      <c r="C664" s="29"/>
      <c r="D664" s="146"/>
      <c r="E664" s="144"/>
      <c r="F664" s="144"/>
      <c r="G664" s="144"/>
      <c r="H664" s="29"/>
      <c r="I664" s="29"/>
      <c r="J664" s="29" t="s">
        <v>482</v>
      </c>
      <c r="K664" s="29"/>
      <c r="L664" s="146"/>
      <c r="M664" s="144"/>
      <c r="N664" s="138">
        <v>41.386400000000002</v>
      </c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 spans="2:25" ht="15">
      <c r="B665" s="112" t="s">
        <v>92</v>
      </c>
      <c r="C665" s="114" t="s">
        <v>343</v>
      </c>
      <c r="D665" s="116" t="s">
        <v>458</v>
      </c>
      <c r="E665" s="151" t="s">
        <v>345</v>
      </c>
      <c r="F665" s="151"/>
      <c r="G665" s="151"/>
      <c r="H665" s="147" t="s">
        <v>459</v>
      </c>
      <c r="I665" s="148"/>
      <c r="J665" s="112" t="s">
        <v>92</v>
      </c>
      <c r="K665" s="114" t="s">
        <v>343</v>
      </c>
      <c r="L665" s="116" t="s">
        <v>471</v>
      </c>
      <c r="M665" s="151" t="s">
        <v>345</v>
      </c>
      <c r="N665" s="138">
        <v>41.386400000000002</v>
      </c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 spans="2:25" ht="15">
      <c r="B666" s="107">
        <v>1</v>
      </c>
      <c r="C666" s="78" t="s">
        <v>98</v>
      </c>
      <c r="D666" s="152">
        <v>0.73</v>
      </c>
      <c r="E666" s="120">
        <f t="shared" ref="E666:E675" si="36">D666/H666</f>
        <v>6.5766358255479773E-2</v>
      </c>
      <c r="F666" s="120"/>
      <c r="G666" s="120"/>
      <c r="H666" s="138">
        <v>11.0999</v>
      </c>
      <c r="I666" s="148"/>
      <c r="J666" s="107">
        <v>1</v>
      </c>
      <c r="K666" s="78" t="s">
        <v>98</v>
      </c>
      <c r="L666" s="152">
        <v>25.76</v>
      </c>
      <c r="M666" s="120">
        <f t="shared" ref="M666:M675" si="37">L666/N649</f>
        <v>0.49080035133379191</v>
      </c>
      <c r="N666" s="138">
        <v>41.386400000000002</v>
      </c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 spans="2:25" ht="15">
      <c r="B667" s="107">
        <v>2</v>
      </c>
      <c r="C667" s="78" t="s">
        <v>96</v>
      </c>
      <c r="D667" s="152">
        <v>1.73</v>
      </c>
      <c r="E667" s="120">
        <f t="shared" si="36"/>
        <v>0.1558572599753151</v>
      </c>
      <c r="F667" s="120"/>
      <c r="G667" s="120"/>
      <c r="H667" s="138">
        <v>11.0999</v>
      </c>
      <c r="I667" s="148"/>
      <c r="J667" s="107">
        <v>2</v>
      </c>
      <c r="K667" s="78" t="s">
        <v>96</v>
      </c>
      <c r="L667" s="152">
        <v>7.65</v>
      </c>
      <c r="M667" s="120">
        <f t="shared" si="37"/>
        <v>0.14575398632389394</v>
      </c>
      <c r="N667" s="138">
        <v>41.386400000000002</v>
      </c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 spans="2:25" ht="15">
      <c r="B668" s="107">
        <v>3</v>
      </c>
      <c r="C668" s="78" t="s">
        <v>100</v>
      </c>
      <c r="D668" s="152">
        <v>0.8</v>
      </c>
      <c r="E668" s="120">
        <f t="shared" si="36"/>
        <v>7.2072721375868259E-2</v>
      </c>
      <c r="F668" s="120"/>
      <c r="G668" s="120"/>
      <c r="H668" s="138">
        <v>11.0999</v>
      </c>
      <c r="I668" s="148"/>
      <c r="J668" s="107">
        <v>3</v>
      </c>
      <c r="K668" s="78" t="s">
        <v>100</v>
      </c>
      <c r="L668" s="152">
        <v>4.72</v>
      </c>
      <c r="M668" s="120">
        <f t="shared" si="37"/>
        <v>8.9929256921409059E-2</v>
      </c>
      <c r="N668" s="138">
        <v>41.386400000000002</v>
      </c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 spans="2:25" ht="15">
      <c r="B669" s="107">
        <v>4</v>
      </c>
      <c r="C669" s="78" t="s">
        <v>111</v>
      </c>
      <c r="D669" s="152">
        <v>0.71</v>
      </c>
      <c r="E669" s="120">
        <f t="shared" si="36"/>
        <v>6.3964540221083069E-2</v>
      </c>
      <c r="F669" s="120"/>
      <c r="G669" s="120"/>
      <c r="H669" s="138">
        <v>11.0999</v>
      </c>
      <c r="I669" s="148"/>
      <c r="J669" s="107">
        <v>4</v>
      </c>
      <c r="K669" s="78" t="s">
        <v>111</v>
      </c>
      <c r="L669" s="152">
        <v>3.63</v>
      </c>
      <c r="M669" s="120">
        <f t="shared" si="37"/>
        <v>6.9161695471337908E-2</v>
      </c>
      <c r="N669" s="138">
        <v>41.386400000000002</v>
      </c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 spans="2:25" ht="15">
      <c r="B670" s="107">
        <v>5</v>
      </c>
      <c r="C670" s="78" t="s">
        <v>103</v>
      </c>
      <c r="D670" s="152">
        <v>0.64</v>
      </c>
      <c r="E670" s="120">
        <f t="shared" si="36"/>
        <v>5.7658177100694603E-2</v>
      </c>
      <c r="F670" s="120"/>
      <c r="G670" s="120"/>
      <c r="H670" s="138">
        <v>11.0999</v>
      </c>
      <c r="I670" s="148"/>
      <c r="J670" s="107">
        <v>5</v>
      </c>
      <c r="K670" s="78" t="s">
        <v>103</v>
      </c>
      <c r="L670" s="152">
        <v>2.76</v>
      </c>
      <c r="M670" s="120">
        <f t="shared" si="37"/>
        <v>5.2585751928620555E-2</v>
      </c>
      <c r="N670" s="138">
        <v>41.386400000000002</v>
      </c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 spans="2:25" ht="15">
      <c r="B671" s="107">
        <v>6</v>
      </c>
      <c r="C671" s="78" t="s">
        <v>116</v>
      </c>
      <c r="D671" s="152">
        <v>0.22</v>
      </c>
      <c r="E671" s="120">
        <f t="shared" si="36"/>
        <v>1.9819998378363769E-2</v>
      </c>
      <c r="F671" s="120"/>
      <c r="G671" s="120"/>
      <c r="H671" s="138">
        <v>11.0999</v>
      </c>
      <c r="I671" s="148"/>
      <c r="J671" s="107">
        <v>6</v>
      </c>
      <c r="K671" s="78" t="s">
        <v>116</v>
      </c>
      <c r="L671" s="152">
        <v>0.96</v>
      </c>
      <c r="M671" s="120">
        <f t="shared" si="37"/>
        <v>1.8290696322998453E-2</v>
      </c>
      <c r="N671" s="138">
        <v>41.386400000000002</v>
      </c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 spans="2:25" ht="15">
      <c r="B672" s="107">
        <v>7</v>
      </c>
      <c r="C672" s="78" t="s">
        <v>129</v>
      </c>
      <c r="D672" s="152">
        <v>0.21</v>
      </c>
      <c r="E672" s="120">
        <f t="shared" si="36"/>
        <v>1.8919089361165417E-2</v>
      </c>
      <c r="F672" s="120"/>
      <c r="G672" s="120"/>
      <c r="H672" s="138">
        <v>11.0999</v>
      </c>
      <c r="I672" s="148"/>
      <c r="J672" s="107">
        <v>7</v>
      </c>
      <c r="K672" s="78" t="s">
        <v>129</v>
      </c>
      <c r="L672" s="152">
        <v>0.84</v>
      </c>
      <c r="M672" s="120">
        <f t="shared" si="37"/>
        <v>1.6004359282623646E-2</v>
      </c>
      <c r="N672" s="139">
        <v>41.39</v>
      </c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 spans="2:25" ht="15">
      <c r="B673" s="107">
        <v>8</v>
      </c>
      <c r="C673" s="78" t="s">
        <v>328</v>
      </c>
      <c r="D673" s="152">
        <v>0.17</v>
      </c>
      <c r="E673" s="120">
        <f t="shared" si="36"/>
        <v>1.5315453292372005E-2</v>
      </c>
      <c r="F673" s="120"/>
      <c r="G673" s="120"/>
      <c r="H673" s="138">
        <v>11.0999</v>
      </c>
      <c r="I673" s="148"/>
      <c r="J673" s="107">
        <v>8</v>
      </c>
      <c r="K673" s="78" t="s">
        <v>108</v>
      </c>
      <c r="L673" s="152">
        <v>0.78</v>
      </c>
      <c r="M673" s="120">
        <f t="shared" si="37"/>
        <v>1.4861190762436244E-2</v>
      </c>
      <c r="N673" s="29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 spans="2:25" ht="15">
      <c r="B674" s="107">
        <v>9</v>
      </c>
      <c r="C674" s="78" t="s">
        <v>333</v>
      </c>
      <c r="D674" s="152">
        <v>0.16</v>
      </c>
      <c r="E674" s="120">
        <f t="shared" si="36"/>
        <v>1.4414544275173651E-2</v>
      </c>
      <c r="F674" s="120"/>
      <c r="G674" s="120"/>
      <c r="H674" s="138">
        <v>11.0999</v>
      </c>
      <c r="I674" s="148"/>
      <c r="J674" s="107">
        <v>9</v>
      </c>
      <c r="K674" s="78" t="s">
        <v>333</v>
      </c>
      <c r="L674" s="152">
        <v>0.64</v>
      </c>
      <c r="M674" s="120">
        <f t="shared" si="37"/>
        <v>1.2193797548665637E-2</v>
      </c>
      <c r="N674" s="29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 spans="2:25" ht="15">
      <c r="B675" s="109">
        <v>10</v>
      </c>
      <c r="C675" s="154" t="s">
        <v>357</v>
      </c>
      <c r="D675" s="155">
        <v>0.15</v>
      </c>
      <c r="E675" s="157">
        <f t="shared" si="36"/>
        <v>1.3513513513513514E-2</v>
      </c>
      <c r="F675" s="157"/>
      <c r="G675" s="157"/>
      <c r="H675" s="139">
        <v>11.1</v>
      </c>
      <c r="I675" s="148"/>
      <c r="J675" s="109">
        <v>10</v>
      </c>
      <c r="K675" s="154" t="s">
        <v>357</v>
      </c>
      <c r="L675" s="155">
        <v>0.52</v>
      </c>
      <c r="M675" s="157">
        <f t="shared" si="37"/>
        <v>9.9066488855020004E-3</v>
      </c>
      <c r="N675" s="29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 spans="2:25">
      <c r="B676" s="29"/>
      <c r="C676" s="29"/>
      <c r="D676" s="146"/>
      <c r="E676" s="144"/>
      <c r="F676" s="144"/>
      <c r="G676" s="144"/>
      <c r="H676" s="29"/>
      <c r="I676" s="29"/>
      <c r="J676" s="29"/>
      <c r="K676" s="29"/>
      <c r="L676" s="146"/>
      <c r="M676" s="144"/>
      <c r="N676" s="147" t="s">
        <v>457</v>
      </c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 spans="2:25">
      <c r="B677" s="29"/>
      <c r="C677" s="29"/>
      <c r="D677" s="146"/>
      <c r="E677" s="144"/>
      <c r="F677" s="144"/>
      <c r="G677" s="144"/>
      <c r="H677" s="29"/>
      <c r="I677" s="29"/>
      <c r="J677" s="29"/>
      <c r="K677" s="29"/>
      <c r="L677" s="146"/>
      <c r="M677" s="144"/>
      <c r="N677" s="138">
        <v>31.6313</v>
      </c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 spans="2:25">
      <c r="B678" s="29" t="s">
        <v>483</v>
      </c>
      <c r="C678" s="29"/>
      <c r="D678" s="146"/>
      <c r="E678" s="144"/>
      <c r="F678" s="144"/>
      <c r="G678" s="144"/>
      <c r="H678" s="29"/>
      <c r="I678" s="29"/>
      <c r="J678" s="29" t="s">
        <v>484</v>
      </c>
      <c r="K678" s="29"/>
      <c r="L678" s="146"/>
      <c r="M678" s="144"/>
      <c r="N678" s="138">
        <v>31.6313</v>
      </c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 spans="2:25" ht="15">
      <c r="B679" s="112" t="s">
        <v>92</v>
      </c>
      <c r="C679" s="114" t="s">
        <v>343</v>
      </c>
      <c r="D679" s="116" t="s">
        <v>458</v>
      </c>
      <c r="E679" s="151" t="s">
        <v>345</v>
      </c>
      <c r="F679" s="151"/>
      <c r="G679" s="151"/>
      <c r="H679" s="147" t="s">
        <v>459</v>
      </c>
      <c r="I679" s="148"/>
      <c r="J679" s="112" t="s">
        <v>92</v>
      </c>
      <c r="K679" s="114" t="s">
        <v>343</v>
      </c>
      <c r="L679" s="116" t="s">
        <v>471</v>
      </c>
      <c r="M679" s="151" t="s">
        <v>345</v>
      </c>
      <c r="N679" s="138">
        <v>31.6313</v>
      </c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 spans="2:25" ht="15">
      <c r="B680" s="107">
        <v>1</v>
      </c>
      <c r="C680" s="78" t="s">
        <v>98</v>
      </c>
      <c r="D680" s="152">
        <v>4.28</v>
      </c>
      <c r="E680" s="120">
        <f t="shared" ref="E680:E689" si="38">D680/H680</f>
        <v>0.43874935930292158</v>
      </c>
      <c r="F680" s="120"/>
      <c r="G680" s="120"/>
      <c r="H680" s="138">
        <v>9.7550000000000008</v>
      </c>
      <c r="I680" s="148"/>
      <c r="J680" s="107">
        <v>1</v>
      </c>
      <c r="K680" s="78" t="s">
        <v>98</v>
      </c>
      <c r="L680" s="152">
        <v>20.32</v>
      </c>
      <c r="M680" s="120">
        <f t="shared" ref="M680:M689" si="39">L680/N663</f>
        <v>0.49098254499062494</v>
      </c>
      <c r="N680" s="138">
        <v>31.6313</v>
      </c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 spans="2:25" ht="15">
      <c r="B681" s="107">
        <v>2</v>
      </c>
      <c r="C681" s="78" t="s">
        <v>96</v>
      </c>
      <c r="D681" s="152">
        <v>1.68</v>
      </c>
      <c r="E681" s="120">
        <f t="shared" si="38"/>
        <v>0.17221937467965143</v>
      </c>
      <c r="F681" s="120"/>
      <c r="G681" s="120"/>
      <c r="H681" s="138">
        <v>9.7550000000000008</v>
      </c>
      <c r="I681" s="148"/>
      <c r="J681" s="107">
        <v>2</v>
      </c>
      <c r="K681" s="78" t="s">
        <v>96</v>
      </c>
      <c r="L681" s="152">
        <v>5.91</v>
      </c>
      <c r="M681" s="120">
        <f t="shared" si="39"/>
        <v>0.1428005335085922</v>
      </c>
      <c r="N681" s="138">
        <v>31.6313</v>
      </c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 spans="2:25" ht="15">
      <c r="B682" s="107">
        <v>3</v>
      </c>
      <c r="C682" s="78" t="s">
        <v>100</v>
      </c>
      <c r="D682" s="152">
        <v>1.31</v>
      </c>
      <c r="E682" s="120">
        <f t="shared" si="38"/>
        <v>0.13429010763710916</v>
      </c>
      <c r="F682" s="120"/>
      <c r="G682" s="120"/>
      <c r="H682" s="138">
        <v>9.7550000000000008</v>
      </c>
      <c r="I682" s="148"/>
      <c r="J682" s="107">
        <v>3</v>
      </c>
      <c r="K682" s="78" t="s">
        <v>100</v>
      </c>
      <c r="L682" s="152">
        <v>3.92</v>
      </c>
      <c r="M682" s="120">
        <f t="shared" si="39"/>
        <v>9.471710513598669E-2</v>
      </c>
      <c r="N682" s="138">
        <v>31.6313</v>
      </c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 spans="2:25" ht="15">
      <c r="B683" s="107">
        <v>4</v>
      </c>
      <c r="C683" s="78" t="s">
        <v>111</v>
      </c>
      <c r="D683" s="152">
        <v>0.73</v>
      </c>
      <c r="E683" s="120">
        <f t="shared" si="38"/>
        <v>7.4833418759610443E-2</v>
      </c>
      <c r="F683" s="120"/>
      <c r="G683" s="120"/>
      <c r="H683" s="138">
        <v>9.7550000000000008</v>
      </c>
      <c r="I683" s="148"/>
      <c r="J683" s="107">
        <v>4</v>
      </c>
      <c r="K683" s="78" t="s">
        <v>111</v>
      </c>
      <c r="L683" s="152">
        <v>2.92</v>
      </c>
      <c r="M683" s="120">
        <f t="shared" si="39"/>
        <v>7.0554578315581928E-2</v>
      </c>
      <c r="N683" s="138">
        <v>31.6313</v>
      </c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 spans="2:25" ht="15">
      <c r="B684" s="107">
        <v>5</v>
      </c>
      <c r="C684" s="78" t="s">
        <v>103</v>
      </c>
      <c r="D684" s="152">
        <v>0.49</v>
      </c>
      <c r="E684" s="120">
        <f t="shared" si="38"/>
        <v>5.0230650948231668E-2</v>
      </c>
      <c r="F684" s="120"/>
      <c r="G684" s="120"/>
      <c r="H684" s="138">
        <v>9.7550000000000008</v>
      </c>
      <c r="I684" s="148"/>
      <c r="J684" s="107">
        <v>5</v>
      </c>
      <c r="K684" s="78" t="s">
        <v>103</v>
      </c>
      <c r="L684" s="152">
        <v>2.13</v>
      </c>
      <c r="M684" s="120">
        <f t="shared" si="39"/>
        <v>5.1466182127462158E-2</v>
      </c>
      <c r="N684" s="138">
        <v>31.6313</v>
      </c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 spans="2:25" ht="15">
      <c r="B685" s="107">
        <v>6</v>
      </c>
      <c r="C685" s="78" t="s">
        <v>116</v>
      </c>
      <c r="D685" s="152">
        <v>0.13</v>
      </c>
      <c r="E685" s="120">
        <f t="shared" si="38"/>
        <v>1.3326499231163505E-2</v>
      </c>
      <c r="F685" s="120"/>
      <c r="G685" s="120"/>
      <c r="H685" s="138">
        <v>9.7550000000000008</v>
      </c>
      <c r="I685" s="148"/>
      <c r="J685" s="107">
        <v>6</v>
      </c>
      <c r="K685" s="78" t="s">
        <v>116</v>
      </c>
      <c r="L685" s="152">
        <v>0.74</v>
      </c>
      <c r="M685" s="120">
        <f t="shared" si="39"/>
        <v>1.788026984709953E-2</v>
      </c>
      <c r="N685" s="138">
        <v>31.6313</v>
      </c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 spans="2:25" ht="15">
      <c r="B686" s="107">
        <v>7</v>
      </c>
      <c r="C686" s="78" t="s">
        <v>333</v>
      </c>
      <c r="D686" s="152">
        <v>0.13</v>
      </c>
      <c r="E686" s="120">
        <f t="shared" si="38"/>
        <v>1.3326499231163505E-2</v>
      </c>
      <c r="F686" s="120"/>
      <c r="G686" s="120"/>
      <c r="H686" s="138">
        <v>9.7550000000000008</v>
      </c>
      <c r="I686" s="148"/>
      <c r="J686" s="107">
        <v>7</v>
      </c>
      <c r="K686" s="78" t="s">
        <v>108</v>
      </c>
      <c r="L686" s="152">
        <v>0.7</v>
      </c>
      <c r="M686" s="120">
        <f t="shared" si="39"/>
        <v>1.6913768774283338E-2</v>
      </c>
      <c r="N686" s="139">
        <v>31.63</v>
      </c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 spans="2:25" ht="15">
      <c r="B687" s="107">
        <v>8</v>
      </c>
      <c r="C687" s="78" t="s">
        <v>328</v>
      </c>
      <c r="D687" s="152">
        <v>0.11</v>
      </c>
      <c r="E687" s="120">
        <f t="shared" si="38"/>
        <v>1.1276268580215274E-2</v>
      </c>
      <c r="F687" s="120"/>
      <c r="G687" s="120"/>
      <c r="H687" s="138">
        <v>9.7550000000000008</v>
      </c>
      <c r="I687" s="148"/>
      <c r="J687" s="107">
        <v>8</v>
      </c>
      <c r="K687" s="78" t="s">
        <v>485</v>
      </c>
      <c r="L687" s="152">
        <v>0.63</v>
      </c>
      <c r="M687" s="120">
        <f t="shared" si="39"/>
        <v>1.5222391896855005E-2</v>
      </c>
      <c r="N687" s="29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 spans="2:25" ht="15">
      <c r="B688" s="107">
        <v>9</v>
      </c>
      <c r="C688" s="78" t="s">
        <v>108</v>
      </c>
      <c r="D688" s="152">
        <v>0.09</v>
      </c>
      <c r="E688" s="120">
        <f t="shared" si="38"/>
        <v>9.2260379292670412E-3</v>
      </c>
      <c r="F688" s="120"/>
      <c r="G688" s="120"/>
      <c r="H688" s="138">
        <v>9.7550000000000008</v>
      </c>
      <c r="I688" s="148"/>
      <c r="J688" s="107">
        <v>9</v>
      </c>
      <c r="K688" s="78" t="s">
        <v>333</v>
      </c>
      <c r="L688" s="152">
        <v>0.48</v>
      </c>
      <c r="M688" s="120">
        <f t="shared" si="39"/>
        <v>1.1598012873794288E-2</v>
      </c>
      <c r="N688" s="29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 spans="2:25" ht="15">
      <c r="B689" s="109">
        <v>10</v>
      </c>
      <c r="C689" s="154" t="s">
        <v>129</v>
      </c>
      <c r="D689" s="155">
        <v>7.0000000000000007E-2</v>
      </c>
      <c r="E689" s="157">
        <f t="shared" si="38"/>
        <v>7.1721311475409846E-3</v>
      </c>
      <c r="F689" s="157"/>
      <c r="G689" s="157"/>
      <c r="H689" s="139">
        <v>9.76</v>
      </c>
      <c r="I689" s="148"/>
      <c r="J689" s="109">
        <v>10</v>
      </c>
      <c r="K689" s="154" t="s">
        <v>332</v>
      </c>
      <c r="L689" s="155">
        <v>0.4</v>
      </c>
      <c r="M689" s="157">
        <f t="shared" si="39"/>
        <v>9.6641700893935738E-3</v>
      </c>
      <c r="N689" s="29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 spans="2:25">
      <c r="B690" s="29"/>
      <c r="C690" s="29"/>
      <c r="D690" s="146"/>
      <c r="E690" s="144"/>
      <c r="F690" s="144"/>
      <c r="G690" s="144"/>
      <c r="H690" s="29"/>
      <c r="I690" s="29"/>
      <c r="J690" s="29"/>
      <c r="K690" s="29"/>
      <c r="L690" s="146"/>
      <c r="M690" s="144"/>
      <c r="N690" s="29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 spans="2:25">
      <c r="B691" s="29"/>
      <c r="C691" s="29"/>
      <c r="D691" s="146"/>
      <c r="E691" s="144"/>
      <c r="F691" s="144"/>
      <c r="G691" s="144"/>
      <c r="H691" s="29"/>
      <c r="I691" s="29"/>
      <c r="J691" s="29"/>
      <c r="K691" s="29"/>
      <c r="L691" s="146"/>
      <c r="M691" s="144"/>
      <c r="N691" s="147" t="s">
        <v>457</v>
      </c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 spans="2:25">
      <c r="B692" s="29" t="s">
        <v>486</v>
      </c>
      <c r="C692" s="29"/>
      <c r="D692" s="146"/>
      <c r="E692" s="144"/>
      <c r="F692" s="144"/>
      <c r="G692" s="144"/>
      <c r="H692" s="29"/>
      <c r="I692" s="29"/>
      <c r="J692" s="29" t="s">
        <v>487</v>
      </c>
      <c r="K692" s="29"/>
      <c r="L692" s="146"/>
      <c r="M692" s="144"/>
      <c r="N692" s="138">
        <v>23.236699999999999</v>
      </c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 spans="2:25" ht="15">
      <c r="B693" s="112" t="s">
        <v>92</v>
      </c>
      <c r="C693" s="114" t="s">
        <v>343</v>
      </c>
      <c r="D693" s="116" t="s">
        <v>458</v>
      </c>
      <c r="E693" s="151" t="s">
        <v>345</v>
      </c>
      <c r="F693" s="151"/>
      <c r="G693" s="151"/>
      <c r="H693" s="147" t="s">
        <v>459</v>
      </c>
      <c r="I693" s="148"/>
      <c r="J693" s="112" t="s">
        <v>92</v>
      </c>
      <c r="K693" s="114" t="s">
        <v>343</v>
      </c>
      <c r="L693" s="116" t="s">
        <v>471</v>
      </c>
      <c r="M693" s="151" t="s">
        <v>345</v>
      </c>
      <c r="N693" s="138">
        <v>23.236699999999999</v>
      </c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 spans="2:25" ht="15">
      <c r="B694" s="107">
        <v>1</v>
      </c>
      <c r="C694" s="78" t="s">
        <v>98</v>
      </c>
      <c r="D694" s="152">
        <v>3.82</v>
      </c>
      <c r="E694" s="120">
        <f t="shared" ref="E694:E703" si="40">D694/H694</f>
        <v>0.45504901902390793</v>
      </c>
      <c r="F694" s="120"/>
      <c r="G694" s="120"/>
      <c r="H694" s="138">
        <v>8.3947000000000003</v>
      </c>
      <c r="I694" s="148"/>
      <c r="J694" s="107">
        <v>1</v>
      </c>
      <c r="K694" s="78" t="s">
        <v>98</v>
      </c>
      <c r="L694" s="152">
        <v>16.04</v>
      </c>
      <c r="M694" s="120">
        <f t="shared" ref="M694:M703" si="41">L694/N677</f>
        <v>0.50709265822144522</v>
      </c>
      <c r="N694" s="138">
        <v>23.236699999999999</v>
      </c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 spans="2:25" ht="15">
      <c r="B695" s="107">
        <v>2</v>
      </c>
      <c r="C695" s="78" t="s">
        <v>96</v>
      </c>
      <c r="D695" s="152">
        <v>1.23</v>
      </c>
      <c r="E695" s="120">
        <f t="shared" si="40"/>
        <v>0.14652101921450439</v>
      </c>
      <c r="F695" s="120"/>
      <c r="G695" s="120"/>
      <c r="H695" s="138">
        <v>8.3947000000000003</v>
      </c>
      <c r="I695" s="148"/>
      <c r="J695" s="107">
        <v>2</v>
      </c>
      <c r="K695" s="78" t="s">
        <v>96</v>
      </c>
      <c r="L695" s="152">
        <v>4.2300000000000004</v>
      </c>
      <c r="M695" s="120">
        <f t="shared" si="41"/>
        <v>0.13372830076538114</v>
      </c>
      <c r="N695" s="138">
        <v>23.236699999999999</v>
      </c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 spans="2:25" ht="15">
      <c r="B696" s="107">
        <v>3</v>
      </c>
      <c r="C696" s="78" t="s">
        <v>111</v>
      </c>
      <c r="D696" s="152">
        <v>0.78</v>
      </c>
      <c r="E696" s="120">
        <f t="shared" si="40"/>
        <v>9.2915768282368638E-2</v>
      </c>
      <c r="F696" s="120"/>
      <c r="G696" s="120"/>
      <c r="H696" s="138">
        <v>8.3947000000000003</v>
      </c>
      <c r="I696" s="148"/>
      <c r="J696" s="107">
        <v>3</v>
      </c>
      <c r="K696" s="78" t="s">
        <v>100</v>
      </c>
      <c r="L696" s="152">
        <v>2.61</v>
      </c>
      <c r="M696" s="120">
        <f t="shared" si="41"/>
        <v>8.2513206855235166E-2</v>
      </c>
      <c r="N696" s="138">
        <v>23.236699999999999</v>
      </c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 spans="2:25" ht="15">
      <c r="B697" s="107">
        <v>4</v>
      </c>
      <c r="C697" s="78" t="s">
        <v>100</v>
      </c>
      <c r="D697" s="152">
        <v>0.7</v>
      </c>
      <c r="E697" s="120">
        <f t="shared" si="40"/>
        <v>8.3385945894433378E-2</v>
      </c>
      <c r="F697" s="120"/>
      <c r="G697" s="120"/>
      <c r="H697" s="138">
        <v>8.3947000000000003</v>
      </c>
      <c r="I697" s="148"/>
      <c r="J697" s="107">
        <v>4</v>
      </c>
      <c r="K697" s="78" t="s">
        <v>111</v>
      </c>
      <c r="L697" s="152">
        <v>2.19</v>
      </c>
      <c r="M697" s="120">
        <f t="shared" si="41"/>
        <v>6.9235219545197318E-2</v>
      </c>
      <c r="N697" s="138">
        <v>23.236699999999999</v>
      </c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 spans="2:25" ht="15">
      <c r="B698" s="107">
        <v>5</v>
      </c>
      <c r="C698" s="78" t="s">
        <v>103</v>
      </c>
      <c r="D698" s="152">
        <v>0.59</v>
      </c>
      <c r="E698" s="120">
        <f t="shared" si="40"/>
        <v>7.0282440111022429E-2</v>
      </c>
      <c r="F698" s="120"/>
      <c r="G698" s="120"/>
      <c r="H698" s="138">
        <v>8.3947000000000003</v>
      </c>
      <c r="I698" s="148"/>
      <c r="J698" s="107">
        <v>5</v>
      </c>
      <c r="K698" s="78" t="s">
        <v>103</v>
      </c>
      <c r="L698" s="152">
        <v>1.64</v>
      </c>
      <c r="M698" s="120">
        <f t="shared" si="41"/>
        <v>5.1847379020147764E-2</v>
      </c>
      <c r="N698" s="138">
        <v>23.236699999999999</v>
      </c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 spans="2:25" ht="15">
      <c r="B699" s="107">
        <v>6</v>
      </c>
      <c r="C699" s="78" t="s">
        <v>116</v>
      </c>
      <c r="D699" s="152">
        <v>0.22</v>
      </c>
      <c r="E699" s="120">
        <f t="shared" si="40"/>
        <v>2.6207011566821922E-2</v>
      </c>
      <c r="F699" s="120"/>
      <c r="G699" s="120"/>
      <c r="H699" s="138">
        <v>8.3947000000000003</v>
      </c>
      <c r="I699" s="148"/>
      <c r="J699" s="107">
        <v>6</v>
      </c>
      <c r="K699" s="78" t="s">
        <v>108</v>
      </c>
      <c r="L699" s="152">
        <v>0.61</v>
      </c>
      <c r="M699" s="120">
        <f t="shared" si="41"/>
        <v>1.9284695855054962E-2</v>
      </c>
      <c r="N699" s="138">
        <v>23.236699999999999</v>
      </c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 spans="2:25" ht="15">
      <c r="B700" s="107">
        <v>7</v>
      </c>
      <c r="C700" s="78" t="s">
        <v>333</v>
      </c>
      <c r="D700" s="152">
        <v>0.12</v>
      </c>
      <c r="E700" s="120">
        <f t="shared" si="40"/>
        <v>1.4294733581902867E-2</v>
      </c>
      <c r="F700" s="120"/>
      <c r="G700" s="120"/>
      <c r="H700" s="138">
        <v>8.3947000000000003</v>
      </c>
      <c r="I700" s="148"/>
      <c r="J700" s="107">
        <v>7</v>
      </c>
      <c r="K700" s="78" t="s">
        <v>116</v>
      </c>
      <c r="L700" s="152">
        <v>0.61</v>
      </c>
      <c r="M700" s="120">
        <f t="shared" si="41"/>
        <v>1.9284695855054962E-2</v>
      </c>
      <c r="N700" s="138">
        <v>23.236699999999999</v>
      </c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 spans="2:25" ht="15">
      <c r="B701" s="107">
        <v>8</v>
      </c>
      <c r="C701" s="78" t="s">
        <v>332</v>
      </c>
      <c r="D701" s="152">
        <v>0.11</v>
      </c>
      <c r="E701" s="120">
        <f t="shared" si="40"/>
        <v>1.3103505783410961E-2</v>
      </c>
      <c r="F701" s="120"/>
      <c r="G701" s="120"/>
      <c r="H701" s="138">
        <v>8.3947000000000003</v>
      </c>
      <c r="I701" s="148"/>
      <c r="J701" s="107">
        <v>8</v>
      </c>
      <c r="K701" s="78" t="s">
        <v>370</v>
      </c>
      <c r="L701" s="152">
        <v>0.56999999999999995</v>
      </c>
      <c r="M701" s="120">
        <f t="shared" si="41"/>
        <v>1.8020125635051357E-2</v>
      </c>
      <c r="N701" s="139">
        <v>23.24</v>
      </c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 spans="2:25" ht="15">
      <c r="B702" s="107">
        <v>9</v>
      </c>
      <c r="C702" s="78" t="s">
        <v>451</v>
      </c>
      <c r="D702" s="152">
        <v>0.11</v>
      </c>
      <c r="E702" s="120">
        <f t="shared" si="40"/>
        <v>1.3103505783410961E-2</v>
      </c>
      <c r="F702" s="120"/>
      <c r="G702" s="120"/>
      <c r="H702" s="138">
        <v>8.3947000000000003</v>
      </c>
      <c r="I702" s="148"/>
      <c r="J702" s="107">
        <v>9</v>
      </c>
      <c r="K702" s="78" t="s">
        <v>333</v>
      </c>
      <c r="L702" s="152">
        <v>0.35</v>
      </c>
      <c r="M702" s="120">
        <f t="shared" si="41"/>
        <v>1.1064989425031535E-2</v>
      </c>
      <c r="N702" s="29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 spans="2:25" ht="15">
      <c r="B703" s="109">
        <v>10</v>
      </c>
      <c r="C703" s="154" t="s">
        <v>108</v>
      </c>
      <c r="D703" s="155">
        <v>0.09</v>
      </c>
      <c r="E703" s="157">
        <f t="shared" si="40"/>
        <v>1.072705601907032E-2</v>
      </c>
      <c r="F703" s="157"/>
      <c r="G703" s="157"/>
      <c r="H703" s="139">
        <v>8.39</v>
      </c>
      <c r="I703" s="148"/>
      <c r="J703" s="109">
        <v>10</v>
      </c>
      <c r="K703" s="154" t="s">
        <v>332</v>
      </c>
      <c r="L703" s="155">
        <v>0.34</v>
      </c>
      <c r="M703" s="157">
        <f t="shared" si="41"/>
        <v>1.0749288650015809E-2</v>
      </c>
      <c r="N703" s="29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 spans="2:25">
      <c r="B704" s="29"/>
      <c r="C704" s="29"/>
      <c r="D704" s="146"/>
      <c r="E704" s="144"/>
      <c r="F704" s="144"/>
      <c r="G704" s="144"/>
      <c r="H704" s="29"/>
      <c r="I704" s="29"/>
      <c r="J704" s="29"/>
      <c r="K704" s="29"/>
      <c r="L704" s="146"/>
      <c r="M704" s="144"/>
      <c r="N704" s="29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 spans="2:25">
      <c r="B705" s="29"/>
      <c r="C705" s="29"/>
      <c r="D705" s="146"/>
      <c r="E705" s="144"/>
      <c r="F705" s="144"/>
      <c r="G705" s="144"/>
      <c r="H705" s="29"/>
      <c r="I705" s="29"/>
      <c r="J705" s="29"/>
      <c r="K705" s="29"/>
      <c r="L705" s="146"/>
      <c r="M705" s="144"/>
      <c r="N705" s="147" t="s">
        <v>457</v>
      </c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 spans="2:25">
      <c r="B706" s="29"/>
      <c r="C706" s="29"/>
      <c r="D706" s="146"/>
      <c r="E706" s="144"/>
      <c r="F706" s="144"/>
      <c r="G706" s="144"/>
      <c r="H706" s="29"/>
      <c r="I706" s="29"/>
      <c r="J706" s="29"/>
      <c r="K706" s="29"/>
      <c r="L706" s="146"/>
      <c r="M706" s="144"/>
      <c r="N706" s="138">
        <v>14.2402</v>
      </c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 spans="2:25">
      <c r="B707" s="29" t="s">
        <v>488</v>
      </c>
      <c r="C707" s="29"/>
      <c r="D707" s="146"/>
      <c r="E707" s="144"/>
      <c r="F707" s="144"/>
      <c r="G707" s="144"/>
      <c r="H707" s="29"/>
      <c r="I707" s="29"/>
      <c r="J707" s="29" t="s">
        <v>489</v>
      </c>
      <c r="K707" s="29"/>
      <c r="L707" s="146"/>
      <c r="M707" s="144"/>
      <c r="N707" s="138">
        <v>14.2402</v>
      </c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 spans="2:25" ht="15">
      <c r="B708" s="112" t="s">
        <v>92</v>
      </c>
      <c r="C708" s="114" t="s">
        <v>343</v>
      </c>
      <c r="D708" s="116" t="s">
        <v>458</v>
      </c>
      <c r="E708" s="151" t="s">
        <v>345</v>
      </c>
      <c r="F708" s="151"/>
      <c r="G708" s="151"/>
      <c r="H708" s="147" t="s">
        <v>459</v>
      </c>
      <c r="I708" s="148"/>
      <c r="J708" s="112" t="s">
        <v>92</v>
      </c>
      <c r="K708" s="114" t="s">
        <v>343</v>
      </c>
      <c r="L708" s="116" t="s">
        <v>471</v>
      </c>
      <c r="M708" s="151" t="s">
        <v>345</v>
      </c>
      <c r="N708" s="138">
        <v>14.2402</v>
      </c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 spans="2:25" ht="15">
      <c r="B709" s="107">
        <v>1</v>
      </c>
      <c r="C709" s="78" t="s">
        <v>98</v>
      </c>
      <c r="D709" s="152">
        <v>4.5199999999999996</v>
      </c>
      <c r="E709" s="120">
        <f t="shared" ref="E709:E718" si="42">D709/H709</f>
        <v>0.50241760684710723</v>
      </c>
      <c r="F709" s="120"/>
      <c r="G709" s="120"/>
      <c r="H709" s="138">
        <v>8.9964999999999993</v>
      </c>
      <c r="I709" s="148"/>
      <c r="J709" s="107">
        <v>1</v>
      </c>
      <c r="K709" s="78" t="s">
        <v>98</v>
      </c>
      <c r="L709" s="152">
        <v>12.22</v>
      </c>
      <c r="M709" s="120">
        <f t="shared" ref="M709:M718" si="43">L709/N692</f>
        <v>0.52589223082451475</v>
      </c>
      <c r="N709" s="138">
        <v>14.2402</v>
      </c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 spans="2:25" ht="15">
      <c r="B710" s="107">
        <v>2</v>
      </c>
      <c r="C710" s="78" t="s">
        <v>96</v>
      </c>
      <c r="D710" s="152">
        <v>1.1200000000000001</v>
      </c>
      <c r="E710" s="120">
        <f t="shared" si="42"/>
        <v>0.1244928583337965</v>
      </c>
      <c r="F710" s="120"/>
      <c r="G710" s="120"/>
      <c r="H710" s="138">
        <v>8.9964999999999993</v>
      </c>
      <c r="I710" s="148"/>
      <c r="J710" s="107">
        <v>2</v>
      </c>
      <c r="K710" s="78" t="s">
        <v>96</v>
      </c>
      <c r="L710" s="152">
        <v>3</v>
      </c>
      <c r="M710" s="120">
        <f t="shared" si="43"/>
        <v>0.12910611231371064</v>
      </c>
      <c r="N710" s="138">
        <v>14.2402</v>
      </c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 spans="2:25" ht="15">
      <c r="B711" s="107">
        <v>3</v>
      </c>
      <c r="C711" s="78" t="s">
        <v>100</v>
      </c>
      <c r="D711" s="152">
        <v>0.95</v>
      </c>
      <c r="E711" s="120">
        <f t="shared" si="42"/>
        <v>0.10559662090813095</v>
      </c>
      <c r="F711" s="120"/>
      <c r="G711" s="120"/>
      <c r="H711" s="138">
        <v>8.9964999999999993</v>
      </c>
      <c r="I711" s="148"/>
      <c r="J711" s="107">
        <v>3</v>
      </c>
      <c r="K711" s="78" t="s">
        <v>100</v>
      </c>
      <c r="L711" s="152">
        <v>1.91</v>
      </c>
      <c r="M711" s="120">
        <f t="shared" si="43"/>
        <v>8.2197558173062443E-2</v>
      </c>
      <c r="N711" s="138">
        <v>14.2402</v>
      </c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 spans="2:25" ht="15">
      <c r="B712" s="107">
        <v>4</v>
      </c>
      <c r="C712" s="78" t="s">
        <v>111</v>
      </c>
      <c r="D712" s="152">
        <v>0.57999999999999996</v>
      </c>
      <c r="E712" s="120">
        <f t="shared" si="42"/>
        <v>6.4469515922858892E-2</v>
      </c>
      <c r="F712" s="120"/>
      <c r="G712" s="120"/>
      <c r="H712" s="138">
        <v>8.9964999999999993</v>
      </c>
      <c r="I712" s="148"/>
      <c r="J712" s="107">
        <v>4</v>
      </c>
      <c r="K712" s="78" t="s">
        <v>111</v>
      </c>
      <c r="L712" s="152">
        <v>1.41</v>
      </c>
      <c r="M712" s="120">
        <f t="shared" si="43"/>
        <v>6.0679872787444002E-2</v>
      </c>
      <c r="N712" s="138">
        <v>14.2402</v>
      </c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 spans="2:25" ht="15">
      <c r="B713" s="107">
        <v>5</v>
      </c>
      <c r="C713" s="78" t="s">
        <v>103</v>
      </c>
      <c r="D713" s="152">
        <v>0.45</v>
      </c>
      <c r="E713" s="120">
        <f t="shared" si="42"/>
        <v>5.0019452009114659E-2</v>
      </c>
      <c r="F713" s="120"/>
      <c r="G713" s="120"/>
      <c r="H713" s="138">
        <v>8.9964999999999993</v>
      </c>
      <c r="I713" s="148"/>
      <c r="J713" s="107">
        <v>5</v>
      </c>
      <c r="K713" s="78" t="s">
        <v>103</v>
      </c>
      <c r="L713" s="152">
        <v>1.05</v>
      </c>
      <c r="M713" s="120">
        <f t="shared" si="43"/>
        <v>4.518713930979873E-2</v>
      </c>
      <c r="N713" s="138">
        <v>14.2402</v>
      </c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 spans="2:25" ht="15">
      <c r="B714" s="107">
        <v>6</v>
      </c>
      <c r="C714" s="78" t="s">
        <v>116</v>
      </c>
      <c r="D714" s="152">
        <v>0.23</v>
      </c>
      <c r="E714" s="120">
        <f t="shared" si="42"/>
        <v>2.5565497693547493E-2</v>
      </c>
      <c r="F714" s="120"/>
      <c r="G714" s="120"/>
      <c r="H714" s="138">
        <v>8.9964999999999993</v>
      </c>
      <c r="I714" s="148"/>
      <c r="J714" s="107">
        <v>6</v>
      </c>
      <c r="K714" s="78" t="s">
        <v>108</v>
      </c>
      <c r="L714" s="152">
        <v>0.52</v>
      </c>
      <c r="M714" s="120">
        <f t="shared" si="43"/>
        <v>2.237839280104318E-2</v>
      </c>
      <c r="N714" s="138">
        <v>14.2402</v>
      </c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 spans="2:25" ht="15">
      <c r="B715" s="107">
        <v>7</v>
      </c>
      <c r="C715" s="78" t="s">
        <v>129</v>
      </c>
      <c r="D715" s="152">
        <v>0.18</v>
      </c>
      <c r="E715" s="120">
        <f t="shared" si="42"/>
        <v>2.0007780803645864E-2</v>
      </c>
      <c r="F715" s="120"/>
      <c r="G715" s="120"/>
      <c r="H715" s="138">
        <v>8.9964999999999993</v>
      </c>
      <c r="I715" s="148"/>
      <c r="J715" s="107">
        <v>7</v>
      </c>
      <c r="K715" s="78" t="s">
        <v>129</v>
      </c>
      <c r="L715" s="152">
        <v>0.48</v>
      </c>
      <c r="M715" s="120">
        <f t="shared" si="43"/>
        <v>2.0656977970193703E-2</v>
      </c>
      <c r="N715" s="139">
        <v>14.24</v>
      </c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 spans="2:25" ht="15">
      <c r="B716" s="107">
        <v>8</v>
      </c>
      <c r="C716" s="78" t="s">
        <v>451</v>
      </c>
      <c r="D716" s="152">
        <v>0.1</v>
      </c>
      <c r="E716" s="120">
        <f t="shared" si="42"/>
        <v>1.1115433779803258E-2</v>
      </c>
      <c r="F716" s="120"/>
      <c r="G716" s="120"/>
      <c r="H716" s="138">
        <v>8.9964999999999993</v>
      </c>
      <c r="I716" s="148"/>
      <c r="J716" s="107">
        <v>8</v>
      </c>
      <c r="K716" s="78" t="s">
        <v>116</v>
      </c>
      <c r="L716" s="152">
        <v>0.39</v>
      </c>
      <c r="M716" s="120">
        <f t="shared" si="43"/>
        <v>1.6783794600782383E-2</v>
      </c>
      <c r="N716" s="29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 spans="2:25" ht="15">
      <c r="B717" s="107">
        <v>9</v>
      </c>
      <c r="C717" s="78" t="s">
        <v>108</v>
      </c>
      <c r="D717" s="152">
        <v>0.1</v>
      </c>
      <c r="E717" s="120">
        <f t="shared" si="42"/>
        <v>1.1115433779803258E-2</v>
      </c>
      <c r="F717" s="120"/>
      <c r="G717" s="120"/>
      <c r="H717" s="138">
        <v>8.9964999999999993</v>
      </c>
      <c r="I717" s="148"/>
      <c r="J717" s="107">
        <v>9</v>
      </c>
      <c r="K717" s="78" t="s">
        <v>357</v>
      </c>
      <c r="L717" s="152">
        <v>0.25</v>
      </c>
      <c r="M717" s="120">
        <f t="shared" si="43"/>
        <v>1.0758842692809221E-2</v>
      </c>
      <c r="N717" s="29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 spans="2:25" ht="15">
      <c r="B718" s="109">
        <v>10</v>
      </c>
      <c r="C718" s="154" t="s">
        <v>490</v>
      </c>
      <c r="D718" s="155">
        <v>0.1</v>
      </c>
      <c r="E718" s="157">
        <f t="shared" si="42"/>
        <v>1.1111111111111112E-2</v>
      </c>
      <c r="F718" s="157"/>
      <c r="G718" s="157"/>
      <c r="H718" s="139">
        <v>9</v>
      </c>
      <c r="I718" s="148"/>
      <c r="J718" s="109">
        <v>10</v>
      </c>
      <c r="K718" s="154" t="s">
        <v>332</v>
      </c>
      <c r="L718" s="155">
        <v>0.23</v>
      </c>
      <c r="M718" s="157">
        <f t="shared" si="43"/>
        <v>9.8967297762478489E-3</v>
      </c>
      <c r="N718" s="29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 spans="2:25">
      <c r="B719" s="29"/>
      <c r="C719" s="29"/>
      <c r="D719" s="146"/>
      <c r="E719" s="144"/>
      <c r="F719" s="144"/>
      <c r="G719" s="144"/>
      <c r="H719" s="29"/>
      <c r="I719" s="29"/>
      <c r="J719" s="29"/>
      <c r="K719" s="29"/>
      <c r="L719" s="146"/>
      <c r="M719" s="144"/>
      <c r="N719" s="29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 spans="2:25">
      <c r="B720" s="29"/>
      <c r="C720" s="29"/>
      <c r="D720" s="146"/>
      <c r="E720" s="144"/>
      <c r="F720" s="144"/>
      <c r="G720" s="144"/>
      <c r="H720" s="29"/>
      <c r="I720" s="29"/>
      <c r="J720" s="29"/>
      <c r="K720" s="29"/>
      <c r="L720" s="146"/>
      <c r="M720" s="144"/>
      <c r="N720" s="29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 spans="2:25">
      <c r="B721" s="29" t="s">
        <v>491</v>
      </c>
      <c r="C721" s="29"/>
      <c r="D721" s="146"/>
      <c r="E721" s="144"/>
      <c r="F721" s="144"/>
      <c r="G721" s="144"/>
      <c r="H721" s="29"/>
      <c r="I721" s="29"/>
      <c r="J721" s="29" t="s">
        <v>492</v>
      </c>
      <c r="K721" s="29"/>
      <c r="L721" s="146"/>
      <c r="M721" s="144"/>
      <c r="N721" s="29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 spans="2:25" ht="15">
      <c r="B722" s="112" t="s">
        <v>92</v>
      </c>
      <c r="C722" s="114" t="s">
        <v>343</v>
      </c>
      <c r="D722" s="116" t="s">
        <v>458</v>
      </c>
      <c r="E722" s="151" t="s">
        <v>345</v>
      </c>
      <c r="F722" s="151"/>
      <c r="G722" s="151"/>
      <c r="H722" s="147" t="s">
        <v>459</v>
      </c>
      <c r="I722" s="148"/>
      <c r="J722" s="112" t="s">
        <v>92</v>
      </c>
      <c r="K722" s="114" t="s">
        <v>343</v>
      </c>
      <c r="L722" s="116" t="s">
        <v>471</v>
      </c>
      <c r="M722" s="151" t="s">
        <v>345</v>
      </c>
      <c r="N722" s="29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 spans="2:25" ht="15">
      <c r="B723" s="107">
        <v>1</v>
      </c>
      <c r="C723" s="78" t="s">
        <v>98</v>
      </c>
      <c r="D723" s="152">
        <v>3.08</v>
      </c>
      <c r="E723" s="120">
        <f t="shared" ref="E723:E732" si="44">D723/H723</f>
        <v>0.5520702634880803</v>
      </c>
      <c r="F723" s="120"/>
      <c r="G723" s="120"/>
      <c r="H723" s="138">
        <v>5.5789999999999997</v>
      </c>
      <c r="I723" s="148"/>
      <c r="J723" s="107">
        <v>1</v>
      </c>
      <c r="K723" s="78" t="s">
        <v>98</v>
      </c>
      <c r="L723" s="152">
        <v>7.7</v>
      </c>
      <c r="M723" s="120">
        <f t="shared" ref="M723:M732" si="45">L723/N706</f>
        <v>0.54072274265810871</v>
      </c>
      <c r="N723" s="29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 spans="2:25" ht="15">
      <c r="B724" s="107">
        <v>2</v>
      </c>
      <c r="C724" s="78" t="s">
        <v>96</v>
      </c>
      <c r="D724" s="152">
        <v>0.74</v>
      </c>
      <c r="E724" s="120">
        <f t="shared" si="44"/>
        <v>0.13264025811077254</v>
      </c>
      <c r="F724" s="120"/>
      <c r="G724" s="120"/>
      <c r="H724" s="138">
        <v>5.5789999999999997</v>
      </c>
      <c r="I724" s="148"/>
      <c r="J724" s="107">
        <v>2</v>
      </c>
      <c r="K724" s="78" t="s">
        <v>96</v>
      </c>
      <c r="L724" s="152">
        <v>1.88</v>
      </c>
      <c r="M724" s="120">
        <f t="shared" si="45"/>
        <v>0.13202061768795381</v>
      </c>
      <c r="N724" s="29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 spans="2:25" ht="15">
      <c r="B725" s="107">
        <v>3</v>
      </c>
      <c r="C725" s="78" t="s">
        <v>100</v>
      </c>
      <c r="D725" s="152">
        <v>0.55000000000000004</v>
      </c>
      <c r="E725" s="120">
        <f t="shared" si="44"/>
        <v>9.8583975622871495E-2</v>
      </c>
      <c r="F725" s="120"/>
      <c r="G725" s="120"/>
      <c r="H725" s="138">
        <v>5.5789999999999997</v>
      </c>
      <c r="I725" s="148"/>
      <c r="J725" s="107">
        <v>3</v>
      </c>
      <c r="K725" s="78" t="s">
        <v>100</v>
      </c>
      <c r="L725" s="152">
        <v>0.96</v>
      </c>
      <c r="M725" s="120">
        <f t="shared" si="45"/>
        <v>6.7414783500231737E-2</v>
      </c>
      <c r="N725" s="29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 spans="2:25" ht="15">
      <c r="B726" s="107">
        <v>4</v>
      </c>
      <c r="C726" s="78" t="s">
        <v>111</v>
      </c>
      <c r="D726" s="152">
        <v>0.34</v>
      </c>
      <c r="E726" s="120">
        <f t="shared" si="44"/>
        <v>6.0942821294138742E-2</v>
      </c>
      <c r="F726" s="120"/>
      <c r="G726" s="120"/>
      <c r="H726" s="138">
        <v>5.5789999999999997</v>
      </c>
      <c r="I726" s="148"/>
      <c r="J726" s="107">
        <v>4</v>
      </c>
      <c r="K726" s="78" t="s">
        <v>111</v>
      </c>
      <c r="L726" s="152">
        <v>0.83</v>
      </c>
      <c r="M726" s="120">
        <f t="shared" si="45"/>
        <v>5.8285698234575356E-2</v>
      </c>
      <c r="N726" s="29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 spans="2:25" ht="15">
      <c r="B727" s="107">
        <v>5</v>
      </c>
      <c r="C727" s="78" t="s">
        <v>103</v>
      </c>
      <c r="D727" s="152">
        <v>0.22</v>
      </c>
      <c r="E727" s="120">
        <f t="shared" si="44"/>
        <v>3.9433590249148595E-2</v>
      </c>
      <c r="F727" s="120"/>
      <c r="G727" s="120"/>
      <c r="H727" s="138">
        <v>5.5789999999999997</v>
      </c>
      <c r="I727" s="148"/>
      <c r="J727" s="107">
        <v>5</v>
      </c>
      <c r="K727" s="78" t="s">
        <v>103</v>
      </c>
      <c r="L727" s="152">
        <v>0.6</v>
      </c>
      <c r="M727" s="120">
        <f t="shared" si="45"/>
        <v>4.2134239687644834E-2</v>
      </c>
      <c r="N727" s="29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 spans="2:25" ht="15">
      <c r="B728" s="107">
        <v>6</v>
      </c>
      <c r="C728" s="78" t="s">
        <v>129</v>
      </c>
      <c r="D728" s="152">
        <v>0.14000000000000001</v>
      </c>
      <c r="E728" s="120">
        <f t="shared" si="44"/>
        <v>2.5094102885821836E-2</v>
      </c>
      <c r="F728" s="120"/>
      <c r="G728" s="120"/>
      <c r="H728" s="138">
        <v>5.5789999999999997</v>
      </c>
      <c r="I728" s="148"/>
      <c r="J728" s="107">
        <v>6</v>
      </c>
      <c r="K728" s="78" t="s">
        <v>108</v>
      </c>
      <c r="L728" s="152">
        <v>0.42</v>
      </c>
      <c r="M728" s="120">
        <f t="shared" si="45"/>
        <v>2.9493967781351386E-2</v>
      </c>
      <c r="N728" s="29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 spans="2:25" ht="15">
      <c r="B729" s="107">
        <v>7</v>
      </c>
      <c r="C729" s="78" t="s">
        <v>116</v>
      </c>
      <c r="D729" s="152">
        <v>0.08</v>
      </c>
      <c r="E729" s="120">
        <f t="shared" si="44"/>
        <v>1.4339487363326762E-2</v>
      </c>
      <c r="F729" s="120"/>
      <c r="G729" s="120"/>
      <c r="H729" s="138">
        <v>5.5789999999999997</v>
      </c>
      <c r="I729" s="148"/>
      <c r="J729" s="107">
        <v>7</v>
      </c>
      <c r="K729" s="78" t="s">
        <v>129</v>
      </c>
      <c r="L729" s="152">
        <v>0.3</v>
      </c>
      <c r="M729" s="120">
        <f t="shared" si="45"/>
        <v>2.1067119843822417E-2</v>
      </c>
      <c r="N729" s="29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 spans="2:25" ht="15">
      <c r="B730" s="107">
        <v>8</v>
      </c>
      <c r="C730" s="78" t="s">
        <v>366</v>
      </c>
      <c r="D730" s="152">
        <v>7.0000000000000007E-2</v>
      </c>
      <c r="E730" s="120">
        <f t="shared" si="44"/>
        <v>1.2547051442910918E-2</v>
      </c>
      <c r="F730" s="120"/>
      <c r="G730" s="120"/>
      <c r="H730" s="138">
        <v>5.5789999999999997</v>
      </c>
      <c r="I730" s="148"/>
      <c r="J730" s="107">
        <v>8</v>
      </c>
      <c r="K730" s="78" t="s">
        <v>116</v>
      </c>
      <c r="L730" s="152">
        <v>0.16</v>
      </c>
      <c r="M730" s="120">
        <f t="shared" si="45"/>
        <v>1.1235797250038624E-2</v>
      </c>
      <c r="N730" s="29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 spans="2:25" ht="15">
      <c r="B731" s="107">
        <v>9</v>
      </c>
      <c r="C731" s="78" t="s">
        <v>357</v>
      </c>
      <c r="D731" s="152">
        <v>0.06</v>
      </c>
      <c r="E731" s="120">
        <f t="shared" si="44"/>
        <v>1.075461552249507E-2</v>
      </c>
      <c r="F731" s="120"/>
      <c r="G731" s="120"/>
      <c r="H731" s="138">
        <v>5.5789999999999997</v>
      </c>
      <c r="I731" s="148"/>
      <c r="J731" s="107">
        <v>9</v>
      </c>
      <c r="K731" s="78" t="s">
        <v>357</v>
      </c>
      <c r="L731" s="152">
        <v>0.16</v>
      </c>
      <c r="M731" s="120">
        <f t="shared" si="45"/>
        <v>1.1235797250038624E-2</v>
      </c>
      <c r="N731" s="29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 spans="2:25" ht="15">
      <c r="B732" s="109">
        <v>10</v>
      </c>
      <c r="C732" s="154" t="s">
        <v>332</v>
      </c>
      <c r="D732" s="155">
        <v>0.05</v>
      </c>
      <c r="E732" s="157">
        <f t="shared" si="44"/>
        <v>8.9605734767025085E-3</v>
      </c>
      <c r="F732" s="157"/>
      <c r="G732" s="157"/>
      <c r="H732" s="139">
        <v>5.58</v>
      </c>
      <c r="I732" s="148"/>
      <c r="J732" s="109">
        <v>10</v>
      </c>
      <c r="K732" s="154" t="s">
        <v>332</v>
      </c>
      <c r="L732" s="155">
        <v>0.16</v>
      </c>
      <c r="M732" s="157">
        <f t="shared" si="45"/>
        <v>1.1235955056179775E-2</v>
      </c>
      <c r="N732" s="29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 spans="2:25">
      <c r="B733" s="29"/>
      <c r="C733" s="29"/>
      <c r="D733" s="146"/>
      <c r="E733" s="144"/>
      <c r="F733" s="144"/>
      <c r="G733" s="144"/>
      <c r="H733" s="29"/>
      <c r="I733" s="29"/>
      <c r="J733" s="29"/>
      <c r="K733" s="29"/>
      <c r="L733" s="146"/>
      <c r="M733" s="144"/>
      <c r="N733" s="147" t="s">
        <v>457</v>
      </c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 spans="2:25">
      <c r="B734" s="29"/>
      <c r="C734" s="29"/>
      <c r="D734" s="146"/>
      <c r="E734" s="144"/>
      <c r="F734" s="144"/>
      <c r="G734" s="144"/>
      <c r="H734" s="29"/>
      <c r="I734" s="29"/>
      <c r="J734" s="29"/>
      <c r="K734" s="29"/>
      <c r="L734" s="146"/>
      <c r="M734" s="144"/>
      <c r="N734" s="138">
        <v>63.637999999999998</v>
      </c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 spans="2:25">
      <c r="B735" s="29" t="s">
        <v>493</v>
      </c>
      <c r="C735" s="29"/>
      <c r="D735" s="146"/>
      <c r="E735" s="144"/>
      <c r="F735" s="144"/>
      <c r="G735" s="144"/>
      <c r="H735" s="29"/>
      <c r="I735" s="29"/>
      <c r="J735" s="29"/>
      <c r="K735" s="29"/>
      <c r="L735" s="146"/>
      <c r="M735" s="144"/>
      <c r="N735" s="138">
        <v>63.637999999999998</v>
      </c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 spans="2:25" ht="15">
      <c r="B736" s="112" t="s">
        <v>92</v>
      </c>
      <c r="C736" s="114" t="s">
        <v>343</v>
      </c>
      <c r="D736" s="116" t="s">
        <v>458</v>
      </c>
      <c r="E736" s="151" t="s">
        <v>345</v>
      </c>
      <c r="F736" s="151"/>
      <c r="G736" s="151"/>
      <c r="H736" s="147" t="s">
        <v>459</v>
      </c>
      <c r="I736" s="29"/>
      <c r="J736" s="29"/>
      <c r="K736" s="29"/>
      <c r="L736" s="146"/>
      <c r="M736" s="144"/>
      <c r="N736" s="138">
        <v>63.637999999999998</v>
      </c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 spans="2:25" ht="15">
      <c r="B737" s="107">
        <v>1</v>
      </c>
      <c r="C737" s="78" t="s">
        <v>98</v>
      </c>
      <c r="D737" s="152">
        <v>4.62</v>
      </c>
      <c r="E737" s="120">
        <f t="shared" ref="E737:E746" si="46">D737/H737</f>
        <v>0.53341338382672154</v>
      </c>
      <c r="F737" s="120"/>
      <c r="G737" s="120"/>
      <c r="H737" s="138">
        <v>8.6611999999999991</v>
      </c>
      <c r="I737" s="29"/>
      <c r="J737" s="29"/>
      <c r="K737" s="29"/>
      <c r="L737" s="146"/>
      <c r="M737" s="144"/>
      <c r="N737" s="138">
        <v>63.637999999999998</v>
      </c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 spans="2:25" ht="15">
      <c r="B738" s="107">
        <v>2</v>
      </c>
      <c r="C738" s="78" t="s">
        <v>96</v>
      </c>
      <c r="D738" s="152">
        <v>1.1299999999999999</v>
      </c>
      <c r="E738" s="120">
        <f t="shared" si="46"/>
        <v>0.13046690989701196</v>
      </c>
      <c r="F738" s="120"/>
      <c r="G738" s="120"/>
      <c r="H738" s="138">
        <v>8.6611999999999991</v>
      </c>
      <c r="I738" s="29"/>
      <c r="J738" s="29"/>
      <c r="K738" s="29"/>
      <c r="L738" s="146"/>
      <c r="M738" s="144"/>
      <c r="N738" s="138">
        <v>63.637999999999998</v>
      </c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 spans="2:25" ht="15">
      <c r="B739" s="107">
        <v>3</v>
      </c>
      <c r="C739" s="78" t="s">
        <v>111</v>
      </c>
      <c r="D739" s="152">
        <v>0.49</v>
      </c>
      <c r="E739" s="120">
        <f t="shared" si="46"/>
        <v>5.6574146769500767E-2</v>
      </c>
      <c r="F739" s="120"/>
      <c r="G739" s="120"/>
      <c r="H739" s="138">
        <v>8.6611999999999991</v>
      </c>
      <c r="I739" s="29"/>
      <c r="J739" s="29"/>
      <c r="K739" s="29"/>
      <c r="L739" s="146"/>
      <c r="M739" s="144"/>
      <c r="N739" s="138">
        <v>63.637999999999998</v>
      </c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 spans="2:25" ht="15">
      <c r="B740" s="107">
        <v>4</v>
      </c>
      <c r="C740" s="78" t="s">
        <v>100</v>
      </c>
      <c r="D740" s="152">
        <v>0.42</v>
      </c>
      <c r="E740" s="120">
        <f t="shared" si="46"/>
        <v>4.8492125802429224E-2</v>
      </c>
      <c r="F740" s="120"/>
      <c r="G740" s="120"/>
      <c r="H740" s="138">
        <v>8.6611999999999991</v>
      </c>
      <c r="I740" s="29"/>
      <c r="J740" s="29"/>
      <c r="K740" s="29"/>
      <c r="L740" s="146"/>
      <c r="M740" s="144"/>
      <c r="N740" s="138">
        <v>63.637999999999998</v>
      </c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 spans="2:25" ht="15">
      <c r="B741" s="107">
        <v>5</v>
      </c>
      <c r="C741" s="78" t="s">
        <v>108</v>
      </c>
      <c r="D741" s="152">
        <v>0.4</v>
      </c>
      <c r="E741" s="120">
        <f t="shared" si="46"/>
        <v>4.6182976954694505E-2</v>
      </c>
      <c r="F741" s="120"/>
      <c r="G741" s="120"/>
      <c r="H741" s="138">
        <v>8.6611999999999991</v>
      </c>
      <c r="I741" s="29"/>
      <c r="J741" s="29"/>
      <c r="K741" s="29"/>
      <c r="L741" s="146"/>
      <c r="M741" s="144"/>
      <c r="N741" s="138">
        <v>63.637999999999998</v>
      </c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 spans="2:25" ht="15">
      <c r="B742" s="107">
        <v>6</v>
      </c>
      <c r="C742" s="78" t="s">
        <v>103</v>
      </c>
      <c r="D742" s="152">
        <v>0.38</v>
      </c>
      <c r="E742" s="120">
        <f t="shared" si="46"/>
        <v>4.3873828106959778E-2</v>
      </c>
      <c r="F742" s="120"/>
      <c r="G742" s="120"/>
      <c r="H742" s="138">
        <v>8.6611999999999991</v>
      </c>
      <c r="I742" s="29"/>
      <c r="J742" s="29"/>
      <c r="K742" s="29"/>
      <c r="L742" s="146"/>
      <c r="M742" s="144"/>
      <c r="N742" s="138">
        <v>63.637999999999998</v>
      </c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 spans="2:25" ht="15">
      <c r="B743" s="107">
        <v>7</v>
      </c>
      <c r="C743" s="78" t="s">
        <v>129</v>
      </c>
      <c r="D743" s="152">
        <v>0.16</v>
      </c>
      <c r="E743" s="120">
        <f t="shared" si="46"/>
        <v>1.8473190781877803E-2</v>
      </c>
      <c r="F743" s="120"/>
      <c r="G743" s="120"/>
      <c r="H743" s="138">
        <v>8.6611999999999991</v>
      </c>
      <c r="I743" s="29"/>
      <c r="J743" s="29"/>
      <c r="K743" s="29"/>
      <c r="L743" s="146"/>
      <c r="M743" s="144"/>
      <c r="N743" s="139">
        <v>63.64</v>
      </c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 spans="2:25" ht="15">
      <c r="B744" s="107" t="s">
        <v>494</v>
      </c>
      <c r="C744" s="78" t="s">
        <v>454</v>
      </c>
      <c r="D744" s="152">
        <v>0.13</v>
      </c>
      <c r="E744" s="120">
        <f t="shared" si="46"/>
        <v>1.5009467510275714E-2</v>
      </c>
      <c r="F744" s="120"/>
      <c r="G744" s="120"/>
      <c r="H744" s="138">
        <v>8.6611999999999991</v>
      </c>
      <c r="I744" s="29"/>
      <c r="J744" s="29"/>
      <c r="K744" s="29"/>
      <c r="L744" s="146"/>
      <c r="M744" s="144"/>
      <c r="N744" s="29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 spans="2:25" ht="15">
      <c r="B745" s="107">
        <v>9</v>
      </c>
      <c r="C745" s="78" t="s">
        <v>333</v>
      </c>
      <c r="D745" s="152">
        <v>0.11</v>
      </c>
      <c r="E745" s="120">
        <f t="shared" si="46"/>
        <v>1.2700318662540989E-2</v>
      </c>
      <c r="F745" s="120"/>
      <c r="G745" s="120"/>
      <c r="H745" s="138">
        <v>8.6611999999999991</v>
      </c>
      <c r="I745" s="29"/>
      <c r="J745" s="29"/>
      <c r="K745" s="29"/>
      <c r="L745" s="146"/>
      <c r="M745" s="144"/>
      <c r="N745" s="29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 spans="2:25" ht="15">
      <c r="B746" s="109">
        <v>10</v>
      </c>
      <c r="C746" s="154" t="s">
        <v>332</v>
      </c>
      <c r="D746" s="155">
        <v>0.11</v>
      </c>
      <c r="E746" s="157">
        <f t="shared" si="46"/>
        <v>1.2702078521939953E-2</v>
      </c>
      <c r="F746" s="157"/>
      <c r="G746" s="157"/>
      <c r="H746" s="139">
        <v>8.66</v>
      </c>
      <c r="I746" s="29"/>
      <c r="J746" s="29"/>
      <c r="K746" s="29"/>
      <c r="L746" s="146"/>
      <c r="M746" s="144"/>
      <c r="N746" s="29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 spans="2:25">
      <c r="B747" s="29"/>
      <c r="C747" s="29"/>
      <c r="D747" s="146"/>
      <c r="E747" s="144"/>
      <c r="F747" s="144"/>
      <c r="G747" s="144"/>
      <c r="H747" s="29"/>
      <c r="I747" s="29"/>
      <c r="J747" s="29"/>
      <c r="K747" s="29"/>
      <c r="L747" s="146"/>
      <c r="M747" s="144"/>
      <c r="N747" s="147" t="s">
        <v>457</v>
      </c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 spans="2:25">
      <c r="B748" s="29"/>
      <c r="C748" s="29"/>
      <c r="D748" s="146"/>
      <c r="E748" s="144"/>
      <c r="F748" s="144"/>
      <c r="G748" s="144"/>
      <c r="H748" s="29"/>
      <c r="I748" s="29"/>
      <c r="J748" s="29"/>
      <c r="K748" s="29"/>
      <c r="L748" s="146"/>
      <c r="M748" s="144"/>
      <c r="N748" s="138">
        <v>50.685600000000001</v>
      </c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 spans="2:25">
      <c r="B749" s="29" t="s">
        <v>495</v>
      </c>
      <c r="C749" s="29"/>
      <c r="D749" s="146"/>
      <c r="E749" s="144"/>
      <c r="F749" s="144"/>
      <c r="G749" s="144"/>
      <c r="H749" s="29"/>
      <c r="I749" s="29"/>
      <c r="J749" s="29" t="s">
        <v>496</v>
      </c>
      <c r="K749" s="29"/>
      <c r="L749" s="146"/>
      <c r="M749" s="144"/>
      <c r="N749" s="138">
        <v>50.685600000000001</v>
      </c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 spans="2:25" ht="15">
      <c r="B750" s="112" t="s">
        <v>92</v>
      </c>
      <c r="C750" s="114" t="s">
        <v>343</v>
      </c>
      <c r="D750" s="116" t="s">
        <v>458</v>
      </c>
      <c r="E750" s="151" t="s">
        <v>345</v>
      </c>
      <c r="F750" s="151"/>
      <c r="G750" s="151"/>
      <c r="H750" s="147" t="s">
        <v>459</v>
      </c>
      <c r="I750" s="148"/>
      <c r="J750" s="112" t="s">
        <v>92</v>
      </c>
      <c r="K750" s="114" t="s">
        <v>343</v>
      </c>
      <c r="L750" s="116" t="s">
        <v>458</v>
      </c>
      <c r="M750" s="151" t="s">
        <v>345</v>
      </c>
      <c r="N750" s="138">
        <v>50.685600000000001</v>
      </c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 spans="2:25" ht="15">
      <c r="B751" s="107">
        <v>1</v>
      </c>
      <c r="C751" s="78" t="s">
        <v>98</v>
      </c>
      <c r="D751" s="152">
        <v>6.79</v>
      </c>
      <c r="E751" s="120">
        <f t="shared" ref="E751:E760" si="47">D751/H751</f>
        <v>0.52422717025416132</v>
      </c>
      <c r="F751" s="120"/>
      <c r="G751" s="120"/>
      <c r="H751" s="138">
        <v>12.952400000000001</v>
      </c>
      <c r="I751" s="148"/>
      <c r="J751" s="107">
        <v>1</v>
      </c>
      <c r="K751" s="78" t="s">
        <v>98</v>
      </c>
      <c r="L751" s="152">
        <v>31.79</v>
      </c>
      <c r="M751" s="120">
        <f t="shared" ref="M751:M760" si="48">L751/N734</f>
        <v>0.49954429743235174</v>
      </c>
      <c r="N751" s="138">
        <v>50.685600000000001</v>
      </c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 spans="2:25" ht="15">
      <c r="B752" s="107">
        <v>2</v>
      </c>
      <c r="C752" s="78" t="s">
        <v>96</v>
      </c>
      <c r="D752" s="152">
        <v>2.0299999999999998</v>
      </c>
      <c r="E752" s="120">
        <f t="shared" si="47"/>
        <v>0.15672771069454308</v>
      </c>
      <c r="F752" s="120"/>
      <c r="G752" s="120"/>
      <c r="H752" s="138">
        <v>12.952400000000001</v>
      </c>
      <c r="I752" s="148"/>
      <c r="J752" s="107">
        <v>2</v>
      </c>
      <c r="K752" s="78" t="s">
        <v>96</v>
      </c>
      <c r="L752" s="152">
        <v>9.48</v>
      </c>
      <c r="M752" s="120">
        <f t="shared" si="48"/>
        <v>0.14896759797605205</v>
      </c>
      <c r="N752" s="138">
        <v>50.685600000000001</v>
      </c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 spans="2:25" ht="15">
      <c r="B753" s="107">
        <v>3</v>
      </c>
      <c r="C753" s="78" t="s">
        <v>103</v>
      </c>
      <c r="D753" s="152">
        <v>0.94</v>
      </c>
      <c r="E753" s="120">
        <f t="shared" si="47"/>
        <v>7.2573422686143099E-2</v>
      </c>
      <c r="F753" s="120"/>
      <c r="G753" s="120"/>
      <c r="H753" s="138">
        <v>12.952400000000001</v>
      </c>
      <c r="I753" s="148"/>
      <c r="J753" s="107">
        <v>3</v>
      </c>
      <c r="K753" s="78" t="s">
        <v>100</v>
      </c>
      <c r="L753" s="152">
        <v>4.13</v>
      </c>
      <c r="M753" s="120">
        <f t="shared" si="48"/>
        <v>6.4898331185769514E-2</v>
      </c>
      <c r="N753" s="138">
        <v>50.685600000000001</v>
      </c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 spans="2:25" ht="15">
      <c r="B754" s="107">
        <v>4</v>
      </c>
      <c r="C754" s="78" t="s">
        <v>111</v>
      </c>
      <c r="D754" s="152">
        <v>0.79</v>
      </c>
      <c r="E754" s="120">
        <f t="shared" si="47"/>
        <v>6.099255736388623E-2</v>
      </c>
      <c r="F754" s="120"/>
      <c r="G754" s="120"/>
      <c r="H754" s="138">
        <v>12.952400000000001</v>
      </c>
      <c r="I754" s="148"/>
      <c r="J754" s="107">
        <v>4</v>
      </c>
      <c r="K754" s="78" t="s">
        <v>111</v>
      </c>
      <c r="L754" s="152">
        <v>3.55</v>
      </c>
      <c r="M754" s="120">
        <f t="shared" si="48"/>
        <v>5.5784279832804297E-2</v>
      </c>
      <c r="N754" s="138">
        <v>50.685600000000001</v>
      </c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 spans="2:25" ht="15">
      <c r="B755" s="107">
        <v>5</v>
      </c>
      <c r="C755" s="78" t="s">
        <v>332</v>
      </c>
      <c r="D755" s="152">
        <v>0.33</v>
      </c>
      <c r="E755" s="120">
        <f t="shared" si="47"/>
        <v>2.5477903708965133E-2</v>
      </c>
      <c r="F755" s="120"/>
      <c r="G755" s="120"/>
      <c r="H755" s="138">
        <v>12.952400000000001</v>
      </c>
      <c r="I755" s="148"/>
      <c r="J755" s="107">
        <v>5</v>
      </c>
      <c r="K755" s="78" t="s">
        <v>103</v>
      </c>
      <c r="L755" s="152">
        <v>3.32</v>
      </c>
      <c r="M755" s="120">
        <f t="shared" si="48"/>
        <v>5.21700870549043E-2</v>
      </c>
      <c r="N755" s="138">
        <v>50.685600000000001</v>
      </c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 spans="2:25" ht="15">
      <c r="B756" s="107">
        <v>6</v>
      </c>
      <c r="C756" s="78" t="s">
        <v>116</v>
      </c>
      <c r="D756" s="152">
        <v>0.31</v>
      </c>
      <c r="E756" s="120">
        <f t="shared" si="47"/>
        <v>2.3933788332664217E-2</v>
      </c>
      <c r="F756" s="120"/>
      <c r="G756" s="120"/>
      <c r="H756" s="138">
        <v>12.952400000000001</v>
      </c>
      <c r="I756" s="148"/>
      <c r="J756" s="107">
        <v>6</v>
      </c>
      <c r="K756" s="78" t="s">
        <v>99</v>
      </c>
      <c r="L756" s="152">
        <v>2.2400000000000002</v>
      </c>
      <c r="M756" s="120">
        <f t="shared" si="48"/>
        <v>3.5199094880417364E-2</v>
      </c>
      <c r="N756" s="138">
        <v>50.685600000000001</v>
      </c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 spans="2:25" ht="15">
      <c r="B757" s="107">
        <v>7</v>
      </c>
      <c r="C757" s="78" t="s">
        <v>108</v>
      </c>
      <c r="D757" s="152">
        <v>0.19</v>
      </c>
      <c r="E757" s="120">
        <f t="shared" si="47"/>
        <v>1.4669096074858713E-2</v>
      </c>
      <c r="F757" s="120"/>
      <c r="G757" s="120"/>
      <c r="H757" s="138">
        <v>12.952400000000001</v>
      </c>
      <c r="I757" s="148"/>
      <c r="J757" s="107">
        <v>7</v>
      </c>
      <c r="K757" s="78" t="s">
        <v>116</v>
      </c>
      <c r="L757" s="152">
        <v>1.18</v>
      </c>
      <c r="M757" s="120">
        <f t="shared" si="48"/>
        <v>1.8542380338791287E-2</v>
      </c>
      <c r="N757" s="139">
        <v>50.69</v>
      </c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 spans="2:25" ht="15">
      <c r="B758" s="107">
        <v>8</v>
      </c>
      <c r="C758" s="78" t="s">
        <v>129</v>
      </c>
      <c r="D758" s="152">
        <v>0.17</v>
      </c>
      <c r="E758" s="120">
        <f t="shared" si="47"/>
        <v>1.3124980698557796E-2</v>
      </c>
      <c r="F758" s="120"/>
      <c r="G758" s="120"/>
      <c r="H758" s="138">
        <v>12.952400000000001</v>
      </c>
      <c r="I758" s="148"/>
      <c r="J758" s="107">
        <v>8</v>
      </c>
      <c r="K758" s="78" t="s">
        <v>332</v>
      </c>
      <c r="L758" s="152">
        <v>0.95</v>
      </c>
      <c r="M758" s="120">
        <f t="shared" si="48"/>
        <v>1.4928187560891291E-2</v>
      </c>
      <c r="N758" s="29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 spans="2:25" ht="15">
      <c r="B759" s="107">
        <v>9</v>
      </c>
      <c r="C759" s="78" t="s">
        <v>328</v>
      </c>
      <c r="D759" s="152">
        <v>0.17</v>
      </c>
      <c r="E759" s="120">
        <f t="shared" si="47"/>
        <v>1.3124980698557796E-2</v>
      </c>
      <c r="F759" s="120"/>
      <c r="G759" s="120"/>
      <c r="H759" s="138">
        <v>12.952400000000001</v>
      </c>
      <c r="I759" s="148"/>
      <c r="J759" s="107">
        <v>9</v>
      </c>
      <c r="K759" s="78" t="s">
        <v>328</v>
      </c>
      <c r="L759" s="152">
        <v>0.92</v>
      </c>
      <c r="M759" s="120">
        <f t="shared" si="48"/>
        <v>1.4456771111599988E-2</v>
      </c>
      <c r="N759" s="29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 spans="2:25" ht="15">
      <c r="B760" s="109">
        <v>10</v>
      </c>
      <c r="C760" s="154" t="s">
        <v>333</v>
      </c>
      <c r="D760" s="155">
        <v>0.15</v>
      </c>
      <c r="E760" s="157">
        <f t="shared" si="47"/>
        <v>1.1583011583011582E-2</v>
      </c>
      <c r="F760" s="157"/>
      <c r="G760" s="157"/>
      <c r="H760" s="139">
        <v>12.95</v>
      </c>
      <c r="I760" s="148"/>
      <c r="J760" s="109">
        <v>10</v>
      </c>
      <c r="K760" s="154" t="s">
        <v>108</v>
      </c>
      <c r="L760" s="155">
        <v>0.85</v>
      </c>
      <c r="M760" s="157">
        <f t="shared" si="48"/>
        <v>1.3356379635449403E-2</v>
      </c>
      <c r="N760" s="29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 spans="2:25">
      <c r="B761" s="29"/>
      <c r="C761" s="29"/>
      <c r="D761" s="146"/>
      <c r="E761" s="144"/>
      <c r="F761" s="144"/>
      <c r="G761" s="144"/>
      <c r="H761" s="29"/>
      <c r="I761" s="29"/>
      <c r="J761" s="29"/>
      <c r="K761" s="29"/>
      <c r="L761" s="146"/>
      <c r="M761" s="144"/>
      <c r="N761" s="147" t="s">
        <v>457</v>
      </c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 spans="2:25">
      <c r="B762" s="29"/>
      <c r="C762" s="29"/>
      <c r="D762" s="146"/>
      <c r="E762" s="144"/>
      <c r="F762" s="144"/>
      <c r="G762" s="144"/>
      <c r="H762" s="29"/>
      <c r="I762" s="29"/>
      <c r="J762" s="29"/>
      <c r="K762" s="29"/>
      <c r="L762" s="146"/>
      <c r="M762" s="144"/>
      <c r="N762" s="138">
        <v>40.0715</v>
      </c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 spans="2:25">
      <c r="B763" s="29" t="s">
        <v>497</v>
      </c>
      <c r="C763" s="29"/>
      <c r="D763" s="146"/>
      <c r="E763" s="144"/>
      <c r="F763" s="144"/>
      <c r="G763" s="144"/>
      <c r="H763" s="29"/>
      <c r="I763" s="29"/>
      <c r="J763" s="29" t="s">
        <v>498</v>
      </c>
      <c r="K763" s="29"/>
      <c r="L763" s="146"/>
      <c r="M763" s="144"/>
      <c r="N763" s="138">
        <v>40.0715</v>
      </c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 spans="2:25" ht="15">
      <c r="B764" s="112" t="s">
        <v>92</v>
      </c>
      <c r="C764" s="114" t="s">
        <v>343</v>
      </c>
      <c r="D764" s="116" t="s">
        <v>458</v>
      </c>
      <c r="E764" s="151" t="s">
        <v>345</v>
      </c>
      <c r="F764" s="151"/>
      <c r="G764" s="151"/>
      <c r="H764" s="147" t="s">
        <v>459</v>
      </c>
      <c r="I764" s="148"/>
      <c r="J764" s="112" t="s">
        <v>92</v>
      </c>
      <c r="K764" s="114" t="s">
        <v>343</v>
      </c>
      <c r="L764" s="116" t="s">
        <v>458</v>
      </c>
      <c r="M764" s="151" t="s">
        <v>345</v>
      </c>
      <c r="N764" s="138">
        <v>40.0715</v>
      </c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 spans="2:25" ht="15">
      <c r="B765" s="107">
        <v>1</v>
      </c>
      <c r="C765" s="78" t="s">
        <v>98</v>
      </c>
      <c r="D765" s="152">
        <v>5.19</v>
      </c>
      <c r="E765" s="120">
        <f t="shared" ref="E765:E774" si="49">D765/H765</f>
        <v>0.48897221620297532</v>
      </c>
      <c r="F765" s="120"/>
      <c r="G765" s="120"/>
      <c r="H765" s="138">
        <v>10.614100000000001</v>
      </c>
      <c r="I765" s="148"/>
      <c r="J765" s="107">
        <v>1</v>
      </c>
      <c r="K765" s="78" t="s">
        <v>98</v>
      </c>
      <c r="L765" s="152">
        <v>25</v>
      </c>
      <c r="M765" s="120">
        <f t="shared" ref="M765:M774" si="50">L765/N748</f>
        <v>0.49323673785059269</v>
      </c>
      <c r="N765" s="138">
        <v>40.0715</v>
      </c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 spans="2:25" ht="15">
      <c r="B766" s="107">
        <v>2</v>
      </c>
      <c r="C766" s="78" t="s">
        <v>96</v>
      </c>
      <c r="D766" s="152">
        <v>1.57</v>
      </c>
      <c r="E766" s="120">
        <f t="shared" si="49"/>
        <v>0.14791645075889617</v>
      </c>
      <c r="F766" s="120"/>
      <c r="G766" s="120"/>
      <c r="H766" s="138">
        <v>10.614100000000001</v>
      </c>
      <c r="I766" s="148"/>
      <c r="J766" s="107">
        <v>2</v>
      </c>
      <c r="K766" s="78" t="s">
        <v>96</v>
      </c>
      <c r="L766" s="152">
        <v>7.45</v>
      </c>
      <c r="M766" s="120">
        <f t="shared" si="50"/>
        <v>0.14698454787947662</v>
      </c>
      <c r="N766" s="138">
        <v>40.0715</v>
      </c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 spans="2:25" ht="15">
      <c r="B767" s="107">
        <v>3</v>
      </c>
      <c r="C767" s="78" t="s">
        <v>100</v>
      </c>
      <c r="D767" s="152">
        <v>0.84</v>
      </c>
      <c r="E767" s="120">
        <f t="shared" si="49"/>
        <v>7.9140011871001767E-2</v>
      </c>
      <c r="F767" s="120"/>
      <c r="G767" s="120"/>
      <c r="H767" s="138">
        <v>10.614100000000001</v>
      </c>
      <c r="I767" s="148"/>
      <c r="J767" s="107">
        <v>3</v>
      </c>
      <c r="K767" s="78" t="s">
        <v>100</v>
      </c>
      <c r="L767" s="152">
        <v>4.0999999999999996</v>
      </c>
      <c r="M767" s="120">
        <f t="shared" si="50"/>
        <v>8.0890825007497197E-2</v>
      </c>
      <c r="N767" s="138">
        <v>40.0715</v>
      </c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 spans="2:25" ht="15">
      <c r="B768" s="107">
        <v>4</v>
      </c>
      <c r="C768" s="78" t="s">
        <v>111</v>
      </c>
      <c r="D768" s="152">
        <v>0.64</v>
      </c>
      <c r="E768" s="120">
        <f t="shared" si="49"/>
        <v>6.029715190171564E-2</v>
      </c>
      <c r="F768" s="120"/>
      <c r="G768" s="120"/>
      <c r="H768" s="138">
        <v>10.614100000000001</v>
      </c>
      <c r="I768" s="148"/>
      <c r="J768" s="107">
        <v>4</v>
      </c>
      <c r="K768" s="78" t="s">
        <v>111</v>
      </c>
      <c r="L768" s="152">
        <v>2.76</v>
      </c>
      <c r="M768" s="120">
        <f t="shared" si="50"/>
        <v>5.4453335858705425E-2</v>
      </c>
      <c r="N768" s="138">
        <v>40.0715</v>
      </c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 spans="2:25" ht="15">
      <c r="B769" s="107">
        <v>5</v>
      </c>
      <c r="C769" s="78" t="s">
        <v>327</v>
      </c>
      <c r="D769" s="152">
        <v>0.62</v>
      </c>
      <c r="E769" s="120">
        <f t="shared" si="49"/>
        <v>5.8412865904787024E-2</v>
      </c>
      <c r="F769" s="120"/>
      <c r="G769" s="120"/>
      <c r="H769" s="138">
        <v>10.614100000000001</v>
      </c>
      <c r="I769" s="148"/>
      <c r="J769" s="107">
        <v>5</v>
      </c>
      <c r="K769" s="78" t="s">
        <v>327</v>
      </c>
      <c r="L769" s="152">
        <v>2.37</v>
      </c>
      <c r="M769" s="120">
        <f t="shared" si="50"/>
        <v>4.675884274823619E-2</v>
      </c>
      <c r="N769" s="138">
        <v>40.0715</v>
      </c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 spans="2:25" ht="15">
      <c r="B770" s="107">
        <v>6</v>
      </c>
      <c r="C770" s="78" t="s">
        <v>332</v>
      </c>
      <c r="D770" s="152">
        <v>0.22</v>
      </c>
      <c r="E770" s="120">
        <f t="shared" si="49"/>
        <v>2.0727145966214749E-2</v>
      </c>
      <c r="F770" s="120"/>
      <c r="G770" s="120"/>
      <c r="H770" s="138">
        <v>10.614100000000001</v>
      </c>
      <c r="I770" s="148"/>
      <c r="J770" s="107">
        <v>6</v>
      </c>
      <c r="K770" s="78" t="s">
        <v>99</v>
      </c>
      <c r="L770" s="152">
        <v>2.23</v>
      </c>
      <c r="M770" s="120">
        <f t="shared" si="50"/>
        <v>4.3996717016272863E-2</v>
      </c>
      <c r="N770" s="138">
        <v>40.0715</v>
      </c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 spans="2:25" ht="15">
      <c r="B771" s="107">
        <v>7</v>
      </c>
      <c r="C771" s="78" t="s">
        <v>99</v>
      </c>
      <c r="D771" s="152">
        <v>0.19</v>
      </c>
      <c r="E771" s="120">
        <f t="shared" si="49"/>
        <v>1.790071697082183E-2</v>
      </c>
      <c r="F771" s="120"/>
      <c r="G771" s="120"/>
      <c r="H771" s="138">
        <v>10.614100000000001</v>
      </c>
      <c r="I771" s="148"/>
      <c r="J771" s="107">
        <v>7</v>
      </c>
      <c r="K771" s="78" t="s">
        <v>116</v>
      </c>
      <c r="L771" s="152">
        <v>0.87</v>
      </c>
      <c r="M771" s="120">
        <f t="shared" si="50"/>
        <v>1.7164638477200626E-2</v>
      </c>
      <c r="N771" s="139">
        <v>40.07</v>
      </c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 spans="2:25" ht="15">
      <c r="B772" s="107">
        <v>8</v>
      </c>
      <c r="C772" s="78" t="s">
        <v>108</v>
      </c>
      <c r="D772" s="152">
        <v>0.17</v>
      </c>
      <c r="E772" s="120">
        <f t="shared" si="49"/>
        <v>1.6016430973893218E-2</v>
      </c>
      <c r="F772" s="120"/>
      <c r="G772" s="120"/>
      <c r="H772" s="138">
        <v>10.614100000000001</v>
      </c>
      <c r="I772" s="148"/>
      <c r="J772" s="107">
        <v>8</v>
      </c>
      <c r="K772" s="78" t="s">
        <v>499</v>
      </c>
      <c r="L772" s="152">
        <v>0.75</v>
      </c>
      <c r="M772" s="120">
        <f t="shared" si="50"/>
        <v>1.4797102135517781E-2</v>
      </c>
      <c r="N772" s="29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 spans="2:25" ht="15">
      <c r="B773" s="107">
        <v>9</v>
      </c>
      <c r="C773" s="78" t="s">
        <v>116</v>
      </c>
      <c r="D773" s="152">
        <v>0.17</v>
      </c>
      <c r="E773" s="120">
        <f t="shared" si="49"/>
        <v>1.6016430973893218E-2</v>
      </c>
      <c r="F773" s="120"/>
      <c r="G773" s="120"/>
      <c r="H773" s="138">
        <v>10.614100000000001</v>
      </c>
      <c r="I773" s="148"/>
      <c r="J773" s="107">
        <v>9</v>
      </c>
      <c r="K773" s="78" t="s">
        <v>108</v>
      </c>
      <c r="L773" s="152">
        <v>0.66</v>
      </c>
      <c r="M773" s="120">
        <f t="shared" si="50"/>
        <v>1.3021449879255647E-2</v>
      </c>
      <c r="N773" s="29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 spans="2:25" ht="15">
      <c r="B774" s="109">
        <v>10</v>
      </c>
      <c r="C774" s="154" t="s">
        <v>328</v>
      </c>
      <c r="D774" s="155">
        <v>0.16</v>
      </c>
      <c r="E774" s="157">
        <f t="shared" si="49"/>
        <v>1.5080113100848258E-2</v>
      </c>
      <c r="F774" s="157"/>
      <c r="G774" s="157"/>
      <c r="H774" s="139">
        <v>10.61</v>
      </c>
      <c r="I774" s="148"/>
      <c r="J774" s="109">
        <v>10</v>
      </c>
      <c r="K774" s="154" t="s">
        <v>332</v>
      </c>
      <c r="L774" s="155">
        <v>0.62</v>
      </c>
      <c r="M774" s="157">
        <f t="shared" si="50"/>
        <v>1.2231209311501283E-2</v>
      </c>
      <c r="N774" s="29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 spans="2:25">
      <c r="B775" s="29"/>
      <c r="C775" s="29"/>
      <c r="D775" s="146"/>
      <c r="E775" s="144"/>
      <c r="F775" s="144"/>
      <c r="G775" s="144"/>
      <c r="H775" s="29"/>
      <c r="I775" s="29"/>
      <c r="J775" s="29"/>
      <c r="K775" s="29"/>
      <c r="L775" s="146"/>
      <c r="M775" s="144"/>
      <c r="N775" s="147" t="s">
        <v>457</v>
      </c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 spans="2:25">
      <c r="B776" s="29"/>
      <c r="C776" s="29"/>
      <c r="D776" s="146"/>
      <c r="E776" s="144"/>
      <c r="F776" s="144"/>
      <c r="G776" s="144"/>
      <c r="H776" s="29"/>
      <c r="I776" s="29"/>
      <c r="J776" s="29"/>
      <c r="K776" s="29"/>
      <c r="L776" s="146"/>
      <c r="M776" s="144"/>
      <c r="N776" s="138">
        <v>34.204099999999997</v>
      </c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 spans="2:25">
      <c r="B777" s="29" t="s">
        <v>500</v>
      </c>
      <c r="C777" s="29"/>
      <c r="D777" s="146"/>
      <c r="E777" s="144"/>
      <c r="F777" s="144"/>
      <c r="G777" s="144"/>
      <c r="H777" s="29"/>
      <c r="I777" s="29"/>
      <c r="J777" s="29" t="s">
        <v>501</v>
      </c>
      <c r="K777" s="29"/>
      <c r="L777" s="146"/>
      <c r="M777" s="144"/>
      <c r="N777" s="138">
        <v>34.204099999999997</v>
      </c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 spans="2:25" ht="15">
      <c r="B778" s="112" t="s">
        <v>92</v>
      </c>
      <c r="C778" s="114" t="s">
        <v>343</v>
      </c>
      <c r="D778" s="116" t="s">
        <v>458</v>
      </c>
      <c r="E778" s="151" t="s">
        <v>345</v>
      </c>
      <c r="F778" s="151"/>
      <c r="G778" s="151"/>
      <c r="H778" s="147" t="s">
        <v>459</v>
      </c>
      <c r="I778" s="148"/>
      <c r="J778" s="112" t="s">
        <v>92</v>
      </c>
      <c r="K778" s="114" t="s">
        <v>343</v>
      </c>
      <c r="L778" s="116" t="s">
        <v>458</v>
      </c>
      <c r="M778" s="151" t="s">
        <v>345</v>
      </c>
      <c r="N778" s="138">
        <v>34.204099999999997</v>
      </c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 spans="2:25" ht="15">
      <c r="B779" s="107">
        <v>1</v>
      </c>
      <c r="C779" s="78" t="s">
        <v>98</v>
      </c>
      <c r="D779" s="152">
        <v>3.06</v>
      </c>
      <c r="E779" s="120">
        <f t="shared" ref="E779:E788" si="51">D779/H779</f>
        <v>0.52152571837611206</v>
      </c>
      <c r="F779" s="120"/>
      <c r="G779" s="120"/>
      <c r="H779" s="138">
        <v>5.8673999999999999</v>
      </c>
      <c r="I779" s="148"/>
      <c r="J779" s="107">
        <v>1</v>
      </c>
      <c r="K779" s="78" t="s">
        <v>98</v>
      </c>
      <c r="L779" s="152">
        <v>19.8</v>
      </c>
      <c r="M779" s="120">
        <f t="shared" ref="M779:M788" si="52">L779/N762</f>
        <v>0.49411676628027401</v>
      </c>
      <c r="N779" s="138">
        <v>34.204099999999997</v>
      </c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 spans="2:25" ht="15">
      <c r="B780" s="107">
        <v>2</v>
      </c>
      <c r="C780" s="78" t="s">
        <v>96</v>
      </c>
      <c r="D780" s="152">
        <v>1</v>
      </c>
      <c r="E780" s="120">
        <f t="shared" si="51"/>
        <v>0.17043324129938303</v>
      </c>
      <c r="F780" s="120"/>
      <c r="G780" s="120"/>
      <c r="H780" s="138">
        <v>5.8673999999999999</v>
      </c>
      <c r="I780" s="148"/>
      <c r="J780" s="107">
        <v>2</v>
      </c>
      <c r="K780" s="78" t="s">
        <v>96</v>
      </c>
      <c r="L780" s="152">
        <v>5.88</v>
      </c>
      <c r="M780" s="120">
        <f t="shared" si="52"/>
        <v>0.14673770634989955</v>
      </c>
      <c r="N780" s="138">
        <v>34.204099999999997</v>
      </c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 spans="2:25" ht="15">
      <c r="B781" s="107">
        <v>3</v>
      </c>
      <c r="C781" s="78" t="s">
        <v>111</v>
      </c>
      <c r="D781" s="152">
        <v>0.43</v>
      </c>
      <c r="E781" s="120">
        <f t="shared" si="51"/>
        <v>7.3286293758734702E-2</v>
      </c>
      <c r="F781" s="120"/>
      <c r="G781" s="120"/>
      <c r="H781" s="138">
        <v>5.8673999999999999</v>
      </c>
      <c r="I781" s="148"/>
      <c r="J781" s="107">
        <v>3</v>
      </c>
      <c r="K781" s="78" t="s">
        <v>100</v>
      </c>
      <c r="L781" s="152">
        <v>3.26</v>
      </c>
      <c r="M781" s="120">
        <f t="shared" si="52"/>
        <v>8.1354578690590568E-2</v>
      </c>
      <c r="N781" s="138">
        <v>34.204099999999997</v>
      </c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 spans="2:25" ht="15">
      <c r="B782" s="107">
        <v>4</v>
      </c>
      <c r="C782" s="78" t="s">
        <v>327</v>
      </c>
      <c r="D782" s="152">
        <v>0.31</v>
      </c>
      <c r="E782" s="120">
        <f t="shared" si="51"/>
        <v>5.2834304802808742E-2</v>
      </c>
      <c r="F782" s="120"/>
      <c r="G782" s="120"/>
      <c r="H782" s="138">
        <v>5.8673999999999999</v>
      </c>
      <c r="I782" s="148"/>
      <c r="J782" s="107">
        <v>4</v>
      </c>
      <c r="K782" s="78" t="s">
        <v>111</v>
      </c>
      <c r="L782" s="152">
        <v>2.12</v>
      </c>
      <c r="M782" s="120">
        <f t="shared" si="52"/>
        <v>5.2905431541120249E-2</v>
      </c>
      <c r="N782" s="138">
        <v>34.204099999999997</v>
      </c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 spans="2:25" ht="15">
      <c r="B783" s="107">
        <v>5</v>
      </c>
      <c r="C783" s="78" t="s">
        <v>332</v>
      </c>
      <c r="D783" s="152">
        <v>0.12</v>
      </c>
      <c r="E783" s="120">
        <f t="shared" si="51"/>
        <v>2.0451988955925964E-2</v>
      </c>
      <c r="F783" s="120"/>
      <c r="G783" s="120"/>
      <c r="H783" s="138">
        <v>5.8673999999999999</v>
      </c>
      <c r="I783" s="148"/>
      <c r="J783" s="107">
        <v>5</v>
      </c>
      <c r="K783" s="78" t="s">
        <v>99</v>
      </c>
      <c r="L783" s="152">
        <v>2.04</v>
      </c>
      <c r="M783" s="120">
        <f t="shared" si="52"/>
        <v>5.0909000162210047E-2</v>
      </c>
      <c r="N783" s="138">
        <v>34.204099999999997</v>
      </c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 spans="2:25" ht="15">
      <c r="B784" s="107">
        <v>6</v>
      </c>
      <c r="C784" s="78" t="s">
        <v>108</v>
      </c>
      <c r="D784" s="152">
        <v>0.11</v>
      </c>
      <c r="E784" s="120">
        <f t="shared" si="51"/>
        <v>1.8747656542932135E-2</v>
      </c>
      <c r="F784" s="120"/>
      <c r="G784" s="120"/>
      <c r="H784" s="138">
        <v>5.8673999999999999</v>
      </c>
      <c r="I784" s="148"/>
      <c r="J784" s="107">
        <v>6</v>
      </c>
      <c r="K784" s="78" t="s">
        <v>327</v>
      </c>
      <c r="L784" s="152">
        <v>1.75</v>
      </c>
      <c r="M784" s="120">
        <f t="shared" si="52"/>
        <v>4.3671936413660579E-2</v>
      </c>
      <c r="N784" s="138">
        <v>34.204099999999997</v>
      </c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 spans="2:25" ht="15">
      <c r="B785" s="107">
        <v>7</v>
      </c>
      <c r="C785" s="78" t="s">
        <v>357</v>
      </c>
      <c r="D785" s="152">
        <v>0.1</v>
      </c>
      <c r="E785" s="120">
        <f t="shared" si="51"/>
        <v>1.7043324129938305E-2</v>
      </c>
      <c r="F785" s="120"/>
      <c r="G785" s="120"/>
      <c r="H785" s="138">
        <v>5.8673999999999999</v>
      </c>
      <c r="I785" s="148"/>
      <c r="J785" s="107">
        <v>7</v>
      </c>
      <c r="K785" s="78" t="s">
        <v>116</v>
      </c>
      <c r="L785" s="152">
        <v>0.7</v>
      </c>
      <c r="M785" s="120">
        <f t="shared" si="52"/>
        <v>1.746877456546423E-2</v>
      </c>
      <c r="N785" s="139">
        <v>34.200000000000003</v>
      </c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 spans="2:25" ht="15">
      <c r="B786" s="107">
        <v>8</v>
      </c>
      <c r="C786" s="78" t="s">
        <v>328</v>
      </c>
      <c r="D786" s="152">
        <v>0.09</v>
      </c>
      <c r="E786" s="120">
        <f t="shared" si="51"/>
        <v>1.5338991716944472E-2</v>
      </c>
      <c r="F786" s="120"/>
      <c r="G786" s="120"/>
      <c r="H786" s="138">
        <v>5.8673999999999999</v>
      </c>
      <c r="I786" s="148"/>
      <c r="J786" s="107">
        <v>8</v>
      </c>
      <c r="K786" s="78" t="s">
        <v>328</v>
      </c>
      <c r="L786" s="152">
        <v>0.59</v>
      </c>
      <c r="M786" s="120">
        <f t="shared" si="52"/>
        <v>1.472368141946271E-2</v>
      </c>
      <c r="N786" s="29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 spans="2:25" ht="15">
      <c r="B787" s="107">
        <v>9</v>
      </c>
      <c r="C787" s="78" t="s">
        <v>129</v>
      </c>
      <c r="D787" s="152">
        <v>0.09</v>
      </c>
      <c r="E787" s="120">
        <f t="shared" si="51"/>
        <v>1.5338991716944472E-2</v>
      </c>
      <c r="F787" s="120"/>
      <c r="G787" s="120"/>
      <c r="H787" s="138">
        <v>5.8673999999999999</v>
      </c>
      <c r="I787" s="148"/>
      <c r="J787" s="107">
        <v>9</v>
      </c>
      <c r="K787" s="78" t="s">
        <v>108</v>
      </c>
      <c r="L787" s="152">
        <v>0.49</v>
      </c>
      <c r="M787" s="120">
        <f t="shared" si="52"/>
        <v>1.2228142195824963E-2</v>
      </c>
      <c r="N787" s="29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 spans="2:25" ht="15">
      <c r="B788" s="109">
        <v>10</v>
      </c>
      <c r="C788" s="154" t="s">
        <v>116</v>
      </c>
      <c r="D788" s="155">
        <v>0.08</v>
      </c>
      <c r="E788" s="157">
        <f t="shared" si="51"/>
        <v>1.3628620102214651E-2</v>
      </c>
      <c r="F788" s="157"/>
      <c r="G788" s="157"/>
      <c r="H788" s="139">
        <v>5.87</v>
      </c>
      <c r="I788" s="148"/>
      <c r="J788" s="109">
        <v>10</v>
      </c>
      <c r="K788" s="154" t="s">
        <v>333</v>
      </c>
      <c r="L788" s="155">
        <v>0.4</v>
      </c>
      <c r="M788" s="157">
        <f t="shared" si="52"/>
        <v>9.9825305714998751E-3</v>
      </c>
      <c r="N788" s="29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 spans="2:25">
      <c r="B789" s="29"/>
      <c r="C789" s="29"/>
      <c r="D789" s="146"/>
      <c r="E789" s="144"/>
      <c r="F789" s="144"/>
      <c r="G789" s="144"/>
      <c r="H789" s="29"/>
      <c r="I789" s="29"/>
      <c r="J789" s="29"/>
      <c r="K789" s="29"/>
      <c r="L789" s="146"/>
      <c r="M789" s="144"/>
      <c r="N789" s="147" t="s">
        <v>457</v>
      </c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 spans="2:25">
      <c r="B790" s="29"/>
      <c r="C790" s="29"/>
      <c r="D790" s="146"/>
      <c r="E790" s="144"/>
      <c r="F790" s="144"/>
      <c r="G790" s="144"/>
      <c r="H790" s="29"/>
      <c r="I790" s="29"/>
      <c r="J790" s="29"/>
      <c r="K790" s="29"/>
      <c r="L790" s="146"/>
      <c r="M790" s="144"/>
      <c r="N790" s="138">
        <v>27.625299999999999</v>
      </c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 spans="2:25">
      <c r="B791" s="29" t="s">
        <v>502</v>
      </c>
      <c r="C791" s="29"/>
      <c r="D791" s="146"/>
      <c r="E791" s="144"/>
      <c r="F791" s="144"/>
      <c r="G791" s="144"/>
      <c r="H791" s="29"/>
      <c r="I791" s="29"/>
      <c r="J791" s="29" t="s">
        <v>503</v>
      </c>
      <c r="K791" s="29"/>
      <c r="L791" s="146"/>
      <c r="M791" s="144"/>
      <c r="N791" s="138">
        <v>27.625299999999999</v>
      </c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 spans="2:25" ht="15">
      <c r="B792" s="112" t="s">
        <v>92</v>
      </c>
      <c r="C792" s="114" t="s">
        <v>343</v>
      </c>
      <c r="D792" s="116" t="s">
        <v>458</v>
      </c>
      <c r="E792" s="151" t="s">
        <v>345</v>
      </c>
      <c r="F792" s="151"/>
      <c r="G792" s="151"/>
      <c r="H792" s="147" t="s">
        <v>459</v>
      </c>
      <c r="I792" s="148"/>
      <c r="J792" s="112" t="s">
        <v>92</v>
      </c>
      <c r="K792" s="114" t="s">
        <v>343</v>
      </c>
      <c r="L792" s="116" t="s">
        <v>458</v>
      </c>
      <c r="M792" s="151" t="s">
        <v>345</v>
      </c>
      <c r="N792" s="138">
        <v>27.625299999999999</v>
      </c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 spans="2:25" ht="15">
      <c r="B793" s="107">
        <v>1</v>
      </c>
      <c r="C793" s="78" t="s">
        <v>98</v>
      </c>
      <c r="D793" s="152">
        <v>3.12</v>
      </c>
      <c r="E793" s="120">
        <f t="shared" ref="E793:E802" si="53">D793/H793</f>
        <v>0.47425062321396</v>
      </c>
      <c r="F793" s="120"/>
      <c r="G793" s="120"/>
      <c r="H793" s="138">
        <v>6.5788000000000002</v>
      </c>
      <c r="I793" s="148"/>
      <c r="J793" s="107">
        <v>1</v>
      </c>
      <c r="K793" s="78" t="s">
        <v>98</v>
      </c>
      <c r="L793" s="152">
        <v>16.75</v>
      </c>
      <c r="M793" s="120">
        <f t="shared" ref="M793:M802" si="54">L793/N776</f>
        <v>0.48970737426214989</v>
      </c>
      <c r="N793" s="138">
        <v>27.625299999999999</v>
      </c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 spans="2:25" ht="15">
      <c r="B794" s="107">
        <v>2</v>
      </c>
      <c r="C794" s="78" t="s">
        <v>96</v>
      </c>
      <c r="D794" s="152">
        <v>1.0900000000000001</v>
      </c>
      <c r="E794" s="120">
        <f t="shared" si="53"/>
        <v>0.16568371131513346</v>
      </c>
      <c r="F794" s="120"/>
      <c r="G794" s="120"/>
      <c r="H794" s="138">
        <v>6.5788000000000002</v>
      </c>
      <c r="I794" s="148"/>
      <c r="J794" s="107">
        <v>2</v>
      </c>
      <c r="K794" s="78" t="s">
        <v>96</v>
      </c>
      <c r="L794" s="152">
        <v>4.88</v>
      </c>
      <c r="M794" s="120">
        <f t="shared" si="54"/>
        <v>0.14267295441189801</v>
      </c>
      <c r="N794" s="138">
        <v>27.625299999999999</v>
      </c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 spans="2:25" ht="15">
      <c r="B795" s="107">
        <v>3</v>
      </c>
      <c r="C795" s="78" t="s">
        <v>111</v>
      </c>
      <c r="D795" s="152">
        <v>0.49</v>
      </c>
      <c r="E795" s="120">
        <f t="shared" si="53"/>
        <v>7.4481668389371924E-2</v>
      </c>
      <c r="F795" s="120"/>
      <c r="G795" s="120"/>
      <c r="H795" s="138">
        <v>6.5788000000000002</v>
      </c>
      <c r="I795" s="148"/>
      <c r="J795" s="107">
        <v>3</v>
      </c>
      <c r="K795" s="78" t="s">
        <v>100</v>
      </c>
      <c r="L795" s="152">
        <v>3.19</v>
      </c>
      <c r="M795" s="120">
        <f t="shared" si="54"/>
        <v>9.326367306843332E-2</v>
      </c>
      <c r="N795" s="138">
        <v>27.625299999999999</v>
      </c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 spans="2:25" ht="15">
      <c r="B796" s="107">
        <v>4</v>
      </c>
      <c r="C796" s="78" t="s">
        <v>100</v>
      </c>
      <c r="D796" s="152">
        <v>0.47</v>
      </c>
      <c r="E796" s="120">
        <f t="shared" si="53"/>
        <v>7.1441600291846527E-2</v>
      </c>
      <c r="F796" s="120"/>
      <c r="G796" s="120"/>
      <c r="H796" s="138">
        <v>6.5788000000000002</v>
      </c>
      <c r="I796" s="148"/>
      <c r="J796" s="107">
        <v>4</v>
      </c>
      <c r="K796" s="78" t="s">
        <v>99</v>
      </c>
      <c r="L796" s="152">
        <v>1.96</v>
      </c>
      <c r="M796" s="120">
        <f t="shared" si="54"/>
        <v>5.7303071853959033E-2</v>
      </c>
      <c r="N796" s="138">
        <v>27.625299999999999</v>
      </c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 spans="2:25" ht="15">
      <c r="B797" s="107">
        <v>5</v>
      </c>
      <c r="C797" s="78" t="s">
        <v>99</v>
      </c>
      <c r="D797" s="152">
        <v>0.26</v>
      </c>
      <c r="E797" s="120">
        <f t="shared" si="53"/>
        <v>3.952088526783E-2</v>
      </c>
      <c r="F797" s="120"/>
      <c r="G797" s="120"/>
      <c r="H797" s="138">
        <v>6.5788000000000002</v>
      </c>
      <c r="I797" s="148"/>
      <c r="J797" s="107">
        <v>5</v>
      </c>
      <c r="K797" s="78" t="s">
        <v>111</v>
      </c>
      <c r="L797" s="152">
        <v>1.69</v>
      </c>
      <c r="M797" s="120">
        <f t="shared" si="54"/>
        <v>4.9409281343464673E-2</v>
      </c>
      <c r="N797" s="138">
        <v>27.625299999999999</v>
      </c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 spans="2:25" ht="15">
      <c r="B798" s="107">
        <v>6</v>
      </c>
      <c r="C798" s="78" t="s">
        <v>103</v>
      </c>
      <c r="D798" s="152">
        <v>0.22</v>
      </c>
      <c r="E798" s="120">
        <f t="shared" si="53"/>
        <v>3.3440749072779233E-2</v>
      </c>
      <c r="F798" s="120"/>
      <c r="G798" s="120"/>
      <c r="H798" s="138">
        <v>6.5788000000000002</v>
      </c>
      <c r="I798" s="148"/>
      <c r="J798" s="107">
        <v>6</v>
      </c>
      <c r="K798" s="78" t="s">
        <v>103</v>
      </c>
      <c r="L798" s="152">
        <v>1.44</v>
      </c>
      <c r="M798" s="120">
        <f t="shared" si="54"/>
        <v>4.2100216055969898E-2</v>
      </c>
      <c r="N798" s="138">
        <v>27.625299999999999</v>
      </c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 spans="2:25" ht="15">
      <c r="B799" s="107">
        <v>7</v>
      </c>
      <c r="C799" s="78" t="s">
        <v>108</v>
      </c>
      <c r="D799" s="152">
        <v>0.12</v>
      </c>
      <c r="E799" s="120">
        <f t="shared" si="53"/>
        <v>1.8240408585152305E-2</v>
      </c>
      <c r="F799" s="120"/>
      <c r="G799" s="120"/>
      <c r="H799" s="138">
        <v>6.5788000000000002</v>
      </c>
      <c r="I799" s="148"/>
      <c r="J799" s="107">
        <v>7</v>
      </c>
      <c r="K799" s="78" t="s">
        <v>116</v>
      </c>
      <c r="L799" s="152">
        <v>0.62</v>
      </c>
      <c r="M799" s="120">
        <f t="shared" si="54"/>
        <v>1.812648191298704E-2</v>
      </c>
      <c r="N799" s="139">
        <v>27.63</v>
      </c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 spans="2:25" ht="15">
      <c r="B800" s="107">
        <v>8</v>
      </c>
      <c r="C800" s="78" t="s">
        <v>116</v>
      </c>
      <c r="D800" s="152">
        <v>0.11</v>
      </c>
      <c r="E800" s="120">
        <f t="shared" si="53"/>
        <v>1.6720374536389616E-2</v>
      </c>
      <c r="F800" s="120"/>
      <c r="G800" s="120"/>
      <c r="H800" s="138">
        <v>6.5788000000000002</v>
      </c>
      <c r="I800" s="148"/>
      <c r="J800" s="107">
        <v>8</v>
      </c>
      <c r="K800" s="78" t="s">
        <v>328</v>
      </c>
      <c r="L800" s="152">
        <v>0.5</v>
      </c>
      <c r="M800" s="120">
        <f t="shared" si="54"/>
        <v>1.4618130574989549E-2</v>
      </c>
      <c r="N800" s="29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 spans="2:25" ht="15">
      <c r="B801" s="107">
        <v>9</v>
      </c>
      <c r="C801" s="78" t="s">
        <v>332</v>
      </c>
      <c r="D801" s="152">
        <v>0.11</v>
      </c>
      <c r="E801" s="120">
        <f t="shared" si="53"/>
        <v>1.6720374536389616E-2</v>
      </c>
      <c r="F801" s="120"/>
      <c r="G801" s="120"/>
      <c r="H801" s="138">
        <v>6.5788000000000002</v>
      </c>
      <c r="I801" s="148"/>
      <c r="J801" s="107">
        <v>9</v>
      </c>
      <c r="K801" s="78" t="s">
        <v>108</v>
      </c>
      <c r="L801" s="152">
        <v>0.38</v>
      </c>
      <c r="M801" s="120">
        <f t="shared" si="54"/>
        <v>1.1109779236992058E-2</v>
      </c>
      <c r="N801" s="29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 spans="2:25" ht="15">
      <c r="B802" s="109">
        <v>10</v>
      </c>
      <c r="C802" s="154" t="s">
        <v>129</v>
      </c>
      <c r="D802" s="155">
        <v>0.08</v>
      </c>
      <c r="E802" s="157">
        <f t="shared" si="53"/>
        <v>1.2158054711246201E-2</v>
      </c>
      <c r="F802" s="157"/>
      <c r="G802" s="157"/>
      <c r="H802" s="139">
        <v>6.58</v>
      </c>
      <c r="I802" s="148"/>
      <c r="J802" s="109">
        <v>10</v>
      </c>
      <c r="K802" s="154" t="s">
        <v>333</v>
      </c>
      <c r="L802" s="155">
        <v>0.35</v>
      </c>
      <c r="M802" s="157">
        <f t="shared" si="54"/>
        <v>1.0233918128654968E-2</v>
      </c>
      <c r="N802" s="29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 spans="2:25">
      <c r="B803" s="29"/>
      <c r="C803" s="29"/>
      <c r="D803" s="146"/>
      <c r="E803" s="144"/>
      <c r="F803" s="144"/>
      <c r="G803" s="144"/>
      <c r="H803" s="29"/>
      <c r="I803" s="29"/>
      <c r="J803" s="29"/>
      <c r="K803" s="29"/>
      <c r="L803" s="146"/>
      <c r="M803" s="144"/>
      <c r="N803" s="147" t="s">
        <v>457</v>
      </c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 spans="2:25">
      <c r="B804" s="29"/>
      <c r="C804" s="29"/>
      <c r="D804" s="146"/>
      <c r="E804" s="144"/>
      <c r="F804" s="144"/>
      <c r="G804" s="144"/>
      <c r="H804" s="29"/>
      <c r="I804" s="29"/>
      <c r="J804" s="29"/>
      <c r="K804" s="29"/>
      <c r="L804" s="146"/>
      <c r="M804" s="144"/>
      <c r="N804" s="138">
        <v>22.496700000000001</v>
      </c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 spans="2:25">
      <c r="B805" s="29" t="s">
        <v>504</v>
      </c>
      <c r="C805" s="29"/>
      <c r="D805" s="146"/>
      <c r="E805" s="144"/>
      <c r="F805" s="144"/>
      <c r="G805" s="144"/>
      <c r="H805" s="29"/>
      <c r="I805" s="29"/>
      <c r="J805" s="29" t="s">
        <v>505</v>
      </c>
      <c r="K805" s="29"/>
      <c r="L805" s="146"/>
      <c r="M805" s="144"/>
      <c r="N805" s="138">
        <v>22.496700000000001</v>
      </c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 spans="2:25" ht="15">
      <c r="B806" s="112" t="s">
        <v>92</v>
      </c>
      <c r="C806" s="114" t="s">
        <v>343</v>
      </c>
      <c r="D806" s="116" t="s">
        <v>458</v>
      </c>
      <c r="E806" s="151" t="s">
        <v>345</v>
      </c>
      <c r="F806" s="151"/>
      <c r="G806" s="151"/>
      <c r="H806" s="147" t="s">
        <v>459</v>
      </c>
      <c r="I806" s="148"/>
      <c r="J806" s="112" t="s">
        <v>92</v>
      </c>
      <c r="K806" s="114" t="s">
        <v>343</v>
      </c>
      <c r="L806" s="116" t="s">
        <v>458</v>
      </c>
      <c r="M806" s="151" t="s">
        <v>345</v>
      </c>
      <c r="N806" s="138">
        <v>22.496700000000001</v>
      </c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 spans="2:25" ht="15">
      <c r="B807" s="107">
        <v>1</v>
      </c>
      <c r="C807" s="78" t="s">
        <v>98</v>
      </c>
      <c r="D807" s="152">
        <v>2.46</v>
      </c>
      <c r="E807" s="120">
        <f t="shared" ref="E807:E816" si="55">D807/H807</f>
        <v>0.47966306594392233</v>
      </c>
      <c r="F807" s="120"/>
      <c r="G807" s="120"/>
      <c r="H807" s="138">
        <v>5.1285999999999996</v>
      </c>
      <c r="I807" s="148"/>
      <c r="J807" s="107">
        <v>1</v>
      </c>
      <c r="K807" s="78" t="s">
        <v>98</v>
      </c>
      <c r="L807" s="152">
        <v>13.63</v>
      </c>
      <c r="M807" s="120">
        <f t="shared" ref="M807:M816" si="56">L807/N790</f>
        <v>0.49338830709530762</v>
      </c>
      <c r="N807" s="138">
        <v>22.496700000000001</v>
      </c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 spans="2:25" ht="15">
      <c r="B808" s="107">
        <v>2</v>
      </c>
      <c r="C808" s="78" t="s">
        <v>96</v>
      </c>
      <c r="D808" s="152">
        <v>0.71</v>
      </c>
      <c r="E808" s="120">
        <f t="shared" si="55"/>
        <v>0.13843934017080686</v>
      </c>
      <c r="F808" s="120"/>
      <c r="G808" s="120"/>
      <c r="H808" s="138">
        <v>5.1285999999999996</v>
      </c>
      <c r="I808" s="148"/>
      <c r="J808" s="107">
        <v>2</v>
      </c>
      <c r="K808" s="78" t="s">
        <v>96</v>
      </c>
      <c r="L808" s="152">
        <v>3.79</v>
      </c>
      <c r="M808" s="120">
        <f t="shared" si="56"/>
        <v>0.13719308025614202</v>
      </c>
      <c r="N808" s="138">
        <v>22.496700000000001</v>
      </c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 spans="2:25" ht="15">
      <c r="B809" s="107">
        <v>3</v>
      </c>
      <c r="C809" s="78" t="s">
        <v>100</v>
      </c>
      <c r="D809" s="152">
        <v>0.47</v>
      </c>
      <c r="E809" s="120">
        <f t="shared" si="55"/>
        <v>9.1642943493351017E-2</v>
      </c>
      <c r="F809" s="120"/>
      <c r="G809" s="120"/>
      <c r="H809" s="138">
        <v>5.1285999999999996</v>
      </c>
      <c r="I809" s="148"/>
      <c r="J809" s="107">
        <v>3</v>
      </c>
      <c r="K809" s="78" t="s">
        <v>100</v>
      </c>
      <c r="L809" s="152">
        <v>2.72</v>
      </c>
      <c r="M809" s="120">
        <f t="shared" si="56"/>
        <v>9.846046920757423E-2</v>
      </c>
      <c r="N809" s="138">
        <v>22.496700000000001</v>
      </c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 spans="2:25" ht="15">
      <c r="B810" s="107">
        <v>4</v>
      </c>
      <c r="C810" s="78" t="s">
        <v>99</v>
      </c>
      <c r="D810" s="152">
        <v>0.27</v>
      </c>
      <c r="E810" s="120">
        <f t="shared" si="55"/>
        <v>5.2645946262137824E-2</v>
      </c>
      <c r="F810" s="120"/>
      <c r="G810" s="120"/>
      <c r="H810" s="138">
        <v>5.1285999999999996</v>
      </c>
      <c r="I810" s="148"/>
      <c r="J810" s="107">
        <v>4</v>
      </c>
      <c r="K810" s="78" t="s">
        <v>99</v>
      </c>
      <c r="L810" s="152">
        <v>1.71</v>
      </c>
      <c r="M810" s="120">
        <f t="shared" si="56"/>
        <v>6.1899780273879379E-2</v>
      </c>
      <c r="N810" s="138">
        <v>22.496700000000001</v>
      </c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 spans="2:25" ht="15">
      <c r="B811" s="107">
        <v>5</v>
      </c>
      <c r="C811" s="78" t="s">
        <v>111</v>
      </c>
      <c r="D811" s="152">
        <v>0.27</v>
      </c>
      <c r="E811" s="120">
        <f t="shared" si="55"/>
        <v>5.2645946262137824E-2</v>
      </c>
      <c r="F811" s="120"/>
      <c r="G811" s="120"/>
      <c r="H811" s="138">
        <v>5.1285999999999996</v>
      </c>
      <c r="I811" s="148"/>
      <c r="J811" s="107">
        <v>5</v>
      </c>
      <c r="K811" s="78" t="s">
        <v>327</v>
      </c>
      <c r="L811" s="152">
        <v>1.21</v>
      </c>
      <c r="M811" s="120">
        <f t="shared" si="56"/>
        <v>4.380042931660471E-2</v>
      </c>
      <c r="N811" s="138">
        <v>22.496700000000001</v>
      </c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 spans="2:25" ht="15">
      <c r="B812" s="107">
        <v>6</v>
      </c>
      <c r="C812" s="78" t="s">
        <v>327</v>
      </c>
      <c r="D812" s="152">
        <v>0.19</v>
      </c>
      <c r="E812" s="120">
        <f t="shared" si="55"/>
        <v>3.704714736965254E-2</v>
      </c>
      <c r="F812" s="120"/>
      <c r="G812" s="120"/>
      <c r="H812" s="138">
        <v>5.1285999999999996</v>
      </c>
      <c r="I812" s="148"/>
      <c r="J812" s="107">
        <v>6</v>
      </c>
      <c r="K812" s="78" t="s">
        <v>111</v>
      </c>
      <c r="L812" s="152">
        <v>1.2</v>
      </c>
      <c r="M812" s="120">
        <f t="shared" si="56"/>
        <v>4.3438442297459211E-2</v>
      </c>
      <c r="N812" s="138">
        <v>22.496700000000001</v>
      </c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 spans="2:25" ht="15">
      <c r="B813" s="107">
        <v>7</v>
      </c>
      <c r="C813" s="78" t="s">
        <v>366</v>
      </c>
      <c r="D813" s="152">
        <v>0.12</v>
      </c>
      <c r="E813" s="120">
        <f t="shared" si="55"/>
        <v>2.3398198338727919E-2</v>
      </c>
      <c r="F813" s="120"/>
      <c r="G813" s="120"/>
      <c r="H813" s="138">
        <v>5.1285999999999996</v>
      </c>
      <c r="I813" s="148"/>
      <c r="J813" s="107">
        <v>7</v>
      </c>
      <c r="K813" s="78" t="s">
        <v>116</v>
      </c>
      <c r="L813" s="152">
        <v>0.51</v>
      </c>
      <c r="M813" s="120">
        <f t="shared" si="56"/>
        <v>1.8461337976420165E-2</v>
      </c>
      <c r="N813" s="139">
        <v>22.5</v>
      </c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 spans="2:25" ht="15">
      <c r="B814" s="107">
        <v>8</v>
      </c>
      <c r="C814" s="78" t="s">
        <v>108</v>
      </c>
      <c r="D814" s="152">
        <v>0.11</v>
      </c>
      <c r="E814" s="120">
        <f t="shared" si="55"/>
        <v>2.144834847716726E-2</v>
      </c>
      <c r="F814" s="120"/>
      <c r="G814" s="120"/>
      <c r="H814" s="138">
        <v>5.1285999999999996</v>
      </c>
      <c r="I814" s="148"/>
      <c r="J814" s="107">
        <v>8</v>
      </c>
      <c r="K814" s="78" t="s">
        <v>113</v>
      </c>
      <c r="L814" s="152">
        <v>0.43</v>
      </c>
      <c r="M814" s="120">
        <f t="shared" si="56"/>
        <v>1.5565441823256218E-2</v>
      </c>
      <c r="N814" s="148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 spans="2:25" ht="15">
      <c r="B815" s="107">
        <v>9</v>
      </c>
      <c r="C815" s="78" t="s">
        <v>116</v>
      </c>
      <c r="D815" s="152">
        <v>0.08</v>
      </c>
      <c r="E815" s="120">
        <f t="shared" si="55"/>
        <v>1.5598798892485281E-2</v>
      </c>
      <c r="F815" s="120"/>
      <c r="G815" s="120"/>
      <c r="H815" s="138">
        <v>5.1285999999999996</v>
      </c>
      <c r="I815" s="148"/>
      <c r="J815" s="107">
        <v>9</v>
      </c>
      <c r="K815" s="78" t="s">
        <v>333</v>
      </c>
      <c r="L815" s="152">
        <v>0.3</v>
      </c>
      <c r="M815" s="120">
        <f t="shared" si="56"/>
        <v>1.0859610574364803E-2</v>
      </c>
      <c r="N815" s="148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 spans="2:25" ht="15">
      <c r="B816" s="109">
        <v>10</v>
      </c>
      <c r="C816" s="154" t="s">
        <v>113</v>
      </c>
      <c r="D816" s="155">
        <v>0.05</v>
      </c>
      <c r="E816" s="157">
        <f t="shared" si="55"/>
        <v>9.7465886939571162E-3</v>
      </c>
      <c r="F816" s="157"/>
      <c r="G816" s="157"/>
      <c r="H816" s="139">
        <v>5.13</v>
      </c>
      <c r="I816" s="148"/>
      <c r="J816" s="109">
        <v>10</v>
      </c>
      <c r="K816" s="154" t="s">
        <v>108</v>
      </c>
      <c r="L816" s="155">
        <v>0.26</v>
      </c>
      <c r="M816" s="157">
        <f t="shared" si="56"/>
        <v>9.4100615273253717E-3</v>
      </c>
      <c r="N816" s="29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 spans="2:25">
      <c r="B817" s="29"/>
      <c r="C817" s="29"/>
      <c r="D817" s="146"/>
      <c r="E817" s="144"/>
      <c r="F817" s="144"/>
      <c r="G817" s="144"/>
      <c r="H817" s="29"/>
      <c r="I817" s="29"/>
      <c r="J817" s="29"/>
      <c r="K817" s="29"/>
      <c r="L817" s="146"/>
      <c r="M817" s="144"/>
      <c r="N817" s="147" t="s">
        <v>457</v>
      </c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 spans="2:25">
      <c r="B818" s="29"/>
      <c r="C818" s="29"/>
      <c r="D818" s="146"/>
      <c r="E818" s="144"/>
      <c r="F818" s="144"/>
      <c r="G818" s="144"/>
      <c r="H818" s="29"/>
      <c r="I818" s="29"/>
      <c r="J818" s="29"/>
      <c r="K818" s="29"/>
      <c r="L818" s="146"/>
      <c r="M818" s="144"/>
      <c r="N818" s="138">
        <v>17.477599999999999</v>
      </c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 spans="2:25">
      <c r="B819" s="29" t="s">
        <v>506</v>
      </c>
      <c r="C819" s="29"/>
      <c r="D819" s="146"/>
      <c r="E819" s="144"/>
      <c r="F819" s="144"/>
      <c r="G819" s="144"/>
      <c r="H819" s="29"/>
      <c r="I819" s="29"/>
      <c r="J819" s="29" t="s">
        <v>507</v>
      </c>
      <c r="K819" s="29"/>
      <c r="L819" s="146"/>
      <c r="M819" s="144"/>
      <c r="N819" s="138">
        <v>17.477599999999999</v>
      </c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 spans="2:25" ht="15">
      <c r="B820" s="112" t="s">
        <v>92</v>
      </c>
      <c r="C820" s="114" t="s">
        <v>343</v>
      </c>
      <c r="D820" s="116" t="s">
        <v>458</v>
      </c>
      <c r="E820" s="151" t="s">
        <v>345</v>
      </c>
      <c r="F820" s="151"/>
      <c r="G820" s="151"/>
      <c r="H820" s="147" t="s">
        <v>459</v>
      </c>
      <c r="I820" s="148"/>
      <c r="J820" s="112" t="s">
        <v>92</v>
      </c>
      <c r="K820" s="114" t="s">
        <v>343</v>
      </c>
      <c r="L820" s="116" t="s">
        <v>458</v>
      </c>
      <c r="M820" s="151" t="s">
        <v>345</v>
      </c>
      <c r="N820" s="138">
        <v>17.477599999999999</v>
      </c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 spans="2:25" ht="15">
      <c r="B821" s="107">
        <v>1</v>
      </c>
      <c r="C821" s="78" t="s">
        <v>98</v>
      </c>
      <c r="D821" s="152">
        <v>2.2599999999999998</v>
      </c>
      <c r="E821" s="120">
        <f t="shared" ref="E821:E830" si="57">D821/H821</f>
        <v>0.45027993066486022</v>
      </c>
      <c r="F821" s="120"/>
      <c r="G821" s="120"/>
      <c r="H821" s="138">
        <v>5.0190999999999999</v>
      </c>
      <c r="I821" s="148"/>
      <c r="J821" s="107">
        <v>1</v>
      </c>
      <c r="K821" s="78" t="s">
        <v>98</v>
      </c>
      <c r="L821" s="152">
        <v>10.71</v>
      </c>
      <c r="M821" s="120">
        <f t="shared" ref="M821:M830" si="58">L821/N804</f>
        <v>0.47606982357412425</v>
      </c>
      <c r="N821" s="138">
        <v>17.477599999999999</v>
      </c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 spans="2:25" ht="15">
      <c r="B822" s="107">
        <v>2</v>
      </c>
      <c r="C822" s="78" t="s">
        <v>96</v>
      </c>
      <c r="D822" s="152">
        <v>0.63</v>
      </c>
      <c r="E822" s="120">
        <f t="shared" si="57"/>
        <v>0.12552051164551414</v>
      </c>
      <c r="F822" s="120"/>
      <c r="G822" s="120"/>
      <c r="H822" s="138">
        <v>5.0190999999999999</v>
      </c>
      <c r="I822" s="148"/>
      <c r="J822" s="107">
        <v>2</v>
      </c>
      <c r="K822" s="78" t="s">
        <v>96</v>
      </c>
      <c r="L822" s="152">
        <v>3.08</v>
      </c>
      <c r="M822" s="120">
        <f t="shared" si="58"/>
        <v>0.13690896887098997</v>
      </c>
      <c r="N822" s="138">
        <v>17.477599999999999</v>
      </c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 spans="2:25" ht="15">
      <c r="B823" s="107">
        <v>3</v>
      </c>
      <c r="C823" s="78" t="s">
        <v>100</v>
      </c>
      <c r="D823" s="152">
        <v>0.59</v>
      </c>
      <c r="E823" s="120">
        <f t="shared" si="57"/>
        <v>0.11755095535056086</v>
      </c>
      <c r="F823" s="120"/>
      <c r="G823" s="120"/>
      <c r="H823" s="138">
        <v>5.0190999999999999</v>
      </c>
      <c r="I823" s="148"/>
      <c r="J823" s="107">
        <v>3</v>
      </c>
      <c r="K823" s="78" t="s">
        <v>100</v>
      </c>
      <c r="L823" s="152">
        <v>2.25</v>
      </c>
      <c r="M823" s="120">
        <f t="shared" si="58"/>
        <v>0.10001466881809332</v>
      </c>
      <c r="N823" s="138">
        <v>17.477599999999999</v>
      </c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 spans="2:25" ht="15">
      <c r="B824" s="107">
        <v>4</v>
      </c>
      <c r="C824" s="78" t="s">
        <v>103</v>
      </c>
      <c r="D824" s="152">
        <v>0.36</v>
      </c>
      <c r="E824" s="120">
        <f t="shared" si="57"/>
        <v>7.1726006654579511E-2</v>
      </c>
      <c r="F824" s="120"/>
      <c r="G824" s="120"/>
      <c r="H824" s="138">
        <v>5.0190999999999999</v>
      </c>
      <c r="I824" s="148"/>
      <c r="J824" s="107">
        <v>4</v>
      </c>
      <c r="K824" s="78" t="s">
        <v>99</v>
      </c>
      <c r="L824" s="152">
        <v>1.4</v>
      </c>
      <c r="M824" s="120">
        <f t="shared" si="58"/>
        <v>6.2231349486813616E-2</v>
      </c>
      <c r="N824" s="138">
        <v>17.477599999999999</v>
      </c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 spans="2:25" ht="15">
      <c r="B825" s="107">
        <v>5</v>
      </c>
      <c r="C825" s="78" t="s">
        <v>99</v>
      </c>
      <c r="D825" s="152">
        <v>0.23</v>
      </c>
      <c r="E825" s="120">
        <f t="shared" si="57"/>
        <v>4.5824948695981353E-2</v>
      </c>
      <c r="F825" s="120"/>
      <c r="G825" s="120"/>
      <c r="H825" s="138">
        <v>5.0190999999999999</v>
      </c>
      <c r="I825" s="148"/>
      <c r="J825" s="107">
        <v>5</v>
      </c>
      <c r="K825" s="78" t="s">
        <v>103</v>
      </c>
      <c r="L825" s="152">
        <v>1.03</v>
      </c>
      <c r="M825" s="120">
        <f t="shared" si="58"/>
        <v>4.5784492836727163E-2</v>
      </c>
      <c r="N825" s="138">
        <v>17.477599999999999</v>
      </c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 spans="2:25" ht="15">
      <c r="B826" s="107">
        <v>6</v>
      </c>
      <c r="C826" s="78" t="s">
        <v>111</v>
      </c>
      <c r="D826" s="152">
        <v>0.16</v>
      </c>
      <c r="E826" s="120">
        <f t="shared" si="57"/>
        <v>3.1878225179813112E-2</v>
      </c>
      <c r="F826" s="120"/>
      <c r="G826" s="120"/>
      <c r="H826" s="138">
        <v>5.0190999999999999</v>
      </c>
      <c r="I826" s="148"/>
      <c r="J826" s="107">
        <v>6</v>
      </c>
      <c r="K826" s="78" t="s">
        <v>111</v>
      </c>
      <c r="L826" s="152">
        <v>0.92</v>
      </c>
      <c r="M826" s="120">
        <f t="shared" si="58"/>
        <v>4.0894886805620381E-2</v>
      </c>
      <c r="N826" s="138">
        <v>17.477599999999999</v>
      </c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 spans="2:25" ht="15">
      <c r="B827" s="107">
        <v>7</v>
      </c>
      <c r="C827" s="78" t="s">
        <v>330</v>
      </c>
      <c r="D827" s="152">
        <v>0.11</v>
      </c>
      <c r="E827" s="120">
        <f t="shared" si="57"/>
        <v>2.1916279811121517E-2</v>
      </c>
      <c r="F827" s="120"/>
      <c r="G827" s="120"/>
      <c r="H827" s="138">
        <v>5.0190999999999999</v>
      </c>
      <c r="I827" s="148"/>
      <c r="J827" s="107">
        <v>7</v>
      </c>
      <c r="K827" s="78" t="s">
        <v>330</v>
      </c>
      <c r="L827" s="152">
        <v>0.46</v>
      </c>
      <c r="M827" s="120">
        <f t="shared" si="58"/>
        <v>2.0447443402810191E-2</v>
      </c>
      <c r="N827" s="139">
        <v>17.48</v>
      </c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 spans="2:25" ht="15">
      <c r="B828" s="107">
        <v>8</v>
      </c>
      <c r="C828" s="78" t="s">
        <v>332</v>
      </c>
      <c r="D828" s="152">
        <v>0.1</v>
      </c>
      <c r="E828" s="120">
        <f t="shared" si="57"/>
        <v>1.9923890737383199E-2</v>
      </c>
      <c r="F828" s="120"/>
      <c r="G828" s="120"/>
      <c r="H828" s="138">
        <v>5.0190999999999999</v>
      </c>
      <c r="I828" s="148"/>
      <c r="J828" s="107">
        <v>8</v>
      </c>
      <c r="K828" s="78" t="s">
        <v>116</v>
      </c>
      <c r="L828" s="152">
        <v>0.43</v>
      </c>
      <c r="M828" s="120">
        <f t="shared" si="58"/>
        <v>1.9113914485235611E-2</v>
      </c>
      <c r="N828" s="29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 spans="2:25" ht="15">
      <c r="B829" s="107">
        <v>9</v>
      </c>
      <c r="C829" s="78" t="s">
        <v>116</v>
      </c>
      <c r="D829" s="152">
        <v>0.08</v>
      </c>
      <c r="E829" s="120">
        <f t="shared" si="57"/>
        <v>1.5939112589906556E-2</v>
      </c>
      <c r="F829" s="120"/>
      <c r="G829" s="120"/>
      <c r="H829" s="138">
        <v>5.0190999999999999</v>
      </c>
      <c r="I829" s="148"/>
      <c r="J829" s="107">
        <v>9</v>
      </c>
      <c r="K829" s="78" t="s">
        <v>328</v>
      </c>
      <c r="L829" s="152">
        <v>0.38</v>
      </c>
      <c r="M829" s="120">
        <f t="shared" si="58"/>
        <v>1.6891366289277981E-2</v>
      </c>
      <c r="N829" s="29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 spans="2:25" ht="15">
      <c r="B830" s="109">
        <v>10</v>
      </c>
      <c r="C830" s="154" t="s">
        <v>113</v>
      </c>
      <c r="D830" s="155">
        <v>0.08</v>
      </c>
      <c r="E830" s="157">
        <f t="shared" si="57"/>
        <v>1.5936254980079684E-2</v>
      </c>
      <c r="F830" s="157"/>
      <c r="G830" s="157"/>
      <c r="H830" s="139">
        <v>5.0199999999999996</v>
      </c>
      <c r="I830" s="148"/>
      <c r="J830" s="109">
        <v>10</v>
      </c>
      <c r="K830" s="154" t="s">
        <v>333</v>
      </c>
      <c r="L830" s="155">
        <v>0.27</v>
      </c>
      <c r="M830" s="157">
        <f t="shared" si="58"/>
        <v>1.2E-2</v>
      </c>
      <c r="N830" s="29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 spans="2:25">
      <c r="B831" s="29"/>
      <c r="C831" s="148"/>
      <c r="D831" s="158"/>
      <c r="E831" s="159"/>
      <c r="F831" s="159"/>
      <c r="G831" s="159"/>
      <c r="H831" s="148"/>
      <c r="I831" s="148"/>
      <c r="J831" s="29"/>
      <c r="K831" s="148"/>
      <c r="L831" s="158"/>
      <c r="M831" s="159"/>
      <c r="N831" s="147" t="s">
        <v>457</v>
      </c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 spans="2:25">
      <c r="B832" s="29"/>
      <c r="C832" s="148"/>
      <c r="D832" s="158"/>
      <c r="E832" s="159"/>
      <c r="F832" s="159"/>
      <c r="G832" s="159"/>
      <c r="H832" s="148"/>
      <c r="I832" s="148"/>
      <c r="J832" s="29"/>
      <c r="K832" s="148"/>
      <c r="L832" s="158"/>
      <c r="M832" s="159"/>
      <c r="N832" s="138">
        <v>12.7783</v>
      </c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 spans="2:25">
      <c r="B833" s="29" t="s">
        <v>508</v>
      </c>
      <c r="C833" s="29"/>
      <c r="D833" s="146"/>
      <c r="E833" s="144"/>
      <c r="F833" s="144"/>
      <c r="G833" s="144"/>
      <c r="H833" s="29"/>
      <c r="I833" s="29"/>
      <c r="J833" s="29" t="s">
        <v>509</v>
      </c>
      <c r="K833" s="29"/>
      <c r="L833" s="146"/>
      <c r="M833" s="144"/>
      <c r="N833" s="138">
        <v>12.7783</v>
      </c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 spans="2:25" ht="15">
      <c r="B834" s="112" t="s">
        <v>92</v>
      </c>
      <c r="C834" s="114" t="s">
        <v>343</v>
      </c>
      <c r="D834" s="116" t="s">
        <v>458</v>
      </c>
      <c r="E834" s="151" t="s">
        <v>345</v>
      </c>
      <c r="F834" s="151"/>
      <c r="G834" s="151"/>
      <c r="H834" s="147" t="s">
        <v>459</v>
      </c>
      <c r="I834" s="148"/>
      <c r="J834" s="112" t="s">
        <v>92</v>
      </c>
      <c r="K834" s="114" t="s">
        <v>343</v>
      </c>
      <c r="L834" s="116" t="s">
        <v>458</v>
      </c>
      <c r="M834" s="151" t="s">
        <v>345</v>
      </c>
      <c r="N834" s="138">
        <v>12.7783</v>
      </c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 spans="2:25" ht="15">
      <c r="B835" s="107">
        <v>1</v>
      </c>
      <c r="C835" s="78" t="s">
        <v>98</v>
      </c>
      <c r="D835" s="152">
        <v>2.29</v>
      </c>
      <c r="E835" s="120">
        <f t="shared" ref="E835:E844" si="59">D835/H835</f>
        <v>0.48730662013491371</v>
      </c>
      <c r="F835" s="120"/>
      <c r="G835" s="120"/>
      <c r="H835" s="138">
        <v>4.6993</v>
      </c>
      <c r="I835" s="148"/>
      <c r="J835" s="107">
        <v>1</v>
      </c>
      <c r="K835" s="78" t="s">
        <v>98</v>
      </c>
      <c r="L835" s="152">
        <v>8.44</v>
      </c>
      <c r="M835" s="120">
        <f t="shared" ref="M835:M844" si="60">L835/N818</f>
        <v>0.48290383118963703</v>
      </c>
      <c r="N835" s="138">
        <v>12.7783</v>
      </c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 spans="2:25" ht="15">
      <c r="B836" s="107">
        <v>2</v>
      </c>
      <c r="C836" s="78" t="s">
        <v>100</v>
      </c>
      <c r="D836" s="152">
        <v>0.56999999999999995</v>
      </c>
      <c r="E836" s="120">
        <f t="shared" si="59"/>
        <v>0.12129466090694357</v>
      </c>
      <c r="F836" s="120"/>
      <c r="G836" s="120"/>
      <c r="H836" s="138">
        <v>4.6993</v>
      </c>
      <c r="I836" s="148"/>
      <c r="J836" s="107">
        <v>2</v>
      </c>
      <c r="K836" s="78" t="s">
        <v>96</v>
      </c>
      <c r="L836" s="152">
        <v>2.4500000000000002</v>
      </c>
      <c r="M836" s="120">
        <f t="shared" si="60"/>
        <v>0.1401794296699776</v>
      </c>
      <c r="N836" s="138">
        <v>12.7783</v>
      </c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 spans="2:25" ht="15">
      <c r="B837" s="107">
        <v>3</v>
      </c>
      <c r="C837" s="78" t="s">
        <v>96</v>
      </c>
      <c r="D837" s="152">
        <v>0.53</v>
      </c>
      <c r="E837" s="120">
        <f t="shared" si="59"/>
        <v>0.11278275487838615</v>
      </c>
      <c r="F837" s="120"/>
      <c r="G837" s="120"/>
      <c r="H837" s="138">
        <v>4.6993</v>
      </c>
      <c r="I837" s="148"/>
      <c r="J837" s="107">
        <v>3</v>
      </c>
      <c r="K837" s="78" t="s">
        <v>100</v>
      </c>
      <c r="L837" s="152">
        <v>1.67</v>
      </c>
      <c r="M837" s="120">
        <f t="shared" si="60"/>
        <v>9.5550876550556149E-2</v>
      </c>
      <c r="N837" s="138">
        <v>12.7783</v>
      </c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 spans="2:25" ht="15">
      <c r="B838" s="107">
        <v>4</v>
      </c>
      <c r="C838" s="78" t="s">
        <v>111</v>
      </c>
      <c r="D838" s="152">
        <v>0.27</v>
      </c>
      <c r="E838" s="120">
        <f t="shared" si="59"/>
        <v>5.7455365692762758E-2</v>
      </c>
      <c r="F838" s="120"/>
      <c r="G838" s="120"/>
      <c r="H838" s="138">
        <v>4.6993</v>
      </c>
      <c r="I838" s="148"/>
      <c r="J838" s="107">
        <v>4</v>
      </c>
      <c r="K838" s="78" t="s">
        <v>99</v>
      </c>
      <c r="L838" s="152">
        <v>1.17</v>
      </c>
      <c r="M838" s="120">
        <f t="shared" si="60"/>
        <v>6.6942829679132149E-2</v>
      </c>
      <c r="N838" s="138">
        <v>12.7783</v>
      </c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 spans="2:25" ht="15">
      <c r="B839" s="107">
        <v>5</v>
      </c>
      <c r="C839" s="78" t="s">
        <v>103</v>
      </c>
      <c r="D839" s="152">
        <v>0.2</v>
      </c>
      <c r="E839" s="120">
        <f t="shared" si="59"/>
        <v>4.2559530142787225E-2</v>
      </c>
      <c r="F839" s="120"/>
      <c r="G839" s="120"/>
      <c r="H839" s="138">
        <v>4.6993</v>
      </c>
      <c r="I839" s="148"/>
      <c r="J839" s="107">
        <v>5</v>
      </c>
      <c r="K839" s="78" t="s">
        <v>111</v>
      </c>
      <c r="L839" s="152">
        <v>0.76</v>
      </c>
      <c r="M839" s="120">
        <f t="shared" si="60"/>
        <v>4.3484231244564471E-2</v>
      </c>
      <c r="N839" s="138">
        <v>12.7783</v>
      </c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 spans="2:25" ht="15">
      <c r="B840" s="107">
        <v>6</v>
      </c>
      <c r="C840" s="78" t="s">
        <v>99</v>
      </c>
      <c r="D840" s="152">
        <v>0.13</v>
      </c>
      <c r="E840" s="120">
        <f t="shared" si="59"/>
        <v>2.7663694592811695E-2</v>
      </c>
      <c r="F840" s="120"/>
      <c r="G840" s="120"/>
      <c r="H840" s="138">
        <v>4.6993</v>
      </c>
      <c r="I840" s="148"/>
      <c r="J840" s="107">
        <v>6</v>
      </c>
      <c r="K840" s="78" t="s">
        <v>103</v>
      </c>
      <c r="L840" s="152">
        <v>0.66</v>
      </c>
      <c r="M840" s="120">
        <f t="shared" si="60"/>
        <v>3.7762621870279678E-2</v>
      </c>
      <c r="N840" s="138">
        <v>12.7783</v>
      </c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 spans="2:25" ht="15">
      <c r="B841" s="107">
        <v>7</v>
      </c>
      <c r="C841" s="78" t="s">
        <v>116</v>
      </c>
      <c r="D841" s="152">
        <v>0.11</v>
      </c>
      <c r="E841" s="120">
        <f t="shared" si="59"/>
        <v>2.3407741578532974E-2</v>
      </c>
      <c r="F841" s="120"/>
      <c r="G841" s="120"/>
      <c r="H841" s="138">
        <v>4.6993</v>
      </c>
      <c r="I841" s="148"/>
      <c r="J841" s="107">
        <v>7</v>
      </c>
      <c r="K841" s="78" t="s">
        <v>330</v>
      </c>
      <c r="L841" s="152">
        <v>0.35</v>
      </c>
      <c r="M841" s="120">
        <f t="shared" si="60"/>
        <v>2.0025632809996797E-2</v>
      </c>
      <c r="N841" s="139">
        <v>12.78</v>
      </c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 spans="2:25" ht="15">
      <c r="B842" s="107">
        <v>8</v>
      </c>
      <c r="C842" s="78" t="s">
        <v>330</v>
      </c>
      <c r="D842" s="152">
        <v>0.11</v>
      </c>
      <c r="E842" s="120">
        <f t="shared" si="59"/>
        <v>2.3407741578532974E-2</v>
      </c>
      <c r="F842" s="120"/>
      <c r="G842" s="120"/>
      <c r="H842" s="138">
        <v>4.6993</v>
      </c>
      <c r="I842" s="148"/>
      <c r="J842" s="107">
        <v>8</v>
      </c>
      <c r="K842" s="78" t="s">
        <v>116</v>
      </c>
      <c r="L842" s="152">
        <v>0.35</v>
      </c>
      <c r="M842" s="120">
        <f t="shared" si="60"/>
        <v>2.0025632809996797E-2</v>
      </c>
      <c r="N842" s="29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 spans="2:25" ht="15">
      <c r="B843" s="107">
        <v>9</v>
      </c>
      <c r="C843" s="78" t="s">
        <v>328</v>
      </c>
      <c r="D843" s="152">
        <v>0.08</v>
      </c>
      <c r="E843" s="120">
        <f t="shared" si="59"/>
        <v>1.7023812057114888E-2</v>
      </c>
      <c r="F843" s="120"/>
      <c r="G843" s="120"/>
      <c r="H843" s="138">
        <v>4.6993</v>
      </c>
      <c r="I843" s="148"/>
      <c r="J843" s="107">
        <v>9</v>
      </c>
      <c r="K843" s="78" t="s">
        <v>328</v>
      </c>
      <c r="L843" s="152">
        <v>0.3</v>
      </c>
      <c r="M843" s="120">
        <f t="shared" si="60"/>
        <v>1.7164828122854397E-2</v>
      </c>
      <c r="N843" s="29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 spans="2:25" ht="15">
      <c r="B844" s="109">
        <v>10</v>
      </c>
      <c r="C844" s="154" t="s">
        <v>451</v>
      </c>
      <c r="D844" s="155">
        <v>0.06</v>
      </c>
      <c r="E844" s="157">
        <f t="shared" si="59"/>
        <v>1.276595744680851E-2</v>
      </c>
      <c r="F844" s="157"/>
      <c r="G844" s="157"/>
      <c r="H844" s="139">
        <v>4.7</v>
      </c>
      <c r="I844" s="148"/>
      <c r="J844" s="109">
        <v>10</v>
      </c>
      <c r="K844" s="154" t="s">
        <v>333</v>
      </c>
      <c r="L844" s="155">
        <v>0.24</v>
      </c>
      <c r="M844" s="157">
        <f t="shared" si="60"/>
        <v>1.3729977116704805E-2</v>
      </c>
      <c r="N844" s="29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 spans="2:25">
      <c r="B845" s="29"/>
      <c r="C845" s="29"/>
      <c r="D845" s="146"/>
      <c r="E845" s="144"/>
      <c r="F845" s="144"/>
      <c r="G845" s="144"/>
      <c r="H845" s="29"/>
      <c r="I845" s="29"/>
      <c r="J845" s="29"/>
      <c r="K845" s="29"/>
      <c r="L845" s="146"/>
      <c r="M845" s="144"/>
      <c r="N845" s="147" t="s">
        <v>457</v>
      </c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 spans="2:25">
      <c r="B846" s="29"/>
      <c r="C846" s="29"/>
      <c r="D846" s="146"/>
      <c r="E846" s="144"/>
      <c r="F846" s="144"/>
      <c r="G846" s="144"/>
      <c r="H846" s="29"/>
      <c r="I846" s="29"/>
      <c r="J846" s="29"/>
      <c r="K846" s="29"/>
      <c r="L846" s="146"/>
      <c r="M846" s="144"/>
      <c r="N846" s="138">
        <v>9.2721</v>
      </c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 spans="2:25">
      <c r="B847" s="29" t="s">
        <v>510</v>
      </c>
      <c r="C847" s="29"/>
      <c r="D847" s="146"/>
      <c r="E847" s="144"/>
      <c r="F847" s="144"/>
      <c r="G847" s="144"/>
      <c r="H847" s="29"/>
      <c r="I847" s="29"/>
      <c r="J847" s="29" t="s">
        <v>511</v>
      </c>
      <c r="K847" s="29"/>
      <c r="L847" s="146"/>
      <c r="M847" s="144"/>
      <c r="N847" s="138">
        <v>9.2721</v>
      </c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 spans="2:25" ht="15">
      <c r="B848" s="112" t="s">
        <v>92</v>
      </c>
      <c r="C848" s="114" t="s">
        <v>343</v>
      </c>
      <c r="D848" s="116" t="s">
        <v>458</v>
      </c>
      <c r="E848" s="151" t="s">
        <v>345</v>
      </c>
      <c r="F848" s="151"/>
      <c r="G848" s="151"/>
      <c r="H848" s="147" t="s">
        <v>459</v>
      </c>
      <c r="I848" s="148"/>
      <c r="J848" s="112" t="s">
        <v>92</v>
      </c>
      <c r="K848" s="114" t="s">
        <v>343</v>
      </c>
      <c r="L848" s="116" t="s">
        <v>458</v>
      </c>
      <c r="M848" s="151" t="s">
        <v>345</v>
      </c>
      <c r="N848" s="138">
        <v>9.2721</v>
      </c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 spans="2:25" ht="15">
      <c r="B849" s="107">
        <v>1</v>
      </c>
      <c r="C849" s="78" t="s">
        <v>98</v>
      </c>
      <c r="D849" s="152">
        <v>1.59</v>
      </c>
      <c r="E849" s="120">
        <f t="shared" ref="E849:E858" si="61">D849/H849</f>
        <v>0.45348240260110662</v>
      </c>
      <c r="F849" s="120"/>
      <c r="G849" s="120"/>
      <c r="H849" s="138">
        <v>3.5062000000000002</v>
      </c>
      <c r="I849" s="148"/>
      <c r="J849" s="107">
        <v>1</v>
      </c>
      <c r="K849" s="78" t="s">
        <v>98</v>
      </c>
      <c r="L849" s="152">
        <v>6.15</v>
      </c>
      <c r="M849" s="120">
        <f t="shared" ref="M849:M858" si="62">L849/N832</f>
        <v>0.48128467793055418</v>
      </c>
      <c r="N849" s="138">
        <v>9.2721</v>
      </c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 spans="2:25" ht="15">
      <c r="B850" s="107">
        <v>2</v>
      </c>
      <c r="C850" s="78" t="s">
        <v>96</v>
      </c>
      <c r="D850" s="152">
        <v>0.39</v>
      </c>
      <c r="E850" s="120">
        <f t="shared" si="61"/>
        <v>0.11123153271347898</v>
      </c>
      <c r="F850" s="120"/>
      <c r="G850" s="120"/>
      <c r="H850" s="138">
        <v>3.5062000000000002</v>
      </c>
      <c r="I850" s="148"/>
      <c r="J850" s="107">
        <v>2</v>
      </c>
      <c r="K850" s="78" t="s">
        <v>96</v>
      </c>
      <c r="L850" s="152">
        <v>1.92</v>
      </c>
      <c r="M850" s="120">
        <f t="shared" si="62"/>
        <v>0.15025472871978277</v>
      </c>
      <c r="N850" s="138">
        <v>9.2721</v>
      </c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 spans="2:25" ht="15">
      <c r="B851" s="107">
        <v>3</v>
      </c>
      <c r="C851" s="78" t="s">
        <v>100</v>
      </c>
      <c r="D851" s="152">
        <v>0.37</v>
      </c>
      <c r="E851" s="120">
        <f t="shared" si="61"/>
        <v>0.10552735154868517</v>
      </c>
      <c r="F851" s="120"/>
      <c r="G851" s="120"/>
      <c r="H851" s="138">
        <v>3.5062000000000002</v>
      </c>
      <c r="I851" s="148"/>
      <c r="J851" s="107">
        <v>3</v>
      </c>
      <c r="K851" s="78" t="s">
        <v>100</v>
      </c>
      <c r="L851" s="152">
        <v>1.0900000000000001</v>
      </c>
      <c r="M851" s="120">
        <f t="shared" si="62"/>
        <v>8.5300861616960016E-2</v>
      </c>
      <c r="N851" s="138">
        <v>9.2721</v>
      </c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 spans="2:25" ht="15">
      <c r="B852" s="107">
        <v>4</v>
      </c>
      <c r="C852" s="78" t="s">
        <v>99</v>
      </c>
      <c r="D852" s="152">
        <v>0.28000000000000003</v>
      </c>
      <c r="E852" s="120">
        <f t="shared" si="61"/>
        <v>7.985853630711312E-2</v>
      </c>
      <c r="F852" s="120"/>
      <c r="G852" s="120"/>
      <c r="H852" s="138">
        <v>3.5062000000000002</v>
      </c>
      <c r="I852" s="148"/>
      <c r="J852" s="107">
        <v>4</v>
      </c>
      <c r="K852" s="78" t="s">
        <v>99</v>
      </c>
      <c r="L852" s="152">
        <v>1.04</v>
      </c>
      <c r="M852" s="120">
        <f t="shared" si="62"/>
        <v>8.1387978056549001E-2</v>
      </c>
      <c r="N852" s="138">
        <v>9.2721</v>
      </c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 spans="2:25" ht="15">
      <c r="B853" s="107">
        <v>5</v>
      </c>
      <c r="C853" s="78" t="s">
        <v>111</v>
      </c>
      <c r="D853" s="152">
        <v>0.22</v>
      </c>
      <c r="E853" s="120">
        <f t="shared" si="61"/>
        <v>6.274599281273173E-2</v>
      </c>
      <c r="F853" s="120"/>
      <c r="G853" s="120"/>
      <c r="H853" s="138">
        <v>3.5062000000000002</v>
      </c>
      <c r="I853" s="148"/>
      <c r="J853" s="107">
        <v>5</v>
      </c>
      <c r="K853" s="78" t="s">
        <v>111</v>
      </c>
      <c r="L853" s="152">
        <v>0.49</v>
      </c>
      <c r="M853" s="120">
        <f t="shared" si="62"/>
        <v>3.834625889202789E-2</v>
      </c>
      <c r="N853" s="138">
        <v>9.2721</v>
      </c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 spans="2:25" ht="15">
      <c r="B854" s="107">
        <v>6</v>
      </c>
      <c r="C854" s="78" t="s">
        <v>103</v>
      </c>
      <c r="D854" s="152">
        <v>0.12</v>
      </c>
      <c r="E854" s="120">
        <f t="shared" si="61"/>
        <v>3.4225086988762761E-2</v>
      </c>
      <c r="F854" s="120"/>
      <c r="G854" s="120"/>
      <c r="H854" s="138">
        <v>3.5062000000000002</v>
      </c>
      <c r="I854" s="148"/>
      <c r="J854" s="107">
        <v>6</v>
      </c>
      <c r="K854" s="78" t="s">
        <v>103</v>
      </c>
      <c r="L854" s="152">
        <v>0.46</v>
      </c>
      <c r="M854" s="120">
        <f t="shared" si="62"/>
        <v>3.5998528755781287E-2</v>
      </c>
      <c r="N854" s="138">
        <v>9.2721</v>
      </c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 spans="2:25" ht="15">
      <c r="B855" s="107">
        <v>7</v>
      </c>
      <c r="C855" s="78" t="s">
        <v>330</v>
      </c>
      <c r="D855" s="152">
        <v>0.1</v>
      </c>
      <c r="E855" s="120">
        <f t="shared" si="61"/>
        <v>2.8520905823968969E-2</v>
      </c>
      <c r="F855" s="120"/>
      <c r="G855" s="120"/>
      <c r="H855" s="138">
        <v>3.5062000000000002</v>
      </c>
      <c r="I855" s="148"/>
      <c r="J855" s="107">
        <v>7</v>
      </c>
      <c r="K855" s="78" t="s">
        <v>330</v>
      </c>
      <c r="L855" s="152">
        <v>0.25</v>
      </c>
      <c r="M855" s="120">
        <f t="shared" si="62"/>
        <v>1.9564417802055048E-2</v>
      </c>
      <c r="N855" s="139">
        <v>9.27</v>
      </c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 spans="2:25" ht="15">
      <c r="B856" s="107">
        <v>8</v>
      </c>
      <c r="C856" s="78" t="s">
        <v>328</v>
      </c>
      <c r="D856" s="152">
        <v>0.06</v>
      </c>
      <c r="E856" s="120">
        <f t="shared" si="61"/>
        <v>1.711254349438138E-2</v>
      </c>
      <c r="F856" s="120"/>
      <c r="G856" s="120"/>
      <c r="H856" s="138">
        <v>3.5062000000000002</v>
      </c>
      <c r="I856" s="148"/>
      <c r="J856" s="107">
        <v>8</v>
      </c>
      <c r="K856" s="78" t="s">
        <v>116</v>
      </c>
      <c r="L856" s="152">
        <v>0.23</v>
      </c>
      <c r="M856" s="120">
        <f t="shared" si="62"/>
        <v>1.7999264377890643E-2</v>
      </c>
      <c r="N856" s="29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 spans="2:25" ht="15">
      <c r="B857" s="107">
        <v>9</v>
      </c>
      <c r="C857" s="78" t="s">
        <v>333</v>
      </c>
      <c r="D857" s="152">
        <v>0.06</v>
      </c>
      <c r="E857" s="120">
        <f t="shared" si="61"/>
        <v>1.711254349438138E-2</v>
      </c>
      <c r="F857" s="120"/>
      <c r="G857" s="120"/>
      <c r="H857" s="138">
        <v>3.5062000000000002</v>
      </c>
      <c r="I857" s="148"/>
      <c r="J857" s="107">
        <v>9</v>
      </c>
      <c r="K857" s="78" t="s">
        <v>328</v>
      </c>
      <c r="L857" s="152">
        <v>0.22</v>
      </c>
      <c r="M857" s="120">
        <f t="shared" si="62"/>
        <v>1.7216687665808441E-2</v>
      </c>
      <c r="N857" s="29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 spans="2:25" ht="15">
      <c r="B858" s="109">
        <v>10</v>
      </c>
      <c r="C858" s="154" t="s">
        <v>116</v>
      </c>
      <c r="D858" s="155">
        <v>0.05</v>
      </c>
      <c r="E858" s="157">
        <f t="shared" si="61"/>
        <v>1.4245014245014247E-2</v>
      </c>
      <c r="F858" s="157"/>
      <c r="G858" s="157"/>
      <c r="H858" s="139">
        <v>3.51</v>
      </c>
      <c r="I858" s="148"/>
      <c r="J858" s="109">
        <v>10</v>
      </c>
      <c r="K858" s="154" t="s">
        <v>333</v>
      </c>
      <c r="L858" s="155">
        <v>0.19</v>
      </c>
      <c r="M858" s="157">
        <f t="shared" si="62"/>
        <v>1.4866979655712051E-2</v>
      </c>
      <c r="N858" s="29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 spans="2:25">
      <c r="B859" s="29"/>
      <c r="C859" s="29"/>
      <c r="D859" s="146"/>
      <c r="E859" s="144"/>
      <c r="F859" s="144"/>
      <c r="G859" s="144"/>
      <c r="H859" s="29"/>
      <c r="I859" s="29"/>
      <c r="J859" s="29"/>
      <c r="K859" s="29"/>
      <c r="L859" s="146"/>
      <c r="M859" s="144"/>
      <c r="N859" s="147" t="s">
        <v>457</v>
      </c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 spans="2:25">
      <c r="B860" s="29"/>
      <c r="C860" s="29"/>
      <c r="D860" s="146"/>
      <c r="E860" s="144"/>
      <c r="F860" s="144"/>
      <c r="G860" s="144"/>
      <c r="H860" s="29"/>
      <c r="I860" s="29"/>
      <c r="J860" s="29"/>
      <c r="K860" s="29"/>
      <c r="L860" s="146"/>
      <c r="M860" s="144"/>
      <c r="N860" s="138">
        <v>5.6848000000000001</v>
      </c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 spans="2:25">
      <c r="B861" s="29" t="s">
        <v>512</v>
      </c>
      <c r="C861" s="29"/>
      <c r="D861" s="146"/>
      <c r="E861" s="144"/>
      <c r="F861" s="144"/>
      <c r="G861" s="144"/>
      <c r="H861" s="29"/>
      <c r="I861" s="29"/>
      <c r="J861" s="29" t="s">
        <v>513</v>
      </c>
      <c r="K861" s="29"/>
      <c r="L861" s="146"/>
      <c r="M861" s="144"/>
      <c r="N861" s="138">
        <v>5.6848000000000001</v>
      </c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 spans="2:25" ht="15">
      <c r="B862" s="112" t="s">
        <v>92</v>
      </c>
      <c r="C862" s="114" t="s">
        <v>343</v>
      </c>
      <c r="D862" s="116" t="s">
        <v>458</v>
      </c>
      <c r="E862" s="151" t="s">
        <v>345</v>
      </c>
      <c r="F862" s="151"/>
      <c r="G862" s="151"/>
      <c r="H862" s="147" t="s">
        <v>459</v>
      </c>
      <c r="I862" s="148"/>
      <c r="J862" s="112" t="s">
        <v>92</v>
      </c>
      <c r="K862" s="114" t="s">
        <v>343</v>
      </c>
      <c r="L862" s="116" t="s">
        <v>458</v>
      </c>
      <c r="M862" s="151" t="s">
        <v>345</v>
      </c>
      <c r="N862" s="138">
        <v>5.6848000000000001</v>
      </c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 spans="2:25" ht="15">
      <c r="B863" s="107">
        <v>1</v>
      </c>
      <c r="C863" s="78" t="s">
        <v>98</v>
      </c>
      <c r="D863" s="152">
        <v>1.76</v>
      </c>
      <c r="E863" s="120">
        <f t="shared" ref="E863:E872" si="63">D863/H863</f>
        <v>0.49061968611490536</v>
      </c>
      <c r="F863" s="120"/>
      <c r="G863" s="120"/>
      <c r="H863" s="138">
        <v>3.5872999999999999</v>
      </c>
      <c r="I863" s="148"/>
      <c r="J863" s="107">
        <v>1</v>
      </c>
      <c r="K863" s="78" t="s">
        <v>98</v>
      </c>
      <c r="L863" s="152">
        <v>4.5599999999999996</v>
      </c>
      <c r="M863" s="120">
        <f t="shared" ref="M863:M872" si="64">L863/N846</f>
        <v>0.49179797456886787</v>
      </c>
      <c r="N863" s="138">
        <v>5.6848000000000001</v>
      </c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 spans="2:25" ht="15">
      <c r="B864" s="107">
        <v>2</v>
      </c>
      <c r="C864" s="78" t="s">
        <v>96</v>
      </c>
      <c r="D864" s="152">
        <v>0.53</v>
      </c>
      <c r="E864" s="120">
        <f t="shared" si="63"/>
        <v>0.14774342820505673</v>
      </c>
      <c r="F864" s="120"/>
      <c r="G864" s="120"/>
      <c r="H864" s="138">
        <v>3.5872999999999999</v>
      </c>
      <c r="I864" s="148"/>
      <c r="J864" s="107">
        <v>2</v>
      </c>
      <c r="K864" s="78" t="s">
        <v>96</v>
      </c>
      <c r="L864" s="152">
        <v>1.52</v>
      </c>
      <c r="M864" s="120">
        <f t="shared" si="64"/>
        <v>0.16393265818962263</v>
      </c>
      <c r="N864" s="138">
        <v>5.6848000000000001</v>
      </c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 spans="2:25" ht="15">
      <c r="B865" s="107">
        <v>3</v>
      </c>
      <c r="C865" s="78" t="s">
        <v>99</v>
      </c>
      <c r="D865" s="152">
        <v>0.31</v>
      </c>
      <c r="E865" s="120">
        <f t="shared" si="63"/>
        <v>8.6415967440693561E-2</v>
      </c>
      <c r="F865" s="120"/>
      <c r="G865" s="120"/>
      <c r="H865" s="138">
        <v>3.5872999999999999</v>
      </c>
      <c r="I865" s="148"/>
      <c r="J865" s="107">
        <v>3</v>
      </c>
      <c r="K865" s="78" t="s">
        <v>99</v>
      </c>
      <c r="L865" s="152">
        <v>0.76</v>
      </c>
      <c r="M865" s="120">
        <f t="shared" si="64"/>
        <v>8.1966329094811316E-2</v>
      </c>
      <c r="N865" s="138">
        <v>5.6848000000000001</v>
      </c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 spans="2:25" ht="15">
      <c r="B866" s="107">
        <v>4</v>
      </c>
      <c r="C866" s="78" t="s">
        <v>100</v>
      </c>
      <c r="D866" s="152">
        <v>0.28999999999999998</v>
      </c>
      <c r="E866" s="120">
        <f t="shared" si="63"/>
        <v>8.084074373484236E-2</v>
      </c>
      <c r="F866" s="120"/>
      <c r="G866" s="120"/>
      <c r="H866" s="138">
        <v>3.5872999999999999</v>
      </c>
      <c r="I866" s="148"/>
      <c r="J866" s="107">
        <v>4</v>
      </c>
      <c r="K866" s="78" t="s">
        <v>100</v>
      </c>
      <c r="L866" s="152">
        <v>0.72</v>
      </c>
      <c r="M866" s="120">
        <f t="shared" si="64"/>
        <v>7.7652311774031771E-2</v>
      </c>
      <c r="N866" s="138">
        <v>5.6848000000000001</v>
      </c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 spans="2:25" ht="15">
      <c r="B867" s="107">
        <v>5</v>
      </c>
      <c r="C867" s="78" t="s">
        <v>111</v>
      </c>
      <c r="D867" s="152">
        <v>0.14000000000000001</v>
      </c>
      <c r="E867" s="120">
        <f t="shared" si="63"/>
        <v>3.9026565940958387E-2</v>
      </c>
      <c r="F867" s="120"/>
      <c r="G867" s="120"/>
      <c r="H867" s="138">
        <v>3.5872999999999999</v>
      </c>
      <c r="I867" s="148"/>
      <c r="J867" s="107">
        <v>5</v>
      </c>
      <c r="K867" s="78" t="s">
        <v>103</v>
      </c>
      <c r="L867" s="152">
        <v>0.34</v>
      </c>
      <c r="M867" s="120">
        <f t="shared" si="64"/>
        <v>3.666914722662612E-2</v>
      </c>
      <c r="N867" s="138">
        <v>5.6848000000000001</v>
      </c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 spans="2:25" ht="15">
      <c r="B868" s="107">
        <v>6</v>
      </c>
      <c r="C868" s="78" t="s">
        <v>330</v>
      </c>
      <c r="D868" s="152">
        <v>0.13</v>
      </c>
      <c r="E868" s="120">
        <f t="shared" si="63"/>
        <v>3.6238954088032786E-2</v>
      </c>
      <c r="F868" s="120"/>
      <c r="G868" s="120"/>
      <c r="H868" s="138">
        <v>3.5872999999999999</v>
      </c>
      <c r="I868" s="148"/>
      <c r="J868" s="107">
        <v>6</v>
      </c>
      <c r="K868" s="78" t="s">
        <v>111</v>
      </c>
      <c r="L868" s="152">
        <v>0.27</v>
      </c>
      <c r="M868" s="120">
        <f t="shared" si="64"/>
        <v>2.9119616915261916E-2</v>
      </c>
      <c r="N868" s="138">
        <v>5.6848000000000001</v>
      </c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 spans="2:25" ht="15">
      <c r="B869" s="107">
        <v>7</v>
      </c>
      <c r="C869" s="78" t="s">
        <v>103</v>
      </c>
      <c r="D869" s="152">
        <v>0.09</v>
      </c>
      <c r="E869" s="120">
        <f t="shared" si="63"/>
        <v>2.5088506676330388E-2</v>
      </c>
      <c r="F869" s="120"/>
      <c r="G869" s="120"/>
      <c r="H869" s="138">
        <v>3.5872999999999999</v>
      </c>
      <c r="I869" s="148"/>
      <c r="J869" s="107">
        <v>7</v>
      </c>
      <c r="K869" s="78" t="s">
        <v>116</v>
      </c>
      <c r="L869" s="152">
        <v>0.18</v>
      </c>
      <c r="M869" s="120">
        <f t="shared" si="64"/>
        <v>1.9413077943507943E-2</v>
      </c>
      <c r="N869" s="139">
        <v>5.68</v>
      </c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 spans="2:25" ht="15">
      <c r="B870" s="107">
        <v>8</v>
      </c>
      <c r="C870" s="78" t="s">
        <v>113</v>
      </c>
      <c r="D870" s="152">
        <v>7.0000000000000007E-2</v>
      </c>
      <c r="E870" s="120">
        <f t="shared" si="63"/>
        <v>1.9513282970479193E-2</v>
      </c>
      <c r="F870" s="120"/>
      <c r="G870" s="120"/>
      <c r="H870" s="138">
        <v>3.5872999999999999</v>
      </c>
      <c r="I870" s="148"/>
      <c r="J870" s="107">
        <v>8</v>
      </c>
      <c r="K870" s="78" t="s">
        <v>328</v>
      </c>
      <c r="L870" s="152">
        <v>0.16</v>
      </c>
      <c r="M870" s="120">
        <f t="shared" si="64"/>
        <v>1.7256069283118174E-2</v>
      </c>
      <c r="N870" s="29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 spans="2:25" ht="15">
      <c r="B871" s="107">
        <v>9</v>
      </c>
      <c r="C871" s="78" t="s">
        <v>116</v>
      </c>
      <c r="D871" s="152">
        <v>0.05</v>
      </c>
      <c r="E871" s="120">
        <f t="shared" si="63"/>
        <v>1.3938059264627994E-2</v>
      </c>
      <c r="F871" s="120"/>
      <c r="G871" s="120"/>
      <c r="H871" s="138">
        <v>3.5872999999999999</v>
      </c>
      <c r="I871" s="148"/>
      <c r="J871" s="107">
        <v>9</v>
      </c>
      <c r="K871" s="78" t="s">
        <v>330</v>
      </c>
      <c r="L871" s="152">
        <v>0.14000000000000001</v>
      </c>
      <c r="M871" s="120">
        <f t="shared" si="64"/>
        <v>1.5099060622728401E-2</v>
      </c>
      <c r="N871" s="29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 spans="2:25" ht="15">
      <c r="B872" s="109">
        <v>10</v>
      </c>
      <c r="C872" s="154" t="s">
        <v>451</v>
      </c>
      <c r="D872" s="155">
        <v>0.05</v>
      </c>
      <c r="E872" s="157">
        <f t="shared" si="63"/>
        <v>1.3927576601671311E-2</v>
      </c>
      <c r="F872" s="157"/>
      <c r="G872" s="157"/>
      <c r="H872" s="139">
        <v>3.59</v>
      </c>
      <c r="I872" s="148"/>
      <c r="J872" s="109">
        <v>10</v>
      </c>
      <c r="K872" s="154" t="s">
        <v>333</v>
      </c>
      <c r="L872" s="155">
        <v>0.13</v>
      </c>
      <c r="M872" s="157">
        <f t="shared" si="64"/>
        <v>1.4023732470334413E-2</v>
      </c>
      <c r="N872" s="29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 spans="2:25">
      <c r="B873" s="29"/>
      <c r="C873" s="29"/>
      <c r="D873" s="146"/>
      <c r="E873" s="144"/>
      <c r="F873" s="144"/>
      <c r="G873" s="144"/>
      <c r="H873" s="29"/>
      <c r="I873" s="29"/>
      <c r="J873" s="29"/>
      <c r="K873" s="29"/>
      <c r="L873" s="146"/>
      <c r="M873" s="144"/>
      <c r="N873" s="29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 spans="2:25">
      <c r="B874" s="29"/>
      <c r="C874" s="29"/>
      <c r="D874" s="146"/>
      <c r="E874" s="144"/>
      <c r="F874" s="144"/>
      <c r="G874" s="144"/>
      <c r="H874" s="29"/>
      <c r="I874" s="29"/>
      <c r="J874" s="29"/>
      <c r="K874" s="29"/>
      <c r="L874" s="146"/>
      <c r="M874" s="144"/>
      <c r="N874" s="29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 spans="2:25">
      <c r="B875" s="29" t="s">
        <v>514</v>
      </c>
      <c r="C875" s="29"/>
      <c r="D875" s="146"/>
      <c r="E875" s="144"/>
      <c r="F875" s="144"/>
      <c r="G875" s="144"/>
      <c r="H875" s="29"/>
      <c r="I875" s="29"/>
      <c r="J875" s="29" t="s">
        <v>515</v>
      </c>
      <c r="K875" s="29"/>
      <c r="L875" s="146"/>
      <c r="M875" s="144"/>
      <c r="N875" s="29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 spans="2:25" ht="15">
      <c r="B876" s="112" t="s">
        <v>92</v>
      </c>
      <c r="C876" s="114" t="s">
        <v>343</v>
      </c>
      <c r="D876" s="116" t="s">
        <v>458</v>
      </c>
      <c r="E876" s="151" t="s">
        <v>345</v>
      </c>
      <c r="F876" s="151"/>
      <c r="G876" s="151"/>
      <c r="H876" s="147" t="s">
        <v>459</v>
      </c>
      <c r="I876" s="148"/>
      <c r="J876" s="112" t="s">
        <v>92</v>
      </c>
      <c r="K876" s="114" t="s">
        <v>343</v>
      </c>
      <c r="L876" s="116" t="s">
        <v>458</v>
      </c>
      <c r="M876" s="151" t="s">
        <v>345</v>
      </c>
      <c r="N876" s="29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 spans="2:25" ht="15">
      <c r="B877" s="107">
        <v>1</v>
      </c>
      <c r="C877" s="78" t="s">
        <v>98</v>
      </c>
      <c r="D877" s="152">
        <v>1.2</v>
      </c>
      <c r="E877" s="120">
        <f t="shared" ref="E877:E886" si="65">D877/H877</f>
        <v>0.43319735749611932</v>
      </c>
      <c r="F877" s="120"/>
      <c r="G877" s="120"/>
      <c r="H877" s="138">
        <v>2.7700999999999998</v>
      </c>
      <c r="I877" s="148"/>
      <c r="J877" s="107">
        <v>1</v>
      </c>
      <c r="K877" s="78" t="s">
        <v>98</v>
      </c>
      <c r="L877" s="152">
        <v>2.8</v>
      </c>
      <c r="M877" s="120">
        <f t="shared" ref="M877:M886" si="66">L877/N860</f>
        <v>0.4925415142133408</v>
      </c>
      <c r="N877" s="29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 spans="2:25" ht="15">
      <c r="B878" s="107">
        <v>2</v>
      </c>
      <c r="C878" s="78" t="s">
        <v>96</v>
      </c>
      <c r="D878" s="152">
        <v>0.65</v>
      </c>
      <c r="E878" s="120">
        <f t="shared" si="65"/>
        <v>0.23464856864373129</v>
      </c>
      <c r="F878" s="120"/>
      <c r="G878" s="120"/>
      <c r="H878" s="138">
        <v>2.7700999999999998</v>
      </c>
      <c r="I878" s="148"/>
      <c r="J878" s="107">
        <v>2</v>
      </c>
      <c r="K878" s="78" t="s">
        <v>96</v>
      </c>
      <c r="L878" s="152">
        <v>0.99</v>
      </c>
      <c r="M878" s="120">
        <f t="shared" si="66"/>
        <v>0.1741486068111455</v>
      </c>
      <c r="N878" s="29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 spans="2:25" ht="15">
      <c r="B879" s="107">
        <v>3</v>
      </c>
      <c r="C879" s="78" t="s">
        <v>99</v>
      </c>
      <c r="D879" s="152">
        <v>0.27</v>
      </c>
      <c r="E879" s="120">
        <f t="shared" si="65"/>
        <v>9.7469405436626855E-2</v>
      </c>
      <c r="F879" s="120"/>
      <c r="G879" s="120"/>
      <c r="H879" s="138">
        <v>2.7700999999999998</v>
      </c>
      <c r="I879" s="148"/>
      <c r="J879" s="107">
        <v>3</v>
      </c>
      <c r="K879" s="78" t="s">
        <v>99</v>
      </c>
      <c r="L879" s="152">
        <v>0.45</v>
      </c>
      <c r="M879" s="120">
        <f t="shared" si="66"/>
        <v>7.9158457641429772E-2</v>
      </c>
      <c r="N879" s="29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 spans="2:25" ht="15">
      <c r="B880" s="107">
        <v>4</v>
      </c>
      <c r="C880" s="78" t="s">
        <v>100</v>
      </c>
      <c r="D880" s="152">
        <v>0.26</v>
      </c>
      <c r="E880" s="120">
        <f t="shared" si="65"/>
        <v>9.3859427457492525E-2</v>
      </c>
      <c r="F880" s="120"/>
      <c r="G880" s="120"/>
      <c r="H880" s="138">
        <v>2.7700999999999998</v>
      </c>
      <c r="I880" s="148"/>
      <c r="J880" s="107">
        <v>4</v>
      </c>
      <c r="K880" s="78" t="s">
        <v>100</v>
      </c>
      <c r="L880" s="152">
        <v>0.43</v>
      </c>
      <c r="M880" s="120">
        <f t="shared" si="66"/>
        <v>7.5640303968477346E-2</v>
      </c>
      <c r="N880" s="29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 spans="2:25" ht="15">
      <c r="B881" s="107">
        <v>5</v>
      </c>
      <c r="C881" s="78" t="s">
        <v>111</v>
      </c>
      <c r="D881" s="152">
        <v>7.0000000000000007E-2</v>
      </c>
      <c r="E881" s="120">
        <f t="shared" si="65"/>
        <v>2.5269845853940296E-2</v>
      </c>
      <c r="F881" s="120"/>
      <c r="G881" s="120"/>
      <c r="H881" s="138">
        <v>2.7700999999999998</v>
      </c>
      <c r="I881" s="148"/>
      <c r="J881" s="107">
        <v>5</v>
      </c>
      <c r="K881" s="78" t="s">
        <v>103</v>
      </c>
      <c r="L881" s="152">
        <v>0.25</v>
      </c>
      <c r="M881" s="120">
        <f t="shared" si="66"/>
        <v>4.3976920911905429E-2</v>
      </c>
      <c r="N881" s="29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 spans="2:25" ht="15">
      <c r="B882" s="107">
        <v>6</v>
      </c>
      <c r="C882" s="78" t="s">
        <v>103</v>
      </c>
      <c r="D882" s="152">
        <v>0.06</v>
      </c>
      <c r="E882" s="120">
        <f t="shared" si="65"/>
        <v>2.1659867874805963E-2</v>
      </c>
      <c r="F882" s="120"/>
      <c r="G882" s="120"/>
      <c r="H882" s="138">
        <v>2.7700999999999998</v>
      </c>
      <c r="I882" s="148"/>
      <c r="J882" s="107">
        <v>6</v>
      </c>
      <c r="K882" s="78" t="s">
        <v>116</v>
      </c>
      <c r="L882" s="152">
        <v>0.13</v>
      </c>
      <c r="M882" s="120">
        <f t="shared" si="66"/>
        <v>2.2867998874190824E-2</v>
      </c>
      <c r="N882" s="29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 spans="2:25" ht="15">
      <c r="B883" s="107">
        <v>7</v>
      </c>
      <c r="C883" s="78" t="s">
        <v>116</v>
      </c>
      <c r="D883" s="152">
        <v>0.05</v>
      </c>
      <c r="E883" s="120">
        <f t="shared" si="65"/>
        <v>1.8049889895671641E-2</v>
      </c>
      <c r="F883" s="120"/>
      <c r="G883" s="120"/>
      <c r="H883" s="138">
        <v>2.7700999999999998</v>
      </c>
      <c r="I883" s="148"/>
      <c r="J883" s="107">
        <v>7</v>
      </c>
      <c r="K883" s="78" t="s">
        <v>111</v>
      </c>
      <c r="L883" s="152">
        <v>0.13</v>
      </c>
      <c r="M883" s="120">
        <f t="shared" si="66"/>
        <v>2.2867998874190824E-2</v>
      </c>
      <c r="N883" s="29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 spans="2:25" ht="15">
      <c r="B884" s="107">
        <v>8</v>
      </c>
      <c r="C884" s="78" t="s">
        <v>433</v>
      </c>
      <c r="D884" s="152">
        <v>0.04</v>
      </c>
      <c r="E884" s="120">
        <f t="shared" si="65"/>
        <v>1.4439911916537311E-2</v>
      </c>
      <c r="F884" s="120"/>
      <c r="G884" s="120"/>
      <c r="H884" s="138">
        <v>2.7700999999999998</v>
      </c>
      <c r="I884" s="148"/>
      <c r="J884" s="107">
        <v>8</v>
      </c>
      <c r="K884" s="78" t="s">
        <v>433</v>
      </c>
      <c r="L884" s="152">
        <v>0.1</v>
      </c>
      <c r="M884" s="120">
        <f t="shared" si="66"/>
        <v>1.7590768364762175E-2</v>
      </c>
      <c r="N884" s="29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 spans="2:25" ht="15">
      <c r="B885" s="107">
        <v>9</v>
      </c>
      <c r="C885" s="78" t="s">
        <v>357</v>
      </c>
      <c r="D885" s="152">
        <v>0.03</v>
      </c>
      <c r="E885" s="120">
        <f t="shared" si="65"/>
        <v>1.0829933937402982E-2</v>
      </c>
      <c r="F885" s="120"/>
      <c r="G885" s="120"/>
      <c r="H885" s="138">
        <v>2.7700999999999998</v>
      </c>
      <c r="I885" s="148"/>
      <c r="J885" s="107">
        <v>9</v>
      </c>
      <c r="K885" s="78" t="s">
        <v>328</v>
      </c>
      <c r="L885" s="152">
        <v>0.09</v>
      </c>
      <c r="M885" s="120">
        <f t="shared" si="66"/>
        <v>1.5831691528285955E-2</v>
      </c>
      <c r="N885" s="29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 spans="2:25" ht="15">
      <c r="B886" s="109">
        <v>10</v>
      </c>
      <c r="C886" s="154" t="s">
        <v>328</v>
      </c>
      <c r="D886" s="155">
        <v>0.02</v>
      </c>
      <c r="E886" s="157">
        <f t="shared" si="65"/>
        <v>7.2202166064981952E-3</v>
      </c>
      <c r="F886" s="157"/>
      <c r="G886" s="157"/>
      <c r="H886" s="139">
        <v>2.77</v>
      </c>
      <c r="I886" s="148"/>
      <c r="J886" s="109">
        <v>10</v>
      </c>
      <c r="K886" s="154" t="s">
        <v>108</v>
      </c>
      <c r="L886" s="155">
        <v>0.06</v>
      </c>
      <c r="M886" s="157">
        <f t="shared" si="66"/>
        <v>1.0563380281690141E-2</v>
      </c>
      <c r="N886" s="29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 spans="2:25">
      <c r="B887" s="29"/>
      <c r="C887" s="29"/>
      <c r="D887" s="146"/>
      <c r="E887" s="144"/>
      <c r="F887" s="144"/>
      <c r="G887" s="144"/>
      <c r="H887" s="29"/>
      <c r="I887" s="29"/>
      <c r="J887" s="29"/>
      <c r="K887" s="29"/>
      <c r="L887" s="146"/>
      <c r="M887" s="144"/>
      <c r="N887" s="29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 spans="2:25">
      <c r="B888" s="29"/>
      <c r="C888" s="29"/>
      <c r="D888" s="146"/>
      <c r="E888" s="144"/>
      <c r="F888" s="144"/>
      <c r="G888" s="144"/>
      <c r="H888" s="29"/>
      <c r="I888" s="29"/>
      <c r="J888" s="29"/>
      <c r="K888" s="29"/>
      <c r="L888" s="146"/>
      <c r="M888" s="144"/>
      <c r="N888" s="29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 spans="2:25">
      <c r="B889" s="29" t="s">
        <v>516</v>
      </c>
      <c r="C889" s="29"/>
      <c r="D889" s="146"/>
      <c r="E889" s="144"/>
      <c r="F889" s="144"/>
      <c r="G889" s="144"/>
      <c r="H889" s="29"/>
      <c r="I889" s="29"/>
      <c r="J889" s="29"/>
      <c r="K889" s="29"/>
      <c r="L889" s="146"/>
      <c r="M889" s="144"/>
      <c r="N889" s="29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 spans="2:25" ht="15">
      <c r="B890" s="112" t="s">
        <v>92</v>
      </c>
      <c r="C890" s="114" t="s">
        <v>343</v>
      </c>
      <c r="D890" s="116" t="s">
        <v>458</v>
      </c>
      <c r="E890" s="151" t="s">
        <v>345</v>
      </c>
      <c r="F890" s="151"/>
      <c r="G890" s="151"/>
      <c r="H890" s="147" t="s">
        <v>459</v>
      </c>
      <c r="I890" s="29"/>
      <c r="J890" s="29"/>
      <c r="K890" s="29"/>
      <c r="L890" s="146"/>
      <c r="M890" s="144"/>
      <c r="N890" s="29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 spans="2:25" ht="15">
      <c r="B891" s="107">
        <v>1</v>
      </c>
      <c r="C891" s="78" t="s">
        <v>98</v>
      </c>
      <c r="D891" s="152">
        <v>0.26</v>
      </c>
      <c r="E891" s="120">
        <f t="shared" ref="E891:E900" si="67">D891/H891</f>
        <v>4.3470991472997829E-2</v>
      </c>
      <c r="F891" s="120"/>
      <c r="G891" s="120"/>
      <c r="H891" s="138">
        <v>5.9809999999999999</v>
      </c>
      <c r="I891" s="29"/>
      <c r="J891" s="29"/>
      <c r="K891" s="29"/>
      <c r="L891" s="146"/>
      <c r="M891" s="144"/>
      <c r="N891" s="29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 spans="2:25" ht="15">
      <c r="B892" s="107">
        <v>2</v>
      </c>
      <c r="C892" s="78" t="s">
        <v>99</v>
      </c>
      <c r="D892" s="152">
        <v>0.1</v>
      </c>
      <c r="E892" s="120">
        <f t="shared" si="67"/>
        <v>1.6719612104999164E-2</v>
      </c>
      <c r="F892" s="120"/>
      <c r="G892" s="120"/>
      <c r="H892" s="138">
        <v>5.9809999999999999</v>
      </c>
      <c r="I892" s="29"/>
      <c r="J892" s="29"/>
      <c r="K892" s="29"/>
      <c r="L892" s="146"/>
      <c r="M892" s="144"/>
      <c r="N892" s="29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 spans="2:25" ht="15">
      <c r="B893" s="107">
        <v>3</v>
      </c>
      <c r="C893" s="78" t="s">
        <v>100</v>
      </c>
      <c r="D893" s="152">
        <v>0.1</v>
      </c>
      <c r="E893" s="120">
        <f t="shared" si="67"/>
        <v>1.6719612104999164E-2</v>
      </c>
      <c r="F893" s="120"/>
      <c r="G893" s="120"/>
      <c r="H893" s="138">
        <v>5.9809999999999999</v>
      </c>
      <c r="I893" s="29"/>
      <c r="J893" s="29"/>
      <c r="K893" s="29"/>
      <c r="L893" s="146"/>
      <c r="M893" s="144"/>
      <c r="N893" s="29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 spans="2:25" ht="15">
      <c r="B894" s="107">
        <v>4</v>
      </c>
      <c r="C894" s="78" t="s">
        <v>96</v>
      </c>
      <c r="D894" s="152">
        <v>0.08</v>
      </c>
      <c r="E894" s="120">
        <f t="shared" si="67"/>
        <v>1.3375689683999333E-2</v>
      </c>
      <c r="F894" s="120"/>
      <c r="G894" s="120"/>
      <c r="H894" s="138">
        <v>5.9809999999999999</v>
      </c>
      <c r="I894" s="29"/>
      <c r="J894" s="29"/>
      <c r="K894" s="29"/>
      <c r="L894" s="146"/>
      <c r="M894" s="144"/>
      <c r="N894" s="29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 spans="2:25" ht="15">
      <c r="B895" s="107">
        <v>5</v>
      </c>
      <c r="C895" s="78" t="s">
        <v>116</v>
      </c>
      <c r="D895" s="152">
        <v>0.01</v>
      </c>
      <c r="E895" s="120">
        <f t="shared" si="67"/>
        <v>1.6719612104999166E-3</v>
      </c>
      <c r="F895" s="120"/>
      <c r="G895" s="120"/>
      <c r="H895" s="138">
        <v>5.9809999999999999</v>
      </c>
      <c r="I895" s="29"/>
      <c r="J895" s="29"/>
      <c r="K895" s="29"/>
      <c r="L895" s="146"/>
      <c r="M895" s="144"/>
      <c r="N895" s="29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 spans="2:25" ht="15">
      <c r="B896" s="107">
        <v>6</v>
      </c>
      <c r="C896" s="78" t="s">
        <v>103</v>
      </c>
      <c r="D896" s="152">
        <v>0.01</v>
      </c>
      <c r="E896" s="120">
        <f t="shared" si="67"/>
        <v>1.6719612104999166E-3</v>
      </c>
      <c r="F896" s="120"/>
      <c r="G896" s="120"/>
      <c r="H896" s="138">
        <v>5.9809999999999999</v>
      </c>
      <c r="I896" s="29"/>
      <c r="J896" s="29"/>
      <c r="K896" s="29"/>
      <c r="L896" s="146"/>
      <c r="M896" s="144"/>
      <c r="N896" s="29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 spans="2:25" ht="15">
      <c r="B897" s="107">
        <v>7</v>
      </c>
      <c r="C897" s="78" t="s">
        <v>333</v>
      </c>
      <c r="D897" s="152">
        <v>0.01</v>
      </c>
      <c r="E897" s="120">
        <f t="shared" si="67"/>
        <v>1.6719612104999166E-3</v>
      </c>
      <c r="F897" s="120"/>
      <c r="G897" s="120"/>
      <c r="H897" s="138">
        <v>5.9809999999999999</v>
      </c>
      <c r="I897" s="29"/>
      <c r="J897" s="29"/>
      <c r="K897" s="29"/>
      <c r="L897" s="146"/>
      <c r="M897" s="144"/>
      <c r="N897" s="29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 spans="2:25" ht="15">
      <c r="B898" s="107">
        <v>8</v>
      </c>
      <c r="C898" s="78" t="s">
        <v>328</v>
      </c>
      <c r="D898" s="152">
        <v>0.01</v>
      </c>
      <c r="E898" s="120">
        <f t="shared" si="67"/>
        <v>1.6719612104999166E-3</v>
      </c>
      <c r="F898" s="120"/>
      <c r="G898" s="120"/>
      <c r="H898" s="138">
        <v>5.9809999999999999</v>
      </c>
      <c r="I898" s="29"/>
      <c r="J898" s="29"/>
      <c r="K898" s="29"/>
      <c r="L898" s="146"/>
      <c r="M898" s="144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 spans="2:25" ht="15">
      <c r="B899" s="107">
        <v>9</v>
      </c>
      <c r="C899" s="78" t="s">
        <v>111</v>
      </c>
      <c r="D899" s="152">
        <v>0</v>
      </c>
      <c r="E899" s="120">
        <f t="shared" si="67"/>
        <v>0</v>
      </c>
      <c r="F899" s="120"/>
      <c r="G899" s="120"/>
      <c r="H899" s="138">
        <v>5.9809999999999999</v>
      </c>
      <c r="I899" s="29"/>
      <c r="J899" s="29"/>
      <c r="K899" s="29"/>
      <c r="L899" s="146"/>
      <c r="M899" s="144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 spans="2:25" ht="15">
      <c r="B900" s="109">
        <v>10</v>
      </c>
      <c r="C900" s="154" t="s">
        <v>363</v>
      </c>
      <c r="D900" s="155">
        <v>0</v>
      </c>
      <c r="E900" s="157">
        <f t="shared" si="67"/>
        <v>0</v>
      </c>
      <c r="F900" s="157"/>
      <c r="G900" s="157"/>
      <c r="H900" s="139">
        <v>5.9809999999999999</v>
      </c>
      <c r="I900" s="29"/>
      <c r="J900" s="29"/>
      <c r="K900" s="29"/>
      <c r="L900" s="146"/>
      <c r="M900" s="144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 spans="2:25">
      <c r="B901" s="29"/>
      <c r="C901" s="29"/>
      <c r="D901" s="146"/>
      <c r="E901" s="144"/>
      <c r="F901" s="144"/>
      <c r="G901" s="144"/>
      <c r="H901" s="29"/>
      <c r="I901" s="29"/>
      <c r="J901" s="29"/>
      <c r="K901" s="29"/>
      <c r="L901" s="146"/>
      <c r="M901" s="144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 spans="2:25">
      <c r="B902" s="29"/>
      <c r="C902" s="29"/>
      <c r="D902" s="146"/>
      <c r="E902" s="144"/>
      <c r="F902" s="144"/>
      <c r="G902" s="144"/>
      <c r="H902" s="29"/>
      <c r="I902" s="29"/>
      <c r="J902" s="29"/>
      <c r="K902" s="29"/>
      <c r="L902" s="146"/>
      <c r="M902" s="144"/>
    </row>
    <row r="903" spans="2:25">
      <c r="B903" s="29" t="s">
        <v>517</v>
      </c>
      <c r="C903" s="29"/>
      <c r="D903" s="146"/>
      <c r="E903" s="144"/>
      <c r="F903" s="144"/>
      <c r="G903" s="144"/>
      <c r="H903" s="29"/>
      <c r="I903" s="29"/>
      <c r="J903" s="29"/>
      <c r="K903" s="29"/>
      <c r="L903" s="146"/>
      <c r="M903" s="144"/>
    </row>
    <row r="904" spans="2:25" ht="15">
      <c r="B904" s="112" t="s">
        <v>92</v>
      </c>
      <c r="C904" s="114" t="s">
        <v>343</v>
      </c>
      <c r="D904" s="116" t="s">
        <v>458</v>
      </c>
      <c r="E904" s="151" t="s">
        <v>345</v>
      </c>
      <c r="F904" s="151"/>
      <c r="G904" s="151"/>
      <c r="H904" s="147" t="s">
        <v>459</v>
      </c>
      <c r="I904" s="29"/>
      <c r="J904" s="29"/>
      <c r="K904" s="29"/>
      <c r="L904" s="146"/>
      <c r="M904" s="144"/>
    </row>
    <row r="905" spans="2:25" ht="15">
      <c r="B905" s="107">
        <v>1</v>
      </c>
      <c r="C905" s="78" t="s">
        <v>98</v>
      </c>
      <c r="D905" s="152">
        <v>1.33</v>
      </c>
      <c r="E905" s="120">
        <f t="shared" ref="E905:E914" si="68">D905/H905</f>
        <v>0.57409245910130791</v>
      </c>
      <c r="F905" s="120"/>
      <c r="G905" s="120"/>
      <c r="H905" s="138">
        <v>2.3167</v>
      </c>
      <c r="I905" s="29"/>
      <c r="J905" s="29"/>
      <c r="K905" s="29"/>
      <c r="L905" s="146"/>
      <c r="M905" s="144"/>
    </row>
    <row r="906" spans="2:25" ht="15">
      <c r="B906" s="107">
        <v>2</v>
      </c>
      <c r="C906" s="78" t="s">
        <v>96</v>
      </c>
      <c r="D906" s="152">
        <v>0.25</v>
      </c>
      <c r="E906" s="120">
        <f t="shared" si="68"/>
        <v>0.1079121163724263</v>
      </c>
      <c r="F906" s="120"/>
      <c r="G906" s="120"/>
      <c r="H906" s="138">
        <v>2.3167</v>
      </c>
      <c r="I906" s="29"/>
      <c r="J906" s="29"/>
      <c r="K906" s="29"/>
      <c r="L906" s="146"/>
      <c r="M906" s="144"/>
    </row>
    <row r="907" spans="2:25" ht="15">
      <c r="B907" s="107">
        <v>3</v>
      </c>
      <c r="C907" s="78" t="s">
        <v>103</v>
      </c>
      <c r="D907" s="152">
        <v>0.19</v>
      </c>
      <c r="E907" s="120">
        <f t="shared" si="68"/>
        <v>8.2013208443043981E-2</v>
      </c>
      <c r="F907" s="120"/>
      <c r="G907" s="120"/>
      <c r="H907" s="138">
        <v>2.3167</v>
      </c>
      <c r="I907" s="29"/>
      <c r="J907" s="29"/>
      <c r="K907" s="29"/>
      <c r="L907" s="146"/>
      <c r="M907" s="144"/>
    </row>
    <row r="908" spans="2:25" ht="15">
      <c r="B908" s="107">
        <v>4</v>
      </c>
      <c r="C908" s="78" t="s">
        <v>99</v>
      </c>
      <c r="D908" s="152">
        <v>7.0000000000000007E-2</v>
      </c>
      <c r="E908" s="120">
        <f t="shared" si="68"/>
        <v>3.0215392584279365E-2</v>
      </c>
      <c r="F908" s="120"/>
      <c r="G908" s="120"/>
      <c r="H908" s="138">
        <v>2.3167</v>
      </c>
      <c r="I908" s="29"/>
      <c r="J908" s="29"/>
      <c r="K908" s="29"/>
      <c r="L908" s="146"/>
      <c r="M908" s="144"/>
    </row>
    <row r="909" spans="2:25" ht="15">
      <c r="B909" s="107">
        <v>5</v>
      </c>
      <c r="C909" s="78" t="s">
        <v>116</v>
      </c>
      <c r="D909" s="152">
        <v>7.0000000000000007E-2</v>
      </c>
      <c r="E909" s="120">
        <f t="shared" si="68"/>
        <v>3.0215392584279365E-2</v>
      </c>
      <c r="F909" s="120"/>
      <c r="G909" s="120"/>
      <c r="H909" s="138">
        <v>2.3167</v>
      </c>
      <c r="I909" s="29"/>
      <c r="J909" s="29"/>
      <c r="K909" s="29"/>
      <c r="L909" s="146"/>
      <c r="M909" s="144"/>
    </row>
    <row r="910" spans="2:25" ht="15">
      <c r="B910" s="107">
        <v>6</v>
      </c>
      <c r="C910" s="78" t="s">
        <v>100</v>
      </c>
      <c r="D910" s="152">
        <v>7.0000000000000007E-2</v>
      </c>
      <c r="E910" s="120">
        <f t="shared" si="68"/>
        <v>3.0215392584279365E-2</v>
      </c>
      <c r="F910" s="120"/>
      <c r="G910" s="120"/>
      <c r="H910" s="138">
        <v>2.3167</v>
      </c>
      <c r="I910" s="29"/>
      <c r="J910" s="29"/>
      <c r="K910" s="29"/>
      <c r="L910" s="146"/>
      <c r="M910" s="144"/>
    </row>
    <row r="911" spans="2:25" ht="15">
      <c r="B911" s="107">
        <v>7</v>
      </c>
      <c r="C911" s="78" t="s">
        <v>328</v>
      </c>
      <c r="D911" s="152">
        <v>0.06</v>
      </c>
      <c r="E911" s="120">
        <f t="shared" si="68"/>
        <v>2.5898907929382309E-2</v>
      </c>
      <c r="F911" s="120"/>
      <c r="G911" s="120"/>
      <c r="H911" s="138">
        <v>2.3167</v>
      </c>
      <c r="I911" s="29"/>
      <c r="J911" s="29"/>
      <c r="K911" s="29"/>
      <c r="L911" s="146"/>
      <c r="M911" s="144"/>
    </row>
    <row r="912" spans="2:25" ht="15">
      <c r="B912" s="107">
        <v>8</v>
      </c>
      <c r="C912" s="78" t="s">
        <v>333</v>
      </c>
      <c r="D912" s="152">
        <v>0.05</v>
      </c>
      <c r="E912" s="120">
        <f t="shared" si="68"/>
        <v>2.1582423274485261E-2</v>
      </c>
      <c r="F912" s="120"/>
      <c r="G912" s="120"/>
      <c r="H912" s="138">
        <v>2.3167</v>
      </c>
      <c r="I912" s="29"/>
      <c r="J912" s="29"/>
      <c r="K912" s="29"/>
      <c r="L912" s="146"/>
      <c r="M912" s="144"/>
    </row>
    <row r="913" spans="2:13" ht="15">
      <c r="B913" s="107">
        <v>9</v>
      </c>
      <c r="C913" s="78" t="s">
        <v>111</v>
      </c>
      <c r="D913" s="152">
        <v>0.05</v>
      </c>
      <c r="E913" s="120">
        <f t="shared" si="68"/>
        <v>2.1582423274485261E-2</v>
      </c>
      <c r="F913" s="120"/>
      <c r="G913" s="120"/>
      <c r="H913" s="138">
        <v>2.3167</v>
      </c>
      <c r="I913" s="29"/>
      <c r="J913" s="29"/>
      <c r="K913" s="29"/>
      <c r="L913" s="146"/>
      <c r="M913" s="144"/>
    </row>
    <row r="914" spans="2:13" ht="15">
      <c r="B914" s="109">
        <v>10</v>
      </c>
      <c r="C914" s="154" t="s">
        <v>108</v>
      </c>
      <c r="D914" s="155">
        <v>0.04</v>
      </c>
      <c r="E914" s="157">
        <f t="shared" si="68"/>
        <v>1.7241379310344831E-2</v>
      </c>
      <c r="F914" s="157"/>
      <c r="G914" s="157"/>
      <c r="H914" s="139">
        <v>2.3199999999999998</v>
      </c>
      <c r="I914" s="29"/>
      <c r="J914" s="29"/>
      <c r="K914" s="29"/>
      <c r="L914" s="146"/>
      <c r="M914" s="144"/>
    </row>
    <row r="915" spans="2:13"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</row>
    <row r="916" spans="2:13"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</row>
    <row r="917" spans="2:13"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</row>
    <row r="918" spans="2:13"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</row>
  </sheetData>
  <phoneticPr fontId="45" type="noConversion"/>
  <pageMargins left="0.7" right="0.7" top="0.75" bottom="0.75" header="0.3" footer="0.3"/>
  <pageSetup paperSize="9" orientation="portrait" horizontalDpi="1200" verticalDpi="1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O59"/>
  <sheetViews>
    <sheetView zoomScale="125" zoomScaleNormal="85" workbookViewId="0"/>
  </sheetViews>
  <sheetFormatPr baseColWidth="10" defaultColWidth="8.6640625" defaultRowHeight="17"/>
  <cols>
    <col min="1" max="1" width="8.6640625" style="55"/>
    <col min="2" max="2" width="21.6640625" style="55" customWidth="1"/>
    <col min="3" max="14" width="9.83203125" style="55" customWidth="1"/>
    <col min="15" max="15" width="10.1640625" style="55" customWidth="1"/>
    <col min="16" max="16384" width="8.6640625" style="55"/>
  </cols>
  <sheetData>
    <row r="2" spans="2:15">
      <c r="B2" s="56" t="s">
        <v>17</v>
      </c>
      <c r="C2" s="56">
        <v>2015</v>
      </c>
      <c r="D2" s="56">
        <v>2016</v>
      </c>
      <c r="E2" s="56">
        <v>2017</v>
      </c>
      <c r="F2" s="56">
        <v>2018</v>
      </c>
      <c r="G2" s="56">
        <v>2019</v>
      </c>
      <c r="H2" s="56">
        <v>2020</v>
      </c>
      <c r="I2" s="56">
        <v>2021</v>
      </c>
      <c r="J2" s="59" t="s">
        <v>55</v>
      </c>
      <c r="K2" s="59">
        <v>2023</v>
      </c>
      <c r="L2" s="59"/>
    </row>
    <row r="3" spans="2:15">
      <c r="B3" s="56" t="s">
        <v>36</v>
      </c>
      <c r="C3" s="57">
        <v>16.5</v>
      </c>
      <c r="D3" s="57">
        <v>28.3</v>
      </c>
      <c r="E3" s="58">
        <v>36.299999999999997</v>
      </c>
      <c r="F3" s="59">
        <v>56.9</v>
      </c>
      <c r="G3" s="59">
        <v>62.2</v>
      </c>
      <c r="H3" s="59">
        <v>63.3</v>
      </c>
      <c r="I3" s="59">
        <v>154.5</v>
      </c>
      <c r="J3" s="62">
        <v>294.60000000000002</v>
      </c>
      <c r="K3" s="59">
        <v>387.6</v>
      </c>
      <c r="L3" s="62"/>
    </row>
    <row r="4" spans="2:15">
      <c r="B4" s="56" t="s">
        <v>18</v>
      </c>
      <c r="C4" s="60"/>
      <c r="D4" s="60">
        <f t="shared" ref="D4:I4" si="0">D3/C3-1</f>
        <v>0.71515151515151509</v>
      </c>
      <c r="E4" s="60">
        <f t="shared" si="0"/>
        <v>0.28268551236749095</v>
      </c>
      <c r="F4" s="60">
        <f t="shared" si="0"/>
        <v>0.56749311294765858</v>
      </c>
      <c r="G4" s="60">
        <f t="shared" si="0"/>
        <v>9.3145869947276028E-2</v>
      </c>
      <c r="H4" s="60">
        <f t="shared" si="0"/>
        <v>1.7684887459807008E-2</v>
      </c>
      <c r="I4" s="60">
        <f t="shared" si="0"/>
        <v>1.4407582938388628</v>
      </c>
      <c r="J4" s="65">
        <v>0.90700000000000003</v>
      </c>
      <c r="K4" s="60">
        <v>0.316</v>
      </c>
      <c r="L4" s="65"/>
    </row>
    <row r="5" spans="2:15">
      <c r="B5" s="56" t="s">
        <v>12</v>
      </c>
      <c r="C5" s="61"/>
      <c r="D5" s="61"/>
      <c r="E5" s="59"/>
      <c r="F5" s="59">
        <v>70.599999999999994</v>
      </c>
      <c r="G5" s="62">
        <v>85.375699999999995</v>
      </c>
      <c r="H5" s="62">
        <v>83.390799999999999</v>
      </c>
      <c r="I5" s="62">
        <v>219.68639999999999</v>
      </c>
      <c r="J5" s="62">
        <v>545.9</v>
      </c>
      <c r="K5" s="62">
        <v>778.1</v>
      </c>
      <c r="L5" s="62" t="s">
        <v>518</v>
      </c>
    </row>
    <row r="6" spans="2:15">
      <c r="B6" s="56" t="s">
        <v>18</v>
      </c>
      <c r="G6" s="60">
        <f>G5/F5-1</f>
        <v>0.20928753541076484</v>
      </c>
      <c r="H6" s="60">
        <f>H5/G5-1</f>
        <v>-2.3249004107726123E-2</v>
      </c>
      <c r="I6" s="60">
        <f>I5/H5-1</f>
        <v>1.6344201038963528</v>
      </c>
      <c r="J6" s="65">
        <v>1.4850000000000001</v>
      </c>
      <c r="K6" s="60">
        <v>0.42499999999999999</v>
      </c>
      <c r="L6" s="60"/>
    </row>
    <row r="7" spans="2:15">
      <c r="B7" s="56" t="s">
        <v>519</v>
      </c>
      <c r="F7" s="59">
        <v>39.200000000000003</v>
      </c>
      <c r="G7" s="59">
        <v>55.1</v>
      </c>
      <c r="H7" s="62">
        <v>48.5</v>
      </c>
      <c r="I7" s="62">
        <v>93.9</v>
      </c>
      <c r="J7" s="62">
        <v>212.5</v>
      </c>
      <c r="K7" s="62">
        <v>245.1</v>
      </c>
      <c r="L7" s="62"/>
    </row>
    <row r="8" spans="2:15">
      <c r="B8" s="56" t="s">
        <v>520</v>
      </c>
      <c r="F8" s="59">
        <v>28</v>
      </c>
      <c r="G8" s="59">
        <v>27.7</v>
      </c>
      <c r="H8" s="62">
        <v>34.6</v>
      </c>
      <c r="I8" s="62">
        <v>125.4</v>
      </c>
      <c r="J8" s="62">
        <v>332.4</v>
      </c>
      <c r="K8" s="62">
        <v>531.4</v>
      </c>
      <c r="L8" s="62"/>
    </row>
    <row r="9" spans="2:15">
      <c r="B9" s="56" t="s">
        <v>39</v>
      </c>
      <c r="E9" s="63"/>
      <c r="F9" s="62">
        <f>F5-F7-F8</f>
        <v>3.3999999999999915</v>
      </c>
      <c r="G9" s="62">
        <f t="shared" ref="G9:J9" si="1">G5-G7-G8</f>
        <v>2.5756999999999941</v>
      </c>
      <c r="H9" s="62">
        <f t="shared" si="1"/>
        <v>0.29079999999999728</v>
      </c>
      <c r="I9" s="62">
        <f t="shared" si="1"/>
        <v>0.38639999999998054</v>
      </c>
      <c r="J9" s="62">
        <f t="shared" si="1"/>
        <v>1</v>
      </c>
      <c r="K9" s="62">
        <v>1.7</v>
      </c>
      <c r="L9" s="62"/>
    </row>
    <row r="12" spans="2:15">
      <c r="B12" s="34" t="s">
        <v>521</v>
      </c>
      <c r="C12" s="34" t="s">
        <v>19</v>
      </c>
      <c r="D12" s="34" t="s">
        <v>20</v>
      </c>
      <c r="E12" s="34" t="s">
        <v>21</v>
      </c>
      <c r="F12" s="34" t="s">
        <v>22</v>
      </c>
      <c r="G12" s="34" t="s">
        <v>23</v>
      </c>
      <c r="H12" s="34" t="s">
        <v>24</v>
      </c>
      <c r="I12" s="34" t="s">
        <v>25</v>
      </c>
      <c r="J12" s="34" t="s">
        <v>26</v>
      </c>
      <c r="K12" s="34" t="s">
        <v>27</v>
      </c>
      <c r="L12" s="34" t="s">
        <v>28</v>
      </c>
      <c r="M12" s="34" t="s">
        <v>29</v>
      </c>
      <c r="N12" s="34" t="s">
        <v>30</v>
      </c>
      <c r="O12" s="34" t="s">
        <v>31</v>
      </c>
    </row>
    <row r="13" spans="2:15">
      <c r="B13" s="22">
        <v>2019</v>
      </c>
      <c r="C13" s="64">
        <v>6800</v>
      </c>
      <c r="D13" s="64">
        <v>4800</v>
      </c>
      <c r="E13" s="64">
        <v>8200</v>
      </c>
      <c r="F13" s="64">
        <v>7300</v>
      </c>
      <c r="G13" s="64">
        <v>9900</v>
      </c>
      <c r="H13" s="64">
        <v>6400</v>
      </c>
      <c r="I13" s="64">
        <v>5700</v>
      </c>
      <c r="J13" s="64">
        <v>6700</v>
      </c>
      <c r="K13" s="64">
        <v>7644.6</v>
      </c>
      <c r="L13" s="64">
        <v>6667.3</v>
      </c>
      <c r="M13" s="64">
        <v>9042.7999999999993</v>
      </c>
      <c r="N13" s="64">
        <v>6206.3</v>
      </c>
      <c r="O13" s="66">
        <f>SUM(C13:N13)</f>
        <v>85361</v>
      </c>
    </row>
    <row r="14" spans="2:15">
      <c r="B14" s="22">
        <v>2020</v>
      </c>
      <c r="C14" s="64">
        <v>830.2</v>
      </c>
      <c r="D14" s="64">
        <v>901.8</v>
      </c>
      <c r="E14" s="64">
        <v>4478.2</v>
      </c>
      <c r="F14" s="64">
        <v>4722.8999999999996</v>
      </c>
      <c r="G14" s="64">
        <v>5189.7</v>
      </c>
      <c r="H14" s="64">
        <v>5345.9</v>
      </c>
      <c r="I14" s="64">
        <v>6081</v>
      </c>
      <c r="J14" s="64">
        <v>7445.4</v>
      </c>
      <c r="K14" s="64">
        <v>8615.2999999999993</v>
      </c>
      <c r="L14" s="64">
        <v>9860.2999999999993</v>
      </c>
      <c r="M14" s="64">
        <v>12726.2</v>
      </c>
      <c r="N14" s="64">
        <v>15136</v>
      </c>
      <c r="O14" s="66">
        <f t="shared" ref="O14:O15" si="2">SUM(C14:N14)</f>
        <v>81332.899999999994</v>
      </c>
    </row>
    <row r="15" spans="2:15">
      <c r="B15" s="22">
        <v>2021</v>
      </c>
      <c r="C15" s="64">
        <v>12049.1</v>
      </c>
      <c r="D15" s="64">
        <v>9451.4</v>
      </c>
      <c r="E15" s="64">
        <v>11281.6</v>
      </c>
      <c r="F15" s="64">
        <v>12926.4</v>
      </c>
      <c r="G15" s="64">
        <v>13793.4</v>
      </c>
      <c r="H15" s="64">
        <v>15197.1</v>
      </c>
      <c r="I15" s="64">
        <v>17351.900000000001</v>
      </c>
      <c r="J15" s="64">
        <v>19481.7</v>
      </c>
      <c r="K15" s="64">
        <v>23169.3</v>
      </c>
      <c r="L15" s="64">
        <v>25122.5</v>
      </c>
      <c r="M15" s="64">
        <v>28230.5</v>
      </c>
      <c r="N15" s="64">
        <v>31631.5</v>
      </c>
      <c r="O15" s="66">
        <f t="shared" si="2"/>
        <v>219686.39999999999</v>
      </c>
    </row>
    <row r="16" spans="2:15">
      <c r="B16" s="29" t="s">
        <v>32</v>
      </c>
      <c r="C16" s="30">
        <f>C15/C14-1</f>
        <v>13.513490725126475</v>
      </c>
      <c r="D16" s="30">
        <f t="shared" ref="D16:O16" si="3">D15/D14-1</f>
        <v>9.4805943668219115</v>
      </c>
      <c r="E16" s="30">
        <f t="shared" si="3"/>
        <v>1.5192264749229603</v>
      </c>
      <c r="F16" s="30">
        <f t="shared" si="3"/>
        <v>1.7369624595058122</v>
      </c>
      <c r="G16" s="30">
        <f t="shared" si="3"/>
        <v>1.6578414937279611</v>
      </c>
      <c r="H16" s="30">
        <f t="shared" si="3"/>
        <v>1.8427580014590625</v>
      </c>
      <c r="I16" s="30">
        <f t="shared" si="3"/>
        <v>1.8534616017102454</v>
      </c>
      <c r="J16" s="30">
        <f t="shared" si="3"/>
        <v>1.616608912885809</v>
      </c>
      <c r="K16" s="30">
        <f t="shared" si="3"/>
        <v>1.6893201629658865</v>
      </c>
      <c r="L16" s="30">
        <f t="shared" si="3"/>
        <v>1.5478433719055205</v>
      </c>
      <c r="M16" s="30">
        <f t="shared" si="3"/>
        <v>1.2182976850906004</v>
      </c>
      <c r="N16" s="30">
        <f t="shared" si="3"/>
        <v>1.0898189746300213</v>
      </c>
      <c r="O16" s="42">
        <f t="shared" si="3"/>
        <v>1.7010766860643112</v>
      </c>
    </row>
    <row r="17" spans="2:15">
      <c r="B17" s="29" t="s">
        <v>33</v>
      </c>
      <c r="C17" s="31">
        <f>C15/N14-1</f>
        <v>-0.20394423890063418</v>
      </c>
      <c r="D17" s="30">
        <f>D15/C15-1</f>
        <v>-0.21559286585720105</v>
      </c>
      <c r="E17" s="30">
        <f t="shared" ref="E17:N17" si="4">E15/D15-1</f>
        <v>0.19364326978013846</v>
      </c>
      <c r="F17" s="30">
        <f t="shared" si="4"/>
        <v>0.14579492270599914</v>
      </c>
      <c r="G17" s="30">
        <f t="shared" si="4"/>
        <v>6.7072038618640972E-2</v>
      </c>
      <c r="H17" s="30">
        <f t="shared" si="4"/>
        <v>0.10176606202966632</v>
      </c>
      <c r="I17" s="30">
        <f t="shared" si="4"/>
        <v>0.14179020997427139</v>
      </c>
      <c r="J17" s="30">
        <f t="shared" si="4"/>
        <v>0.12274160178424265</v>
      </c>
      <c r="K17" s="30">
        <f t="shared" si="4"/>
        <v>0.18928532930904374</v>
      </c>
      <c r="L17" s="30">
        <f t="shared" si="4"/>
        <v>8.4301208927330507E-2</v>
      </c>
      <c r="M17" s="30">
        <f t="shared" si="4"/>
        <v>0.1237138023683948</v>
      </c>
      <c r="N17" s="30">
        <f t="shared" si="4"/>
        <v>0.12047253856644402</v>
      </c>
      <c r="O17" s="44"/>
    </row>
    <row r="18" spans="2:15">
      <c r="B18" s="22">
        <v>2022</v>
      </c>
      <c r="C18" s="32">
        <v>29663.599999999999</v>
      </c>
      <c r="D18" s="32">
        <v>31772.400000000001</v>
      </c>
      <c r="E18" s="32">
        <v>39179.1</v>
      </c>
      <c r="F18" s="32">
        <v>28964.1</v>
      </c>
      <c r="G18" s="32">
        <v>35578.400000000001</v>
      </c>
      <c r="H18" s="32">
        <v>41293.9</v>
      </c>
      <c r="I18" s="32">
        <v>47237</v>
      </c>
      <c r="J18" s="32">
        <v>50076</v>
      </c>
      <c r="K18" s="32">
        <v>59138</v>
      </c>
      <c r="L18" s="32">
        <v>62819.5</v>
      </c>
      <c r="M18" s="32">
        <v>63406.3</v>
      </c>
      <c r="N18" s="44">
        <v>52468.6</v>
      </c>
      <c r="O18" s="45">
        <f>SUM(C18:N18)</f>
        <v>541596.9</v>
      </c>
    </row>
    <row r="19" spans="2:15">
      <c r="B19" s="29" t="s">
        <v>32</v>
      </c>
      <c r="C19" s="30">
        <f>C18/C15-1</f>
        <v>1.4618934194255169</v>
      </c>
      <c r="D19" s="30">
        <f>D18/D15-1</f>
        <v>2.3616607063503823</v>
      </c>
      <c r="E19" s="30">
        <f t="shared" ref="E19:O19" si="5">E18/E15-1</f>
        <v>2.4728318678201671</v>
      </c>
      <c r="F19" s="30">
        <f t="shared" si="5"/>
        <v>1.2406934645376904</v>
      </c>
      <c r="G19" s="30">
        <f t="shared" si="5"/>
        <v>1.5793785433613179</v>
      </c>
      <c r="H19" s="30">
        <f t="shared" si="5"/>
        <v>1.7172223647932832</v>
      </c>
      <c r="I19" s="30">
        <f t="shared" si="5"/>
        <v>1.7222955411222975</v>
      </c>
      <c r="J19" s="30">
        <f t="shared" si="5"/>
        <v>1.5704122330186792</v>
      </c>
      <c r="K19" s="30">
        <f t="shared" si="5"/>
        <v>1.5524292922099505</v>
      </c>
      <c r="L19" s="30">
        <f t="shared" si="5"/>
        <v>1.50052741566325</v>
      </c>
      <c r="M19" s="30">
        <f t="shared" si="5"/>
        <v>1.2460211473406422</v>
      </c>
      <c r="N19" s="30">
        <f t="shared" si="5"/>
        <v>0.65874523813287378</v>
      </c>
      <c r="O19" s="42">
        <f t="shared" si="5"/>
        <v>1.4653182900716661</v>
      </c>
    </row>
    <row r="20" spans="2:15">
      <c r="B20" s="29" t="s">
        <v>33</v>
      </c>
      <c r="C20" s="31">
        <f>C18/N15-1</f>
        <v>-6.2213300033194807E-2</v>
      </c>
      <c r="D20" s="31">
        <f>D18/C18-1</f>
        <v>7.1090494747771737E-2</v>
      </c>
      <c r="E20" s="31">
        <f t="shared" ref="E20:N20" si="6">E18/D18-1</f>
        <v>0.23311742266873114</v>
      </c>
      <c r="F20" s="31">
        <f t="shared" si="6"/>
        <v>-0.26072574408294225</v>
      </c>
      <c r="G20" s="31">
        <f t="shared" si="6"/>
        <v>0.22836200676009288</v>
      </c>
      <c r="H20" s="31">
        <f t="shared" si="6"/>
        <v>0.16064522294425831</v>
      </c>
      <c r="I20" s="31">
        <f t="shared" si="6"/>
        <v>0.14392198363438657</v>
      </c>
      <c r="J20" s="31">
        <f t="shared" si="6"/>
        <v>6.0101191862311332E-2</v>
      </c>
      <c r="K20" s="31">
        <f t="shared" si="6"/>
        <v>0.18096493330138186</v>
      </c>
      <c r="L20" s="31">
        <f t="shared" si="6"/>
        <v>6.2252697081402797E-2</v>
      </c>
      <c r="M20" s="31">
        <f t="shared" si="6"/>
        <v>9.3410485597624771E-3</v>
      </c>
      <c r="N20" s="31">
        <f t="shared" si="6"/>
        <v>-0.17250178610011946</v>
      </c>
      <c r="O20" s="43"/>
    </row>
    <row r="21" spans="2:15">
      <c r="B21" s="22">
        <v>2023</v>
      </c>
      <c r="C21" s="32">
        <v>28169.3</v>
      </c>
      <c r="D21" s="32">
        <v>41450.5</v>
      </c>
      <c r="E21" s="32">
        <v>51186</v>
      </c>
      <c r="F21" s="32">
        <v>46958.3</v>
      </c>
      <c r="G21" s="32">
        <v>56556.1</v>
      </c>
      <c r="H21" s="32">
        <v>60116.1</v>
      </c>
      <c r="I21" s="32">
        <v>60995.8</v>
      </c>
      <c r="J21" s="67">
        <v>73345</v>
      </c>
      <c r="K21" s="32">
        <v>77400</v>
      </c>
      <c r="L21" s="32">
        <v>77300</v>
      </c>
      <c r="M21" s="32">
        <v>87700</v>
      </c>
      <c r="N21" s="32">
        <v>77700</v>
      </c>
      <c r="O21" s="45">
        <f>SUM(C21:N21)</f>
        <v>738877.1</v>
      </c>
    </row>
    <row r="22" spans="2:15">
      <c r="B22" s="29" t="s">
        <v>32</v>
      </c>
      <c r="C22" s="30">
        <f>C21/C18-1</f>
        <v>-5.0374870211302714E-2</v>
      </c>
      <c r="D22" s="30">
        <f>D21/D18-1</f>
        <v>0.30460714330676941</v>
      </c>
      <c r="E22" s="30">
        <v>0.26700000000000002</v>
      </c>
      <c r="F22" s="30">
        <v>0.38700000000000001</v>
      </c>
      <c r="G22" s="30">
        <v>0.57399999999999995</v>
      </c>
      <c r="H22" s="30">
        <v>0.45700000000000002</v>
      </c>
      <c r="I22" s="30">
        <v>0.28899999999999998</v>
      </c>
      <c r="J22" s="30">
        <v>0.46800000000000003</v>
      </c>
      <c r="K22" s="30">
        <v>0.374</v>
      </c>
      <c r="L22" s="30">
        <v>0.23200000000000001</v>
      </c>
      <c r="M22" s="30">
        <v>0.40699999999999997</v>
      </c>
      <c r="N22" s="30">
        <v>0.48</v>
      </c>
      <c r="O22" s="42">
        <f>O21/O18-1</f>
        <v>0.36425651623929145</v>
      </c>
    </row>
    <row r="23" spans="2:15">
      <c r="B23" s="29" t="s">
        <v>33</v>
      </c>
      <c r="C23" s="31">
        <f>C21/N18-1</f>
        <v>-0.463120799868874</v>
      </c>
      <c r="D23" s="31">
        <f>D21/C21-1</f>
        <v>0.47147781450018278</v>
      </c>
      <c r="E23" s="31">
        <v>0.23499999999999999</v>
      </c>
      <c r="F23" s="31">
        <v>-8.3000000000000004E-2</v>
      </c>
      <c r="G23" s="31">
        <v>0.20399999999999999</v>
      </c>
      <c r="H23" s="31">
        <v>6.3E-2</v>
      </c>
      <c r="I23" s="31">
        <v>1.4999999999999999E-2</v>
      </c>
      <c r="J23" s="31">
        <v>7.3999999999999996E-2</v>
      </c>
      <c r="K23" s="31">
        <v>5.6000000000000001E-2</v>
      </c>
      <c r="L23" s="31">
        <v>-1E-3</v>
      </c>
      <c r="M23" s="31">
        <v>0.13400000000000001</v>
      </c>
      <c r="N23" s="31">
        <v>-0.11</v>
      </c>
      <c r="O23" s="43"/>
    </row>
    <row r="24" spans="2:15">
      <c r="B24" s="22">
        <v>2024</v>
      </c>
      <c r="C24" s="32">
        <v>65200</v>
      </c>
      <c r="D24" s="32">
        <v>43600</v>
      </c>
      <c r="E24" s="32">
        <v>75800</v>
      </c>
      <c r="F24" s="32"/>
      <c r="G24" s="32"/>
      <c r="H24" s="32"/>
      <c r="I24" s="32"/>
      <c r="J24" s="67"/>
      <c r="K24" s="32"/>
      <c r="L24" s="32"/>
      <c r="M24" s="32"/>
      <c r="N24" s="32"/>
      <c r="O24" s="45">
        <f>SUM(C24:N24)</f>
        <v>184600</v>
      </c>
    </row>
    <row r="25" spans="2:15">
      <c r="B25" s="29" t="s">
        <v>32</v>
      </c>
      <c r="C25" s="30">
        <v>0.68</v>
      </c>
      <c r="D25" s="30">
        <v>-3.5999999999999997E-2</v>
      </c>
      <c r="E25" s="30">
        <v>0.39800000000000002</v>
      </c>
      <c r="F25" s="30"/>
      <c r="G25" s="30"/>
      <c r="H25" s="30"/>
      <c r="I25" s="30"/>
      <c r="J25" s="30"/>
      <c r="K25" s="30"/>
      <c r="L25" s="30"/>
      <c r="M25" s="30"/>
      <c r="N25" s="30"/>
      <c r="O25" s="42">
        <f>O24/O21-1</f>
        <v>-0.75016142738758584</v>
      </c>
    </row>
    <row r="26" spans="2:15">
      <c r="B26" s="29" t="s">
        <v>33</v>
      </c>
      <c r="C26" s="31">
        <v>-0.161</v>
      </c>
      <c r="D26" s="31">
        <v>-0.33100000000000002</v>
      </c>
      <c r="E26" s="31">
        <v>0.73799999999999999</v>
      </c>
      <c r="F26" s="31"/>
      <c r="G26" s="31"/>
      <c r="H26" s="31"/>
      <c r="I26" s="31"/>
      <c r="J26" s="31"/>
      <c r="K26" s="31"/>
      <c r="L26" s="31"/>
      <c r="M26" s="31"/>
      <c r="N26" s="31"/>
      <c r="O26" s="43"/>
    </row>
    <row r="27" spans="2:15">
      <c r="J27" s="68"/>
    </row>
    <row r="28" spans="2:15">
      <c r="J28" s="68" t="s">
        <v>522</v>
      </c>
    </row>
    <row r="29" spans="2:15">
      <c r="B29" s="34" t="s">
        <v>523</v>
      </c>
      <c r="C29" s="34" t="s">
        <v>19</v>
      </c>
      <c r="D29" s="34" t="s">
        <v>20</v>
      </c>
      <c r="E29" s="34" t="s">
        <v>21</v>
      </c>
      <c r="F29" s="34" t="s">
        <v>22</v>
      </c>
      <c r="G29" s="34" t="s">
        <v>23</v>
      </c>
      <c r="H29" s="34" t="s">
        <v>24</v>
      </c>
      <c r="I29" s="34" t="s">
        <v>25</v>
      </c>
      <c r="J29" s="34" t="s">
        <v>26</v>
      </c>
      <c r="K29" s="34" t="s">
        <v>27</v>
      </c>
      <c r="L29" s="34" t="s">
        <v>28</v>
      </c>
      <c r="M29" s="34" t="s">
        <v>29</v>
      </c>
      <c r="N29" s="34" t="s">
        <v>30</v>
      </c>
      <c r="O29" s="34" t="s">
        <v>31</v>
      </c>
    </row>
    <row r="30" spans="2:15">
      <c r="B30" s="22">
        <v>2019</v>
      </c>
      <c r="C30" s="64"/>
      <c r="D30" s="64"/>
      <c r="E30" s="64">
        <v>5500</v>
      </c>
      <c r="F30" s="64">
        <v>4300</v>
      </c>
      <c r="G30" s="64">
        <v>6500</v>
      </c>
      <c r="H30" s="64">
        <v>4500</v>
      </c>
      <c r="I30" s="64">
        <v>4300</v>
      </c>
      <c r="J30" s="64">
        <v>4600</v>
      </c>
      <c r="K30" s="64">
        <v>4719.3</v>
      </c>
      <c r="L30" s="64">
        <v>3950.9</v>
      </c>
      <c r="M30" s="64">
        <v>5372.7</v>
      </c>
      <c r="N30" s="64">
        <v>4826.5</v>
      </c>
      <c r="O30" s="66">
        <f>SUM(C30:N30)</f>
        <v>48569.4</v>
      </c>
    </row>
    <row r="31" spans="2:15">
      <c r="B31" s="22">
        <v>2020</v>
      </c>
      <c r="C31" s="64">
        <v>366</v>
      </c>
      <c r="D31" s="64">
        <v>462.9</v>
      </c>
      <c r="E31" s="64">
        <v>3242.6</v>
      </c>
      <c r="F31" s="64">
        <v>2862.3</v>
      </c>
      <c r="G31" s="64">
        <v>3069.2</v>
      </c>
      <c r="H31" s="64">
        <v>3148.8</v>
      </c>
      <c r="I31" s="64">
        <v>3273.7</v>
      </c>
      <c r="J31" s="64">
        <v>4368.5</v>
      </c>
      <c r="K31" s="64">
        <v>4753.7</v>
      </c>
      <c r="L31" s="64">
        <v>5517.3</v>
      </c>
      <c r="M31" s="64">
        <v>7286.6</v>
      </c>
      <c r="N31" s="64">
        <v>8495.9</v>
      </c>
      <c r="O31" s="66">
        <f t="shared" ref="O31:O32" si="7">SUM(C31:N31)</f>
        <v>46847.5</v>
      </c>
    </row>
    <row r="32" spans="2:15">
      <c r="B32" s="22">
        <v>2021</v>
      </c>
      <c r="C32" s="64">
        <v>6847.5</v>
      </c>
      <c r="D32" s="64">
        <v>5122.1000000000004</v>
      </c>
      <c r="E32" s="64">
        <v>5824.8</v>
      </c>
      <c r="F32" s="64">
        <v>6705.1</v>
      </c>
      <c r="G32" s="64">
        <v>4999.5</v>
      </c>
      <c r="H32" s="64">
        <v>7356.2</v>
      </c>
      <c r="I32" s="64">
        <v>7986.2</v>
      </c>
      <c r="J32" s="64">
        <v>8366.7000000000007</v>
      </c>
      <c r="K32" s="64">
        <v>9630.2000000000007</v>
      </c>
      <c r="L32" s="64">
        <v>9200.2000000000007</v>
      </c>
      <c r="M32" s="64">
        <v>10388.700000000001</v>
      </c>
      <c r="N32" s="64">
        <v>11435.2</v>
      </c>
      <c r="O32" s="66">
        <f t="shared" si="7"/>
        <v>93862.39999999998</v>
      </c>
    </row>
    <row r="33" spans="2:15">
      <c r="B33" s="29" t="s">
        <v>32</v>
      </c>
      <c r="C33" s="30">
        <f>C32/C31-1</f>
        <v>17.709016393442624</v>
      </c>
      <c r="D33" s="30">
        <f t="shared" ref="D33:O33" si="8">D32/D31-1</f>
        <v>10.065240872758697</v>
      </c>
      <c r="E33" s="30">
        <f t="shared" si="8"/>
        <v>0.79633627336088342</v>
      </c>
      <c r="F33" s="30">
        <f t="shared" si="8"/>
        <v>1.342556685183244</v>
      </c>
      <c r="G33" s="30">
        <f t="shared" si="8"/>
        <v>0.62892610452235109</v>
      </c>
      <c r="H33" s="30">
        <f t="shared" si="8"/>
        <v>1.3361915650406502</v>
      </c>
      <c r="I33" s="30">
        <f t="shared" si="8"/>
        <v>1.4395027033631673</v>
      </c>
      <c r="J33" s="30">
        <f t="shared" si="8"/>
        <v>0.91523406203502367</v>
      </c>
      <c r="K33" s="30">
        <f t="shared" si="8"/>
        <v>1.02583250941372</v>
      </c>
      <c r="L33" s="30">
        <f t="shared" si="8"/>
        <v>0.66751853261559102</v>
      </c>
      <c r="M33" s="30">
        <f t="shared" si="8"/>
        <v>0.42572667636483419</v>
      </c>
      <c r="N33" s="30">
        <f t="shared" si="8"/>
        <v>0.34596687814122129</v>
      </c>
      <c r="O33" s="42">
        <f t="shared" si="8"/>
        <v>1.0035732963338488</v>
      </c>
    </row>
    <row r="34" spans="2:15">
      <c r="B34" s="29" t="s">
        <v>33</v>
      </c>
      <c r="C34" s="31">
        <f>C32/N31-1</f>
        <v>-0.19402299932908806</v>
      </c>
      <c r="D34" s="30">
        <f>D32/C32-1</f>
        <v>-0.25197517342095654</v>
      </c>
      <c r="E34" s="30">
        <f t="shared" ref="E34:N34" si="9">E32/D32-1</f>
        <v>0.13718982448605055</v>
      </c>
      <c r="F34" s="30">
        <f t="shared" si="9"/>
        <v>0.15112965252025834</v>
      </c>
      <c r="G34" s="30">
        <f t="shared" si="9"/>
        <v>-0.25437353656172168</v>
      </c>
      <c r="H34" s="30">
        <f t="shared" si="9"/>
        <v>0.47138713871387128</v>
      </c>
      <c r="I34" s="30">
        <f t="shared" si="9"/>
        <v>8.5642043446344518E-2</v>
      </c>
      <c r="J34" s="30">
        <f t="shared" si="9"/>
        <v>4.7644687085222071E-2</v>
      </c>
      <c r="K34" s="30">
        <f t="shared" si="9"/>
        <v>0.15101533460026051</v>
      </c>
      <c r="L34" s="30">
        <f t="shared" si="9"/>
        <v>-4.4651201428838494E-2</v>
      </c>
      <c r="M34" s="30">
        <f t="shared" si="9"/>
        <v>0.1291819743049063</v>
      </c>
      <c r="N34" s="30">
        <f t="shared" si="9"/>
        <v>0.100734451856344</v>
      </c>
      <c r="O34" s="44"/>
    </row>
    <row r="35" spans="2:15">
      <c r="B35" s="22">
        <v>2022</v>
      </c>
      <c r="C35" s="32">
        <v>10815.3</v>
      </c>
      <c r="D35" s="32">
        <v>11639.1</v>
      </c>
      <c r="E35" s="32">
        <v>15568.2</v>
      </c>
      <c r="F35" s="32">
        <v>10295.4</v>
      </c>
      <c r="G35" s="32">
        <v>16282.4</v>
      </c>
      <c r="H35" s="32">
        <v>18312.3</v>
      </c>
      <c r="I35" s="32">
        <v>16583.8</v>
      </c>
      <c r="J35" s="32">
        <v>19250.599999999999</v>
      </c>
      <c r="K35" s="32">
        <v>24278.3</v>
      </c>
      <c r="L35" s="32">
        <v>24240</v>
      </c>
      <c r="M35" s="32">
        <v>24201.8</v>
      </c>
      <c r="N35" s="44">
        <v>18464.8</v>
      </c>
      <c r="O35" s="45">
        <f>SUM(C35:N35)</f>
        <v>209931.99999999997</v>
      </c>
    </row>
    <row r="36" spans="2:15">
      <c r="B36" s="29" t="s">
        <v>32</v>
      </c>
      <c r="C36" s="30">
        <f>C35/C32-1</f>
        <v>0.57945235487404156</v>
      </c>
      <c r="D36" s="30">
        <f>D35/D32-1</f>
        <v>1.2723297085179905</v>
      </c>
      <c r="E36" s="30">
        <f t="shared" ref="E36:O36" si="10">E35/E32-1</f>
        <v>1.6727441285537701</v>
      </c>
      <c r="F36" s="30">
        <f t="shared" si="10"/>
        <v>0.53545808414490459</v>
      </c>
      <c r="G36" s="30">
        <f t="shared" si="10"/>
        <v>2.2568056805680565</v>
      </c>
      <c r="H36" s="30">
        <f t="shared" si="10"/>
        <v>1.4893695114325332</v>
      </c>
      <c r="I36" s="30">
        <f t="shared" si="10"/>
        <v>1.0765570609301043</v>
      </c>
      <c r="J36" s="30">
        <f t="shared" si="10"/>
        <v>1.3008593591260591</v>
      </c>
      <c r="K36" s="30">
        <f t="shared" si="10"/>
        <v>1.5210587526738797</v>
      </c>
      <c r="L36" s="30">
        <f t="shared" si="10"/>
        <v>1.6347253320579984</v>
      </c>
      <c r="M36" s="30">
        <f t="shared" si="10"/>
        <v>1.3296273835994876</v>
      </c>
      <c r="N36" s="30">
        <f t="shared" si="10"/>
        <v>0.61473345459633388</v>
      </c>
      <c r="O36" s="42">
        <f t="shared" si="10"/>
        <v>1.2365931405973001</v>
      </c>
    </row>
    <row r="37" spans="2:15">
      <c r="B37" s="29" t="s">
        <v>33</v>
      </c>
      <c r="C37" s="31">
        <f>C35/N32-1</f>
        <v>-5.4209808311179608E-2</v>
      </c>
      <c r="D37" s="31">
        <f>D35/C35-1</f>
        <v>7.6169870461290978E-2</v>
      </c>
      <c r="E37" s="31">
        <f t="shared" ref="E37:N37" si="11">E35/D35-1</f>
        <v>0.33757764775626975</v>
      </c>
      <c r="F37" s="31">
        <f t="shared" si="11"/>
        <v>-0.33869040736886735</v>
      </c>
      <c r="G37" s="31">
        <f t="shared" si="11"/>
        <v>0.58152184470734514</v>
      </c>
      <c r="H37" s="31">
        <f t="shared" si="11"/>
        <v>0.12466835355967176</v>
      </c>
      <c r="I37" s="31">
        <f t="shared" si="11"/>
        <v>-9.4390109380034226E-2</v>
      </c>
      <c r="J37" s="31">
        <f t="shared" si="11"/>
        <v>0.16080753506433987</v>
      </c>
      <c r="K37" s="31">
        <f t="shared" si="11"/>
        <v>0.26117108038191028</v>
      </c>
      <c r="L37" s="31">
        <f t="shared" si="11"/>
        <v>-1.5775404373452595E-3</v>
      </c>
      <c r="M37" s="31">
        <f t="shared" si="11"/>
        <v>-1.5759075907590958E-3</v>
      </c>
      <c r="N37" s="31">
        <f t="shared" si="11"/>
        <v>-0.23704848399705802</v>
      </c>
      <c r="O37" s="43"/>
    </row>
    <row r="38" spans="2:15">
      <c r="B38" s="22">
        <v>2023</v>
      </c>
      <c r="C38" s="32">
        <v>9812.9</v>
      </c>
      <c r="D38" s="32">
        <v>14553.4</v>
      </c>
      <c r="E38" s="32">
        <v>18226.8</v>
      </c>
      <c r="F38" s="32">
        <v>17597.2</v>
      </c>
      <c r="G38" s="32">
        <v>18611</v>
      </c>
      <c r="H38" s="32">
        <v>17696.599999999999</v>
      </c>
      <c r="I38" s="32">
        <v>20394.3</v>
      </c>
      <c r="J38" s="32">
        <v>23132.799999999999</v>
      </c>
      <c r="K38" s="32">
        <v>25300</v>
      </c>
      <c r="L38" s="32">
        <v>23600</v>
      </c>
      <c r="M38" s="32">
        <v>27800</v>
      </c>
      <c r="N38" s="32">
        <v>25000</v>
      </c>
      <c r="O38" s="45">
        <f>SUM(C38:N38)</f>
        <v>241725</v>
      </c>
    </row>
    <row r="39" spans="2:15">
      <c r="B39" s="29" t="s">
        <v>32</v>
      </c>
      <c r="C39" s="30">
        <f>C38/C35-1</f>
        <v>-9.268351317115564E-2</v>
      </c>
      <c r="D39" s="30">
        <f>D38/D35-1</f>
        <v>0.25038877576444918</v>
      </c>
      <c r="E39" s="30">
        <v>8.5000000000000006E-2</v>
      </c>
      <c r="F39" s="30">
        <v>0.34899999999999998</v>
      </c>
      <c r="G39" s="30">
        <v>0.11899999999999999</v>
      </c>
      <c r="H39" s="30">
        <v>-4.2000000000000003E-2</v>
      </c>
      <c r="I39" s="30">
        <v>0.17199999999999999</v>
      </c>
      <c r="J39" s="30">
        <v>0.192</v>
      </c>
      <c r="K39" s="30">
        <v>0.14099999999999999</v>
      </c>
      <c r="L39" s="30">
        <v>3.0000000000000001E-3</v>
      </c>
      <c r="M39" s="30">
        <v>0.19600000000000001</v>
      </c>
      <c r="N39" s="30">
        <v>0.35199999999999998</v>
      </c>
      <c r="O39" s="42">
        <f>O38/O35-1</f>
        <v>0.15144427719452036</v>
      </c>
    </row>
    <row r="40" spans="2:15">
      <c r="B40" s="29" t="s">
        <v>33</v>
      </c>
      <c r="C40" s="31">
        <f>C38/N35-1</f>
        <v>-0.46856180408127901</v>
      </c>
      <c r="D40" s="31">
        <f>D38/C38-1</f>
        <v>0.48308858747159356</v>
      </c>
      <c r="E40" s="31">
        <v>0.252</v>
      </c>
      <c r="F40" s="31">
        <v>-3.5000000000000003E-2</v>
      </c>
      <c r="G40" s="31">
        <v>5.8000000000000003E-2</v>
      </c>
      <c r="H40" s="31">
        <v>-4.9000000000000002E-2</v>
      </c>
      <c r="I40" s="31">
        <v>0.152</v>
      </c>
      <c r="J40" s="31">
        <v>0.10299999999999999</v>
      </c>
      <c r="K40" s="31">
        <v>9.1999999999999998E-2</v>
      </c>
      <c r="L40" s="31">
        <v>-6.7000000000000004E-2</v>
      </c>
      <c r="M40" s="31">
        <v>0.17899999999999999</v>
      </c>
      <c r="N40" s="31">
        <v>-0.10100000000000001</v>
      </c>
      <c r="O40" s="43"/>
    </row>
    <row r="41" spans="2:15">
      <c r="B41" s="22">
        <v>2024</v>
      </c>
      <c r="C41" s="32">
        <v>22700</v>
      </c>
      <c r="D41" s="32">
        <v>14800</v>
      </c>
      <c r="E41" s="32">
        <v>24200</v>
      </c>
      <c r="F41" s="32"/>
      <c r="G41" s="32"/>
      <c r="H41" s="32"/>
      <c r="I41" s="32"/>
      <c r="J41" s="32"/>
      <c r="K41" s="32"/>
      <c r="L41" s="32"/>
      <c r="M41" s="32"/>
      <c r="N41" s="32"/>
      <c r="O41" s="45">
        <f>SUM(C41:N41)</f>
        <v>61700</v>
      </c>
    </row>
    <row r="42" spans="2:15">
      <c r="B42" s="29" t="s">
        <v>32</v>
      </c>
      <c r="C42" s="30">
        <v>0.82799999999999996</v>
      </c>
      <c r="D42" s="30">
        <v>1.6E-2</v>
      </c>
      <c r="E42" s="30">
        <v>0.33100000000000002</v>
      </c>
      <c r="F42" s="30"/>
      <c r="G42" s="30"/>
      <c r="H42" s="30"/>
      <c r="I42" s="30"/>
      <c r="J42" s="30"/>
      <c r="K42" s="30"/>
      <c r="L42" s="30"/>
      <c r="M42" s="30"/>
      <c r="N42" s="30"/>
      <c r="O42" s="42">
        <f>O41/O38-1</f>
        <v>-0.74475126693556726</v>
      </c>
    </row>
    <row r="43" spans="2:15">
      <c r="B43" s="29" t="s">
        <v>33</v>
      </c>
      <c r="C43" s="31">
        <v>-9.0999999999999998E-2</v>
      </c>
      <c r="D43" s="31">
        <v>-0.34599999999999997</v>
      </c>
      <c r="E43" s="31">
        <v>0.63300000000000001</v>
      </c>
      <c r="F43" s="31"/>
      <c r="G43" s="31"/>
      <c r="H43" s="31"/>
      <c r="I43" s="31"/>
      <c r="J43" s="31"/>
      <c r="K43" s="31"/>
      <c r="L43" s="31"/>
      <c r="M43" s="31"/>
      <c r="N43" s="31"/>
      <c r="O43" s="43"/>
    </row>
    <row r="45" spans="2:15">
      <c r="B45" s="34" t="s">
        <v>524</v>
      </c>
      <c r="C45" s="34" t="s">
        <v>19</v>
      </c>
      <c r="D45" s="34" t="s">
        <v>20</v>
      </c>
      <c r="E45" s="34" t="s">
        <v>21</v>
      </c>
      <c r="F45" s="34" t="s">
        <v>22</v>
      </c>
      <c r="G45" s="34" t="s">
        <v>23</v>
      </c>
      <c r="H45" s="34" t="s">
        <v>24</v>
      </c>
      <c r="I45" s="34" t="s">
        <v>25</v>
      </c>
      <c r="J45" s="34" t="s">
        <v>26</v>
      </c>
      <c r="K45" s="34" t="s">
        <v>27</v>
      </c>
      <c r="L45" s="34" t="s">
        <v>28</v>
      </c>
      <c r="M45" s="34" t="s">
        <v>29</v>
      </c>
      <c r="N45" s="34" t="s">
        <v>30</v>
      </c>
      <c r="O45" s="34" t="s">
        <v>31</v>
      </c>
    </row>
    <row r="46" spans="2:15">
      <c r="B46" s="22">
        <v>2019</v>
      </c>
      <c r="C46" s="64"/>
      <c r="D46" s="64"/>
      <c r="E46" s="64">
        <v>2500</v>
      </c>
      <c r="F46" s="64">
        <v>2800</v>
      </c>
      <c r="G46" s="64">
        <v>2300</v>
      </c>
      <c r="H46" s="64">
        <v>1700</v>
      </c>
      <c r="I46" s="64">
        <v>1400</v>
      </c>
      <c r="J46" s="64">
        <v>2100</v>
      </c>
      <c r="K46" s="64">
        <v>2864</v>
      </c>
      <c r="L46" s="64">
        <v>2651.1</v>
      </c>
      <c r="M46" s="64">
        <v>3621.8</v>
      </c>
      <c r="N46" s="64">
        <v>1180.7</v>
      </c>
      <c r="O46" s="66">
        <f>SUM(C46:N46)</f>
        <v>23117.599999999999</v>
      </c>
    </row>
    <row r="47" spans="2:15">
      <c r="B47" s="22">
        <v>2020</v>
      </c>
      <c r="C47" s="64">
        <v>455.4</v>
      </c>
      <c r="D47" s="64">
        <v>438.9</v>
      </c>
      <c r="E47" s="64">
        <v>1234.5</v>
      </c>
      <c r="F47" s="64">
        <v>1846.2</v>
      </c>
      <c r="G47" s="64">
        <v>2100.5</v>
      </c>
      <c r="H47" s="64">
        <v>2182.3000000000002</v>
      </c>
      <c r="I47" s="64">
        <v>2775</v>
      </c>
      <c r="J47" s="64">
        <v>3010.8</v>
      </c>
      <c r="K47" s="64">
        <v>3839</v>
      </c>
      <c r="L47" s="64">
        <v>4322.6000000000004</v>
      </c>
      <c r="M47" s="64">
        <v>5406.6</v>
      </c>
      <c r="N47" s="64">
        <v>6519.7</v>
      </c>
      <c r="O47" s="66">
        <f t="shared" ref="O47:O48" si="12">SUM(C47:N47)</f>
        <v>34131.499999999993</v>
      </c>
    </row>
    <row r="48" spans="2:15">
      <c r="B48" s="22">
        <v>2021</v>
      </c>
      <c r="C48" s="64">
        <v>5193.7</v>
      </c>
      <c r="D48" s="64">
        <v>4320.7</v>
      </c>
      <c r="E48" s="64">
        <v>5447.6</v>
      </c>
      <c r="F48" s="64">
        <v>6192.6</v>
      </c>
      <c r="G48" s="64">
        <v>8765.9</v>
      </c>
      <c r="H48" s="64">
        <v>7777.4</v>
      </c>
      <c r="I48" s="64">
        <v>9330.2999999999993</v>
      </c>
      <c r="J48" s="64">
        <v>11085.8</v>
      </c>
      <c r="K48" s="64">
        <v>13514.1</v>
      </c>
      <c r="L48" s="64">
        <v>15892.1</v>
      </c>
      <c r="M48" s="64">
        <v>17798.2</v>
      </c>
      <c r="N48" s="64">
        <v>20059.8</v>
      </c>
      <c r="O48" s="66">
        <f t="shared" si="12"/>
        <v>125378.20000000001</v>
      </c>
    </row>
    <row r="49" spans="2:15">
      <c r="B49" s="29" t="s">
        <v>32</v>
      </c>
      <c r="C49" s="30">
        <f>C48/C47-1</f>
        <v>10.404699165568731</v>
      </c>
      <c r="D49" s="30">
        <f t="shared" ref="D49:O49" si="13">D48/D47-1</f>
        <v>8.8443836864889498</v>
      </c>
      <c r="E49" s="30">
        <f t="shared" si="13"/>
        <v>3.4127987039287166</v>
      </c>
      <c r="F49" s="30">
        <f t="shared" si="13"/>
        <v>2.3542411439714011</v>
      </c>
      <c r="G49" s="30">
        <f t="shared" si="13"/>
        <v>3.1732444656034273</v>
      </c>
      <c r="H49" s="30">
        <f t="shared" si="13"/>
        <v>2.563854648765064</v>
      </c>
      <c r="I49" s="30">
        <f t="shared" si="13"/>
        <v>2.3622702702702698</v>
      </c>
      <c r="J49" s="30">
        <f t="shared" si="13"/>
        <v>2.6820114255347409</v>
      </c>
      <c r="K49" s="30">
        <f t="shared" si="13"/>
        <v>2.5202135972909612</v>
      </c>
      <c r="L49" s="30">
        <f t="shared" si="13"/>
        <v>2.6765141350113355</v>
      </c>
      <c r="M49" s="30">
        <f t="shared" si="13"/>
        <v>2.2919394813746163</v>
      </c>
      <c r="N49" s="30">
        <f t="shared" si="13"/>
        <v>2.0767980121784744</v>
      </c>
      <c r="O49" s="42">
        <f t="shared" si="13"/>
        <v>2.6733867541713678</v>
      </c>
    </row>
    <row r="50" spans="2:15">
      <c r="B50" s="29" t="s">
        <v>33</v>
      </c>
      <c r="C50" s="31">
        <f>C48/N47-1</f>
        <v>-0.20338359126953698</v>
      </c>
      <c r="D50" s="30">
        <f>D48/C48-1</f>
        <v>-0.1680882607774804</v>
      </c>
      <c r="E50" s="30">
        <f t="shared" ref="E50:N50" si="14">E48/D48-1</f>
        <v>0.26081421991806897</v>
      </c>
      <c r="F50" s="30">
        <f t="shared" si="14"/>
        <v>0.13675747117996906</v>
      </c>
      <c r="G50" s="30">
        <f t="shared" si="14"/>
        <v>0.4155443593966992</v>
      </c>
      <c r="H50" s="30">
        <f t="shared" si="14"/>
        <v>-0.1127665157028942</v>
      </c>
      <c r="I50" s="30">
        <f t="shared" si="14"/>
        <v>0.19966826960166628</v>
      </c>
      <c r="J50" s="30">
        <f t="shared" si="14"/>
        <v>0.18815043460553249</v>
      </c>
      <c r="K50" s="30">
        <f t="shared" si="14"/>
        <v>0.21904598675783449</v>
      </c>
      <c r="L50" s="30">
        <f t="shared" si="14"/>
        <v>0.17596436314663944</v>
      </c>
      <c r="M50" s="30">
        <f t="shared" si="14"/>
        <v>0.11994009602255207</v>
      </c>
      <c r="N50" s="30">
        <f t="shared" si="14"/>
        <v>0.12706902945241638</v>
      </c>
      <c r="O50" s="44"/>
    </row>
    <row r="51" spans="2:15">
      <c r="B51" s="22">
        <v>2022</v>
      </c>
      <c r="C51" s="32">
        <v>18790.099999999999</v>
      </c>
      <c r="D51" s="32">
        <v>20052.2</v>
      </c>
      <c r="E51" s="32">
        <v>23581.7</v>
      </c>
      <c r="F51" s="32">
        <v>18623.400000000001</v>
      </c>
      <c r="G51" s="32">
        <v>19233.900000000001</v>
      </c>
      <c r="H51" s="32">
        <v>22929.9</v>
      </c>
      <c r="I51" s="32">
        <v>30603.3</v>
      </c>
      <c r="J51" s="32">
        <v>30768.1</v>
      </c>
      <c r="K51" s="32">
        <v>34779.800000000003</v>
      </c>
      <c r="L51" s="32">
        <v>38551</v>
      </c>
      <c r="M51" s="32">
        <v>39109.300000000003</v>
      </c>
      <c r="N51" s="44">
        <v>33895.4</v>
      </c>
      <c r="O51" s="45">
        <f>SUM(C51:N51)</f>
        <v>330918.09999999998</v>
      </c>
    </row>
    <row r="52" spans="2:15">
      <c r="B52" s="29" t="s">
        <v>32</v>
      </c>
      <c r="C52" s="30">
        <f>C51/C48-1</f>
        <v>2.6178639505554804</v>
      </c>
      <c r="D52" s="30">
        <f>D51/D48-1</f>
        <v>3.6409609554007458</v>
      </c>
      <c r="E52" s="30">
        <f t="shared" ref="E52:O52" si="15">E51/E48-1</f>
        <v>3.3288237021807765</v>
      </c>
      <c r="F52" s="30">
        <f t="shared" si="15"/>
        <v>2.0073636275554696</v>
      </c>
      <c r="G52" s="30">
        <f t="shared" si="15"/>
        <v>1.1941728744338862</v>
      </c>
      <c r="H52" s="30">
        <f t="shared" si="15"/>
        <v>1.9482732018412325</v>
      </c>
      <c r="I52" s="30">
        <f t="shared" si="15"/>
        <v>2.2799909970740493</v>
      </c>
      <c r="J52" s="30">
        <f t="shared" si="15"/>
        <v>1.77545147846795</v>
      </c>
      <c r="K52" s="30">
        <f t="shared" si="15"/>
        <v>1.573593506041838</v>
      </c>
      <c r="L52" s="30">
        <f t="shared" si="15"/>
        <v>1.4257964649102384</v>
      </c>
      <c r="M52" s="30">
        <f t="shared" si="15"/>
        <v>1.1973738917418615</v>
      </c>
      <c r="N52" s="30">
        <f t="shared" si="15"/>
        <v>0.68971774394560281</v>
      </c>
      <c r="O52" s="42">
        <f t="shared" si="15"/>
        <v>1.6393591549408106</v>
      </c>
    </row>
    <row r="53" spans="2:15">
      <c r="B53" s="29" t="s">
        <v>33</v>
      </c>
      <c r="C53" s="31">
        <f>C51/N48-1</f>
        <v>-6.3295745720296392E-2</v>
      </c>
      <c r="D53" s="31">
        <f>D51/C51-1</f>
        <v>6.7168349290317897E-2</v>
      </c>
      <c r="E53" s="31">
        <f t="shared" ref="E53:N53" si="16">E51/D51-1</f>
        <v>0.17601559928586386</v>
      </c>
      <c r="F53" s="31">
        <f t="shared" si="16"/>
        <v>-0.2102604986069706</v>
      </c>
      <c r="G53" s="31">
        <f t="shared" si="16"/>
        <v>3.2781339605012949E-2</v>
      </c>
      <c r="H53" s="31">
        <f t="shared" si="16"/>
        <v>0.19216071623539688</v>
      </c>
      <c r="I53" s="31">
        <f t="shared" si="16"/>
        <v>0.33464602985621372</v>
      </c>
      <c r="J53" s="31">
        <f t="shared" si="16"/>
        <v>5.3850401754058641E-3</v>
      </c>
      <c r="K53" s="31">
        <f t="shared" si="16"/>
        <v>0.13038504165028075</v>
      </c>
      <c r="L53" s="31">
        <f t="shared" si="16"/>
        <v>0.10843075578352934</v>
      </c>
      <c r="M53" s="31">
        <f t="shared" si="16"/>
        <v>1.4482114601437113E-2</v>
      </c>
      <c r="N53" s="31">
        <f t="shared" si="16"/>
        <v>-0.13331611662699161</v>
      </c>
      <c r="O53" s="43"/>
    </row>
    <row r="54" spans="2:15">
      <c r="B54" s="22">
        <v>2023</v>
      </c>
      <c r="C54" s="32">
        <v>18320</v>
      </c>
      <c r="D54" s="32">
        <v>26811.1</v>
      </c>
      <c r="E54" s="32">
        <v>32892</v>
      </c>
      <c r="F54" s="32">
        <v>29319.3</v>
      </c>
      <c r="G54" s="32">
        <v>37817.699999999997</v>
      </c>
      <c r="H54" s="32">
        <v>42242.9</v>
      </c>
      <c r="I54" s="32">
        <v>40499.300000000003</v>
      </c>
      <c r="J54" s="32">
        <v>50032.9</v>
      </c>
      <c r="K54" s="32">
        <v>51900</v>
      </c>
      <c r="L54" s="32">
        <v>53600</v>
      </c>
      <c r="M54" s="32">
        <v>59800</v>
      </c>
      <c r="N54" s="32">
        <v>52500</v>
      </c>
      <c r="O54" s="45">
        <f>SUM(C54:N54)</f>
        <v>495735.2</v>
      </c>
    </row>
    <row r="55" spans="2:15">
      <c r="B55" s="29" t="s">
        <v>32</v>
      </c>
      <c r="C55" s="30">
        <f>C54/C51-1</f>
        <v>-2.5018493781299611E-2</v>
      </c>
      <c r="D55" s="30">
        <f>D54/D51-1</f>
        <v>0.3370652596722552</v>
      </c>
      <c r="E55" s="30">
        <v>8.5000000000000006E-2</v>
      </c>
      <c r="F55" s="30">
        <v>0.41199999999999998</v>
      </c>
      <c r="G55" s="30">
        <v>0.96699999999999997</v>
      </c>
      <c r="H55" s="30">
        <v>0.86299999999999999</v>
      </c>
      <c r="I55" s="30">
        <v>0.35599999999999998</v>
      </c>
      <c r="J55" s="30">
        <v>0.64</v>
      </c>
      <c r="K55" s="30">
        <v>0.52200000000000002</v>
      </c>
      <c r="L55" s="30">
        <v>0.37</v>
      </c>
      <c r="M55" s="30">
        <v>0.53400000000000003</v>
      </c>
      <c r="N55" s="30">
        <v>0.54800000000000004</v>
      </c>
      <c r="O55" s="42">
        <f>O54/O51-1</f>
        <v>0.49806009402326445</v>
      </c>
    </row>
    <row r="56" spans="2:15">
      <c r="B56" s="29" t="s">
        <v>33</v>
      </c>
      <c r="C56" s="31">
        <f>C54/N51-1</f>
        <v>-0.45951368032240369</v>
      </c>
      <c r="D56" s="31">
        <f>D54/C54-1</f>
        <v>0.46348799126637541</v>
      </c>
      <c r="E56" s="31">
        <v>0.22700000000000001</v>
      </c>
      <c r="F56" s="31">
        <v>-0.109</v>
      </c>
      <c r="G56" s="31">
        <v>0.28999999999999998</v>
      </c>
      <c r="H56" s="31">
        <v>0.11700000000000001</v>
      </c>
      <c r="I56" s="31">
        <v>-4.1000000000000002E-2</v>
      </c>
      <c r="J56" s="31">
        <v>0.06</v>
      </c>
      <c r="K56" s="31">
        <v>3.7999999999999999E-2</v>
      </c>
      <c r="L56" s="31">
        <v>3.3000000000000002E-2</v>
      </c>
      <c r="M56" s="31">
        <v>0.115</v>
      </c>
      <c r="N56" s="31">
        <v>-0.122</v>
      </c>
      <c r="O56" s="43"/>
    </row>
    <row r="57" spans="2:15">
      <c r="B57" s="22">
        <v>2024</v>
      </c>
      <c r="C57" s="32">
        <v>42400</v>
      </c>
      <c r="D57" s="32">
        <v>28600</v>
      </c>
      <c r="E57" s="32">
        <v>51400</v>
      </c>
      <c r="F57" s="32"/>
      <c r="G57" s="32"/>
      <c r="H57" s="32"/>
      <c r="I57" s="32"/>
      <c r="J57" s="32"/>
      <c r="K57" s="32"/>
      <c r="L57" s="32"/>
      <c r="M57" s="32"/>
      <c r="N57" s="32"/>
      <c r="O57" s="45">
        <f>SUM(C57:N57)</f>
        <v>122400</v>
      </c>
    </row>
    <row r="58" spans="2:15">
      <c r="B58" s="29" t="s">
        <v>32</v>
      </c>
      <c r="C58" s="30">
        <v>0.60699999999999998</v>
      </c>
      <c r="D58" s="30">
        <v>-6.2E-2</v>
      </c>
      <c r="E58" s="30">
        <v>0.42899999999999999</v>
      </c>
      <c r="F58" s="30"/>
      <c r="G58" s="30"/>
      <c r="H58" s="30"/>
      <c r="I58" s="30"/>
      <c r="J58" s="30"/>
      <c r="K58" s="30"/>
      <c r="L58" s="30"/>
      <c r="M58" s="30"/>
      <c r="N58" s="30"/>
      <c r="O58" s="42">
        <f>O57/O54-1</f>
        <v>-0.75309399050138059</v>
      </c>
    </row>
    <row r="59" spans="2:15">
      <c r="B59" s="29" t="s">
        <v>33</v>
      </c>
      <c r="C59" s="31">
        <v>-0.192</v>
      </c>
      <c r="D59" s="31">
        <v>-0.32400000000000001</v>
      </c>
      <c r="E59" s="31">
        <v>0.66300000000000003</v>
      </c>
      <c r="F59" s="31"/>
      <c r="G59" s="31"/>
      <c r="H59" s="31"/>
      <c r="I59" s="31"/>
      <c r="J59" s="31"/>
      <c r="K59" s="31"/>
      <c r="L59" s="31"/>
      <c r="M59" s="31"/>
      <c r="N59" s="31"/>
      <c r="O59" s="43"/>
    </row>
  </sheetData>
  <phoneticPr fontId="45" type="noConversion"/>
  <pageMargins left="0.7" right="0.7" top="0.75" bottom="0.75" header="0.3" footer="0.3"/>
  <pageSetup paperSize="9" orientation="portrait" horizontalDpi="1200" verticalDpi="12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首页</vt:lpstr>
      <vt:lpstr>全球动力电池行业装机规模</vt:lpstr>
      <vt:lpstr>海外动力电池行业装机规模</vt:lpstr>
      <vt:lpstr>中国动力电池行业装机规模</vt:lpstr>
      <vt:lpstr>中国动力电池装车量-动力电池联盟</vt:lpstr>
      <vt:lpstr>全球动力电池企业装机量排名</vt:lpstr>
      <vt:lpstr>海外动力电池企业装机量排名</vt:lpstr>
      <vt:lpstr>中国动力电池企业装机量排名</vt:lpstr>
      <vt:lpstr>中国动力电池行业产量规模</vt:lpstr>
      <vt:lpstr>中国动力电池产量-动力电池联盟</vt:lpstr>
      <vt:lpstr>中国动力和储能电池销量</vt:lpstr>
      <vt:lpstr>中国动力电池库存量</vt:lpstr>
      <vt:lpstr>中国单车平均装机电量</vt:lpstr>
      <vt:lpstr>储能电池销量及出口情况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iamchennuo</cp:lastModifiedBy>
  <dcterms:created xsi:type="dcterms:W3CDTF">2015-06-16T06:20:00Z</dcterms:created>
  <dcterms:modified xsi:type="dcterms:W3CDTF">2024-05-11T18:39:24Z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cb70e33b</vt:lpwstr>
  </property>
  <property fmtid="{D5CDD505-2E9C-101B-9397-08002B2CF9AE}" pid="3" name="ICV">
    <vt:lpwstr>990515AAF0EE48D684D8039512164045_13</vt:lpwstr>
  </property>
  <property fmtid="{D5CDD505-2E9C-101B-9397-08002B2CF9AE}" pid="4" name="KSOProductBuildVer">
    <vt:lpwstr>2052-12.1.0.16417</vt:lpwstr>
  </property>
</Properties>
</file>