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8_{E46345FC-60AC-4696-9B01-DA5B5B3889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nco de dados" sheetId="1" r:id="rId1"/>
    <sheet name="Siglas e cores" sheetId="3" r:id="rId2"/>
    <sheet name="Obs" sheetId="4" r:id="rId3"/>
  </sheets>
  <definedNames>
    <definedName name="_xlnm._FilterDatabase" localSheetId="0" hidden="1">'Banco de dados'!$A$3:$AX$721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IwLC6braBsPfUE6UmVfMtMPEar9+fnKhhZMdOEaXCA="/>
    </ext>
  </extLst>
</workbook>
</file>

<file path=xl/calcChain.xml><?xml version="1.0" encoding="utf-8"?>
<calcChain xmlns="http://schemas.openxmlformats.org/spreadsheetml/2006/main">
  <c r="AV721" i="1" l="1"/>
  <c r="AL721" i="1"/>
  <c r="J721" i="1"/>
  <c r="AK721" i="1" s="1"/>
  <c r="AV720" i="1"/>
  <c r="AL720" i="1"/>
  <c r="J720" i="1"/>
  <c r="AK720" i="1" s="1"/>
  <c r="AV719" i="1"/>
  <c r="AL719" i="1"/>
  <c r="J719" i="1"/>
  <c r="AK719" i="1" s="1"/>
  <c r="AV718" i="1"/>
  <c r="AL718" i="1"/>
  <c r="J718" i="1"/>
  <c r="AK718" i="1" s="1"/>
  <c r="AV717" i="1"/>
  <c r="AL717" i="1"/>
  <c r="J717" i="1"/>
  <c r="AK717" i="1" s="1"/>
  <c r="AV716" i="1"/>
  <c r="AL716" i="1"/>
  <c r="J716" i="1"/>
  <c r="AK716" i="1" s="1"/>
  <c r="AL715" i="1"/>
  <c r="AC715" i="1"/>
  <c r="J715" i="1"/>
  <c r="AK715" i="1" s="1"/>
  <c r="AL714" i="1"/>
  <c r="AC714" i="1"/>
  <c r="J714" i="1"/>
  <c r="AK714" i="1" s="1"/>
  <c r="AL713" i="1"/>
  <c r="AC713" i="1"/>
  <c r="J713" i="1"/>
  <c r="AK713" i="1" s="1"/>
  <c r="AM713" i="1" s="1"/>
  <c r="AL712" i="1"/>
  <c r="AC712" i="1"/>
  <c r="J712" i="1"/>
  <c r="AK712" i="1" s="1"/>
  <c r="AL711" i="1"/>
  <c r="AC711" i="1"/>
  <c r="J711" i="1"/>
  <c r="AK711" i="1" s="1"/>
  <c r="AL710" i="1"/>
  <c r="AC710" i="1"/>
  <c r="J710" i="1"/>
  <c r="AK710" i="1" s="1"/>
  <c r="AL709" i="1"/>
  <c r="AK709" i="1"/>
  <c r="AC709" i="1"/>
  <c r="J709" i="1"/>
  <c r="AL708" i="1"/>
  <c r="AK708" i="1"/>
  <c r="AC708" i="1"/>
  <c r="J708" i="1"/>
  <c r="AL707" i="1"/>
  <c r="AC707" i="1"/>
  <c r="J707" i="1"/>
  <c r="AK707" i="1" s="1"/>
  <c r="AL706" i="1"/>
  <c r="AC706" i="1"/>
  <c r="J706" i="1"/>
  <c r="AK706" i="1" s="1"/>
  <c r="AM706" i="1" s="1"/>
  <c r="AL705" i="1"/>
  <c r="AK705" i="1"/>
  <c r="AM705" i="1" s="1"/>
  <c r="AO705" i="1" s="1"/>
  <c r="AC705" i="1"/>
  <c r="J705" i="1"/>
  <c r="AL704" i="1"/>
  <c r="AK704" i="1"/>
  <c r="AC704" i="1"/>
  <c r="J704" i="1"/>
  <c r="AL703" i="1"/>
  <c r="AC703" i="1"/>
  <c r="J703" i="1"/>
  <c r="AK703" i="1" s="1"/>
  <c r="AL702" i="1"/>
  <c r="AC702" i="1"/>
  <c r="J702" i="1"/>
  <c r="AK702" i="1" s="1"/>
  <c r="AL701" i="1"/>
  <c r="AC701" i="1"/>
  <c r="J701" i="1"/>
  <c r="AK701" i="1" s="1"/>
  <c r="AM701" i="1" s="1"/>
  <c r="AL700" i="1"/>
  <c r="AC700" i="1"/>
  <c r="J700" i="1"/>
  <c r="AK700" i="1" s="1"/>
  <c r="AL699" i="1"/>
  <c r="AC699" i="1"/>
  <c r="J699" i="1"/>
  <c r="AK699" i="1" s="1"/>
  <c r="AL698" i="1"/>
  <c r="AC698" i="1"/>
  <c r="J698" i="1"/>
  <c r="AK698" i="1" s="1"/>
  <c r="AL697" i="1"/>
  <c r="AK697" i="1"/>
  <c r="AM697" i="1" s="1"/>
  <c r="AC697" i="1"/>
  <c r="J697" i="1"/>
  <c r="AL696" i="1"/>
  <c r="AK696" i="1"/>
  <c r="AC696" i="1"/>
  <c r="J696" i="1"/>
  <c r="AL695" i="1"/>
  <c r="AC695" i="1"/>
  <c r="J695" i="1"/>
  <c r="AK695" i="1" s="1"/>
  <c r="AL694" i="1"/>
  <c r="AC694" i="1"/>
  <c r="J694" i="1"/>
  <c r="AK694" i="1" s="1"/>
  <c r="AM694" i="1" s="1"/>
  <c r="AL693" i="1"/>
  <c r="AK693" i="1"/>
  <c r="AC693" i="1"/>
  <c r="J693" i="1"/>
  <c r="AL692" i="1"/>
  <c r="AC692" i="1"/>
  <c r="J692" i="1"/>
  <c r="AK692" i="1" s="1"/>
  <c r="AL691" i="1"/>
  <c r="AK691" i="1"/>
  <c r="AM691" i="1" s="1"/>
  <c r="AC691" i="1"/>
  <c r="J691" i="1"/>
  <c r="AL690" i="1"/>
  <c r="AC690" i="1"/>
  <c r="J690" i="1"/>
  <c r="AK690" i="1" s="1"/>
  <c r="AL689" i="1"/>
  <c r="AC689" i="1"/>
  <c r="J689" i="1"/>
  <c r="AK689" i="1" s="1"/>
  <c r="AM689" i="1" s="1"/>
  <c r="AL688" i="1"/>
  <c r="AC688" i="1"/>
  <c r="J688" i="1"/>
  <c r="AK688" i="1" s="1"/>
  <c r="AL687" i="1"/>
  <c r="AK687" i="1"/>
  <c r="AC687" i="1"/>
  <c r="J687" i="1"/>
  <c r="AL686" i="1"/>
  <c r="AC686" i="1"/>
  <c r="J686" i="1"/>
  <c r="AK686" i="1" s="1"/>
  <c r="AL685" i="1"/>
  <c r="AK685" i="1"/>
  <c r="AM685" i="1" s="1"/>
  <c r="AC685" i="1"/>
  <c r="J685" i="1"/>
  <c r="AL684" i="1"/>
  <c r="AC684" i="1"/>
  <c r="J684" i="1"/>
  <c r="AK684" i="1" s="1"/>
  <c r="AL683" i="1"/>
  <c r="AK683" i="1"/>
  <c r="AC683" i="1"/>
  <c r="J683" i="1"/>
  <c r="AL682" i="1"/>
  <c r="AC682" i="1"/>
  <c r="J682" i="1"/>
  <c r="AK682" i="1" s="1"/>
  <c r="AL681" i="1"/>
  <c r="AC681" i="1"/>
  <c r="J681" i="1"/>
  <c r="AK681" i="1" s="1"/>
  <c r="AL680" i="1"/>
  <c r="AK680" i="1"/>
  <c r="AM680" i="1" s="1"/>
  <c r="AR680" i="1" s="1"/>
  <c r="AC680" i="1"/>
  <c r="Z680" i="1"/>
  <c r="AM679" i="1"/>
  <c r="AR679" i="1" s="1"/>
  <c r="AL679" i="1"/>
  <c r="AO679" i="1" s="1"/>
  <c r="AK679" i="1"/>
  <c r="AC679" i="1"/>
  <c r="Z679" i="1"/>
  <c r="AL678" i="1"/>
  <c r="AK678" i="1"/>
  <c r="AC678" i="1"/>
  <c r="Z678" i="1"/>
  <c r="AL677" i="1"/>
  <c r="AK677" i="1"/>
  <c r="AC677" i="1"/>
  <c r="Z677" i="1"/>
  <c r="AL676" i="1"/>
  <c r="AK676" i="1"/>
  <c r="AC676" i="1"/>
  <c r="Z676" i="1"/>
  <c r="AL675" i="1"/>
  <c r="AK675" i="1"/>
  <c r="AC675" i="1"/>
  <c r="Z675" i="1"/>
  <c r="AL674" i="1"/>
  <c r="AK674" i="1"/>
  <c r="AC674" i="1"/>
  <c r="Z674" i="1"/>
  <c r="AL673" i="1"/>
  <c r="AK673" i="1"/>
  <c r="AC673" i="1"/>
  <c r="L673" i="1"/>
  <c r="AM672" i="1"/>
  <c r="AR672" i="1" s="1"/>
  <c r="AL672" i="1"/>
  <c r="AK672" i="1"/>
  <c r="AC672" i="1"/>
  <c r="Y672" i="1"/>
  <c r="AS672" i="1" s="1"/>
  <c r="L672" i="1"/>
  <c r="AM671" i="1"/>
  <c r="AR671" i="1" s="1"/>
  <c r="AL671" i="1"/>
  <c r="AK671" i="1"/>
  <c r="AC671" i="1"/>
  <c r="Y671" i="1"/>
  <c r="AS671" i="1" s="1"/>
  <c r="L671" i="1"/>
  <c r="AL670" i="1"/>
  <c r="AK670" i="1"/>
  <c r="AC670" i="1"/>
  <c r="L670" i="1"/>
  <c r="AL669" i="1"/>
  <c r="AK669" i="1"/>
  <c r="AC669" i="1"/>
  <c r="L669" i="1"/>
  <c r="AL668" i="1"/>
  <c r="AK668" i="1"/>
  <c r="AC668" i="1"/>
  <c r="L668" i="1"/>
  <c r="AL667" i="1"/>
  <c r="AK667" i="1"/>
  <c r="AC667" i="1"/>
  <c r="L667" i="1"/>
  <c r="AL666" i="1"/>
  <c r="AK666" i="1"/>
  <c r="AC666" i="1"/>
  <c r="L666" i="1"/>
  <c r="AL665" i="1"/>
  <c r="AK665" i="1"/>
  <c r="AC665" i="1"/>
  <c r="L665" i="1"/>
  <c r="AM664" i="1"/>
  <c r="AR664" i="1" s="1"/>
  <c r="AL664" i="1"/>
  <c r="AK664" i="1"/>
  <c r="AC664" i="1"/>
  <c r="Y664" i="1"/>
  <c r="AS664" i="1" s="1"/>
  <c r="L664" i="1"/>
  <c r="AM663" i="1"/>
  <c r="AR663" i="1" s="1"/>
  <c r="AL663" i="1"/>
  <c r="AO663" i="1" s="1"/>
  <c r="AK663" i="1"/>
  <c r="AC663" i="1"/>
  <c r="Y663" i="1"/>
  <c r="AS663" i="1" s="1"/>
  <c r="L663" i="1"/>
  <c r="AL662" i="1"/>
  <c r="AK662" i="1"/>
  <c r="AC662" i="1"/>
  <c r="L662" i="1"/>
  <c r="AL661" i="1"/>
  <c r="AK661" i="1"/>
  <c r="AC661" i="1"/>
  <c r="L661" i="1"/>
  <c r="AL660" i="1"/>
  <c r="AK660" i="1"/>
  <c r="AC660" i="1"/>
  <c r="L660" i="1"/>
  <c r="AL659" i="1"/>
  <c r="AK659" i="1"/>
  <c r="AC659" i="1"/>
  <c r="L659" i="1"/>
  <c r="AL658" i="1"/>
  <c r="AK658" i="1"/>
  <c r="AC658" i="1"/>
  <c r="L658" i="1"/>
  <c r="AL657" i="1"/>
  <c r="AK657" i="1"/>
  <c r="AC657" i="1"/>
  <c r="L657" i="1"/>
  <c r="AL656" i="1"/>
  <c r="AK656" i="1"/>
  <c r="AC656" i="1"/>
  <c r="L656" i="1"/>
  <c r="AL655" i="1"/>
  <c r="AK655" i="1"/>
  <c r="AM655" i="1" s="1"/>
  <c r="AO655" i="1" s="1"/>
  <c r="AC655" i="1"/>
  <c r="L655" i="1"/>
  <c r="AL654" i="1"/>
  <c r="AK654" i="1"/>
  <c r="AC654" i="1"/>
  <c r="L654" i="1"/>
  <c r="AL653" i="1"/>
  <c r="AK653" i="1"/>
  <c r="AC653" i="1"/>
  <c r="L653" i="1"/>
  <c r="AL652" i="1"/>
  <c r="AM652" i="1" s="1"/>
  <c r="AO652" i="1" s="1"/>
  <c r="AK652" i="1"/>
  <c r="AC652" i="1"/>
  <c r="L652" i="1"/>
  <c r="AL651" i="1"/>
  <c r="AK651" i="1"/>
  <c r="AC651" i="1"/>
  <c r="L651" i="1"/>
  <c r="AL650" i="1"/>
  <c r="AK650" i="1"/>
  <c r="AC650" i="1"/>
  <c r="L650" i="1"/>
  <c r="AL649" i="1"/>
  <c r="AK649" i="1"/>
  <c r="AC649" i="1"/>
  <c r="L649" i="1"/>
  <c r="AL648" i="1"/>
  <c r="AK648" i="1"/>
  <c r="AC648" i="1"/>
  <c r="L648" i="1"/>
  <c r="AL647" i="1"/>
  <c r="AK647" i="1"/>
  <c r="AC647" i="1"/>
  <c r="L647" i="1"/>
  <c r="AL646" i="1"/>
  <c r="AK646" i="1"/>
  <c r="AC646" i="1"/>
  <c r="L646" i="1"/>
  <c r="AL645" i="1"/>
  <c r="AK645" i="1"/>
  <c r="AC645" i="1"/>
  <c r="L645" i="1"/>
  <c r="AL644" i="1"/>
  <c r="AK644" i="1"/>
  <c r="AC644" i="1"/>
  <c r="L644" i="1"/>
  <c r="AL643" i="1"/>
  <c r="AK643" i="1"/>
  <c r="AC643" i="1"/>
  <c r="L643" i="1"/>
  <c r="AL642" i="1"/>
  <c r="AK642" i="1"/>
  <c r="AC642" i="1"/>
  <c r="L642" i="1"/>
  <c r="AL641" i="1"/>
  <c r="AK641" i="1"/>
  <c r="AC641" i="1"/>
  <c r="L641" i="1"/>
  <c r="AL640" i="1"/>
  <c r="AK640" i="1"/>
  <c r="AC640" i="1"/>
  <c r="L640" i="1"/>
  <c r="AL639" i="1"/>
  <c r="AK639" i="1"/>
  <c r="AM639" i="1" s="1"/>
  <c r="AO639" i="1" s="1"/>
  <c r="AC639" i="1"/>
  <c r="L639" i="1"/>
  <c r="AL638" i="1"/>
  <c r="AK638" i="1"/>
  <c r="AC638" i="1"/>
  <c r="L638" i="1"/>
  <c r="AL637" i="1"/>
  <c r="AK637" i="1"/>
  <c r="AC637" i="1"/>
  <c r="L637" i="1"/>
  <c r="AL636" i="1"/>
  <c r="AM636" i="1" s="1"/>
  <c r="AO636" i="1" s="1"/>
  <c r="AK636" i="1"/>
  <c r="Y636" i="1" s="1"/>
  <c r="AS636" i="1" s="1"/>
  <c r="AC636" i="1"/>
  <c r="L636" i="1"/>
  <c r="AL635" i="1"/>
  <c r="AK635" i="1"/>
  <c r="AC635" i="1"/>
  <c r="L635" i="1"/>
  <c r="AL634" i="1"/>
  <c r="AK634" i="1"/>
  <c r="AC634" i="1"/>
  <c r="L634" i="1"/>
  <c r="AL633" i="1"/>
  <c r="AK633" i="1"/>
  <c r="AC633" i="1"/>
  <c r="L633" i="1"/>
  <c r="AL632" i="1"/>
  <c r="AK632" i="1"/>
  <c r="AC632" i="1"/>
  <c r="L632" i="1"/>
  <c r="AL631" i="1"/>
  <c r="AK631" i="1"/>
  <c r="AC631" i="1"/>
  <c r="L631" i="1"/>
  <c r="AL630" i="1"/>
  <c r="AK630" i="1"/>
  <c r="AC630" i="1"/>
  <c r="L630" i="1"/>
  <c r="AL629" i="1"/>
  <c r="AK629" i="1"/>
  <c r="AC629" i="1"/>
  <c r="L629" i="1"/>
  <c r="AL628" i="1"/>
  <c r="AK628" i="1"/>
  <c r="AC628" i="1"/>
  <c r="L628" i="1"/>
  <c r="AL627" i="1"/>
  <c r="AK627" i="1"/>
  <c r="AC627" i="1"/>
  <c r="L627" i="1"/>
  <c r="AL626" i="1"/>
  <c r="AK626" i="1"/>
  <c r="AC626" i="1"/>
  <c r="L626" i="1"/>
  <c r="AL625" i="1"/>
  <c r="AK625" i="1"/>
  <c r="AC625" i="1"/>
  <c r="L625" i="1"/>
  <c r="AL624" i="1"/>
  <c r="AK624" i="1"/>
  <c r="AC624" i="1"/>
  <c r="L624" i="1"/>
  <c r="AL623" i="1"/>
  <c r="AK623" i="1"/>
  <c r="AM623" i="1" s="1"/>
  <c r="AO623" i="1" s="1"/>
  <c r="AC623" i="1"/>
  <c r="L623" i="1"/>
  <c r="AL622" i="1"/>
  <c r="AK622" i="1"/>
  <c r="AC622" i="1"/>
  <c r="L622" i="1"/>
  <c r="AL621" i="1"/>
  <c r="AK621" i="1"/>
  <c r="AC621" i="1"/>
  <c r="L621" i="1"/>
  <c r="AL620" i="1"/>
  <c r="AM620" i="1" s="1"/>
  <c r="AO620" i="1" s="1"/>
  <c r="AK620" i="1"/>
  <c r="AC620" i="1"/>
  <c r="L620" i="1"/>
  <c r="AL619" i="1"/>
  <c r="AK619" i="1"/>
  <c r="AM619" i="1" s="1"/>
  <c r="AC619" i="1"/>
  <c r="L619" i="1"/>
  <c r="AL618" i="1"/>
  <c r="AK618" i="1"/>
  <c r="AC618" i="1"/>
  <c r="L618" i="1"/>
  <c r="AL617" i="1"/>
  <c r="AK617" i="1"/>
  <c r="AC617" i="1"/>
  <c r="L617" i="1"/>
  <c r="AL616" i="1"/>
  <c r="AK616" i="1"/>
  <c r="AC616" i="1"/>
  <c r="L616" i="1"/>
  <c r="AO615" i="1"/>
  <c r="AL615" i="1"/>
  <c r="AK615" i="1"/>
  <c r="AM615" i="1" s="1"/>
  <c r="AC615" i="1"/>
  <c r="L615" i="1"/>
  <c r="AL614" i="1"/>
  <c r="AK614" i="1"/>
  <c r="AC614" i="1"/>
  <c r="L614" i="1"/>
  <c r="AL613" i="1"/>
  <c r="AK613" i="1"/>
  <c r="AC613" i="1"/>
  <c r="L613" i="1"/>
  <c r="AL612" i="1"/>
  <c r="AM612" i="1" s="1"/>
  <c r="AO612" i="1" s="1"/>
  <c r="AK612" i="1"/>
  <c r="Y612" i="1" s="1"/>
  <c r="AS612" i="1" s="1"/>
  <c r="AC612" i="1"/>
  <c r="L612" i="1"/>
  <c r="AL611" i="1"/>
  <c r="AK611" i="1"/>
  <c r="AM611" i="1" s="1"/>
  <c r="AO611" i="1" s="1"/>
  <c r="AC611" i="1"/>
  <c r="L611" i="1"/>
  <c r="AL610" i="1"/>
  <c r="AK610" i="1"/>
  <c r="AC610" i="1"/>
  <c r="L610" i="1"/>
  <c r="AL609" i="1"/>
  <c r="AK609" i="1"/>
  <c r="AC609" i="1"/>
  <c r="L609" i="1"/>
  <c r="AM608" i="1"/>
  <c r="AL608" i="1"/>
  <c r="AK608" i="1"/>
  <c r="AC608" i="1"/>
  <c r="Y608" i="1"/>
  <c r="AS608" i="1" s="1"/>
  <c r="L608" i="1"/>
  <c r="AL607" i="1"/>
  <c r="AK607" i="1"/>
  <c r="AC607" i="1"/>
  <c r="L607" i="1"/>
  <c r="AL606" i="1"/>
  <c r="AK606" i="1"/>
  <c r="AC606" i="1"/>
  <c r="L606" i="1"/>
  <c r="AL605" i="1"/>
  <c r="AK605" i="1"/>
  <c r="AC605" i="1"/>
  <c r="L605" i="1"/>
  <c r="AL604" i="1"/>
  <c r="AK604" i="1"/>
  <c r="AC604" i="1"/>
  <c r="L604" i="1"/>
  <c r="AL603" i="1"/>
  <c r="AK603" i="1"/>
  <c r="AC603" i="1"/>
  <c r="L603" i="1"/>
  <c r="AL602" i="1"/>
  <c r="AK602" i="1"/>
  <c r="AC602" i="1"/>
  <c r="L602" i="1"/>
  <c r="AL601" i="1"/>
  <c r="AK601" i="1"/>
  <c r="AC601" i="1"/>
  <c r="L601" i="1"/>
  <c r="AL600" i="1"/>
  <c r="AK600" i="1"/>
  <c r="AC600" i="1"/>
  <c r="L600" i="1"/>
  <c r="AL599" i="1"/>
  <c r="AK599" i="1"/>
  <c r="AC599" i="1"/>
  <c r="L599" i="1"/>
  <c r="AL598" i="1"/>
  <c r="AK598" i="1"/>
  <c r="AC598" i="1"/>
  <c r="L598" i="1"/>
  <c r="AL597" i="1"/>
  <c r="AK597" i="1"/>
  <c r="AC597" i="1"/>
  <c r="L597" i="1"/>
  <c r="AM596" i="1"/>
  <c r="AR596" i="1" s="1"/>
  <c r="AL596" i="1"/>
  <c r="AK596" i="1"/>
  <c r="AC596" i="1"/>
  <c r="Y596" i="1"/>
  <c r="AS596" i="1" s="1"/>
  <c r="L596" i="1"/>
  <c r="AM595" i="1"/>
  <c r="AL595" i="1"/>
  <c r="AK595" i="1"/>
  <c r="AC595" i="1"/>
  <c r="Y595" i="1"/>
  <c r="AS595" i="1" s="1"/>
  <c r="L595" i="1"/>
  <c r="AL594" i="1"/>
  <c r="AK594" i="1"/>
  <c r="AC594" i="1"/>
  <c r="L594" i="1"/>
  <c r="AL593" i="1"/>
  <c r="AK593" i="1"/>
  <c r="AC593" i="1"/>
  <c r="L593" i="1"/>
  <c r="AL592" i="1"/>
  <c r="AK592" i="1"/>
  <c r="AC592" i="1"/>
  <c r="L592" i="1"/>
  <c r="AL591" i="1"/>
  <c r="AK591" i="1"/>
  <c r="AC591" i="1"/>
  <c r="L591" i="1"/>
  <c r="AL590" i="1"/>
  <c r="AK590" i="1"/>
  <c r="AC590" i="1"/>
  <c r="L590" i="1"/>
  <c r="AL589" i="1"/>
  <c r="AK589" i="1"/>
  <c r="AC589" i="1"/>
  <c r="L589" i="1"/>
  <c r="AL588" i="1"/>
  <c r="AM588" i="1" s="1"/>
  <c r="AK588" i="1"/>
  <c r="AC588" i="1"/>
  <c r="L588" i="1"/>
  <c r="AL587" i="1"/>
  <c r="AK587" i="1"/>
  <c r="AC587" i="1"/>
  <c r="L587" i="1"/>
  <c r="AL586" i="1"/>
  <c r="AK586" i="1"/>
  <c r="AC586" i="1"/>
  <c r="L586" i="1"/>
  <c r="AL585" i="1"/>
  <c r="AK585" i="1"/>
  <c r="AC585" i="1"/>
  <c r="L585" i="1"/>
  <c r="AM584" i="1"/>
  <c r="AL584" i="1"/>
  <c r="AR584" i="1" s="1"/>
  <c r="AK584" i="1"/>
  <c r="AC584" i="1"/>
  <c r="Y584" i="1"/>
  <c r="AS584" i="1" s="1"/>
  <c r="L584" i="1"/>
  <c r="AM583" i="1"/>
  <c r="AR583" i="1" s="1"/>
  <c r="AL583" i="1"/>
  <c r="AO583" i="1" s="1"/>
  <c r="AK583" i="1"/>
  <c r="AC583" i="1"/>
  <c r="Y583" i="1"/>
  <c r="AS583" i="1" s="1"/>
  <c r="L583" i="1"/>
  <c r="AL582" i="1"/>
  <c r="AK582" i="1"/>
  <c r="AC582" i="1"/>
  <c r="L582" i="1"/>
  <c r="AL581" i="1"/>
  <c r="AK581" i="1"/>
  <c r="AC581" i="1"/>
  <c r="L581" i="1"/>
  <c r="AL580" i="1"/>
  <c r="AK580" i="1"/>
  <c r="AC580" i="1"/>
  <c r="L580" i="1"/>
  <c r="AL579" i="1"/>
  <c r="AK579" i="1"/>
  <c r="AC579" i="1"/>
  <c r="L579" i="1"/>
  <c r="AC578" i="1"/>
  <c r="K578" i="1"/>
  <c r="J578" i="1"/>
  <c r="I578" i="1"/>
  <c r="AK578" i="1" s="1"/>
  <c r="H578" i="1"/>
  <c r="G578" i="1"/>
  <c r="AL578" i="1" s="1"/>
  <c r="AC577" i="1"/>
  <c r="K577" i="1"/>
  <c r="J577" i="1"/>
  <c r="I577" i="1"/>
  <c r="H577" i="1"/>
  <c r="G577" i="1"/>
  <c r="AK577" i="1" s="1"/>
  <c r="AC576" i="1"/>
  <c r="K576" i="1"/>
  <c r="J576" i="1"/>
  <c r="I576" i="1"/>
  <c r="H576" i="1"/>
  <c r="G576" i="1"/>
  <c r="AL576" i="1" s="1"/>
  <c r="AC575" i="1"/>
  <c r="K575" i="1"/>
  <c r="J575" i="1"/>
  <c r="I575" i="1"/>
  <c r="H575" i="1"/>
  <c r="G575" i="1"/>
  <c r="AL575" i="1" s="1"/>
  <c r="AL574" i="1"/>
  <c r="AK574" i="1"/>
  <c r="AC574" i="1"/>
  <c r="O574" i="1"/>
  <c r="M574" i="1"/>
  <c r="L574" i="1"/>
  <c r="AL573" i="1"/>
  <c r="AK573" i="1"/>
  <c r="AC573" i="1"/>
  <c r="O573" i="1"/>
  <c r="M573" i="1"/>
  <c r="L573" i="1"/>
  <c r="AL572" i="1"/>
  <c r="AK572" i="1"/>
  <c r="AC572" i="1"/>
  <c r="O572" i="1"/>
  <c r="M572" i="1"/>
  <c r="L572" i="1"/>
  <c r="AL571" i="1"/>
  <c r="AK571" i="1"/>
  <c r="AC571" i="1"/>
  <c r="O571" i="1"/>
  <c r="M571" i="1"/>
  <c r="L571" i="1"/>
  <c r="AL570" i="1"/>
  <c r="AK570" i="1"/>
  <c r="AC570" i="1"/>
  <c r="O570" i="1"/>
  <c r="M570" i="1"/>
  <c r="L570" i="1"/>
  <c r="AM569" i="1"/>
  <c r="AR569" i="1" s="1"/>
  <c r="AL569" i="1"/>
  <c r="AK569" i="1"/>
  <c r="AC569" i="1"/>
  <c r="Y569" i="1"/>
  <c r="AS569" i="1" s="1"/>
  <c r="O569" i="1"/>
  <c r="M569" i="1"/>
  <c r="L569" i="1"/>
  <c r="AM568" i="1"/>
  <c r="AR568" i="1" s="1"/>
  <c r="AL568" i="1"/>
  <c r="AK568" i="1"/>
  <c r="AC568" i="1"/>
  <c r="Y568" i="1"/>
  <c r="AS568" i="1" s="1"/>
  <c r="O568" i="1"/>
  <c r="M568" i="1"/>
  <c r="L568" i="1"/>
  <c r="AL567" i="1"/>
  <c r="AK567" i="1"/>
  <c r="AC567" i="1"/>
  <c r="O567" i="1"/>
  <c r="M567" i="1"/>
  <c r="L567" i="1"/>
  <c r="AL566" i="1"/>
  <c r="AK566" i="1"/>
  <c r="AC566" i="1"/>
  <c r="O566" i="1"/>
  <c r="M566" i="1"/>
  <c r="L566" i="1"/>
  <c r="AL565" i="1"/>
  <c r="AK565" i="1"/>
  <c r="AC565" i="1"/>
  <c r="O565" i="1"/>
  <c r="M565" i="1"/>
  <c r="L565" i="1"/>
  <c r="AL564" i="1"/>
  <c r="AM564" i="1" s="1"/>
  <c r="Y564" i="1" s="1"/>
  <c r="AS564" i="1" s="1"/>
  <c r="AK564" i="1"/>
  <c r="AC564" i="1"/>
  <c r="O564" i="1"/>
  <c r="M564" i="1"/>
  <c r="L564" i="1"/>
  <c r="AL563" i="1"/>
  <c r="AK563" i="1"/>
  <c r="AC563" i="1"/>
  <c r="O563" i="1"/>
  <c r="M563" i="1"/>
  <c r="L563" i="1"/>
  <c r="AL562" i="1"/>
  <c r="AK562" i="1"/>
  <c r="AC562" i="1"/>
  <c r="O562" i="1"/>
  <c r="M562" i="1"/>
  <c r="L562" i="1"/>
  <c r="AL561" i="1"/>
  <c r="AM561" i="1" s="1"/>
  <c r="AK561" i="1"/>
  <c r="AC561" i="1"/>
  <c r="O561" i="1"/>
  <c r="M561" i="1"/>
  <c r="L561" i="1"/>
  <c r="AV560" i="1"/>
  <c r="AS560" i="1"/>
  <c r="AR560" i="1"/>
  <c r="AQ560" i="1"/>
  <c r="AP560" i="1"/>
  <c r="AO560" i="1"/>
  <c r="AV559" i="1"/>
  <c r="AS559" i="1"/>
  <c r="AR559" i="1"/>
  <c r="AQ559" i="1"/>
  <c r="AP559" i="1"/>
  <c r="AO559" i="1"/>
  <c r="AV558" i="1"/>
  <c r="AS558" i="1"/>
  <c r="AR558" i="1"/>
  <c r="AQ558" i="1"/>
  <c r="AP558" i="1"/>
  <c r="AO558" i="1"/>
  <c r="AV557" i="1"/>
  <c r="AS557" i="1"/>
  <c r="AR557" i="1"/>
  <c r="AQ557" i="1"/>
  <c r="AP557" i="1"/>
  <c r="AO557" i="1"/>
  <c r="AT557" i="1" s="1"/>
  <c r="AV556" i="1"/>
  <c r="AS556" i="1"/>
  <c r="AR556" i="1"/>
  <c r="AQ556" i="1"/>
  <c r="AP556" i="1"/>
  <c r="AO556" i="1"/>
  <c r="AV555" i="1"/>
  <c r="AS555" i="1"/>
  <c r="AR555" i="1"/>
  <c r="AQ555" i="1"/>
  <c r="AP555" i="1"/>
  <c r="AO555" i="1"/>
  <c r="AV554" i="1"/>
  <c r="AS554" i="1"/>
  <c r="AR554" i="1"/>
  <c r="AQ554" i="1"/>
  <c r="AP554" i="1"/>
  <c r="AO554" i="1"/>
  <c r="AV553" i="1"/>
  <c r="AS553" i="1"/>
  <c r="AR553" i="1"/>
  <c r="AQ553" i="1"/>
  <c r="AP553" i="1"/>
  <c r="AO553" i="1"/>
  <c r="AV552" i="1"/>
  <c r="AS552" i="1"/>
  <c r="AR552" i="1"/>
  <c r="AQ552" i="1"/>
  <c r="AP552" i="1"/>
  <c r="AO552" i="1"/>
  <c r="AV551" i="1"/>
  <c r="AS551" i="1"/>
  <c r="AR551" i="1"/>
  <c r="AQ551" i="1"/>
  <c r="AP551" i="1"/>
  <c r="AO551" i="1"/>
  <c r="AV550" i="1"/>
  <c r="AS550" i="1"/>
  <c r="AR550" i="1"/>
  <c r="AQ550" i="1"/>
  <c r="AP550" i="1"/>
  <c r="AO550" i="1"/>
  <c r="AV549" i="1"/>
  <c r="K549" i="1"/>
  <c r="I549" i="1"/>
  <c r="H549" i="1"/>
  <c r="G549" i="1"/>
  <c r="AV548" i="1"/>
  <c r="K548" i="1"/>
  <c r="J548" i="1"/>
  <c r="I548" i="1"/>
  <c r="H548" i="1"/>
  <c r="G548" i="1"/>
  <c r="AV547" i="1"/>
  <c r="K547" i="1"/>
  <c r="I547" i="1"/>
  <c r="H547" i="1"/>
  <c r="G547" i="1"/>
  <c r="AL547" i="1" s="1"/>
  <c r="AV546" i="1"/>
  <c r="K546" i="1"/>
  <c r="I546" i="1"/>
  <c r="H546" i="1"/>
  <c r="AK546" i="1" s="1"/>
  <c r="G546" i="1"/>
  <c r="AL546" i="1" s="1"/>
  <c r="AV545" i="1"/>
  <c r="K545" i="1"/>
  <c r="J545" i="1"/>
  <c r="I545" i="1"/>
  <c r="H545" i="1"/>
  <c r="G545" i="1"/>
  <c r="AL545" i="1" s="1"/>
  <c r="AV544" i="1"/>
  <c r="K544" i="1"/>
  <c r="I544" i="1"/>
  <c r="H544" i="1"/>
  <c r="G544" i="1"/>
  <c r="AV543" i="1"/>
  <c r="K543" i="1"/>
  <c r="I543" i="1"/>
  <c r="H543" i="1"/>
  <c r="AK543" i="1" s="1"/>
  <c r="G543" i="1"/>
  <c r="AL543" i="1" s="1"/>
  <c r="AV542" i="1"/>
  <c r="K542" i="1"/>
  <c r="J542" i="1"/>
  <c r="I542" i="1"/>
  <c r="H542" i="1"/>
  <c r="G542" i="1"/>
  <c r="AV541" i="1"/>
  <c r="K541" i="1"/>
  <c r="I541" i="1"/>
  <c r="H541" i="1"/>
  <c r="G541" i="1"/>
  <c r="AV540" i="1"/>
  <c r="AL540" i="1"/>
  <c r="K540" i="1"/>
  <c r="I540" i="1"/>
  <c r="H540" i="1"/>
  <c r="G540" i="1"/>
  <c r="AV539" i="1"/>
  <c r="K539" i="1"/>
  <c r="J539" i="1"/>
  <c r="I539" i="1"/>
  <c r="H539" i="1"/>
  <c r="G539" i="1"/>
  <c r="AL539" i="1" s="1"/>
  <c r="AV538" i="1"/>
  <c r="K538" i="1"/>
  <c r="I538" i="1"/>
  <c r="H538" i="1"/>
  <c r="G538" i="1"/>
  <c r="AL538" i="1" s="1"/>
  <c r="AV537" i="1"/>
  <c r="K537" i="1"/>
  <c r="I537" i="1"/>
  <c r="H537" i="1"/>
  <c r="G537" i="1"/>
  <c r="AL537" i="1" s="1"/>
  <c r="AV536" i="1"/>
  <c r="K536" i="1"/>
  <c r="J536" i="1"/>
  <c r="I536" i="1"/>
  <c r="H536" i="1"/>
  <c r="G536" i="1"/>
  <c r="AV535" i="1"/>
  <c r="K535" i="1"/>
  <c r="I535" i="1"/>
  <c r="H535" i="1"/>
  <c r="G535" i="1"/>
  <c r="AV534" i="1"/>
  <c r="K534" i="1"/>
  <c r="I534" i="1"/>
  <c r="H534" i="1"/>
  <c r="AK534" i="1" s="1"/>
  <c r="G534" i="1"/>
  <c r="AL534" i="1" s="1"/>
  <c r="AV533" i="1"/>
  <c r="K533" i="1"/>
  <c r="J533" i="1"/>
  <c r="I533" i="1"/>
  <c r="H533" i="1"/>
  <c r="G533" i="1"/>
  <c r="AL533" i="1" s="1"/>
  <c r="AV532" i="1"/>
  <c r="K532" i="1"/>
  <c r="I532" i="1"/>
  <c r="H532" i="1"/>
  <c r="G532" i="1"/>
  <c r="AV531" i="1"/>
  <c r="K531" i="1"/>
  <c r="I531" i="1"/>
  <c r="H531" i="1"/>
  <c r="G531" i="1"/>
  <c r="AL531" i="1" s="1"/>
  <c r="AV530" i="1"/>
  <c r="AL530" i="1"/>
  <c r="K530" i="1"/>
  <c r="J530" i="1"/>
  <c r="I530" i="1"/>
  <c r="H530" i="1"/>
  <c r="G530" i="1"/>
  <c r="AV529" i="1"/>
  <c r="K529" i="1"/>
  <c r="I529" i="1"/>
  <c r="H529" i="1"/>
  <c r="G529" i="1"/>
  <c r="AL529" i="1" s="1"/>
  <c r="AV528" i="1"/>
  <c r="K528" i="1"/>
  <c r="I528" i="1"/>
  <c r="H528" i="1"/>
  <c r="AK528" i="1" s="1"/>
  <c r="G528" i="1"/>
  <c r="AL528" i="1" s="1"/>
  <c r="AV527" i="1"/>
  <c r="K527" i="1"/>
  <c r="J527" i="1"/>
  <c r="I527" i="1"/>
  <c r="H527" i="1"/>
  <c r="G527" i="1"/>
  <c r="AL527" i="1" s="1"/>
  <c r="AV526" i="1"/>
  <c r="K526" i="1"/>
  <c r="I526" i="1"/>
  <c r="H526" i="1"/>
  <c r="AK526" i="1" s="1"/>
  <c r="G526" i="1"/>
  <c r="AL526" i="1" s="1"/>
  <c r="AV525" i="1"/>
  <c r="K525" i="1"/>
  <c r="I525" i="1"/>
  <c r="H525" i="1"/>
  <c r="G525" i="1"/>
  <c r="AL525" i="1" s="1"/>
  <c r="AV524" i="1"/>
  <c r="AL524" i="1"/>
  <c r="K524" i="1"/>
  <c r="J524" i="1"/>
  <c r="I524" i="1"/>
  <c r="H524" i="1"/>
  <c r="G524" i="1"/>
  <c r="AV523" i="1"/>
  <c r="K523" i="1"/>
  <c r="I523" i="1"/>
  <c r="H523" i="1"/>
  <c r="G523" i="1"/>
  <c r="AL523" i="1" s="1"/>
  <c r="AV522" i="1"/>
  <c r="K522" i="1"/>
  <c r="I522" i="1"/>
  <c r="H522" i="1"/>
  <c r="AK522" i="1" s="1"/>
  <c r="G522" i="1"/>
  <c r="AL522" i="1" s="1"/>
  <c r="AV521" i="1"/>
  <c r="K521" i="1"/>
  <c r="J521" i="1"/>
  <c r="I521" i="1"/>
  <c r="H521" i="1"/>
  <c r="G521" i="1"/>
  <c r="AL521" i="1" s="1"/>
  <c r="AV520" i="1"/>
  <c r="K520" i="1"/>
  <c r="I520" i="1"/>
  <c r="H520" i="1"/>
  <c r="G520" i="1"/>
  <c r="AL520" i="1" s="1"/>
  <c r="AV519" i="1"/>
  <c r="K519" i="1"/>
  <c r="I519" i="1"/>
  <c r="H519" i="1"/>
  <c r="AK519" i="1" s="1"/>
  <c r="G519" i="1"/>
  <c r="AL519" i="1" s="1"/>
  <c r="AV518" i="1"/>
  <c r="K518" i="1"/>
  <c r="J518" i="1"/>
  <c r="I518" i="1"/>
  <c r="H518" i="1"/>
  <c r="G518" i="1"/>
  <c r="AV517" i="1"/>
  <c r="K517" i="1"/>
  <c r="I517" i="1"/>
  <c r="H517" i="1"/>
  <c r="G517" i="1"/>
  <c r="AV516" i="1"/>
  <c r="AL516" i="1"/>
  <c r="K516" i="1"/>
  <c r="I516" i="1"/>
  <c r="H516" i="1"/>
  <c r="G516" i="1"/>
  <c r="AK516" i="1" s="1"/>
  <c r="AM516" i="1" s="1"/>
  <c r="AV515" i="1"/>
  <c r="K515" i="1"/>
  <c r="J515" i="1"/>
  <c r="I515" i="1"/>
  <c r="H515" i="1"/>
  <c r="G515" i="1"/>
  <c r="AL515" i="1" s="1"/>
  <c r="AV514" i="1"/>
  <c r="K514" i="1"/>
  <c r="I514" i="1"/>
  <c r="H514" i="1"/>
  <c r="G514" i="1"/>
  <c r="AL514" i="1" s="1"/>
  <c r="AV513" i="1"/>
  <c r="K513" i="1"/>
  <c r="I513" i="1"/>
  <c r="H513" i="1"/>
  <c r="G513" i="1"/>
  <c r="AL513" i="1" s="1"/>
  <c r="AV512" i="1"/>
  <c r="K512" i="1"/>
  <c r="J512" i="1"/>
  <c r="I512" i="1"/>
  <c r="H512" i="1"/>
  <c r="G512" i="1"/>
  <c r="AV511" i="1"/>
  <c r="K511" i="1"/>
  <c r="I511" i="1"/>
  <c r="H511" i="1"/>
  <c r="G511" i="1"/>
  <c r="AV510" i="1"/>
  <c r="K510" i="1"/>
  <c r="I510" i="1"/>
  <c r="H510" i="1"/>
  <c r="AK510" i="1" s="1"/>
  <c r="G510" i="1"/>
  <c r="AL510" i="1" s="1"/>
  <c r="AV509" i="1"/>
  <c r="K509" i="1"/>
  <c r="J509" i="1"/>
  <c r="I509" i="1"/>
  <c r="H509" i="1"/>
  <c r="G509" i="1"/>
  <c r="AL509" i="1" s="1"/>
  <c r="AV508" i="1"/>
  <c r="K508" i="1"/>
  <c r="I508" i="1"/>
  <c r="H508" i="1"/>
  <c r="G508" i="1"/>
  <c r="AV507" i="1"/>
  <c r="K507" i="1"/>
  <c r="I507" i="1"/>
  <c r="H507" i="1"/>
  <c r="G507" i="1"/>
  <c r="AL507" i="1" s="1"/>
  <c r="AV506" i="1"/>
  <c r="AL506" i="1"/>
  <c r="K506" i="1"/>
  <c r="J506" i="1"/>
  <c r="I506" i="1"/>
  <c r="H506" i="1"/>
  <c r="G506" i="1"/>
  <c r="AV505" i="1"/>
  <c r="K505" i="1"/>
  <c r="I505" i="1"/>
  <c r="H505" i="1"/>
  <c r="G505" i="1"/>
  <c r="AL505" i="1" s="1"/>
  <c r="AM504" i="1"/>
  <c r="AL504" i="1"/>
  <c r="AK504" i="1"/>
  <c r="AC504" i="1"/>
  <c r="Y504" i="1"/>
  <c r="AS504" i="1" s="1"/>
  <c r="AL503" i="1"/>
  <c r="AK503" i="1"/>
  <c r="AM503" i="1" s="1"/>
  <c r="AC503" i="1"/>
  <c r="AL502" i="1"/>
  <c r="AK502" i="1"/>
  <c r="AC502" i="1"/>
  <c r="AL501" i="1"/>
  <c r="AK501" i="1"/>
  <c r="AC501" i="1"/>
  <c r="AL500" i="1"/>
  <c r="AK500" i="1"/>
  <c r="AC500" i="1"/>
  <c r="AV499" i="1"/>
  <c r="AL499" i="1"/>
  <c r="AK499" i="1"/>
  <c r="AM499" i="1" s="1"/>
  <c r="AR499" i="1" s="1"/>
  <c r="O499" i="1"/>
  <c r="M499" i="1"/>
  <c r="L499" i="1"/>
  <c r="AV498" i="1"/>
  <c r="AL498" i="1"/>
  <c r="AK498" i="1"/>
  <c r="O498" i="1"/>
  <c r="M498" i="1"/>
  <c r="L498" i="1"/>
  <c r="AV497" i="1"/>
  <c r="AL497" i="1"/>
  <c r="AK497" i="1"/>
  <c r="O497" i="1"/>
  <c r="M497" i="1"/>
  <c r="L497" i="1"/>
  <c r="AV496" i="1"/>
  <c r="AL496" i="1"/>
  <c r="AK496" i="1"/>
  <c r="O496" i="1"/>
  <c r="M496" i="1"/>
  <c r="L496" i="1"/>
  <c r="AV495" i="1"/>
  <c r="AM495" i="1"/>
  <c r="AR495" i="1" s="1"/>
  <c r="AL495" i="1"/>
  <c r="AK495" i="1"/>
  <c r="O495" i="1"/>
  <c r="M495" i="1"/>
  <c r="L495" i="1"/>
  <c r="AV494" i="1"/>
  <c r="AL494" i="1"/>
  <c r="AK494" i="1"/>
  <c r="O494" i="1"/>
  <c r="M494" i="1"/>
  <c r="L494" i="1"/>
  <c r="AV493" i="1"/>
  <c r="AL493" i="1"/>
  <c r="AK493" i="1"/>
  <c r="O493" i="1"/>
  <c r="M493" i="1"/>
  <c r="L493" i="1"/>
  <c r="AV492" i="1"/>
  <c r="AL492" i="1"/>
  <c r="AK492" i="1"/>
  <c r="O492" i="1"/>
  <c r="M492" i="1"/>
  <c r="L492" i="1"/>
  <c r="AV491" i="1"/>
  <c r="AL491" i="1"/>
  <c r="AK491" i="1"/>
  <c r="AM491" i="1" s="1"/>
  <c r="AR491" i="1" s="1"/>
  <c r="O491" i="1"/>
  <c r="M491" i="1"/>
  <c r="L491" i="1"/>
  <c r="AV490" i="1"/>
  <c r="AL490" i="1"/>
  <c r="AK490" i="1"/>
  <c r="O490" i="1"/>
  <c r="M490" i="1"/>
  <c r="L490" i="1"/>
  <c r="AV489" i="1"/>
  <c r="AL489" i="1"/>
  <c r="AK489" i="1"/>
  <c r="O489" i="1"/>
  <c r="M489" i="1"/>
  <c r="L489" i="1"/>
  <c r="AS488" i="1"/>
  <c r="AR488" i="1"/>
  <c r="AQ488" i="1"/>
  <c r="AP488" i="1"/>
  <c r="AT488" i="1" s="1"/>
  <c r="AO488" i="1"/>
  <c r="AC488" i="1"/>
  <c r="L488" i="1"/>
  <c r="I488" i="1"/>
  <c r="AS487" i="1"/>
  <c r="AR487" i="1"/>
  <c r="AQ487" i="1"/>
  <c r="AP487" i="1"/>
  <c r="AO487" i="1"/>
  <c r="AC487" i="1"/>
  <c r="L487" i="1"/>
  <c r="I487" i="1"/>
  <c r="AS486" i="1"/>
  <c r="AR486" i="1"/>
  <c r="AQ486" i="1"/>
  <c r="AP486" i="1"/>
  <c r="AT486" i="1" s="1"/>
  <c r="AO486" i="1"/>
  <c r="AC486" i="1"/>
  <c r="L486" i="1"/>
  <c r="I486" i="1"/>
  <c r="AS485" i="1"/>
  <c r="AR485" i="1"/>
  <c r="AQ485" i="1"/>
  <c r="AP485" i="1"/>
  <c r="AO485" i="1"/>
  <c r="AC485" i="1"/>
  <c r="L485" i="1"/>
  <c r="I485" i="1"/>
  <c r="AS484" i="1"/>
  <c r="AR484" i="1"/>
  <c r="AQ484" i="1"/>
  <c r="AP484" i="1"/>
  <c r="AT484" i="1" s="1"/>
  <c r="AO484" i="1"/>
  <c r="AC484" i="1"/>
  <c r="L484" i="1"/>
  <c r="I484" i="1"/>
  <c r="AS483" i="1"/>
  <c r="AR483" i="1"/>
  <c r="AQ483" i="1"/>
  <c r="AP483" i="1"/>
  <c r="AO483" i="1"/>
  <c r="AC483" i="1"/>
  <c r="J483" i="1"/>
  <c r="AS482" i="1"/>
  <c r="AR482" i="1"/>
  <c r="AQ482" i="1"/>
  <c r="AP482" i="1"/>
  <c r="AO482" i="1"/>
  <c r="AV482" i="1" s="1"/>
  <c r="AC482" i="1"/>
  <c r="J482" i="1"/>
  <c r="AS481" i="1"/>
  <c r="AR481" i="1"/>
  <c r="AQ481" i="1"/>
  <c r="AP481" i="1"/>
  <c r="AO481" i="1"/>
  <c r="AC481" i="1"/>
  <c r="J481" i="1"/>
  <c r="AS480" i="1"/>
  <c r="AR480" i="1"/>
  <c r="AQ480" i="1"/>
  <c r="AP480" i="1"/>
  <c r="AV480" i="1" s="1"/>
  <c r="AO480" i="1"/>
  <c r="AC480" i="1"/>
  <c r="J480" i="1"/>
  <c r="AS479" i="1"/>
  <c r="AR479" i="1"/>
  <c r="AQ479" i="1"/>
  <c r="AP479" i="1"/>
  <c r="AO479" i="1"/>
  <c r="AV479" i="1" s="1"/>
  <c r="AC479" i="1"/>
  <c r="J479" i="1"/>
  <c r="AS478" i="1"/>
  <c r="AR478" i="1"/>
  <c r="AQ478" i="1"/>
  <c r="AP478" i="1"/>
  <c r="AO478" i="1"/>
  <c r="AC478" i="1"/>
  <c r="J478" i="1"/>
  <c r="AS477" i="1"/>
  <c r="AR477" i="1"/>
  <c r="AQ477" i="1"/>
  <c r="AP477" i="1"/>
  <c r="AO477" i="1"/>
  <c r="AC477" i="1"/>
  <c r="J477" i="1"/>
  <c r="AV476" i="1"/>
  <c r="AS476" i="1"/>
  <c r="AR476" i="1"/>
  <c r="AQ476" i="1"/>
  <c r="AP476" i="1"/>
  <c r="AO476" i="1"/>
  <c r="AT476" i="1" s="1"/>
  <c r="K476" i="1"/>
  <c r="AV475" i="1"/>
  <c r="AS475" i="1"/>
  <c r="AR475" i="1"/>
  <c r="AQ475" i="1"/>
  <c r="AP475" i="1"/>
  <c r="AO475" i="1"/>
  <c r="K475" i="1"/>
  <c r="AV474" i="1"/>
  <c r="AS474" i="1"/>
  <c r="AR474" i="1"/>
  <c r="AQ474" i="1"/>
  <c r="AP474" i="1"/>
  <c r="AO474" i="1"/>
  <c r="K474" i="1"/>
  <c r="AV473" i="1"/>
  <c r="AS473" i="1"/>
  <c r="AR473" i="1"/>
  <c r="AQ473" i="1"/>
  <c r="AP473" i="1"/>
  <c r="AO473" i="1"/>
  <c r="K473" i="1"/>
  <c r="AV472" i="1"/>
  <c r="AS472" i="1"/>
  <c r="AR472" i="1"/>
  <c r="AQ472" i="1"/>
  <c r="AP472" i="1"/>
  <c r="AO472" i="1"/>
  <c r="AT472" i="1" s="1"/>
  <c r="K472" i="1"/>
  <c r="AV471" i="1"/>
  <c r="AS471" i="1"/>
  <c r="AR471" i="1"/>
  <c r="AQ471" i="1"/>
  <c r="AP471" i="1"/>
  <c r="AO471" i="1"/>
  <c r="K471" i="1"/>
  <c r="AV470" i="1"/>
  <c r="AS470" i="1"/>
  <c r="AR470" i="1"/>
  <c r="AQ470" i="1"/>
  <c r="AP470" i="1"/>
  <c r="AO470" i="1"/>
  <c r="K470" i="1"/>
  <c r="AV469" i="1"/>
  <c r="AS469" i="1"/>
  <c r="AR469" i="1"/>
  <c r="AQ469" i="1"/>
  <c r="AP469" i="1"/>
  <c r="AO469" i="1"/>
  <c r="K469" i="1"/>
  <c r="AV468" i="1"/>
  <c r="AS468" i="1"/>
  <c r="AR468" i="1"/>
  <c r="AQ468" i="1"/>
  <c r="AP468" i="1"/>
  <c r="AO468" i="1"/>
  <c r="AT468" i="1" s="1"/>
  <c r="K468" i="1"/>
  <c r="AV467" i="1"/>
  <c r="AS467" i="1"/>
  <c r="AR467" i="1"/>
  <c r="AQ467" i="1"/>
  <c r="AP467" i="1"/>
  <c r="AO467" i="1"/>
  <c r="K467" i="1"/>
  <c r="AV466" i="1"/>
  <c r="AS466" i="1"/>
  <c r="AR466" i="1"/>
  <c r="AQ466" i="1"/>
  <c r="AP466" i="1"/>
  <c r="AO466" i="1"/>
  <c r="K466" i="1"/>
  <c r="AV465" i="1"/>
  <c r="AS465" i="1"/>
  <c r="AR465" i="1"/>
  <c r="AQ465" i="1"/>
  <c r="AP465" i="1"/>
  <c r="AO465" i="1"/>
  <c r="K465" i="1"/>
  <c r="AC464" i="1"/>
  <c r="K464" i="1"/>
  <c r="J464" i="1"/>
  <c r="I464" i="1"/>
  <c r="H464" i="1"/>
  <c r="G464" i="1"/>
  <c r="AL464" i="1" s="1"/>
  <c r="AC463" i="1"/>
  <c r="K463" i="1"/>
  <c r="J463" i="1"/>
  <c r="I463" i="1"/>
  <c r="H463" i="1"/>
  <c r="G463" i="1"/>
  <c r="AL463" i="1" s="1"/>
  <c r="AC462" i="1"/>
  <c r="J462" i="1"/>
  <c r="I462" i="1"/>
  <c r="H462" i="1"/>
  <c r="G462" i="1"/>
  <c r="AL462" i="1" s="1"/>
  <c r="AC461" i="1"/>
  <c r="K461" i="1"/>
  <c r="J461" i="1"/>
  <c r="I461" i="1"/>
  <c r="H461" i="1"/>
  <c r="G461" i="1"/>
  <c r="AL461" i="1" s="1"/>
  <c r="AV460" i="1"/>
  <c r="L460" i="1"/>
  <c r="I460" i="1"/>
  <c r="H460" i="1"/>
  <c r="AK460" i="1" s="1"/>
  <c r="G460" i="1"/>
  <c r="AL460" i="1" s="1"/>
  <c r="AV459" i="1"/>
  <c r="L459" i="1"/>
  <c r="I459" i="1"/>
  <c r="H459" i="1"/>
  <c r="G459" i="1"/>
  <c r="AL459" i="1" s="1"/>
  <c r="AV458" i="1"/>
  <c r="L458" i="1"/>
  <c r="I458" i="1"/>
  <c r="H458" i="1"/>
  <c r="G458" i="1"/>
  <c r="AL458" i="1" s="1"/>
  <c r="AV457" i="1"/>
  <c r="L457" i="1"/>
  <c r="I457" i="1"/>
  <c r="H457" i="1"/>
  <c r="G457" i="1"/>
  <c r="AV456" i="1"/>
  <c r="L456" i="1"/>
  <c r="I456" i="1"/>
  <c r="H456" i="1"/>
  <c r="AK456" i="1" s="1"/>
  <c r="G456" i="1"/>
  <c r="AL456" i="1" s="1"/>
  <c r="AV455" i="1"/>
  <c r="L455" i="1"/>
  <c r="I455" i="1"/>
  <c r="H455" i="1"/>
  <c r="G455" i="1"/>
  <c r="AL455" i="1" s="1"/>
  <c r="AV454" i="1"/>
  <c r="L454" i="1"/>
  <c r="I454" i="1"/>
  <c r="H454" i="1"/>
  <c r="G454" i="1"/>
  <c r="AL454" i="1" s="1"/>
  <c r="AV453" i="1"/>
  <c r="L453" i="1"/>
  <c r="I453" i="1"/>
  <c r="H453" i="1"/>
  <c r="G453" i="1"/>
  <c r="AV452" i="1"/>
  <c r="L452" i="1"/>
  <c r="I452" i="1"/>
  <c r="H452" i="1"/>
  <c r="AK452" i="1" s="1"/>
  <c r="G452" i="1"/>
  <c r="AL452" i="1" s="1"/>
  <c r="AL451" i="1"/>
  <c r="AK451" i="1"/>
  <c r="AC451" i="1"/>
  <c r="AL450" i="1"/>
  <c r="AK450" i="1"/>
  <c r="AC450" i="1"/>
  <c r="AL449" i="1"/>
  <c r="AK449" i="1"/>
  <c r="AC449" i="1"/>
  <c r="AL448" i="1"/>
  <c r="AK448" i="1"/>
  <c r="AC448" i="1"/>
  <c r="AL447" i="1"/>
  <c r="AK447" i="1"/>
  <c r="AC447" i="1"/>
  <c r="AL446" i="1"/>
  <c r="AK446" i="1"/>
  <c r="AC446" i="1"/>
  <c r="AL445" i="1"/>
  <c r="AK445" i="1"/>
  <c r="AC445" i="1"/>
  <c r="AL444" i="1"/>
  <c r="AK444" i="1"/>
  <c r="AC444" i="1"/>
  <c r="AL443" i="1"/>
  <c r="AK443" i="1"/>
  <c r="AC443" i="1"/>
  <c r="AL442" i="1"/>
  <c r="AK442" i="1"/>
  <c r="AC442" i="1"/>
  <c r="AL441" i="1"/>
  <c r="AK441" i="1"/>
  <c r="AC441" i="1"/>
  <c r="AL440" i="1"/>
  <c r="AK440" i="1"/>
  <c r="AC440" i="1"/>
  <c r="AL439" i="1"/>
  <c r="AK439" i="1"/>
  <c r="AC439" i="1"/>
  <c r="AL438" i="1"/>
  <c r="AK438" i="1"/>
  <c r="AC438" i="1"/>
  <c r="AC437" i="1"/>
  <c r="K437" i="1"/>
  <c r="J437" i="1"/>
  <c r="AK437" i="1" s="1"/>
  <c r="I437" i="1"/>
  <c r="H437" i="1"/>
  <c r="G437" i="1"/>
  <c r="AL437" i="1" s="1"/>
  <c r="AC436" i="1"/>
  <c r="K436" i="1"/>
  <c r="J436" i="1"/>
  <c r="I436" i="1"/>
  <c r="H436" i="1"/>
  <c r="G436" i="1"/>
  <c r="AK436" i="1" s="1"/>
  <c r="AC435" i="1"/>
  <c r="K435" i="1"/>
  <c r="J435" i="1"/>
  <c r="I435" i="1"/>
  <c r="H435" i="1"/>
  <c r="G435" i="1"/>
  <c r="AL435" i="1" s="1"/>
  <c r="AC434" i="1"/>
  <c r="K434" i="1"/>
  <c r="J434" i="1"/>
  <c r="I434" i="1"/>
  <c r="H434" i="1"/>
  <c r="AK434" i="1" s="1"/>
  <c r="G434" i="1"/>
  <c r="AL434" i="1" s="1"/>
  <c r="AC433" i="1"/>
  <c r="K433" i="1"/>
  <c r="J433" i="1"/>
  <c r="AK433" i="1" s="1"/>
  <c r="I433" i="1"/>
  <c r="H433" i="1"/>
  <c r="G433" i="1"/>
  <c r="AL433" i="1" s="1"/>
  <c r="AV432" i="1"/>
  <c r="AR432" i="1"/>
  <c r="AQ432" i="1"/>
  <c r="AP432" i="1"/>
  <c r="AO432" i="1"/>
  <c r="AC432" i="1"/>
  <c r="Z432" i="1"/>
  <c r="Y432" i="1"/>
  <c r="AS432" i="1" s="1"/>
  <c r="L432" i="1"/>
  <c r="AR431" i="1"/>
  <c r="AQ431" i="1"/>
  <c r="AP431" i="1"/>
  <c r="AO431" i="1"/>
  <c r="AC431" i="1"/>
  <c r="AV431" i="1" s="1"/>
  <c r="Z431" i="1"/>
  <c r="Y431" i="1"/>
  <c r="AS431" i="1" s="1"/>
  <c r="L431" i="1"/>
  <c r="K431" i="1"/>
  <c r="J431" i="1"/>
  <c r="I431" i="1"/>
  <c r="H431" i="1"/>
  <c r="G431" i="1"/>
  <c r="AR430" i="1"/>
  <c r="AQ430" i="1"/>
  <c r="AP430" i="1"/>
  <c r="AO430" i="1"/>
  <c r="AC430" i="1"/>
  <c r="AV430" i="1" s="1"/>
  <c r="Z430" i="1"/>
  <c r="Y430" i="1"/>
  <c r="AS430" i="1" s="1"/>
  <c r="L430" i="1"/>
  <c r="K430" i="1"/>
  <c r="J430" i="1"/>
  <c r="I430" i="1"/>
  <c r="H430" i="1"/>
  <c r="G430" i="1"/>
  <c r="AR429" i="1"/>
  <c r="AQ429" i="1"/>
  <c r="AP429" i="1"/>
  <c r="AO429" i="1"/>
  <c r="AC429" i="1"/>
  <c r="AV429" i="1" s="1"/>
  <c r="Z429" i="1"/>
  <c r="Y429" i="1"/>
  <c r="AS429" i="1" s="1"/>
  <c r="L429" i="1"/>
  <c r="K429" i="1"/>
  <c r="J429" i="1"/>
  <c r="I429" i="1"/>
  <c r="H429" i="1"/>
  <c r="G429" i="1"/>
  <c r="AR428" i="1"/>
  <c r="AQ428" i="1"/>
  <c r="AP428" i="1"/>
  <c r="AO428" i="1"/>
  <c r="AC428" i="1"/>
  <c r="AV428" i="1" s="1"/>
  <c r="Z428" i="1"/>
  <c r="Y428" i="1"/>
  <c r="AS428" i="1" s="1"/>
  <c r="L428" i="1"/>
  <c r="K428" i="1"/>
  <c r="J428" i="1"/>
  <c r="I428" i="1"/>
  <c r="H428" i="1"/>
  <c r="G428" i="1"/>
  <c r="AR427" i="1"/>
  <c r="AQ427" i="1"/>
  <c r="AP427" i="1"/>
  <c r="AO427" i="1"/>
  <c r="AC427" i="1"/>
  <c r="AV427" i="1" s="1"/>
  <c r="Z427" i="1"/>
  <c r="Y427" i="1"/>
  <c r="AS427" i="1" s="1"/>
  <c r="L427" i="1"/>
  <c r="K427" i="1"/>
  <c r="J427" i="1"/>
  <c r="I427" i="1"/>
  <c r="H427" i="1"/>
  <c r="G427" i="1"/>
  <c r="AR426" i="1"/>
  <c r="AQ426" i="1"/>
  <c r="AP426" i="1"/>
  <c r="AO426" i="1"/>
  <c r="AC426" i="1"/>
  <c r="AV426" i="1" s="1"/>
  <c r="Z426" i="1"/>
  <c r="Y426" i="1"/>
  <c r="AS426" i="1" s="1"/>
  <c r="L426" i="1"/>
  <c r="K426" i="1"/>
  <c r="J426" i="1"/>
  <c r="I426" i="1"/>
  <c r="H426" i="1"/>
  <c r="G426" i="1"/>
  <c r="AR425" i="1"/>
  <c r="AQ425" i="1"/>
  <c r="AP425" i="1"/>
  <c r="AO425" i="1"/>
  <c r="AC425" i="1"/>
  <c r="AV425" i="1" s="1"/>
  <c r="Z425" i="1"/>
  <c r="Y425" i="1"/>
  <c r="AS425" i="1" s="1"/>
  <c r="L425" i="1"/>
  <c r="K425" i="1"/>
  <c r="J425" i="1"/>
  <c r="I425" i="1"/>
  <c r="H425" i="1"/>
  <c r="G425" i="1"/>
  <c r="AR424" i="1"/>
  <c r="AQ424" i="1"/>
  <c r="AP424" i="1"/>
  <c r="AO424" i="1"/>
  <c r="AC424" i="1"/>
  <c r="AV424" i="1" s="1"/>
  <c r="Z424" i="1"/>
  <c r="Y424" i="1"/>
  <c r="AS424" i="1" s="1"/>
  <c r="L424" i="1"/>
  <c r="K424" i="1"/>
  <c r="J424" i="1"/>
  <c r="I424" i="1"/>
  <c r="H424" i="1"/>
  <c r="G424" i="1"/>
  <c r="AR423" i="1"/>
  <c r="AQ423" i="1"/>
  <c r="AP423" i="1"/>
  <c r="AO423" i="1"/>
  <c r="AC423" i="1"/>
  <c r="AV423" i="1" s="1"/>
  <c r="Z423" i="1"/>
  <c r="Y423" i="1"/>
  <c r="AS423" i="1" s="1"/>
  <c r="L423" i="1"/>
  <c r="AS422" i="1"/>
  <c r="AR422" i="1"/>
  <c r="AQ422" i="1"/>
  <c r="AP422" i="1"/>
  <c r="AO422" i="1"/>
  <c r="AT422" i="1" s="1"/>
  <c r="AC422" i="1"/>
  <c r="AV422" i="1" s="1"/>
  <c r="Z422" i="1"/>
  <c r="Y422" i="1"/>
  <c r="L422" i="1"/>
  <c r="AR421" i="1"/>
  <c r="AQ421" i="1"/>
  <c r="AP421" i="1"/>
  <c r="AO421" i="1"/>
  <c r="AC421" i="1"/>
  <c r="AV421" i="1" s="1"/>
  <c r="Z421" i="1"/>
  <c r="Y421" i="1"/>
  <c r="AS421" i="1" s="1"/>
  <c r="L421" i="1"/>
  <c r="AV420" i="1"/>
  <c r="AR420" i="1"/>
  <c r="AQ420" i="1"/>
  <c r="AP420" i="1"/>
  <c r="AO420" i="1"/>
  <c r="AC420" i="1"/>
  <c r="Z420" i="1"/>
  <c r="Y420" i="1"/>
  <c r="AS420" i="1" s="1"/>
  <c r="L420" i="1"/>
  <c r="AR419" i="1"/>
  <c r="AQ419" i="1"/>
  <c r="AP419" i="1"/>
  <c r="AO419" i="1"/>
  <c r="AC419" i="1"/>
  <c r="AV419" i="1" s="1"/>
  <c r="Z419" i="1"/>
  <c r="Y419" i="1"/>
  <c r="AS419" i="1" s="1"/>
  <c r="L419" i="1"/>
  <c r="AS418" i="1"/>
  <c r="AR418" i="1"/>
  <c r="AQ418" i="1"/>
  <c r="AP418" i="1"/>
  <c r="AO418" i="1"/>
  <c r="AT418" i="1" s="1"/>
  <c r="AC418" i="1"/>
  <c r="AV418" i="1" s="1"/>
  <c r="Z418" i="1"/>
  <c r="Y418" i="1"/>
  <c r="L418" i="1"/>
  <c r="AR417" i="1"/>
  <c r="AQ417" i="1"/>
  <c r="AP417" i="1"/>
  <c r="AO417" i="1"/>
  <c r="AC417" i="1"/>
  <c r="AV417" i="1" s="1"/>
  <c r="Z417" i="1"/>
  <c r="Y417" i="1"/>
  <c r="AS417" i="1" s="1"/>
  <c r="L417" i="1"/>
  <c r="AV416" i="1"/>
  <c r="AR416" i="1"/>
  <c r="AQ416" i="1"/>
  <c r="AP416" i="1"/>
  <c r="AO416" i="1"/>
  <c r="AC416" i="1"/>
  <c r="Z416" i="1"/>
  <c r="Y416" i="1"/>
  <c r="AS416" i="1" s="1"/>
  <c r="L416" i="1"/>
  <c r="AR415" i="1"/>
  <c r="AQ415" i="1"/>
  <c r="AP415" i="1"/>
  <c r="AO415" i="1"/>
  <c r="AC415" i="1"/>
  <c r="AV415" i="1" s="1"/>
  <c r="Z415" i="1"/>
  <c r="Y415" i="1"/>
  <c r="AS415" i="1" s="1"/>
  <c r="L415" i="1"/>
  <c r="AS414" i="1"/>
  <c r="AR414" i="1"/>
  <c r="AQ414" i="1"/>
  <c r="AP414" i="1"/>
  <c r="AO414" i="1"/>
  <c r="AT414" i="1" s="1"/>
  <c r="AC414" i="1"/>
  <c r="AV414" i="1" s="1"/>
  <c r="Z414" i="1"/>
  <c r="Y414" i="1"/>
  <c r="L414" i="1"/>
  <c r="AR413" i="1"/>
  <c r="AQ413" i="1"/>
  <c r="AP413" i="1"/>
  <c r="AO413" i="1"/>
  <c r="AC413" i="1"/>
  <c r="AV413" i="1" s="1"/>
  <c r="Z413" i="1"/>
  <c r="Y413" i="1"/>
  <c r="AS413" i="1" s="1"/>
  <c r="L413" i="1"/>
  <c r="AV412" i="1"/>
  <c r="AR412" i="1"/>
  <c r="AQ412" i="1"/>
  <c r="AP412" i="1"/>
  <c r="AO412" i="1"/>
  <c r="AC412" i="1"/>
  <c r="Z412" i="1"/>
  <c r="Y412" i="1"/>
  <c r="AS412" i="1" s="1"/>
  <c r="L412" i="1"/>
  <c r="AR411" i="1"/>
  <c r="AQ411" i="1"/>
  <c r="AP411" i="1"/>
  <c r="AO411" i="1"/>
  <c r="AC411" i="1"/>
  <c r="AV411" i="1" s="1"/>
  <c r="Z411" i="1"/>
  <c r="Y411" i="1"/>
  <c r="AS411" i="1" s="1"/>
  <c r="L411" i="1"/>
  <c r="AR410" i="1"/>
  <c r="AQ410" i="1"/>
  <c r="AP410" i="1"/>
  <c r="AO410" i="1"/>
  <c r="AC410" i="1"/>
  <c r="AV410" i="1" s="1"/>
  <c r="Z410" i="1"/>
  <c r="Y410" i="1"/>
  <c r="AS410" i="1" s="1"/>
  <c r="L410" i="1"/>
  <c r="AR409" i="1"/>
  <c r="AQ409" i="1"/>
  <c r="AP409" i="1"/>
  <c r="AO409" i="1"/>
  <c r="AC409" i="1"/>
  <c r="AV409" i="1" s="1"/>
  <c r="Z409" i="1"/>
  <c r="Y409" i="1"/>
  <c r="AS409" i="1" s="1"/>
  <c r="L409" i="1"/>
  <c r="AV408" i="1"/>
  <c r="AR408" i="1"/>
  <c r="AQ408" i="1"/>
  <c r="AP408" i="1"/>
  <c r="AO408" i="1"/>
  <c r="AC408" i="1"/>
  <c r="Z408" i="1"/>
  <c r="Y408" i="1"/>
  <c r="AS408" i="1" s="1"/>
  <c r="L408" i="1"/>
  <c r="AR407" i="1"/>
  <c r="AQ407" i="1"/>
  <c r="AP407" i="1"/>
  <c r="AO407" i="1"/>
  <c r="AC407" i="1"/>
  <c r="AV407" i="1" s="1"/>
  <c r="Z407" i="1"/>
  <c r="Y407" i="1"/>
  <c r="AS407" i="1" s="1"/>
  <c r="L407" i="1"/>
  <c r="AR406" i="1"/>
  <c r="AQ406" i="1"/>
  <c r="AP406" i="1"/>
  <c r="AO406" i="1"/>
  <c r="AC406" i="1"/>
  <c r="AV406" i="1" s="1"/>
  <c r="Z406" i="1"/>
  <c r="Y406" i="1"/>
  <c r="AS406" i="1" s="1"/>
  <c r="L406" i="1"/>
  <c r="AR405" i="1"/>
  <c r="AQ405" i="1"/>
  <c r="AP405" i="1"/>
  <c r="AO405" i="1"/>
  <c r="AC405" i="1"/>
  <c r="AV405" i="1" s="1"/>
  <c r="Z405" i="1"/>
  <c r="Y405" i="1"/>
  <c r="AS405" i="1" s="1"/>
  <c r="L405" i="1"/>
  <c r="AV404" i="1"/>
  <c r="AR404" i="1"/>
  <c r="AQ404" i="1"/>
  <c r="AP404" i="1"/>
  <c r="AO404" i="1"/>
  <c r="AC404" i="1"/>
  <c r="Z404" i="1"/>
  <c r="Y404" i="1"/>
  <c r="AS404" i="1" s="1"/>
  <c r="L404" i="1"/>
  <c r="AR403" i="1"/>
  <c r="AQ403" i="1"/>
  <c r="AP403" i="1"/>
  <c r="AO403" i="1"/>
  <c r="AC403" i="1"/>
  <c r="AV403" i="1" s="1"/>
  <c r="Z403" i="1"/>
  <c r="Y403" i="1"/>
  <c r="AS403" i="1" s="1"/>
  <c r="L403" i="1"/>
  <c r="AR402" i="1"/>
  <c r="AQ402" i="1"/>
  <c r="AP402" i="1"/>
  <c r="AO402" i="1"/>
  <c r="AC402" i="1"/>
  <c r="AV402" i="1" s="1"/>
  <c r="Z402" i="1"/>
  <c r="Y402" i="1"/>
  <c r="AS402" i="1" s="1"/>
  <c r="L402" i="1"/>
  <c r="AR401" i="1"/>
  <c r="AQ401" i="1"/>
  <c r="AP401" i="1"/>
  <c r="AO401" i="1"/>
  <c r="AC401" i="1"/>
  <c r="AV401" i="1" s="1"/>
  <c r="Z401" i="1"/>
  <c r="Y401" i="1"/>
  <c r="AS401" i="1" s="1"/>
  <c r="L401" i="1"/>
  <c r="AV400" i="1"/>
  <c r="AR400" i="1"/>
  <c r="AQ400" i="1"/>
  <c r="AP400" i="1"/>
  <c r="AO400" i="1"/>
  <c r="AC400" i="1"/>
  <c r="Z400" i="1"/>
  <c r="Y400" i="1"/>
  <c r="AS400" i="1" s="1"/>
  <c r="L400" i="1"/>
  <c r="AR399" i="1"/>
  <c r="AQ399" i="1"/>
  <c r="AP399" i="1"/>
  <c r="AO399" i="1"/>
  <c r="AC399" i="1"/>
  <c r="AV399" i="1" s="1"/>
  <c r="Z399" i="1"/>
  <c r="Y399" i="1"/>
  <c r="AS399" i="1" s="1"/>
  <c r="L399" i="1"/>
  <c r="AR398" i="1"/>
  <c r="AQ398" i="1"/>
  <c r="AP398" i="1"/>
  <c r="AO398" i="1"/>
  <c r="AC398" i="1"/>
  <c r="AV398" i="1" s="1"/>
  <c r="Z398" i="1"/>
  <c r="Y398" i="1"/>
  <c r="AS398" i="1" s="1"/>
  <c r="L398" i="1"/>
  <c r="AL397" i="1"/>
  <c r="AK397" i="1"/>
  <c r="AC397" i="1"/>
  <c r="AV397" i="1" s="1"/>
  <c r="Z397" i="1"/>
  <c r="L397" i="1"/>
  <c r="AL396" i="1"/>
  <c r="AK396" i="1"/>
  <c r="AM396" i="1" s="1"/>
  <c r="AC396" i="1"/>
  <c r="AV396" i="1" s="1"/>
  <c r="Z396" i="1"/>
  <c r="L396" i="1"/>
  <c r="AL395" i="1"/>
  <c r="AK395" i="1"/>
  <c r="AC395" i="1"/>
  <c r="AV395" i="1" s="1"/>
  <c r="Z395" i="1"/>
  <c r="L395" i="1"/>
  <c r="AL394" i="1"/>
  <c r="AK394" i="1"/>
  <c r="AM394" i="1" s="1"/>
  <c r="AC394" i="1"/>
  <c r="AV394" i="1" s="1"/>
  <c r="Z394" i="1"/>
  <c r="L394" i="1"/>
  <c r="AL393" i="1"/>
  <c r="AK393" i="1"/>
  <c r="AC393" i="1"/>
  <c r="AV393" i="1" s="1"/>
  <c r="Z393" i="1"/>
  <c r="L393" i="1"/>
  <c r="AL392" i="1"/>
  <c r="AK392" i="1"/>
  <c r="AM392" i="1" s="1"/>
  <c r="AC392" i="1"/>
  <c r="AV392" i="1" s="1"/>
  <c r="Z392" i="1"/>
  <c r="L392" i="1"/>
  <c r="AL391" i="1"/>
  <c r="AK391" i="1"/>
  <c r="AC391" i="1"/>
  <c r="AV391" i="1" s="1"/>
  <c r="Z391" i="1"/>
  <c r="L391" i="1"/>
  <c r="AL390" i="1"/>
  <c r="AK390" i="1"/>
  <c r="AM390" i="1" s="1"/>
  <c r="AC390" i="1"/>
  <c r="AV390" i="1" s="1"/>
  <c r="Z390" i="1"/>
  <c r="L390" i="1"/>
  <c r="AL389" i="1"/>
  <c r="AK389" i="1"/>
  <c r="AC389" i="1"/>
  <c r="AV389" i="1" s="1"/>
  <c r="Z389" i="1"/>
  <c r="L389" i="1"/>
  <c r="AR388" i="1"/>
  <c r="AQ388" i="1"/>
  <c r="AP388" i="1"/>
  <c r="AO388" i="1"/>
  <c r="AC388" i="1"/>
  <c r="AV388" i="1" s="1"/>
  <c r="Z388" i="1"/>
  <c r="Y388" i="1"/>
  <c r="AS388" i="1" s="1"/>
  <c r="L388" i="1"/>
  <c r="K388" i="1"/>
  <c r="J388" i="1"/>
  <c r="I388" i="1"/>
  <c r="H388" i="1"/>
  <c r="G388" i="1"/>
  <c r="AR387" i="1"/>
  <c r="AQ387" i="1"/>
  <c r="AP387" i="1"/>
  <c r="AO387" i="1"/>
  <c r="AT387" i="1" s="1"/>
  <c r="AC387" i="1"/>
  <c r="AV387" i="1" s="1"/>
  <c r="Z387" i="1"/>
  <c r="Y387" i="1"/>
  <c r="AS387" i="1" s="1"/>
  <c r="L387" i="1"/>
  <c r="K387" i="1"/>
  <c r="J387" i="1"/>
  <c r="I387" i="1"/>
  <c r="H387" i="1"/>
  <c r="G387" i="1"/>
  <c r="AR386" i="1"/>
  <c r="AQ386" i="1"/>
  <c r="AP386" i="1"/>
  <c r="AO386" i="1"/>
  <c r="AC386" i="1"/>
  <c r="AV386" i="1" s="1"/>
  <c r="Z386" i="1"/>
  <c r="Y386" i="1"/>
  <c r="AS386" i="1" s="1"/>
  <c r="L386" i="1"/>
  <c r="K386" i="1"/>
  <c r="J386" i="1"/>
  <c r="I386" i="1"/>
  <c r="H386" i="1"/>
  <c r="G386" i="1"/>
  <c r="AR385" i="1"/>
  <c r="AQ385" i="1"/>
  <c r="AP385" i="1"/>
  <c r="AO385" i="1"/>
  <c r="AT385" i="1" s="1"/>
  <c r="AC385" i="1"/>
  <c r="AV385" i="1" s="1"/>
  <c r="Z385" i="1"/>
  <c r="Y385" i="1"/>
  <c r="AS385" i="1" s="1"/>
  <c r="L385" i="1"/>
  <c r="K385" i="1"/>
  <c r="J385" i="1"/>
  <c r="I385" i="1"/>
  <c r="H385" i="1"/>
  <c r="G385" i="1"/>
  <c r="AR384" i="1"/>
  <c r="AQ384" i="1"/>
  <c r="AP384" i="1"/>
  <c r="AO384" i="1"/>
  <c r="AC384" i="1"/>
  <c r="AV384" i="1" s="1"/>
  <c r="Z384" i="1"/>
  <c r="Y384" i="1"/>
  <c r="AS384" i="1" s="1"/>
  <c r="L384" i="1"/>
  <c r="K384" i="1"/>
  <c r="J384" i="1"/>
  <c r="I384" i="1"/>
  <c r="H384" i="1"/>
  <c r="G384" i="1"/>
  <c r="AR383" i="1"/>
  <c r="AQ383" i="1"/>
  <c r="AP383" i="1"/>
  <c r="AO383" i="1"/>
  <c r="AT383" i="1" s="1"/>
  <c r="AC383" i="1"/>
  <c r="AV383" i="1" s="1"/>
  <c r="Z383" i="1"/>
  <c r="Y383" i="1"/>
  <c r="AS383" i="1" s="1"/>
  <c r="L383" i="1"/>
  <c r="K383" i="1"/>
  <c r="J383" i="1"/>
  <c r="I383" i="1"/>
  <c r="H383" i="1"/>
  <c r="G383" i="1"/>
  <c r="AR382" i="1"/>
  <c r="AQ382" i="1"/>
  <c r="AP382" i="1"/>
  <c r="AO382" i="1"/>
  <c r="AC382" i="1"/>
  <c r="AV382" i="1" s="1"/>
  <c r="Z382" i="1"/>
  <c r="Y382" i="1"/>
  <c r="AS382" i="1" s="1"/>
  <c r="L382" i="1"/>
  <c r="K382" i="1"/>
  <c r="J382" i="1"/>
  <c r="I382" i="1"/>
  <c r="H382" i="1"/>
  <c r="G382" i="1"/>
  <c r="AR381" i="1"/>
  <c r="AQ381" i="1"/>
  <c r="AP381" i="1"/>
  <c r="AO381" i="1"/>
  <c r="AC381" i="1"/>
  <c r="AV381" i="1" s="1"/>
  <c r="Z381" i="1"/>
  <c r="Y381" i="1"/>
  <c r="AS381" i="1" s="1"/>
  <c r="L381" i="1"/>
  <c r="K381" i="1"/>
  <c r="J381" i="1"/>
  <c r="I381" i="1"/>
  <c r="H381" i="1"/>
  <c r="G381" i="1"/>
  <c r="AR380" i="1"/>
  <c r="AQ380" i="1"/>
  <c r="AP380" i="1"/>
  <c r="AO380" i="1"/>
  <c r="AC380" i="1"/>
  <c r="AV380" i="1" s="1"/>
  <c r="Z380" i="1"/>
  <c r="Y380" i="1"/>
  <c r="AS380" i="1" s="1"/>
  <c r="L380" i="1"/>
  <c r="K380" i="1"/>
  <c r="J380" i="1"/>
  <c r="I380" i="1"/>
  <c r="H380" i="1"/>
  <c r="G380" i="1"/>
  <c r="AR379" i="1"/>
  <c r="AQ379" i="1"/>
  <c r="AP379" i="1"/>
  <c r="AO379" i="1"/>
  <c r="AC379" i="1"/>
  <c r="AV379" i="1" s="1"/>
  <c r="Z379" i="1"/>
  <c r="Y379" i="1"/>
  <c r="AS379" i="1" s="1"/>
  <c r="L379" i="1"/>
  <c r="AS378" i="1"/>
  <c r="AR378" i="1"/>
  <c r="AQ378" i="1"/>
  <c r="AP378" i="1"/>
  <c r="AO378" i="1"/>
  <c r="AC378" i="1"/>
  <c r="AV378" i="1" s="1"/>
  <c r="Z378" i="1"/>
  <c r="Y378" i="1"/>
  <c r="L378" i="1"/>
  <c r="AR377" i="1"/>
  <c r="AQ377" i="1"/>
  <c r="AP377" i="1"/>
  <c r="AO377" i="1"/>
  <c r="AC377" i="1"/>
  <c r="AV377" i="1" s="1"/>
  <c r="Z377" i="1"/>
  <c r="Y377" i="1"/>
  <c r="AS377" i="1" s="1"/>
  <c r="L377" i="1"/>
  <c r="AV376" i="1"/>
  <c r="AR376" i="1"/>
  <c r="AQ376" i="1"/>
  <c r="AT376" i="1" s="1"/>
  <c r="AP376" i="1"/>
  <c r="AO376" i="1"/>
  <c r="AC376" i="1"/>
  <c r="Z376" i="1"/>
  <c r="Y376" i="1"/>
  <c r="AS376" i="1" s="1"/>
  <c r="L376" i="1"/>
  <c r="AR375" i="1"/>
  <c r="AQ375" i="1"/>
  <c r="AP375" i="1"/>
  <c r="AO375" i="1"/>
  <c r="AC375" i="1"/>
  <c r="AV375" i="1" s="1"/>
  <c r="Z375" i="1"/>
  <c r="Y375" i="1"/>
  <c r="AS375" i="1" s="1"/>
  <c r="L375" i="1"/>
  <c r="AR374" i="1"/>
  <c r="AQ374" i="1"/>
  <c r="AP374" i="1"/>
  <c r="AO374" i="1"/>
  <c r="AC374" i="1"/>
  <c r="AV374" i="1" s="1"/>
  <c r="Z374" i="1"/>
  <c r="Y374" i="1"/>
  <c r="AS374" i="1" s="1"/>
  <c r="L374" i="1"/>
  <c r="AR373" i="1"/>
  <c r="AQ373" i="1"/>
  <c r="AP373" i="1"/>
  <c r="AO373" i="1"/>
  <c r="AC373" i="1"/>
  <c r="AV373" i="1" s="1"/>
  <c r="Z373" i="1"/>
  <c r="Y373" i="1"/>
  <c r="AS373" i="1" s="1"/>
  <c r="L373" i="1"/>
  <c r="AV372" i="1"/>
  <c r="AR372" i="1"/>
  <c r="AQ372" i="1"/>
  <c r="AP372" i="1"/>
  <c r="AO372" i="1"/>
  <c r="AC372" i="1"/>
  <c r="Z372" i="1"/>
  <c r="Y372" i="1"/>
  <c r="AS372" i="1" s="1"/>
  <c r="L372" i="1"/>
  <c r="AR371" i="1"/>
  <c r="AQ371" i="1"/>
  <c r="AP371" i="1"/>
  <c r="AO371" i="1"/>
  <c r="AC371" i="1"/>
  <c r="AV371" i="1" s="1"/>
  <c r="Z371" i="1"/>
  <c r="Y371" i="1"/>
  <c r="AS371" i="1" s="1"/>
  <c r="L371" i="1"/>
  <c r="AR370" i="1"/>
  <c r="AQ370" i="1"/>
  <c r="AP370" i="1"/>
  <c r="AO370" i="1"/>
  <c r="AC370" i="1"/>
  <c r="AV370" i="1" s="1"/>
  <c r="Z370" i="1"/>
  <c r="Y370" i="1"/>
  <c r="AS370" i="1" s="1"/>
  <c r="L370" i="1"/>
  <c r="AV369" i="1"/>
  <c r="AR369" i="1"/>
  <c r="AQ369" i="1"/>
  <c r="AP369" i="1"/>
  <c r="AO369" i="1"/>
  <c r="AC369" i="1"/>
  <c r="Z369" i="1"/>
  <c r="Y369" i="1"/>
  <c r="AS369" i="1" s="1"/>
  <c r="L369" i="1"/>
  <c r="AR368" i="1"/>
  <c r="AQ368" i="1"/>
  <c r="AP368" i="1"/>
  <c r="AO368" i="1"/>
  <c r="AC368" i="1"/>
  <c r="AV368" i="1" s="1"/>
  <c r="Z368" i="1"/>
  <c r="Y368" i="1"/>
  <c r="AS368" i="1" s="1"/>
  <c r="L368" i="1"/>
  <c r="AR367" i="1"/>
  <c r="AQ367" i="1"/>
  <c r="AP367" i="1"/>
  <c r="AO367" i="1"/>
  <c r="AC367" i="1"/>
  <c r="AV367" i="1" s="1"/>
  <c r="Z367" i="1"/>
  <c r="Y367" i="1"/>
  <c r="AS367" i="1" s="1"/>
  <c r="L367" i="1"/>
  <c r="AS366" i="1"/>
  <c r="AR366" i="1"/>
  <c r="AQ366" i="1"/>
  <c r="AP366" i="1"/>
  <c r="AO366" i="1"/>
  <c r="AT366" i="1" s="1"/>
  <c r="AC366" i="1"/>
  <c r="AV366" i="1" s="1"/>
  <c r="Z366" i="1"/>
  <c r="Y366" i="1"/>
  <c r="L366" i="1"/>
  <c r="AR365" i="1"/>
  <c r="AQ365" i="1"/>
  <c r="AP365" i="1"/>
  <c r="AO365" i="1"/>
  <c r="AC365" i="1"/>
  <c r="AV365" i="1" s="1"/>
  <c r="Z365" i="1"/>
  <c r="Y365" i="1"/>
  <c r="AS365" i="1" s="1"/>
  <c r="L365" i="1"/>
  <c r="AR364" i="1"/>
  <c r="AQ364" i="1"/>
  <c r="AP364" i="1"/>
  <c r="AO364" i="1"/>
  <c r="AC364" i="1"/>
  <c r="AV364" i="1" s="1"/>
  <c r="Z364" i="1"/>
  <c r="Y364" i="1"/>
  <c r="AS364" i="1" s="1"/>
  <c r="L364" i="1"/>
  <c r="AR363" i="1"/>
  <c r="AQ363" i="1"/>
  <c r="AP363" i="1"/>
  <c r="AO363" i="1"/>
  <c r="AC363" i="1"/>
  <c r="AV363" i="1" s="1"/>
  <c r="Z363" i="1"/>
  <c r="Y363" i="1"/>
  <c r="AS363" i="1" s="1"/>
  <c r="L363" i="1"/>
  <c r="AS362" i="1"/>
  <c r="AR362" i="1"/>
  <c r="AQ362" i="1"/>
  <c r="AP362" i="1"/>
  <c r="AO362" i="1"/>
  <c r="AC362" i="1"/>
  <c r="AV362" i="1" s="1"/>
  <c r="Z362" i="1"/>
  <c r="Y362" i="1"/>
  <c r="L362" i="1"/>
  <c r="AR361" i="1"/>
  <c r="AQ361" i="1"/>
  <c r="AP361" i="1"/>
  <c r="AO361" i="1"/>
  <c r="AC361" i="1"/>
  <c r="AV361" i="1" s="1"/>
  <c r="Z361" i="1"/>
  <c r="Y361" i="1"/>
  <c r="AS361" i="1" s="1"/>
  <c r="L361" i="1"/>
  <c r="AV360" i="1"/>
  <c r="AR360" i="1"/>
  <c r="AQ360" i="1"/>
  <c r="AP360" i="1"/>
  <c r="AO360" i="1"/>
  <c r="AC360" i="1"/>
  <c r="Z360" i="1"/>
  <c r="Y360" i="1"/>
  <c r="AS360" i="1" s="1"/>
  <c r="L360" i="1"/>
  <c r="K360" i="1"/>
  <c r="J360" i="1"/>
  <c r="I360" i="1"/>
  <c r="H360" i="1"/>
  <c r="G360" i="1"/>
  <c r="AV359" i="1"/>
  <c r="AR359" i="1"/>
  <c r="AQ359" i="1"/>
  <c r="AP359" i="1"/>
  <c r="AO359" i="1"/>
  <c r="AC359" i="1"/>
  <c r="Z359" i="1"/>
  <c r="Y359" i="1"/>
  <c r="AS359" i="1" s="1"/>
  <c r="L359" i="1"/>
  <c r="K359" i="1"/>
  <c r="J359" i="1"/>
  <c r="I359" i="1"/>
  <c r="H359" i="1"/>
  <c r="G359" i="1"/>
  <c r="AV358" i="1"/>
  <c r="AR358" i="1"/>
  <c r="AQ358" i="1"/>
  <c r="AP358" i="1"/>
  <c r="AO358" i="1"/>
  <c r="AT358" i="1" s="1"/>
  <c r="AC358" i="1"/>
  <c r="Z358" i="1"/>
  <c r="Y358" i="1"/>
  <c r="AS358" i="1" s="1"/>
  <c r="L358" i="1"/>
  <c r="K358" i="1"/>
  <c r="J358" i="1"/>
  <c r="I358" i="1"/>
  <c r="H358" i="1"/>
  <c r="G358" i="1"/>
  <c r="AR357" i="1"/>
  <c r="AQ357" i="1"/>
  <c r="AP357" i="1"/>
  <c r="AO357" i="1"/>
  <c r="AC357" i="1"/>
  <c r="AV357" i="1" s="1"/>
  <c r="Z357" i="1"/>
  <c r="Y357" i="1"/>
  <c r="AS357" i="1" s="1"/>
  <c r="L357" i="1"/>
  <c r="K357" i="1"/>
  <c r="J357" i="1"/>
  <c r="I357" i="1"/>
  <c r="H357" i="1"/>
  <c r="G357" i="1"/>
  <c r="AR356" i="1"/>
  <c r="AQ356" i="1"/>
  <c r="AP356" i="1"/>
  <c r="AO356" i="1"/>
  <c r="AC356" i="1"/>
  <c r="AV356" i="1" s="1"/>
  <c r="Z356" i="1"/>
  <c r="Y356" i="1"/>
  <c r="AS356" i="1" s="1"/>
  <c r="L356" i="1"/>
  <c r="K356" i="1"/>
  <c r="J356" i="1"/>
  <c r="I356" i="1"/>
  <c r="H356" i="1"/>
  <c r="G356" i="1"/>
  <c r="AR355" i="1"/>
  <c r="AQ355" i="1"/>
  <c r="AP355" i="1"/>
  <c r="AO355" i="1"/>
  <c r="AC355" i="1"/>
  <c r="AV355" i="1" s="1"/>
  <c r="Z355" i="1"/>
  <c r="Y355" i="1"/>
  <c r="AS355" i="1" s="1"/>
  <c r="L355" i="1"/>
  <c r="K355" i="1"/>
  <c r="J355" i="1"/>
  <c r="I355" i="1"/>
  <c r="H355" i="1"/>
  <c r="G355" i="1"/>
  <c r="AR354" i="1"/>
  <c r="AQ354" i="1"/>
  <c r="AP354" i="1"/>
  <c r="AO354" i="1"/>
  <c r="AC354" i="1"/>
  <c r="AV354" i="1" s="1"/>
  <c r="Z354" i="1"/>
  <c r="Y354" i="1"/>
  <c r="AS354" i="1" s="1"/>
  <c r="L354" i="1"/>
  <c r="K354" i="1"/>
  <c r="J354" i="1"/>
  <c r="I354" i="1"/>
  <c r="H354" i="1"/>
  <c r="G354" i="1"/>
  <c r="AR353" i="1"/>
  <c r="AQ353" i="1"/>
  <c r="AP353" i="1"/>
  <c r="AO353" i="1"/>
  <c r="AC353" i="1"/>
  <c r="AV353" i="1" s="1"/>
  <c r="Z353" i="1"/>
  <c r="Y353" i="1"/>
  <c r="AS353" i="1" s="1"/>
  <c r="L353" i="1"/>
  <c r="K353" i="1"/>
  <c r="J353" i="1"/>
  <c r="I353" i="1"/>
  <c r="H353" i="1"/>
  <c r="G353" i="1"/>
  <c r="AR352" i="1"/>
  <c r="AQ352" i="1"/>
  <c r="AP352" i="1"/>
  <c r="AO352" i="1"/>
  <c r="AC352" i="1"/>
  <c r="AV352" i="1" s="1"/>
  <c r="Z352" i="1"/>
  <c r="Y352" i="1"/>
  <c r="AS352" i="1" s="1"/>
  <c r="L352" i="1"/>
  <c r="K352" i="1"/>
  <c r="J352" i="1"/>
  <c r="I352" i="1"/>
  <c r="H352" i="1"/>
  <c r="G352" i="1"/>
  <c r="AR351" i="1"/>
  <c r="AQ351" i="1"/>
  <c r="AP351" i="1"/>
  <c r="AO351" i="1"/>
  <c r="AC351" i="1"/>
  <c r="AV351" i="1" s="1"/>
  <c r="Z351" i="1"/>
  <c r="Y351" i="1"/>
  <c r="AS351" i="1" s="1"/>
  <c r="L351" i="1"/>
  <c r="AS350" i="1"/>
  <c r="AR350" i="1"/>
  <c r="AQ350" i="1"/>
  <c r="AP350" i="1"/>
  <c r="AO350" i="1"/>
  <c r="AT350" i="1" s="1"/>
  <c r="AC350" i="1"/>
  <c r="AV350" i="1" s="1"/>
  <c r="Z350" i="1"/>
  <c r="Y350" i="1"/>
  <c r="L350" i="1"/>
  <c r="AR349" i="1"/>
  <c r="AQ349" i="1"/>
  <c r="AP349" i="1"/>
  <c r="AO349" i="1"/>
  <c r="AC349" i="1"/>
  <c r="AV349" i="1" s="1"/>
  <c r="Z349" i="1"/>
  <c r="Y349" i="1"/>
  <c r="AS349" i="1" s="1"/>
  <c r="L349" i="1"/>
  <c r="AR348" i="1"/>
  <c r="AQ348" i="1"/>
  <c r="AP348" i="1"/>
  <c r="AO348" i="1"/>
  <c r="AC348" i="1"/>
  <c r="AV348" i="1" s="1"/>
  <c r="Z348" i="1"/>
  <c r="Y348" i="1"/>
  <c r="AS348" i="1" s="1"/>
  <c r="L348" i="1"/>
  <c r="AR347" i="1"/>
  <c r="AQ347" i="1"/>
  <c r="AP347" i="1"/>
  <c r="AO347" i="1"/>
  <c r="AC347" i="1"/>
  <c r="AV347" i="1" s="1"/>
  <c r="Z347" i="1"/>
  <c r="Y347" i="1"/>
  <c r="AS347" i="1" s="1"/>
  <c r="L347" i="1"/>
  <c r="AS346" i="1"/>
  <c r="AR346" i="1"/>
  <c r="AQ346" i="1"/>
  <c r="AP346" i="1"/>
  <c r="AO346" i="1"/>
  <c r="AC346" i="1"/>
  <c r="AV346" i="1" s="1"/>
  <c r="Z346" i="1"/>
  <c r="Y346" i="1"/>
  <c r="L346" i="1"/>
  <c r="AR345" i="1"/>
  <c r="AQ345" i="1"/>
  <c r="AP345" i="1"/>
  <c r="AO345" i="1"/>
  <c r="AC345" i="1"/>
  <c r="AV345" i="1" s="1"/>
  <c r="Z345" i="1"/>
  <c r="Y345" i="1"/>
  <c r="AS345" i="1" s="1"/>
  <c r="L345" i="1"/>
  <c r="AR344" i="1"/>
  <c r="AQ344" i="1"/>
  <c r="AP344" i="1"/>
  <c r="AO344" i="1"/>
  <c r="AC344" i="1"/>
  <c r="AV344" i="1" s="1"/>
  <c r="Z344" i="1"/>
  <c r="Y344" i="1"/>
  <c r="AS344" i="1" s="1"/>
  <c r="L344" i="1"/>
  <c r="AR343" i="1"/>
  <c r="AQ343" i="1"/>
  <c r="AP343" i="1"/>
  <c r="AO343" i="1"/>
  <c r="AC343" i="1"/>
  <c r="AV343" i="1" s="1"/>
  <c r="Z343" i="1"/>
  <c r="Y343" i="1"/>
  <c r="AS343" i="1" s="1"/>
  <c r="L343" i="1"/>
  <c r="AS342" i="1"/>
  <c r="AR342" i="1"/>
  <c r="AQ342" i="1"/>
  <c r="AP342" i="1"/>
  <c r="AO342" i="1"/>
  <c r="AT342" i="1" s="1"/>
  <c r="AC342" i="1"/>
  <c r="AV342" i="1" s="1"/>
  <c r="Z342" i="1"/>
  <c r="Y342" i="1"/>
  <c r="L342" i="1"/>
  <c r="AR341" i="1"/>
  <c r="AQ341" i="1"/>
  <c r="AP341" i="1"/>
  <c r="AO341" i="1"/>
  <c r="AC341" i="1"/>
  <c r="AV341" i="1" s="1"/>
  <c r="Z341" i="1"/>
  <c r="Y341" i="1"/>
  <c r="AS341" i="1" s="1"/>
  <c r="L341" i="1"/>
  <c r="AR340" i="1"/>
  <c r="AQ340" i="1"/>
  <c r="AP340" i="1"/>
  <c r="AO340" i="1"/>
  <c r="AC340" i="1"/>
  <c r="AV340" i="1" s="1"/>
  <c r="Z340" i="1"/>
  <c r="Y340" i="1"/>
  <c r="AS340" i="1" s="1"/>
  <c r="L340" i="1"/>
  <c r="AR339" i="1"/>
  <c r="AQ339" i="1"/>
  <c r="AP339" i="1"/>
  <c r="AO339" i="1"/>
  <c r="AC339" i="1"/>
  <c r="AV339" i="1" s="1"/>
  <c r="Z339" i="1"/>
  <c r="Y339" i="1"/>
  <c r="AS339" i="1" s="1"/>
  <c r="L339" i="1"/>
  <c r="AS338" i="1"/>
  <c r="AR338" i="1"/>
  <c r="AQ338" i="1"/>
  <c r="AP338" i="1"/>
  <c r="AO338" i="1"/>
  <c r="AC338" i="1"/>
  <c r="AV338" i="1" s="1"/>
  <c r="Z338" i="1"/>
  <c r="Y338" i="1"/>
  <c r="L338" i="1"/>
  <c r="AR337" i="1"/>
  <c r="AQ337" i="1"/>
  <c r="AP337" i="1"/>
  <c r="AO337" i="1"/>
  <c r="AC337" i="1"/>
  <c r="AV337" i="1" s="1"/>
  <c r="Z337" i="1"/>
  <c r="Y337" i="1"/>
  <c r="AS337" i="1" s="1"/>
  <c r="L337" i="1"/>
  <c r="AR336" i="1"/>
  <c r="AQ336" i="1"/>
  <c r="AP336" i="1"/>
  <c r="AO336" i="1"/>
  <c r="AC336" i="1"/>
  <c r="AV336" i="1" s="1"/>
  <c r="Z336" i="1"/>
  <c r="Y336" i="1"/>
  <c r="AS336" i="1" s="1"/>
  <c r="L336" i="1"/>
  <c r="AR335" i="1"/>
  <c r="AQ335" i="1"/>
  <c r="AP335" i="1"/>
  <c r="AO335" i="1"/>
  <c r="AC335" i="1"/>
  <c r="AV335" i="1" s="1"/>
  <c r="Z335" i="1"/>
  <c r="Y335" i="1"/>
  <c r="AS335" i="1" s="1"/>
  <c r="L335" i="1"/>
  <c r="AS334" i="1"/>
  <c r="AR334" i="1"/>
  <c r="AQ334" i="1"/>
  <c r="AP334" i="1"/>
  <c r="AO334" i="1"/>
  <c r="AT334" i="1" s="1"/>
  <c r="AC334" i="1"/>
  <c r="AV334" i="1" s="1"/>
  <c r="Z334" i="1"/>
  <c r="Y334" i="1"/>
  <c r="L334" i="1"/>
  <c r="AR333" i="1"/>
  <c r="AQ333" i="1"/>
  <c r="AP333" i="1"/>
  <c r="AO333" i="1"/>
  <c r="AC333" i="1"/>
  <c r="AV333" i="1" s="1"/>
  <c r="Z333" i="1"/>
  <c r="Y333" i="1"/>
  <c r="AS333" i="1" s="1"/>
  <c r="L333" i="1"/>
  <c r="AR332" i="1"/>
  <c r="AQ332" i="1"/>
  <c r="AP332" i="1"/>
  <c r="AO332" i="1"/>
  <c r="AC332" i="1"/>
  <c r="AV332" i="1" s="1"/>
  <c r="Z332" i="1"/>
  <c r="Y332" i="1"/>
  <c r="AS332" i="1" s="1"/>
  <c r="L332" i="1"/>
  <c r="AR331" i="1"/>
  <c r="AQ331" i="1"/>
  <c r="AP331" i="1"/>
  <c r="AO331" i="1"/>
  <c r="AC331" i="1"/>
  <c r="AV331" i="1" s="1"/>
  <c r="Z331" i="1"/>
  <c r="Y331" i="1"/>
  <c r="AS331" i="1" s="1"/>
  <c r="L331" i="1"/>
  <c r="AS330" i="1"/>
  <c r="AR330" i="1"/>
  <c r="AQ330" i="1"/>
  <c r="AP330" i="1"/>
  <c r="AO330" i="1"/>
  <c r="AC330" i="1"/>
  <c r="AV330" i="1" s="1"/>
  <c r="Z330" i="1"/>
  <c r="Y330" i="1"/>
  <c r="L330" i="1"/>
  <c r="AR329" i="1"/>
  <c r="AQ329" i="1"/>
  <c r="AP329" i="1"/>
  <c r="AO329" i="1"/>
  <c r="AC329" i="1"/>
  <c r="AV329" i="1" s="1"/>
  <c r="Z329" i="1"/>
  <c r="Y329" i="1"/>
  <c r="AS329" i="1" s="1"/>
  <c r="L329" i="1"/>
  <c r="AR328" i="1"/>
  <c r="AQ328" i="1"/>
  <c r="AP328" i="1"/>
  <c r="AO328" i="1"/>
  <c r="AC328" i="1"/>
  <c r="AV328" i="1" s="1"/>
  <c r="Z328" i="1"/>
  <c r="Y328" i="1"/>
  <c r="AS328" i="1" s="1"/>
  <c r="L328" i="1"/>
  <c r="AS327" i="1"/>
  <c r="AR327" i="1"/>
  <c r="AQ327" i="1"/>
  <c r="AP327" i="1"/>
  <c r="AO327" i="1"/>
  <c r="AT327" i="1" s="1"/>
  <c r="AC327" i="1"/>
  <c r="AV327" i="1" s="1"/>
  <c r="Z327" i="1"/>
  <c r="Y327" i="1"/>
  <c r="L327" i="1"/>
  <c r="AR326" i="1"/>
  <c r="AQ326" i="1"/>
  <c r="AP326" i="1"/>
  <c r="AO326" i="1"/>
  <c r="AC326" i="1"/>
  <c r="AV326" i="1" s="1"/>
  <c r="Z326" i="1"/>
  <c r="Y326" i="1"/>
  <c r="AS326" i="1" s="1"/>
  <c r="L326" i="1"/>
  <c r="AV325" i="1"/>
  <c r="AR325" i="1"/>
  <c r="AQ325" i="1"/>
  <c r="AP325" i="1"/>
  <c r="AO325" i="1"/>
  <c r="AC325" i="1"/>
  <c r="Z325" i="1"/>
  <c r="Y325" i="1"/>
  <c r="AS325" i="1" s="1"/>
  <c r="L325" i="1"/>
  <c r="AR324" i="1"/>
  <c r="AQ324" i="1"/>
  <c r="AP324" i="1"/>
  <c r="AO324" i="1"/>
  <c r="AC324" i="1"/>
  <c r="AV324" i="1" s="1"/>
  <c r="Z324" i="1"/>
  <c r="Y324" i="1"/>
  <c r="AS324" i="1" s="1"/>
  <c r="L324" i="1"/>
  <c r="AS323" i="1"/>
  <c r="AR323" i="1"/>
  <c r="AQ323" i="1"/>
  <c r="AP323" i="1"/>
  <c r="AO323" i="1"/>
  <c r="AT323" i="1" s="1"/>
  <c r="AC323" i="1"/>
  <c r="AV323" i="1" s="1"/>
  <c r="Z323" i="1"/>
  <c r="Y323" i="1"/>
  <c r="L323" i="1"/>
  <c r="AR322" i="1"/>
  <c r="AQ322" i="1"/>
  <c r="AP322" i="1"/>
  <c r="AO322" i="1"/>
  <c r="AC322" i="1"/>
  <c r="AV322" i="1" s="1"/>
  <c r="Z322" i="1"/>
  <c r="Y322" i="1"/>
  <c r="AS322" i="1" s="1"/>
  <c r="L322" i="1"/>
  <c r="AV321" i="1"/>
  <c r="AR321" i="1"/>
  <c r="AQ321" i="1"/>
  <c r="AP321" i="1"/>
  <c r="AO321" i="1"/>
  <c r="AC321" i="1"/>
  <c r="Z321" i="1"/>
  <c r="Y321" i="1"/>
  <c r="AS321" i="1" s="1"/>
  <c r="L321" i="1"/>
  <c r="AR320" i="1"/>
  <c r="AQ320" i="1"/>
  <c r="AP320" i="1"/>
  <c r="AO320" i="1"/>
  <c r="AC320" i="1"/>
  <c r="AV320" i="1" s="1"/>
  <c r="Z320" i="1"/>
  <c r="Y320" i="1"/>
  <c r="AS320" i="1" s="1"/>
  <c r="L320" i="1"/>
  <c r="AS319" i="1"/>
  <c r="AR319" i="1"/>
  <c r="AQ319" i="1"/>
  <c r="AP319" i="1"/>
  <c r="AO319" i="1"/>
  <c r="AT319" i="1" s="1"/>
  <c r="AC319" i="1"/>
  <c r="AV319" i="1" s="1"/>
  <c r="Z319" i="1"/>
  <c r="Y319" i="1"/>
  <c r="L319" i="1"/>
  <c r="AR318" i="1"/>
  <c r="AQ318" i="1"/>
  <c r="AP318" i="1"/>
  <c r="AO318" i="1"/>
  <c r="AC318" i="1"/>
  <c r="AV318" i="1" s="1"/>
  <c r="Z318" i="1"/>
  <c r="Y318" i="1"/>
  <c r="AS318" i="1" s="1"/>
  <c r="L318" i="1"/>
  <c r="AV317" i="1"/>
  <c r="AR317" i="1"/>
  <c r="AQ317" i="1"/>
  <c r="AP317" i="1"/>
  <c r="AO317" i="1"/>
  <c r="AC317" i="1"/>
  <c r="Z317" i="1"/>
  <c r="Y317" i="1"/>
  <c r="AS317" i="1" s="1"/>
  <c r="L317" i="1"/>
  <c r="AR316" i="1"/>
  <c r="AQ316" i="1"/>
  <c r="AP316" i="1"/>
  <c r="AO316" i="1"/>
  <c r="AC316" i="1"/>
  <c r="AV316" i="1" s="1"/>
  <c r="Z316" i="1"/>
  <c r="Y316" i="1"/>
  <c r="AS316" i="1" s="1"/>
  <c r="L316" i="1"/>
  <c r="AS315" i="1"/>
  <c r="AR315" i="1"/>
  <c r="AQ315" i="1"/>
  <c r="AP315" i="1"/>
  <c r="AO315" i="1"/>
  <c r="AT315" i="1" s="1"/>
  <c r="AC315" i="1"/>
  <c r="AV315" i="1" s="1"/>
  <c r="Z315" i="1"/>
  <c r="Y315" i="1"/>
  <c r="L315" i="1"/>
  <c r="AR314" i="1"/>
  <c r="AQ314" i="1"/>
  <c r="AP314" i="1"/>
  <c r="AO314" i="1"/>
  <c r="AC314" i="1"/>
  <c r="AV314" i="1" s="1"/>
  <c r="Z314" i="1"/>
  <c r="Y314" i="1"/>
  <c r="AS314" i="1" s="1"/>
  <c r="L314" i="1"/>
  <c r="AV313" i="1"/>
  <c r="AR313" i="1"/>
  <c r="AQ313" i="1"/>
  <c r="AP313" i="1"/>
  <c r="AO313" i="1"/>
  <c r="AC313" i="1"/>
  <c r="Z313" i="1"/>
  <c r="Y313" i="1"/>
  <c r="AS313" i="1" s="1"/>
  <c r="L313" i="1"/>
  <c r="AR312" i="1"/>
  <c r="AQ312" i="1"/>
  <c r="AP312" i="1"/>
  <c r="AO312" i="1"/>
  <c r="AC312" i="1"/>
  <c r="AV312" i="1" s="1"/>
  <c r="Z312" i="1"/>
  <c r="Y312" i="1"/>
  <c r="AS312" i="1" s="1"/>
  <c r="L312" i="1"/>
  <c r="AS311" i="1"/>
  <c r="AR311" i="1"/>
  <c r="AQ311" i="1"/>
  <c r="AP311" i="1"/>
  <c r="AO311" i="1"/>
  <c r="AT311" i="1" s="1"/>
  <c r="AC311" i="1"/>
  <c r="AV311" i="1" s="1"/>
  <c r="Z311" i="1"/>
  <c r="Y311" i="1"/>
  <c r="L311" i="1"/>
  <c r="AR310" i="1"/>
  <c r="AQ310" i="1"/>
  <c r="AP310" i="1"/>
  <c r="AO310" i="1"/>
  <c r="AC310" i="1"/>
  <c r="AV310" i="1" s="1"/>
  <c r="Z310" i="1"/>
  <c r="Y310" i="1"/>
  <c r="AS310" i="1" s="1"/>
  <c r="L310" i="1"/>
  <c r="AV309" i="1"/>
  <c r="AR309" i="1"/>
  <c r="AQ309" i="1"/>
  <c r="AP309" i="1"/>
  <c r="AO309" i="1"/>
  <c r="AC309" i="1"/>
  <c r="Z309" i="1"/>
  <c r="Y309" i="1"/>
  <c r="AS309" i="1" s="1"/>
  <c r="L309" i="1"/>
  <c r="AR308" i="1"/>
  <c r="AQ308" i="1"/>
  <c r="AP308" i="1"/>
  <c r="AO308" i="1"/>
  <c r="AC308" i="1"/>
  <c r="AV308" i="1" s="1"/>
  <c r="Z308" i="1"/>
  <c r="Y308" i="1"/>
  <c r="AS308" i="1" s="1"/>
  <c r="L308" i="1"/>
  <c r="AS307" i="1"/>
  <c r="AR307" i="1"/>
  <c r="AQ307" i="1"/>
  <c r="AP307" i="1"/>
  <c r="AO307" i="1"/>
  <c r="AT307" i="1" s="1"/>
  <c r="AC307" i="1"/>
  <c r="AV307" i="1" s="1"/>
  <c r="Z307" i="1"/>
  <c r="Y307" i="1"/>
  <c r="L307" i="1"/>
  <c r="AR306" i="1"/>
  <c r="AQ306" i="1"/>
  <c r="AP306" i="1"/>
  <c r="AO306" i="1"/>
  <c r="AC306" i="1"/>
  <c r="AV306" i="1" s="1"/>
  <c r="Z306" i="1"/>
  <c r="Y306" i="1"/>
  <c r="AS306" i="1" s="1"/>
  <c r="L306" i="1"/>
  <c r="AV305" i="1"/>
  <c r="AR305" i="1"/>
  <c r="AQ305" i="1"/>
  <c r="AP305" i="1"/>
  <c r="AO305" i="1"/>
  <c r="AC305" i="1"/>
  <c r="Z305" i="1"/>
  <c r="Y305" i="1"/>
  <c r="AS305" i="1" s="1"/>
  <c r="L305" i="1"/>
  <c r="AR304" i="1"/>
  <c r="AQ304" i="1"/>
  <c r="AP304" i="1"/>
  <c r="AO304" i="1"/>
  <c r="AC304" i="1"/>
  <c r="AV304" i="1" s="1"/>
  <c r="Z304" i="1"/>
  <c r="Y304" i="1"/>
  <c r="AS304" i="1" s="1"/>
  <c r="L304" i="1"/>
  <c r="AS303" i="1"/>
  <c r="AR303" i="1"/>
  <c r="AQ303" i="1"/>
  <c r="AP303" i="1"/>
  <c r="AO303" i="1"/>
  <c r="AT303" i="1" s="1"/>
  <c r="AC303" i="1"/>
  <c r="AV303" i="1" s="1"/>
  <c r="Z303" i="1"/>
  <c r="Y303" i="1"/>
  <c r="L303" i="1"/>
  <c r="AR302" i="1"/>
  <c r="AQ302" i="1"/>
  <c r="AP302" i="1"/>
  <c r="AO302" i="1"/>
  <c r="AC302" i="1"/>
  <c r="AV302" i="1" s="1"/>
  <c r="Z302" i="1"/>
  <c r="Y302" i="1"/>
  <c r="AS302" i="1" s="1"/>
  <c r="L302" i="1"/>
  <c r="AV301" i="1"/>
  <c r="AR301" i="1"/>
  <c r="AQ301" i="1"/>
  <c r="AP301" i="1"/>
  <c r="AO301" i="1"/>
  <c r="AC301" i="1"/>
  <c r="Z301" i="1"/>
  <c r="Y301" i="1"/>
  <c r="AS301" i="1" s="1"/>
  <c r="L301" i="1"/>
  <c r="AR300" i="1"/>
  <c r="AQ300" i="1"/>
  <c r="AP300" i="1"/>
  <c r="AO300" i="1"/>
  <c r="AC300" i="1"/>
  <c r="AV300" i="1" s="1"/>
  <c r="Z300" i="1"/>
  <c r="Y300" i="1"/>
  <c r="AS300" i="1" s="1"/>
  <c r="L300" i="1"/>
  <c r="AS299" i="1"/>
  <c r="AR299" i="1"/>
  <c r="AQ299" i="1"/>
  <c r="AP299" i="1"/>
  <c r="AO299" i="1"/>
  <c r="AT299" i="1" s="1"/>
  <c r="AC299" i="1"/>
  <c r="AV299" i="1" s="1"/>
  <c r="Z299" i="1"/>
  <c r="Y299" i="1"/>
  <c r="L299" i="1"/>
  <c r="AR298" i="1"/>
  <c r="AQ298" i="1"/>
  <c r="AP298" i="1"/>
  <c r="AO298" i="1"/>
  <c r="AC298" i="1"/>
  <c r="AV298" i="1" s="1"/>
  <c r="Z298" i="1"/>
  <c r="Y298" i="1"/>
  <c r="AS298" i="1" s="1"/>
  <c r="L298" i="1"/>
  <c r="AC297" i="1"/>
  <c r="AV297" i="1" s="1"/>
  <c r="Z297" i="1"/>
  <c r="L297" i="1"/>
  <c r="K297" i="1"/>
  <c r="J297" i="1"/>
  <c r="I297" i="1"/>
  <c r="H297" i="1"/>
  <c r="G297" i="1"/>
  <c r="AV296" i="1"/>
  <c r="AC296" i="1"/>
  <c r="Z296" i="1"/>
  <c r="L296" i="1"/>
  <c r="K296" i="1"/>
  <c r="J296" i="1"/>
  <c r="I296" i="1"/>
  <c r="H296" i="1"/>
  <c r="AK296" i="1" s="1"/>
  <c r="G296" i="1"/>
  <c r="AL296" i="1" s="1"/>
  <c r="AC295" i="1"/>
  <c r="AV295" i="1" s="1"/>
  <c r="Z295" i="1"/>
  <c r="L295" i="1"/>
  <c r="K295" i="1"/>
  <c r="J295" i="1"/>
  <c r="I295" i="1"/>
  <c r="H295" i="1"/>
  <c r="G295" i="1"/>
  <c r="AC294" i="1"/>
  <c r="AV294" i="1" s="1"/>
  <c r="Z294" i="1"/>
  <c r="L294" i="1"/>
  <c r="K294" i="1"/>
  <c r="J294" i="1"/>
  <c r="I294" i="1"/>
  <c r="H294" i="1"/>
  <c r="G294" i="1"/>
  <c r="AL294" i="1" s="1"/>
  <c r="AC293" i="1"/>
  <c r="AV293" i="1" s="1"/>
  <c r="Z293" i="1"/>
  <c r="L293" i="1"/>
  <c r="K293" i="1"/>
  <c r="J293" i="1"/>
  <c r="I293" i="1"/>
  <c r="H293" i="1"/>
  <c r="G293" i="1"/>
  <c r="AV292" i="1"/>
  <c r="AC292" i="1"/>
  <c r="Z292" i="1"/>
  <c r="L292" i="1"/>
  <c r="K292" i="1"/>
  <c r="J292" i="1"/>
  <c r="I292" i="1"/>
  <c r="H292" i="1"/>
  <c r="AK292" i="1" s="1"/>
  <c r="G292" i="1"/>
  <c r="AL292" i="1" s="1"/>
  <c r="AC291" i="1"/>
  <c r="AV291" i="1" s="1"/>
  <c r="Z291" i="1"/>
  <c r="L291" i="1"/>
  <c r="K291" i="1"/>
  <c r="J291" i="1"/>
  <c r="I291" i="1"/>
  <c r="H291" i="1"/>
  <c r="G291" i="1"/>
  <c r="AC290" i="1"/>
  <c r="AV290" i="1" s="1"/>
  <c r="Z290" i="1"/>
  <c r="L290" i="1"/>
  <c r="K290" i="1"/>
  <c r="J290" i="1"/>
  <c r="I290" i="1"/>
  <c r="H290" i="1"/>
  <c r="G290" i="1"/>
  <c r="AL290" i="1" s="1"/>
  <c r="AC289" i="1"/>
  <c r="AV289" i="1" s="1"/>
  <c r="Z289" i="1"/>
  <c r="L289" i="1"/>
  <c r="K289" i="1"/>
  <c r="J289" i="1"/>
  <c r="I289" i="1"/>
  <c r="H289" i="1"/>
  <c r="G289" i="1"/>
  <c r="AV288" i="1"/>
  <c r="AC288" i="1"/>
  <c r="Z288" i="1"/>
  <c r="L288" i="1"/>
  <c r="K288" i="1"/>
  <c r="J288" i="1"/>
  <c r="I288" i="1"/>
  <c r="H288" i="1"/>
  <c r="AK288" i="1" s="1"/>
  <c r="G288" i="1"/>
  <c r="AL288" i="1" s="1"/>
  <c r="AC287" i="1"/>
  <c r="AV287" i="1" s="1"/>
  <c r="Z287" i="1"/>
  <c r="L287" i="1"/>
  <c r="K287" i="1"/>
  <c r="J287" i="1"/>
  <c r="I287" i="1"/>
  <c r="H287" i="1"/>
  <c r="G287" i="1"/>
  <c r="AC286" i="1"/>
  <c r="AV286" i="1" s="1"/>
  <c r="Z286" i="1"/>
  <c r="L286" i="1"/>
  <c r="K286" i="1"/>
  <c r="J286" i="1"/>
  <c r="I286" i="1"/>
  <c r="H286" i="1"/>
  <c r="G286" i="1"/>
  <c r="AL286" i="1" s="1"/>
  <c r="AC285" i="1"/>
  <c r="AV285" i="1" s="1"/>
  <c r="Z285" i="1"/>
  <c r="L285" i="1"/>
  <c r="K285" i="1"/>
  <c r="J285" i="1"/>
  <c r="I285" i="1"/>
  <c r="H285" i="1"/>
  <c r="G285" i="1"/>
  <c r="AL285" i="1" s="1"/>
  <c r="AV284" i="1"/>
  <c r="AC284" i="1"/>
  <c r="Z284" i="1"/>
  <c r="L284" i="1"/>
  <c r="K284" i="1"/>
  <c r="J284" i="1"/>
  <c r="I284" i="1"/>
  <c r="H284" i="1"/>
  <c r="AK284" i="1" s="1"/>
  <c r="G284" i="1"/>
  <c r="AL284" i="1" s="1"/>
  <c r="AC283" i="1"/>
  <c r="AV283" i="1" s="1"/>
  <c r="Z283" i="1"/>
  <c r="L283" i="1"/>
  <c r="K283" i="1"/>
  <c r="J283" i="1"/>
  <c r="I283" i="1"/>
  <c r="H283" i="1"/>
  <c r="G283" i="1"/>
  <c r="AC282" i="1"/>
  <c r="AV282" i="1" s="1"/>
  <c r="Z282" i="1"/>
  <c r="L282" i="1"/>
  <c r="K282" i="1"/>
  <c r="J282" i="1"/>
  <c r="I282" i="1"/>
  <c r="H282" i="1"/>
  <c r="G282" i="1"/>
  <c r="AL282" i="1" s="1"/>
  <c r="AC281" i="1"/>
  <c r="AV281" i="1" s="1"/>
  <c r="Z281" i="1"/>
  <c r="L281" i="1"/>
  <c r="K281" i="1"/>
  <c r="J281" i="1"/>
  <c r="I281" i="1"/>
  <c r="H281" i="1"/>
  <c r="G281" i="1"/>
  <c r="AL281" i="1" s="1"/>
  <c r="AV280" i="1"/>
  <c r="AC280" i="1"/>
  <c r="Z280" i="1"/>
  <c r="L280" i="1"/>
  <c r="K280" i="1"/>
  <c r="J280" i="1"/>
  <c r="I280" i="1"/>
  <c r="H280" i="1"/>
  <c r="AK280" i="1" s="1"/>
  <c r="G280" i="1"/>
  <c r="AL280" i="1" s="1"/>
  <c r="AC279" i="1"/>
  <c r="AV279" i="1" s="1"/>
  <c r="Z279" i="1"/>
  <c r="L279" i="1"/>
  <c r="K279" i="1"/>
  <c r="J279" i="1"/>
  <c r="I279" i="1"/>
  <c r="H279" i="1"/>
  <c r="G279" i="1"/>
  <c r="AC278" i="1"/>
  <c r="AV278" i="1" s="1"/>
  <c r="Z278" i="1"/>
  <c r="L278" i="1"/>
  <c r="K278" i="1"/>
  <c r="J278" i="1"/>
  <c r="I278" i="1"/>
  <c r="H278" i="1"/>
  <c r="G278" i="1"/>
  <c r="AL278" i="1" s="1"/>
  <c r="AC277" i="1"/>
  <c r="AV277" i="1" s="1"/>
  <c r="Z277" i="1"/>
  <c r="L277" i="1"/>
  <c r="K277" i="1"/>
  <c r="J277" i="1"/>
  <c r="I277" i="1"/>
  <c r="H277" i="1"/>
  <c r="G277" i="1"/>
  <c r="AL277" i="1" s="1"/>
  <c r="AV276" i="1"/>
  <c r="AC276" i="1"/>
  <c r="Z276" i="1"/>
  <c r="L276" i="1"/>
  <c r="K276" i="1"/>
  <c r="J276" i="1"/>
  <c r="I276" i="1"/>
  <c r="H276" i="1"/>
  <c r="G276" i="1"/>
  <c r="AL276" i="1" s="1"/>
  <c r="AS275" i="1"/>
  <c r="AR275" i="1"/>
  <c r="AQ275" i="1"/>
  <c r="AP275" i="1"/>
  <c r="AO275" i="1"/>
  <c r="AT275" i="1" s="1"/>
  <c r="AC275" i="1"/>
  <c r="AV275" i="1" s="1"/>
  <c r="Z275" i="1"/>
  <c r="Y275" i="1"/>
  <c r="L275" i="1"/>
  <c r="K275" i="1"/>
  <c r="J275" i="1"/>
  <c r="I275" i="1"/>
  <c r="H275" i="1"/>
  <c r="G275" i="1"/>
  <c r="AS274" i="1"/>
  <c r="AR274" i="1"/>
  <c r="AQ274" i="1"/>
  <c r="AP274" i="1"/>
  <c r="AO274" i="1"/>
  <c r="AC274" i="1"/>
  <c r="AV274" i="1" s="1"/>
  <c r="Z274" i="1"/>
  <c r="Y274" i="1"/>
  <c r="L274" i="1"/>
  <c r="K274" i="1"/>
  <c r="J274" i="1"/>
  <c r="I274" i="1"/>
  <c r="H274" i="1"/>
  <c r="G274" i="1"/>
  <c r="AS273" i="1"/>
  <c r="AR273" i="1"/>
  <c r="AQ273" i="1"/>
  <c r="AP273" i="1"/>
  <c r="AO273" i="1"/>
  <c r="AT273" i="1" s="1"/>
  <c r="AC273" i="1"/>
  <c r="AV273" i="1" s="1"/>
  <c r="Z273" i="1"/>
  <c r="Y273" i="1"/>
  <c r="L273" i="1"/>
  <c r="K273" i="1"/>
  <c r="J273" i="1"/>
  <c r="I273" i="1"/>
  <c r="H273" i="1"/>
  <c r="G273" i="1"/>
  <c r="AS272" i="1"/>
  <c r="AR272" i="1"/>
  <c r="AQ272" i="1"/>
  <c r="AP272" i="1"/>
  <c r="AO272" i="1"/>
  <c r="AC272" i="1"/>
  <c r="AV272" i="1" s="1"/>
  <c r="Z272" i="1"/>
  <c r="Y272" i="1"/>
  <c r="L272" i="1"/>
  <c r="K272" i="1"/>
  <c r="J272" i="1"/>
  <c r="I272" i="1"/>
  <c r="H272" i="1"/>
  <c r="G272" i="1"/>
  <c r="AS271" i="1"/>
  <c r="AR271" i="1"/>
  <c r="AQ271" i="1"/>
  <c r="AP271" i="1"/>
  <c r="AO271" i="1"/>
  <c r="AT271" i="1" s="1"/>
  <c r="AC271" i="1"/>
  <c r="AV271" i="1" s="1"/>
  <c r="Z271" i="1"/>
  <c r="Y271" i="1"/>
  <c r="L271" i="1"/>
  <c r="K271" i="1"/>
  <c r="J271" i="1"/>
  <c r="I271" i="1"/>
  <c r="H271" i="1"/>
  <c r="G271" i="1"/>
  <c r="AS270" i="1"/>
  <c r="AR270" i="1"/>
  <c r="AQ270" i="1"/>
  <c r="AP270" i="1"/>
  <c r="AO270" i="1"/>
  <c r="AC270" i="1"/>
  <c r="AV270" i="1" s="1"/>
  <c r="Z270" i="1"/>
  <c r="Y270" i="1"/>
  <c r="L270" i="1"/>
  <c r="K270" i="1"/>
  <c r="J270" i="1"/>
  <c r="I270" i="1"/>
  <c r="H270" i="1"/>
  <c r="G270" i="1"/>
  <c r="AS269" i="1"/>
  <c r="AR269" i="1"/>
  <c r="AQ269" i="1"/>
  <c r="AP269" i="1"/>
  <c r="AO269" i="1"/>
  <c r="AT269" i="1" s="1"/>
  <c r="AC269" i="1"/>
  <c r="AV269" i="1" s="1"/>
  <c r="Z269" i="1"/>
  <c r="Y269" i="1"/>
  <c r="L269" i="1"/>
  <c r="K269" i="1"/>
  <c r="J269" i="1"/>
  <c r="I269" i="1"/>
  <c r="H269" i="1"/>
  <c r="G269" i="1"/>
  <c r="AS268" i="1"/>
  <c r="AR268" i="1"/>
  <c r="AQ268" i="1"/>
  <c r="AP268" i="1"/>
  <c r="AO268" i="1"/>
  <c r="AC268" i="1"/>
  <c r="AV268" i="1" s="1"/>
  <c r="Z268" i="1"/>
  <c r="Y268" i="1"/>
  <c r="L268" i="1"/>
  <c r="K268" i="1"/>
  <c r="J268" i="1"/>
  <c r="I268" i="1"/>
  <c r="H268" i="1"/>
  <c r="G268" i="1"/>
  <c r="AS267" i="1"/>
  <c r="AR267" i="1"/>
  <c r="AQ267" i="1"/>
  <c r="AP267" i="1"/>
  <c r="AO267" i="1"/>
  <c r="AT267" i="1" s="1"/>
  <c r="AC267" i="1"/>
  <c r="AV267" i="1" s="1"/>
  <c r="Z267" i="1"/>
  <c r="Y267" i="1"/>
  <c r="L267" i="1"/>
  <c r="K267" i="1"/>
  <c r="J267" i="1"/>
  <c r="I267" i="1"/>
  <c r="H267" i="1"/>
  <c r="G267" i="1"/>
  <c r="AS266" i="1"/>
  <c r="AR266" i="1"/>
  <c r="AQ266" i="1"/>
  <c r="AP266" i="1"/>
  <c r="AO266" i="1"/>
  <c r="AC266" i="1"/>
  <c r="AV266" i="1" s="1"/>
  <c r="Z266" i="1"/>
  <c r="Y266" i="1"/>
  <c r="L266" i="1"/>
  <c r="K266" i="1"/>
  <c r="J266" i="1"/>
  <c r="I266" i="1"/>
  <c r="H266" i="1"/>
  <c r="G266" i="1"/>
  <c r="AS265" i="1"/>
  <c r="AR265" i="1"/>
  <c r="AQ265" i="1"/>
  <c r="AP265" i="1"/>
  <c r="AO265" i="1"/>
  <c r="AT265" i="1" s="1"/>
  <c r="AC265" i="1"/>
  <c r="AV265" i="1" s="1"/>
  <c r="Z265" i="1"/>
  <c r="Y265" i="1"/>
  <c r="L265" i="1"/>
  <c r="K265" i="1"/>
  <c r="J265" i="1"/>
  <c r="I265" i="1"/>
  <c r="H265" i="1"/>
  <c r="G265" i="1"/>
  <c r="AS264" i="1"/>
  <c r="AR264" i="1"/>
  <c r="AQ264" i="1"/>
  <c r="AP264" i="1"/>
  <c r="AO264" i="1"/>
  <c r="AC264" i="1"/>
  <c r="AV264" i="1" s="1"/>
  <c r="Z264" i="1"/>
  <c r="Y264" i="1"/>
  <c r="L264" i="1"/>
  <c r="K264" i="1"/>
  <c r="J264" i="1"/>
  <c r="I264" i="1"/>
  <c r="H264" i="1"/>
  <c r="G264" i="1"/>
  <c r="AS263" i="1"/>
  <c r="AR263" i="1"/>
  <c r="AQ263" i="1"/>
  <c r="AP263" i="1"/>
  <c r="AO263" i="1"/>
  <c r="AT263" i="1" s="1"/>
  <c r="AC263" i="1"/>
  <c r="AV263" i="1" s="1"/>
  <c r="Z263" i="1"/>
  <c r="Y263" i="1"/>
  <c r="L263" i="1"/>
  <c r="K263" i="1"/>
  <c r="J263" i="1"/>
  <c r="I263" i="1"/>
  <c r="H263" i="1"/>
  <c r="G263" i="1"/>
  <c r="AS262" i="1"/>
  <c r="AR262" i="1"/>
  <c r="AQ262" i="1"/>
  <c r="AP262" i="1"/>
  <c r="AO262" i="1"/>
  <c r="AC262" i="1"/>
  <c r="AV262" i="1" s="1"/>
  <c r="Z262" i="1"/>
  <c r="Y262" i="1"/>
  <c r="L262" i="1"/>
  <c r="K262" i="1"/>
  <c r="J262" i="1"/>
  <c r="I262" i="1"/>
  <c r="H262" i="1"/>
  <c r="G262" i="1"/>
  <c r="AS261" i="1"/>
  <c r="AR261" i="1"/>
  <c r="AQ261" i="1"/>
  <c r="AP261" i="1"/>
  <c r="AO261" i="1"/>
  <c r="AT261" i="1" s="1"/>
  <c r="AC261" i="1"/>
  <c r="AV261" i="1" s="1"/>
  <c r="Z261" i="1"/>
  <c r="Y261" i="1"/>
  <c r="L261" i="1"/>
  <c r="J261" i="1"/>
  <c r="I261" i="1"/>
  <c r="H261" i="1"/>
  <c r="G261" i="1"/>
  <c r="AR260" i="1"/>
  <c r="AQ260" i="1"/>
  <c r="AP260" i="1"/>
  <c r="AO260" i="1"/>
  <c r="AC260" i="1"/>
  <c r="AV260" i="1" s="1"/>
  <c r="Z260" i="1"/>
  <c r="Y260" i="1"/>
  <c r="AS260" i="1" s="1"/>
  <c r="L260" i="1"/>
  <c r="J260" i="1"/>
  <c r="I260" i="1"/>
  <c r="H260" i="1"/>
  <c r="G260" i="1"/>
  <c r="AV259" i="1"/>
  <c r="AR259" i="1"/>
  <c r="AQ259" i="1"/>
  <c r="AP259" i="1"/>
  <c r="AO259" i="1"/>
  <c r="AC259" i="1"/>
  <c r="Z259" i="1"/>
  <c r="Y259" i="1"/>
  <c r="AS259" i="1" s="1"/>
  <c r="L259" i="1"/>
  <c r="J259" i="1"/>
  <c r="I259" i="1"/>
  <c r="H259" i="1"/>
  <c r="G259" i="1"/>
  <c r="AR258" i="1"/>
  <c r="AQ258" i="1"/>
  <c r="AP258" i="1"/>
  <c r="AO258" i="1"/>
  <c r="AC258" i="1"/>
  <c r="AV258" i="1" s="1"/>
  <c r="Z258" i="1"/>
  <c r="Y258" i="1"/>
  <c r="AS258" i="1" s="1"/>
  <c r="L258" i="1"/>
  <c r="J258" i="1"/>
  <c r="I258" i="1"/>
  <c r="H258" i="1"/>
  <c r="G258" i="1"/>
  <c r="AS257" i="1"/>
  <c r="AR257" i="1"/>
  <c r="AQ257" i="1"/>
  <c r="AP257" i="1"/>
  <c r="AO257" i="1"/>
  <c r="AC257" i="1"/>
  <c r="AV257" i="1" s="1"/>
  <c r="Z257" i="1"/>
  <c r="Y257" i="1"/>
  <c r="L257" i="1"/>
  <c r="J257" i="1"/>
  <c r="I257" i="1"/>
  <c r="H257" i="1"/>
  <c r="G257" i="1"/>
  <c r="AR256" i="1"/>
  <c r="AQ256" i="1"/>
  <c r="AP256" i="1"/>
  <c r="AO256" i="1"/>
  <c r="AC256" i="1"/>
  <c r="AV256" i="1" s="1"/>
  <c r="Z256" i="1"/>
  <c r="Y256" i="1"/>
  <c r="AS256" i="1" s="1"/>
  <c r="L256" i="1"/>
  <c r="J256" i="1"/>
  <c r="I256" i="1"/>
  <c r="H256" i="1"/>
  <c r="G256" i="1"/>
  <c r="AV255" i="1"/>
  <c r="AR255" i="1"/>
  <c r="AQ255" i="1"/>
  <c r="AP255" i="1"/>
  <c r="AO255" i="1"/>
  <c r="AC255" i="1"/>
  <c r="Z255" i="1"/>
  <c r="Y255" i="1"/>
  <c r="AS255" i="1" s="1"/>
  <c r="L255" i="1"/>
  <c r="J255" i="1"/>
  <c r="I255" i="1"/>
  <c r="H255" i="1"/>
  <c r="G255" i="1"/>
  <c r="AR254" i="1"/>
  <c r="AQ254" i="1"/>
  <c r="AP254" i="1"/>
  <c r="AO254" i="1"/>
  <c r="AC254" i="1"/>
  <c r="AV254" i="1" s="1"/>
  <c r="Z254" i="1"/>
  <c r="Y254" i="1"/>
  <c r="AS254" i="1" s="1"/>
  <c r="L254" i="1"/>
  <c r="K254" i="1"/>
  <c r="J254" i="1"/>
  <c r="I254" i="1"/>
  <c r="H254" i="1"/>
  <c r="G254" i="1"/>
  <c r="AR253" i="1"/>
  <c r="AQ253" i="1"/>
  <c r="AP253" i="1"/>
  <c r="AO253" i="1"/>
  <c r="AC253" i="1"/>
  <c r="AV253" i="1" s="1"/>
  <c r="Z253" i="1"/>
  <c r="Y253" i="1"/>
  <c r="AS253" i="1" s="1"/>
  <c r="L253" i="1"/>
  <c r="K253" i="1"/>
  <c r="J253" i="1"/>
  <c r="I253" i="1"/>
  <c r="H253" i="1"/>
  <c r="G253" i="1"/>
  <c r="AR252" i="1"/>
  <c r="AQ252" i="1"/>
  <c r="AP252" i="1"/>
  <c r="AO252" i="1"/>
  <c r="AC252" i="1"/>
  <c r="AV252" i="1" s="1"/>
  <c r="Z252" i="1"/>
  <c r="Y252" i="1"/>
  <c r="AS252" i="1" s="1"/>
  <c r="L252" i="1"/>
  <c r="K252" i="1"/>
  <c r="J252" i="1"/>
  <c r="I252" i="1"/>
  <c r="H252" i="1"/>
  <c r="G252" i="1"/>
  <c r="AR251" i="1"/>
  <c r="AQ251" i="1"/>
  <c r="AP251" i="1"/>
  <c r="AO251" i="1"/>
  <c r="AC251" i="1"/>
  <c r="AV251" i="1" s="1"/>
  <c r="Z251" i="1"/>
  <c r="Y251" i="1"/>
  <c r="AS251" i="1" s="1"/>
  <c r="L251" i="1"/>
  <c r="K251" i="1"/>
  <c r="J251" i="1"/>
  <c r="I251" i="1"/>
  <c r="H251" i="1"/>
  <c r="G251" i="1"/>
  <c r="AR250" i="1"/>
  <c r="AQ250" i="1"/>
  <c r="AP250" i="1"/>
  <c r="AO250" i="1"/>
  <c r="AC250" i="1"/>
  <c r="AV250" i="1" s="1"/>
  <c r="Z250" i="1"/>
  <c r="Y250" i="1"/>
  <c r="AS250" i="1" s="1"/>
  <c r="L250" i="1"/>
  <c r="K250" i="1"/>
  <c r="J250" i="1"/>
  <c r="I250" i="1"/>
  <c r="H250" i="1"/>
  <c r="G250" i="1"/>
  <c r="AR249" i="1"/>
  <c r="AQ249" i="1"/>
  <c r="AP249" i="1"/>
  <c r="AO249" i="1"/>
  <c r="AC249" i="1"/>
  <c r="AV249" i="1" s="1"/>
  <c r="Z249" i="1"/>
  <c r="Y249" i="1"/>
  <c r="AS249" i="1" s="1"/>
  <c r="L249" i="1"/>
  <c r="K249" i="1"/>
  <c r="J249" i="1"/>
  <c r="I249" i="1"/>
  <c r="H249" i="1"/>
  <c r="G249" i="1"/>
  <c r="AR248" i="1"/>
  <c r="AQ248" i="1"/>
  <c r="AP248" i="1"/>
  <c r="AO248" i="1"/>
  <c r="AC248" i="1"/>
  <c r="AV248" i="1" s="1"/>
  <c r="Z248" i="1"/>
  <c r="Y248" i="1"/>
  <c r="AS248" i="1" s="1"/>
  <c r="L248" i="1"/>
  <c r="K248" i="1"/>
  <c r="J248" i="1"/>
  <c r="I248" i="1"/>
  <c r="H248" i="1"/>
  <c r="G248" i="1"/>
  <c r="AR247" i="1"/>
  <c r="AQ247" i="1"/>
  <c r="AP247" i="1"/>
  <c r="AO247" i="1"/>
  <c r="AC247" i="1"/>
  <c r="AV247" i="1" s="1"/>
  <c r="Z247" i="1"/>
  <c r="Y247" i="1"/>
  <c r="AS247" i="1" s="1"/>
  <c r="L247" i="1"/>
  <c r="K247" i="1"/>
  <c r="J247" i="1"/>
  <c r="I247" i="1"/>
  <c r="H247" i="1"/>
  <c r="G247" i="1"/>
  <c r="AR246" i="1"/>
  <c r="AQ246" i="1"/>
  <c r="AP246" i="1"/>
  <c r="AO246" i="1"/>
  <c r="AC246" i="1"/>
  <c r="AV246" i="1" s="1"/>
  <c r="Z246" i="1"/>
  <c r="Y246" i="1"/>
  <c r="AS246" i="1" s="1"/>
  <c r="L246" i="1"/>
  <c r="K246" i="1"/>
  <c r="J246" i="1"/>
  <c r="I246" i="1"/>
  <c r="H246" i="1"/>
  <c r="G246" i="1"/>
  <c r="AL245" i="1"/>
  <c r="AK245" i="1"/>
  <c r="AC245" i="1"/>
  <c r="AV245" i="1" s="1"/>
  <c r="Z245" i="1"/>
  <c r="L245" i="1"/>
  <c r="AL244" i="1"/>
  <c r="AK244" i="1"/>
  <c r="AC244" i="1"/>
  <c r="AV244" i="1" s="1"/>
  <c r="Z244" i="1"/>
  <c r="L244" i="1"/>
  <c r="AL243" i="1"/>
  <c r="AK243" i="1"/>
  <c r="AC243" i="1"/>
  <c r="AV243" i="1" s="1"/>
  <c r="Z243" i="1"/>
  <c r="L243" i="1"/>
  <c r="AL242" i="1"/>
  <c r="AK242" i="1"/>
  <c r="AC242" i="1"/>
  <c r="AV242" i="1" s="1"/>
  <c r="Z242" i="1"/>
  <c r="L242" i="1"/>
  <c r="AL241" i="1"/>
  <c r="AK241" i="1"/>
  <c r="AC241" i="1"/>
  <c r="AV241" i="1" s="1"/>
  <c r="Z241" i="1"/>
  <c r="L241" i="1"/>
  <c r="AL240" i="1"/>
  <c r="AK240" i="1"/>
  <c r="AC240" i="1"/>
  <c r="AV240" i="1" s="1"/>
  <c r="Z240" i="1"/>
  <c r="L240" i="1"/>
  <c r="AL239" i="1"/>
  <c r="AK239" i="1"/>
  <c r="AC239" i="1"/>
  <c r="AV239" i="1" s="1"/>
  <c r="Z239" i="1"/>
  <c r="L239" i="1"/>
  <c r="AL238" i="1"/>
  <c r="AK238" i="1"/>
  <c r="AC238" i="1"/>
  <c r="AV238" i="1" s="1"/>
  <c r="Z238" i="1"/>
  <c r="L238" i="1"/>
  <c r="AL237" i="1"/>
  <c r="AK237" i="1"/>
  <c r="AC237" i="1"/>
  <c r="AV237" i="1" s="1"/>
  <c r="Z237" i="1"/>
  <c r="L237" i="1"/>
  <c r="AL236" i="1"/>
  <c r="AK236" i="1"/>
  <c r="AC236" i="1"/>
  <c r="AV236" i="1" s="1"/>
  <c r="Z236" i="1"/>
  <c r="L236" i="1"/>
  <c r="AL235" i="1"/>
  <c r="AK235" i="1"/>
  <c r="AC235" i="1"/>
  <c r="AV235" i="1" s="1"/>
  <c r="Z235" i="1"/>
  <c r="L235" i="1"/>
  <c r="AL234" i="1"/>
  <c r="AK234" i="1"/>
  <c r="AC234" i="1"/>
  <c r="AV234" i="1" s="1"/>
  <c r="Z234" i="1"/>
  <c r="L234" i="1"/>
  <c r="AL233" i="1"/>
  <c r="AK233" i="1"/>
  <c r="AC233" i="1"/>
  <c r="AV233" i="1" s="1"/>
  <c r="Z233" i="1"/>
  <c r="L233" i="1"/>
  <c r="AL232" i="1"/>
  <c r="AK232" i="1"/>
  <c r="AC232" i="1"/>
  <c r="AV232" i="1" s="1"/>
  <c r="Z232" i="1"/>
  <c r="L232" i="1"/>
  <c r="AL231" i="1"/>
  <c r="AK231" i="1"/>
  <c r="AC231" i="1"/>
  <c r="AV231" i="1" s="1"/>
  <c r="Z231" i="1"/>
  <c r="L231" i="1"/>
  <c r="AL230" i="1"/>
  <c r="AK230" i="1"/>
  <c r="AC230" i="1"/>
  <c r="AV230" i="1" s="1"/>
  <c r="Z230" i="1"/>
  <c r="L230" i="1"/>
  <c r="AL229" i="1"/>
  <c r="AK229" i="1"/>
  <c r="AC229" i="1"/>
  <c r="AV229" i="1" s="1"/>
  <c r="Z229" i="1"/>
  <c r="L229" i="1"/>
  <c r="AL228" i="1"/>
  <c r="AK228" i="1"/>
  <c r="AC228" i="1"/>
  <c r="AV228" i="1" s="1"/>
  <c r="Z228" i="1"/>
  <c r="L228" i="1"/>
  <c r="AV227" i="1"/>
  <c r="AR227" i="1"/>
  <c r="AQ227" i="1"/>
  <c r="AP227" i="1"/>
  <c r="AO227" i="1"/>
  <c r="AC227" i="1"/>
  <c r="Z227" i="1"/>
  <c r="Y227" i="1"/>
  <c r="AS227" i="1" s="1"/>
  <c r="L227" i="1"/>
  <c r="K227" i="1"/>
  <c r="J227" i="1"/>
  <c r="I227" i="1"/>
  <c r="H227" i="1"/>
  <c r="G227" i="1"/>
  <c r="AR226" i="1"/>
  <c r="AQ226" i="1"/>
  <c r="AP226" i="1"/>
  <c r="AO226" i="1"/>
  <c r="AC226" i="1"/>
  <c r="AV226" i="1" s="1"/>
  <c r="Z226" i="1"/>
  <c r="Y226" i="1"/>
  <c r="AS226" i="1" s="1"/>
  <c r="L226" i="1"/>
  <c r="K226" i="1"/>
  <c r="J226" i="1"/>
  <c r="I226" i="1"/>
  <c r="H226" i="1"/>
  <c r="G226" i="1"/>
  <c r="AV225" i="1"/>
  <c r="AR225" i="1"/>
  <c r="AQ225" i="1"/>
  <c r="AP225" i="1"/>
  <c r="AO225" i="1"/>
  <c r="AC225" i="1"/>
  <c r="Z225" i="1"/>
  <c r="Y225" i="1"/>
  <c r="AS225" i="1" s="1"/>
  <c r="L225" i="1"/>
  <c r="K225" i="1"/>
  <c r="J225" i="1"/>
  <c r="I225" i="1"/>
  <c r="H225" i="1"/>
  <c r="G225" i="1"/>
  <c r="AR224" i="1"/>
  <c r="AQ224" i="1"/>
  <c r="AP224" i="1"/>
  <c r="AO224" i="1"/>
  <c r="AC224" i="1"/>
  <c r="AV224" i="1" s="1"/>
  <c r="Z224" i="1"/>
  <c r="Y224" i="1"/>
  <c r="AS224" i="1" s="1"/>
  <c r="L224" i="1"/>
  <c r="K224" i="1"/>
  <c r="J224" i="1"/>
  <c r="I224" i="1"/>
  <c r="H224" i="1"/>
  <c r="G224" i="1"/>
  <c r="AV223" i="1"/>
  <c r="AR223" i="1"/>
  <c r="AQ223" i="1"/>
  <c r="AP223" i="1"/>
  <c r="AO223" i="1"/>
  <c r="AC223" i="1"/>
  <c r="Z223" i="1"/>
  <c r="Y223" i="1"/>
  <c r="AS223" i="1" s="1"/>
  <c r="L223" i="1"/>
  <c r="K223" i="1"/>
  <c r="J223" i="1"/>
  <c r="I223" i="1"/>
  <c r="H223" i="1"/>
  <c r="G223" i="1"/>
  <c r="AR222" i="1"/>
  <c r="AQ222" i="1"/>
  <c r="AP222" i="1"/>
  <c r="AO222" i="1"/>
  <c r="AC222" i="1"/>
  <c r="AV222" i="1" s="1"/>
  <c r="Z222" i="1"/>
  <c r="Y222" i="1"/>
  <c r="AS222" i="1" s="1"/>
  <c r="L222" i="1"/>
  <c r="K222" i="1"/>
  <c r="J222" i="1"/>
  <c r="I222" i="1"/>
  <c r="H222" i="1"/>
  <c r="G222" i="1"/>
  <c r="AV221" i="1"/>
  <c r="AR221" i="1"/>
  <c r="AQ221" i="1"/>
  <c r="AP221" i="1"/>
  <c r="AO221" i="1"/>
  <c r="AC221" i="1"/>
  <c r="Z221" i="1"/>
  <c r="Y221" i="1"/>
  <c r="AS221" i="1" s="1"/>
  <c r="L221" i="1"/>
  <c r="K221" i="1"/>
  <c r="J221" i="1"/>
  <c r="I221" i="1"/>
  <c r="H221" i="1"/>
  <c r="G221" i="1"/>
  <c r="AV220" i="1"/>
  <c r="AL220" i="1"/>
  <c r="AK220" i="1"/>
  <c r="AC220" i="1"/>
  <c r="Z220" i="1"/>
  <c r="L220" i="1"/>
  <c r="AM219" i="1"/>
  <c r="AO219" i="1" s="1"/>
  <c r="AL219" i="1"/>
  <c r="AK219" i="1"/>
  <c r="AC219" i="1"/>
  <c r="AV219" i="1" s="1"/>
  <c r="Z219" i="1"/>
  <c r="L219" i="1"/>
  <c r="AV218" i="1"/>
  <c r="AL218" i="1"/>
  <c r="AK218" i="1"/>
  <c r="AC218" i="1"/>
  <c r="Z218" i="1"/>
  <c r="L218" i="1"/>
  <c r="AC217" i="1"/>
  <c r="AV217" i="1" s="1"/>
  <c r="Z217" i="1"/>
  <c r="L217" i="1"/>
  <c r="K217" i="1"/>
  <c r="J217" i="1"/>
  <c r="I217" i="1"/>
  <c r="H217" i="1"/>
  <c r="G217" i="1"/>
  <c r="AL217" i="1" s="1"/>
  <c r="AV216" i="1"/>
  <c r="AC216" i="1"/>
  <c r="Z216" i="1"/>
  <c r="L216" i="1"/>
  <c r="K216" i="1"/>
  <c r="J216" i="1"/>
  <c r="I216" i="1"/>
  <c r="H216" i="1"/>
  <c r="AK216" i="1" s="1"/>
  <c r="G216" i="1"/>
  <c r="AL216" i="1" s="1"/>
  <c r="AC215" i="1"/>
  <c r="AV215" i="1" s="1"/>
  <c r="Z215" i="1"/>
  <c r="L215" i="1"/>
  <c r="K215" i="1"/>
  <c r="J215" i="1"/>
  <c r="I215" i="1"/>
  <c r="H215" i="1"/>
  <c r="G215" i="1"/>
  <c r="AL215" i="1" s="1"/>
  <c r="AC214" i="1"/>
  <c r="AV214" i="1" s="1"/>
  <c r="Z214" i="1"/>
  <c r="L214" i="1"/>
  <c r="K214" i="1"/>
  <c r="J214" i="1"/>
  <c r="I214" i="1"/>
  <c r="H214" i="1"/>
  <c r="G214" i="1"/>
  <c r="AC213" i="1"/>
  <c r="AV213" i="1" s="1"/>
  <c r="Z213" i="1"/>
  <c r="L213" i="1"/>
  <c r="K213" i="1"/>
  <c r="J213" i="1"/>
  <c r="I213" i="1"/>
  <c r="H213" i="1"/>
  <c r="G213" i="1"/>
  <c r="AL213" i="1" s="1"/>
  <c r="AV212" i="1"/>
  <c r="AC212" i="1"/>
  <c r="Z212" i="1"/>
  <c r="L212" i="1"/>
  <c r="K212" i="1"/>
  <c r="J212" i="1"/>
  <c r="I212" i="1"/>
  <c r="H212" i="1"/>
  <c r="AK212" i="1" s="1"/>
  <c r="G212" i="1"/>
  <c r="AL212" i="1" s="1"/>
  <c r="AC211" i="1"/>
  <c r="AV211" i="1" s="1"/>
  <c r="Z211" i="1"/>
  <c r="L211" i="1"/>
  <c r="K211" i="1"/>
  <c r="J211" i="1"/>
  <c r="I211" i="1"/>
  <c r="H211" i="1"/>
  <c r="G211" i="1"/>
  <c r="AL211" i="1" s="1"/>
  <c r="AC210" i="1"/>
  <c r="AV210" i="1" s="1"/>
  <c r="Z210" i="1"/>
  <c r="L210" i="1"/>
  <c r="K210" i="1"/>
  <c r="J210" i="1"/>
  <c r="I210" i="1"/>
  <c r="H210" i="1"/>
  <c r="G210" i="1"/>
  <c r="AC209" i="1"/>
  <c r="AV209" i="1" s="1"/>
  <c r="Z209" i="1"/>
  <c r="L209" i="1"/>
  <c r="K209" i="1"/>
  <c r="J209" i="1"/>
  <c r="I209" i="1"/>
  <c r="H209" i="1"/>
  <c r="G209" i="1"/>
  <c r="AL209" i="1" s="1"/>
  <c r="AV208" i="1"/>
  <c r="AC208" i="1"/>
  <c r="Z208" i="1"/>
  <c r="L208" i="1"/>
  <c r="K208" i="1"/>
  <c r="J208" i="1"/>
  <c r="I208" i="1"/>
  <c r="H208" i="1"/>
  <c r="AK208" i="1" s="1"/>
  <c r="G208" i="1"/>
  <c r="AL208" i="1" s="1"/>
  <c r="AC207" i="1"/>
  <c r="AV207" i="1" s="1"/>
  <c r="Z207" i="1"/>
  <c r="L207" i="1"/>
  <c r="K207" i="1"/>
  <c r="J207" i="1"/>
  <c r="I207" i="1"/>
  <c r="H207" i="1"/>
  <c r="G207" i="1"/>
  <c r="AL207" i="1" s="1"/>
  <c r="AC206" i="1"/>
  <c r="AV206" i="1" s="1"/>
  <c r="Z206" i="1"/>
  <c r="L206" i="1"/>
  <c r="K206" i="1"/>
  <c r="J206" i="1"/>
  <c r="I206" i="1"/>
  <c r="H206" i="1"/>
  <c r="G206" i="1"/>
  <c r="AC205" i="1"/>
  <c r="AV205" i="1" s="1"/>
  <c r="Z205" i="1"/>
  <c r="L205" i="1"/>
  <c r="K205" i="1"/>
  <c r="J205" i="1"/>
  <c r="I205" i="1"/>
  <c r="H205" i="1"/>
  <c r="G205" i="1"/>
  <c r="AL205" i="1" s="1"/>
  <c r="AV204" i="1"/>
  <c r="AC204" i="1"/>
  <c r="Z204" i="1"/>
  <c r="L204" i="1"/>
  <c r="K204" i="1"/>
  <c r="J204" i="1"/>
  <c r="I204" i="1"/>
  <c r="H204" i="1"/>
  <c r="AK204" i="1" s="1"/>
  <c r="G204" i="1"/>
  <c r="AL204" i="1" s="1"/>
  <c r="AC203" i="1"/>
  <c r="AV203" i="1" s="1"/>
  <c r="Z203" i="1"/>
  <c r="L203" i="1"/>
  <c r="K203" i="1"/>
  <c r="J203" i="1"/>
  <c r="I203" i="1"/>
  <c r="H203" i="1"/>
  <c r="G203" i="1"/>
  <c r="AL203" i="1" s="1"/>
  <c r="AL202" i="1"/>
  <c r="AC202" i="1"/>
  <c r="AV202" i="1" s="1"/>
  <c r="Z202" i="1"/>
  <c r="L202" i="1"/>
  <c r="I202" i="1"/>
  <c r="AK202" i="1" s="1"/>
  <c r="AL201" i="1"/>
  <c r="AC201" i="1"/>
  <c r="AV201" i="1" s="1"/>
  <c r="Z201" i="1"/>
  <c r="L201" i="1"/>
  <c r="I201" i="1"/>
  <c r="AK201" i="1" s="1"/>
  <c r="AV200" i="1"/>
  <c r="AL200" i="1"/>
  <c r="AC200" i="1"/>
  <c r="Z200" i="1"/>
  <c r="L200" i="1"/>
  <c r="I200" i="1"/>
  <c r="AK200" i="1" s="1"/>
  <c r="AL199" i="1"/>
  <c r="AC199" i="1"/>
  <c r="AV199" i="1" s="1"/>
  <c r="Z199" i="1"/>
  <c r="L199" i="1"/>
  <c r="I199" i="1"/>
  <c r="AK199" i="1" s="1"/>
  <c r="AL198" i="1"/>
  <c r="AC198" i="1"/>
  <c r="AV198" i="1" s="1"/>
  <c r="Z198" i="1"/>
  <c r="L198" i="1"/>
  <c r="I198" i="1"/>
  <c r="AK198" i="1" s="1"/>
  <c r="AL197" i="1"/>
  <c r="AC197" i="1"/>
  <c r="AV197" i="1" s="1"/>
  <c r="Z197" i="1"/>
  <c r="L197" i="1"/>
  <c r="I197" i="1"/>
  <c r="AK197" i="1" s="1"/>
  <c r="AR196" i="1"/>
  <c r="AQ196" i="1"/>
  <c r="AP196" i="1"/>
  <c r="AO196" i="1"/>
  <c r="AC196" i="1"/>
  <c r="AV196" i="1" s="1"/>
  <c r="Z196" i="1"/>
  <c r="Y196" i="1"/>
  <c r="AS196" i="1" s="1"/>
  <c r="L196" i="1"/>
  <c r="AR195" i="1"/>
  <c r="AQ195" i="1"/>
  <c r="AP195" i="1"/>
  <c r="AO195" i="1"/>
  <c r="AC195" i="1"/>
  <c r="AV195" i="1" s="1"/>
  <c r="Z195" i="1"/>
  <c r="Y195" i="1"/>
  <c r="AS195" i="1" s="1"/>
  <c r="L195" i="1"/>
  <c r="AS194" i="1"/>
  <c r="AR194" i="1"/>
  <c r="AQ194" i="1"/>
  <c r="AP194" i="1"/>
  <c r="AO194" i="1"/>
  <c r="AT194" i="1" s="1"/>
  <c r="AC194" i="1"/>
  <c r="AV194" i="1" s="1"/>
  <c r="Z194" i="1"/>
  <c r="Y194" i="1"/>
  <c r="L194" i="1"/>
  <c r="AR193" i="1"/>
  <c r="AQ193" i="1"/>
  <c r="AP193" i="1"/>
  <c r="AO193" i="1"/>
  <c r="AC193" i="1"/>
  <c r="AV193" i="1" s="1"/>
  <c r="Z193" i="1"/>
  <c r="Y193" i="1"/>
  <c r="AS193" i="1" s="1"/>
  <c r="L193" i="1"/>
  <c r="AR192" i="1"/>
  <c r="AQ192" i="1"/>
  <c r="AP192" i="1"/>
  <c r="AO192" i="1"/>
  <c r="AC192" i="1"/>
  <c r="AV192" i="1" s="1"/>
  <c r="Z192" i="1"/>
  <c r="Y192" i="1"/>
  <c r="AS192" i="1" s="1"/>
  <c r="L192" i="1"/>
  <c r="AR191" i="1"/>
  <c r="AQ191" i="1"/>
  <c r="AP191" i="1"/>
  <c r="AO191" i="1"/>
  <c r="AC191" i="1"/>
  <c r="AV191" i="1" s="1"/>
  <c r="Z191" i="1"/>
  <c r="Y191" i="1"/>
  <c r="AS191" i="1" s="1"/>
  <c r="L191" i="1"/>
  <c r="AS190" i="1"/>
  <c r="AR190" i="1"/>
  <c r="AQ190" i="1"/>
  <c r="AP190" i="1"/>
  <c r="AO190" i="1"/>
  <c r="AT190" i="1" s="1"/>
  <c r="AC190" i="1"/>
  <c r="AV190" i="1" s="1"/>
  <c r="Z190" i="1"/>
  <c r="Y190" i="1"/>
  <c r="L190" i="1"/>
  <c r="AR189" i="1"/>
  <c r="AQ189" i="1"/>
  <c r="AP189" i="1"/>
  <c r="AO189" i="1"/>
  <c r="AC189" i="1"/>
  <c r="AV189" i="1" s="1"/>
  <c r="Z189" i="1"/>
  <c r="Y189" i="1"/>
  <c r="AS189" i="1" s="1"/>
  <c r="L189" i="1"/>
  <c r="AR188" i="1"/>
  <c r="AQ188" i="1"/>
  <c r="AP188" i="1"/>
  <c r="AO188" i="1"/>
  <c r="AC188" i="1"/>
  <c r="AV188" i="1" s="1"/>
  <c r="Z188" i="1"/>
  <c r="Y188" i="1"/>
  <c r="AS188" i="1" s="1"/>
  <c r="L188" i="1"/>
  <c r="AR187" i="1"/>
  <c r="AQ187" i="1"/>
  <c r="AP187" i="1"/>
  <c r="AO187" i="1"/>
  <c r="AC187" i="1"/>
  <c r="AV187" i="1" s="1"/>
  <c r="Z187" i="1"/>
  <c r="Y187" i="1"/>
  <c r="AS187" i="1" s="1"/>
  <c r="L187" i="1"/>
  <c r="AS186" i="1"/>
  <c r="AR186" i="1"/>
  <c r="AQ186" i="1"/>
  <c r="AP186" i="1"/>
  <c r="AO186" i="1"/>
  <c r="AT186" i="1" s="1"/>
  <c r="AC186" i="1"/>
  <c r="AV186" i="1" s="1"/>
  <c r="Z186" i="1"/>
  <c r="Y186" i="1"/>
  <c r="L186" i="1"/>
  <c r="AR185" i="1"/>
  <c r="AQ185" i="1"/>
  <c r="AP185" i="1"/>
  <c r="AO185" i="1"/>
  <c r="AC185" i="1"/>
  <c r="AV185" i="1" s="1"/>
  <c r="Z185" i="1"/>
  <c r="Y185" i="1"/>
  <c r="AS185" i="1" s="1"/>
  <c r="L185" i="1"/>
  <c r="AR184" i="1"/>
  <c r="AQ184" i="1"/>
  <c r="AP184" i="1"/>
  <c r="AO184" i="1"/>
  <c r="AC184" i="1"/>
  <c r="AV184" i="1" s="1"/>
  <c r="Z184" i="1"/>
  <c r="Y184" i="1"/>
  <c r="AS184" i="1" s="1"/>
  <c r="L184" i="1"/>
  <c r="AR183" i="1"/>
  <c r="AQ183" i="1"/>
  <c r="AP183" i="1"/>
  <c r="AO183" i="1"/>
  <c r="AC183" i="1"/>
  <c r="AV183" i="1" s="1"/>
  <c r="Z183" i="1"/>
  <c r="Y183" i="1"/>
  <c r="AS183" i="1" s="1"/>
  <c r="L183" i="1"/>
  <c r="AS182" i="1"/>
  <c r="AR182" i="1"/>
  <c r="AQ182" i="1"/>
  <c r="AP182" i="1"/>
  <c r="AO182" i="1"/>
  <c r="AT182" i="1" s="1"/>
  <c r="AC182" i="1"/>
  <c r="AV182" i="1" s="1"/>
  <c r="Z182" i="1"/>
  <c r="Y182" i="1"/>
  <c r="L182" i="1"/>
  <c r="AR181" i="1"/>
  <c r="AQ181" i="1"/>
  <c r="AP181" i="1"/>
  <c r="AO181" i="1"/>
  <c r="AC181" i="1"/>
  <c r="AV181" i="1" s="1"/>
  <c r="Z181" i="1"/>
  <c r="Y181" i="1"/>
  <c r="AS181" i="1" s="1"/>
  <c r="L181" i="1"/>
  <c r="K181" i="1"/>
  <c r="J181" i="1"/>
  <c r="I181" i="1"/>
  <c r="H181" i="1"/>
  <c r="G181" i="1"/>
  <c r="AS180" i="1"/>
  <c r="AR180" i="1"/>
  <c r="AQ180" i="1"/>
  <c r="AP180" i="1"/>
  <c r="AO180" i="1"/>
  <c r="AC180" i="1"/>
  <c r="AV180" i="1" s="1"/>
  <c r="Z180" i="1"/>
  <c r="Y180" i="1"/>
  <c r="L180" i="1"/>
  <c r="K180" i="1"/>
  <c r="J180" i="1"/>
  <c r="I180" i="1"/>
  <c r="H180" i="1"/>
  <c r="G180" i="1"/>
  <c r="AR179" i="1"/>
  <c r="AQ179" i="1"/>
  <c r="AP179" i="1"/>
  <c r="AO179" i="1"/>
  <c r="AC179" i="1"/>
  <c r="AV179" i="1" s="1"/>
  <c r="Z179" i="1"/>
  <c r="Y179" i="1"/>
  <c r="AS179" i="1" s="1"/>
  <c r="L179" i="1"/>
  <c r="K179" i="1"/>
  <c r="J179" i="1"/>
  <c r="I179" i="1"/>
  <c r="H179" i="1"/>
  <c r="G179" i="1"/>
  <c r="AS178" i="1"/>
  <c r="AR178" i="1"/>
  <c r="AQ178" i="1"/>
  <c r="AP178" i="1"/>
  <c r="AO178" i="1"/>
  <c r="AC178" i="1"/>
  <c r="AV178" i="1" s="1"/>
  <c r="Z178" i="1"/>
  <c r="Y178" i="1"/>
  <c r="L178" i="1"/>
  <c r="K178" i="1"/>
  <c r="J178" i="1"/>
  <c r="I178" i="1"/>
  <c r="H178" i="1"/>
  <c r="G178" i="1"/>
  <c r="AR177" i="1"/>
  <c r="AQ177" i="1"/>
  <c r="AP177" i="1"/>
  <c r="AO177" i="1"/>
  <c r="AC177" i="1"/>
  <c r="AV177" i="1" s="1"/>
  <c r="Z177" i="1"/>
  <c r="Y177" i="1"/>
  <c r="AS177" i="1" s="1"/>
  <c r="L177" i="1"/>
  <c r="K177" i="1"/>
  <c r="J177" i="1"/>
  <c r="I177" i="1"/>
  <c r="H177" i="1"/>
  <c r="G177" i="1"/>
  <c r="AS176" i="1"/>
  <c r="AR176" i="1"/>
  <c r="AQ176" i="1"/>
  <c r="AP176" i="1"/>
  <c r="AO176" i="1"/>
  <c r="AC176" i="1"/>
  <c r="AV176" i="1" s="1"/>
  <c r="Z176" i="1"/>
  <c r="Y176" i="1"/>
  <c r="L176" i="1"/>
  <c r="K176" i="1"/>
  <c r="J176" i="1"/>
  <c r="I176" i="1"/>
  <c r="H176" i="1"/>
  <c r="G176" i="1"/>
  <c r="AR175" i="1"/>
  <c r="AQ175" i="1"/>
  <c r="AP175" i="1"/>
  <c r="AO175" i="1"/>
  <c r="AC175" i="1"/>
  <c r="AV175" i="1" s="1"/>
  <c r="Z175" i="1"/>
  <c r="Y175" i="1"/>
  <c r="AS175" i="1" s="1"/>
  <c r="L175" i="1"/>
  <c r="K175" i="1"/>
  <c r="J175" i="1"/>
  <c r="I175" i="1"/>
  <c r="H175" i="1"/>
  <c r="G175" i="1"/>
  <c r="AS174" i="1"/>
  <c r="AR174" i="1"/>
  <c r="AQ174" i="1"/>
  <c r="AP174" i="1"/>
  <c r="AO174" i="1"/>
  <c r="AC174" i="1"/>
  <c r="AV174" i="1" s="1"/>
  <c r="Z174" i="1"/>
  <c r="Y174" i="1"/>
  <c r="L174" i="1"/>
  <c r="K174" i="1"/>
  <c r="J174" i="1"/>
  <c r="I174" i="1"/>
  <c r="H174" i="1"/>
  <c r="G174" i="1"/>
  <c r="AR173" i="1"/>
  <c r="AQ173" i="1"/>
  <c r="AP173" i="1"/>
  <c r="AO173" i="1"/>
  <c r="AC173" i="1"/>
  <c r="AV173" i="1" s="1"/>
  <c r="Z173" i="1"/>
  <c r="Y173" i="1"/>
  <c r="AS173" i="1" s="1"/>
  <c r="L173" i="1"/>
  <c r="K173" i="1"/>
  <c r="J173" i="1"/>
  <c r="I173" i="1"/>
  <c r="H173" i="1"/>
  <c r="G173" i="1"/>
  <c r="AS172" i="1"/>
  <c r="AR172" i="1"/>
  <c r="AQ172" i="1"/>
  <c r="AP172" i="1"/>
  <c r="AO172" i="1"/>
  <c r="AC172" i="1"/>
  <c r="AV172" i="1" s="1"/>
  <c r="Z172" i="1"/>
  <c r="Y172" i="1"/>
  <c r="L172" i="1"/>
  <c r="K172" i="1"/>
  <c r="J172" i="1"/>
  <c r="I172" i="1"/>
  <c r="H172" i="1"/>
  <c r="G172" i="1"/>
  <c r="AR171" i="1"/>
  <c r="AQ171" i="1"/>
  <c r="AP171" i="1"/>
  <c r="AO171" i="1"/>
  <c r="AC171" i="1"/>
  <c r="AV171" i="1" s="1"/>
  <c r="Z171" i="1"/>
  <c r="Y171" i="1"/>
  <c r="AS171" i="1" s="1"/>
  <c r="L171" i="1"/>
  <c r="K171" i="1"/>
  <c r="J171" i="1"/>
  <c r="I171" i="1"/>
  <c r="H171" i="1"/>
  <c r="G171" i="1"/>
  <c r="AS170" i="1"/>
  <c r="AR170" i="1"/>
  <c r="AQ170" i="1"/>
  <c r="AP170" i="1"/>
  <c r="AO170" i="1"/>
  <c r="AC170" i="1"/>
  <c r="AV170" i="1" s="1"/>
  <c r="Z170" i="1"/>
  <c r="Y170" i="1"/>
  <c r="L170" i="1"/>
  <c r="K170" i="1"/>
  <c r="J170" i="1"/>
  <c r="I170" i="1"/>
  <c r="H170" i="1"/>
  <c r="G170" i="1"/>
  <c r="AR169" i="1"/>
  <c r="AQ169" i="1"/>
  <c r="AP169" i="1"/>
  <c r="AO169" i="1"/>
  <c r="AC169" i="1"/>
  <c r="AV169" i="1" s="1"/>
  <c r="Z169" i="1"/>
  <c r="Y169" i="1"/>
  <c r="AS169" i="1" s="1"/>
  <c r="L169" i="1"/>
  <c r="K169" i="1"/>
  <c r="J169" i="1"/>
  <c r="I169" i="1"/>
  <c r="H169" i="1"/>
  <c r="G169" i="1"/>
  <c r="AS168" i="1"/>
  <c r="AR168" i="1"/>
  <c r="AQ168" i="1"/>
  <c r="AP168" i="1"/>
  <c r="AO168" i="1"/>
  <c r="AC168" i="1"/>
  <c r="AV168" i="1" s="1"/>
  <c r="Z168" i="1"/>
  <c r="Y168" i="1"/>
  <c r="L168" i="1"/>
  <c r="K168" i="1"/>
  <c r="J168" i="1"/>
  <c r="I168" i="1"/>
  <c r="H168" i="1"/>
  <c r="G168" i="1"/>
  <c r="AR167" i="1"/>
  <c r="AQ167" i="1"/>
  <c r="AP167" i="1"/>
  <c r="AO167" i="1"/>
  <c r="AC167" i="1"/>
  <c r="AV167" i="1" s="1"/>
  <c r="Z167" i="1"/>
  <c r="Y167" i="1"/>
  <c r="AS167" i="1" s="1"/>
  <c r="L167" i="1"/>
  <c r="K167" i="1"/>
  <c r="J167" i="1"/>
  <c r="I167" i="1"/>
  <c r="H167" i="1"/>
  <c r="G167" i="1"/>
  <c r="AS166" i="1"/>
  <c r="AR166" i="1"/>
  <c r="AQ166" i="1"/>
  <c r="AP166" i="1"/>
  <c r="AO166" i="1"/>
  <c r="AC166" i="1"/>
  <c r="AV166" i="1" s="1"/>
  <c r="Z166" i="1"/>
  <c r="Y166" i="1"/>
  <c r="L166" i="1"/>
  <c r="K166" i="1"/>
  <c r="J166" i="1"/>
  <c r="I166" i="1"/>
  <c r="H166" i="1"/>
  <c r="G166" i="1"/>
  <c r="AR165" i="1"/>
  <c r="AQ165" i="1"/>
  <c r="AP165" i="1"/>
  <c r="AO165" i="1"/>
  <c r="AC165" i="1"/>
  <c r="AV165" i="1" s="1"/>
  <c r="Z165" i="1"/>
  <c r="Y165" i="1"/>
  <c r="AS165" i="1" s="1"/>
  <c r="L165" i="1"/>
  <c r="K165" i="1"/>
  <c r="J165" i="1"/>
  <c r="I165" i="1"/>
  <c r="H165" i="1"/>
  <c r="G165" i="1"/>
  <c r="AS164" i="1"/>
  <c r="AR164" i="1"/>
  <c r="AQ164" i="1"/>
  <c r="AP164" i="1"/>
  <c r="AO164" i="1"/>
  <c r="AC164" i="1"/>
  <c r="AV164" i="1" s="1"/>
  <c r="Z164" i="1"/>
  <c r="Y164" i="1"/>
  <c r="L164" i="1"/>
  <c r="K164" i="1"/>
  <c r="J164" i="1"/>
  <c r="I164" i="1"/>
  <c r="H164" i="1"/>
  <c r="G164" i="1"/>
  <c r="AR163" i="1"/>
  <c r="AQ163" i="1"/>
  <c r="AP163" i="1"/>
  <c r="AO163" i="1"/>
  <c r="AC163" i="1"/>
  <c r="AV163" i="1" s="1"/>
  <c r="Z163" i="1"/>
  <c r="Y163" i="1"/>
  <c r="AS163" i="1" s="1"/>
  <c r="L163" i="1"/>
  <c r="K163" i="1"/>
  <c r="J163" i="1"/>
  <c r="I163" i="1"/>
  <c r="H163" i="1"/>
  <c r="G163" i="1"/>
  <c r="AS162" i="1"/>
  <c r="AR162" i="1"/>
  <c r="AQ162" i="1"/>
  <c r="AP162" i="1"/>
  <c r="AO162" i="1"/>
  <c r="AC162" i="1"/>
  <c r="AV162" i="1" s="1"/>
  <c r="Z162" i="1"/>
  <c r="Y162" i="1"/>
  <c r="L162" i="1"/>
  <c r="K162" i="1"/>
  <c r="J162" i="1"/>
  <c r="I162" i="1"/>
  <c r="H162" i="1"/>
  <c r="G162" i="1"/>
  <c r="AR161" i="1"/>
  <c r="AQ161" i="1"/>
  <c r="AP161" i="1"/>
  <c r="AO161" i="1"/>
  <c r="AC161" i="1"/>
  <c r="AV161" i="1" s="1"/>
  <c r="Z161" i="1"/>
  <c r="Y161" i="1"/>
  <c r="AS161" i="1" s="1"/>
  <c r="L161" i="1"/>
  <c r="K161" i="1"/>
  <c r="J161" i="1"/>
  <c r="I161" i="1"/>
  <c r="H161" i="1"/>
  <c r="G161" i="1"/>
  <c r="AS160" i="1"/>
  <c r="AR160" i="1"/>
  <c r="AQ160" i="1"/>
  <c r="AP160" i="1"/>
  <c r="AO160" i="1"/>
  <c r="AC160" i="1"/>
  <c r="AV160" i="1" s="1"/>
  <c r="Z160" i="1"/>
  <c r="Y160" i="1"/>
  <c r="L160" i="1"/>
  <c r="K160" i="1"/>
  <c r="J160" i="1"/>
  <c r="I160" i="1"/>
  <c r="H160" i="1"/>
  <c r="G160" i="1"/>
  <c r="AR159" i="1"/>
  <c r="AQ159" i="1"/>
  <c r="AP159" i="1"/>
  <c r="AO159" i="1"/>
  <c r="AC159" i="1"/>
  <c r="AV159" i="1" s="1"/>
  <c r="Z159" i="1"/>
  <c r="Y159" i="1"/>
  <c r="AS159" i="1" s="1"/>
  <c r="L159" i="1"/>
  <c r="K159" i="1"/>
  <c r="J159" i="1"/>
  <c r="I159" i="1"/>
  <c r="H159" i="1"/>
  <c r="G159" i="1"/>
  <c r="AS158" i="1"/>
  <c r="AR158" i="1"/>
  <c r="AQ158" i="1"/>
  <c r="AP158" i="1"/>
  <c r="AO158" i="1"/>
  <c r="AC158" i="1"/>
  <c r="AV158" i="1" s="1"/>
  <c r="Z158" i="1"/>
  <c r="Y158" i="1"/>
  <c r="L158" i="1"/>
  <c r="K158" i="1"/>
  <c r="J158" i="1"/>
  <c r="I158" i="1"/>
  <c r="H158" i="1"/>
  <c r="G158" i="1"/>
  <c r="AR157" i="1"/>
  <c r="AQ157" i="1"/>
  <c r="AP157" i="1"/>
  <c r="AO157" i="1"/>
  <c r="AC157" i="1"/>
  <c r="AV157" i="1" s="1"/>
  <c r="Z157" i="1"/>
  <c r="Y157" i="1"/>
  <c r="AS157" i="1" s="1"/>
  <c r="L157" i="1"/>
  <c r="K157" i="1"/>
  <c r="J157" i="1"/>
  <c r="I157" i="1"/>
  <c r="H157" i="1"/>
  <c r="G157" i="1"/>
  <c r="AS156" i="1"/>
  <c r="AR156" i="1"/>
  <c r="AQ156" i="1"/>
  <c r="AP156" i="1"/>
  <c r="AO156" i="1"/>
  <c r="AC156" i="1"/>
  <c r="AV156" i="1" s="1"/>
  <c r="Z156" i="1"/>
  <c r="Y156" i="1"/>
  <c r="L156" i="1"/>
  <c r="K156" i="1"/>
  <c r="J156" i="1"/>
  <c r="I156" i="1"/>
  <c r="H156" i="1"/>
  <c r="G156" i="1"/>
  <c r="AR155" i="1"/>
  <c r="AQ155" i="1"/>
  <c r="AP155" i="1"/>
  <c r="AO155" i="1"/>
  <c r="AC155" i="1"/>
  <c r="AV155" i="1" s="1"/>
  <c r="Z155" i="1"/>
  <c r="Y155" i="1"/>
  <c r="AS155" i="1" s="1"/>
  <c r="L155" i="1"/>
  <c r="K155" i="1"/>
  <c r="J155" i="1"/>
  <c r="I155" i="1"/>
  <c r="H155" i="1"/>
  <c r="G155" i="1"/>
  <c r="AS154" i="1"/>
  <c r="AR154" i="1"/>
  <c r="AQ154" i="1"/>
  <c r="AP154" i="1"/>
  <c r="AO154" i="1"/>
  <c r="AC154" i="1"/>
  <c r="AV154" i="1" s="1"/>
  <c r="Z154" i="1"/>
  <c r="Y154" i="1"/>
  <c r="L154" i="1"/>
  <c r="K154" i="1"/>
  <c r="J154" i="1"/>
  <c r="I154" i="1"/>
  <c r="H154" i="1"/>
  <c r="G154" i="1"/>
  <c r="AR153" i="1"/>
  <c r="AQ153" i="1"/>
  <c r="AP153" i="1"/>
  <c r="AO153" i="1"/>
  <c r="AC153" i="1"/>
  <c r="AV153" i="1" s="1"/>
  <c r="Z153" i="1"/>
  <c r="Y153" i="1"/>
  <c r="AS153" i="1" s="1"/>
  <c r="L153" i="1"/>
  <c r="K153" i="1"/>
  <c r="J153" i="1"/>
  <c r="I153" i="1"/>
  <c r="H153" i="1"/>
  <c r="G153" i="1"/>
  <c r="AS152" i="1"/>
  <c r="AR152" i="1"/>
  <c r="AQ152" i="1"/>
  <c r="AP152" i="1"/>
  <c r="AO152" i="1"/>
  <c r="AC152" i="1"/>
  <c r="AV152" i="1" s="1"/>
  <c r="Z152" i="1"/>
  <c r="Y152" i="1"/>
  <c r="L152" i="1"/>
  <c r="K152" i="1"/>
  <c r="J152" i="1"/>
  <c r="I152" i="1"/>
  <c r="H152" i="1"/>
  <c r="G152" i="1"/>
  <c r="AR151" i="1"/>
  <c r="AQ151" i="1"/>
  <c r="AP151" i="1"/>
  <c r="AO151" i="1"/>
  <c r="AC151" i="1"/>
  <c r="AV151" i="1" s="1"/>
  <c r="Z151" i="1"/>
  <c r="Y151" i="1"/>
  <c r="AS151" i="1" s="1"/>
  <c r="L151" i="1"/>
  <c r="K151" i="1"/>
  <c r="J151" i="1"/>
  <c r="I151" i="1"/>
  <c r="H151" i="1"/>
  <c r="G151" i="1"/>
  <c r="AS150" i="1"/>
  <c r="AR150" i="1"/>
  <c r="AQ150" i="1"/>
  <c r="AP150" i="1"/>
  <c r="AO150" i="1"/>
  <c r="AC150" i="1"/>
  <c r="AV150" i="1" s="1"/>
  <c r="Z150" i="1"/>
  <c r="Y150" i="1"/>
  <c r="L150" i="1"/>
  <c r="K150" i="1"/>
  <c r="J150" i="1"/>
  <c r="I150" i="1"/>
  <c r="H150" i="1"/>
  <c r="G150" i="1"/>
  <c r="AR149" i="1"/>
  <c r="AQ149" i="1"/>
  <c r="AP149" i="1"/>
  <c r="AO149" i="1"/>
  <c r="AC149" i="1"/>
  <c r="AV149" i="1" s="1"/>
  <c r="Z149" i="1"/>
  <c r="Y149" i="1"/>
  <c r="AS149" i="1" s="1"/>
  <c r="L149" i="1"/>
  <c r="K149" i="1"/>
  <c r="J149" i="1"/>
  <c r="I149" i="1"/>
  <c r="H149" i="1"/>
  <c r="G149" i="1"/>
  <c r="AS148" i="1"/>
  <c r="AR148" i="1"/>
  <c r="AQ148" i="1"/>
  <c r="AP148" i="1"/>
  <c r="AO148" i="1"/>
  <c r="AC148" i="1"/>
  <c r="AV148" i="1" s="1"/>
  <c r="Z148" i="1"/>
  <c r="Y148" i="1"/>
  <c r="L148" i="1"/>
  <c r="K148" i="1"/>
  <c r="J148" i="1"/>
  <c r="I148" i="1"/>
  <c r="H148" i="1"/>
  <c r="G148" i="1"/>
  <c r="AR147" i="1"/>
  <c r="AQ147" i="1"/>
  <c r="AP147" i="1"/>
  <c r="AO147" i="1"/>
  <c r="AC147" i="1"/>
  <c r="AV147" i="1" s="1"/>
  <c r="Z147" i="1"/>
  <c r="Y147" i="1"/>
  <c r="AS147" i="1" s="1"/>
  <c r="L147" i="1"/>
  <c r="K147" i="1"/>
  <c r="J147" i="1"/>
  <c r="I147" i="1"/>
  <c r="H147" i="1"/>
  <c r="G147" i="1"/>
  <c r="AS146" i="1"/>
  <c r="AR146" i="1"/>
  <c r="AQ146" i="1"/>
  <c r="AP146" i="1"/>
  <c r="AO146" i="1"/>
  <c r="AC146" i="1"/>
  <c r="AV146" i="1" s="1"/>
  <c r="Z146" i="1"/>
  <c r="Y146" i="1"/>
  <c r="L146" i="1"/>
  <c r="K146" i="1"/>
  <c r="J146" i="1"/>
  <c r="I146" i="1"/>
  <c r="H146" i="1"/>
  <c r="G146" i="1"/>
  <c r="AC145" i="1"/>
  <c r="AV145" i="1" s="1"/>
  <c r="Z145" i="1"/>
  <c r="L145" i="1"/>
  <c r="K145" i="1"/>
  <c r="J145" i="1"/>
  <c r="I145" i="1"/>
  <c r="H145" i="1"/>
  <c r="G145" i="1"/>
  <c r="AL145" i="1" s="1"/>
  <c r="AR144" i="1"/>
  <c r="AQ144" i="1"/>
  <c r="AP144" i="1"/>
  <c r="AO144" i="1"/>
  <c r="AC144" i="1"/>
  <c r="AV144" i="1" s="1"/>
  <c r="Z144" i="1"/>
  <c r="Y144" i="1"/>
  <c r="AS144" i="1" s="1"/>
  <c r="L144" i="1"/>
  <c r="K144" i="1"/>
  <c r="J144" i="1"/>
  <c r="I144" i="1"/>
  <c r="H144" i="1"/>
  <c r="G144" i="1"/>
  <c r="AR143" i="1"/>
  <c r="AQ143" i="1"/>
  <c r="AP143" i="1"/>
  <c r="AO143" i="1"/>
  <c r="AC143" i="1"/>
  <c r="AV143" i="1" s="1"/>
  <c r="Z143" i="1"/>
  <c r="Y143" i="1"/>
  <c r="AS143" i="1" s="1"/>
  <c r="L143" i="1"/>
  <c r="K143" i="1"/>
  <c r="J143" i="1"/>
  <c r="I143" i="1"/>
  <c r="H143" i="1"/>
  <c r="G143" i="1"/>
  <c r="AR142" i="1"/>
  <c r="AQ142" i="1"/>
  <c r="AP142" i="1"/>
  <c r="AO142" i="1"/>
  <c r="AC142" i="1"/>
  <c r="AV142" i="1" s="1"/>
  <c r="Z142" i="1"/>
  <c r="Y142" i="1"/>
  <c r="AS142" i="1" s="1"/>
  <c r="L142" i="1"/>
  <c r="K142" i="1"/>
  <c r="J142" i="1"/>
  <c r="I142" i="1"/>
  <c r="H142" i="1"/>
  <c r="G142" i="1"/>
  <c r="AR141" i="1"/>
  <c r="AQ141" i="1"/>
  <c r="AP141" i="1"/>
  <c r="AO141" i="1"/>
  <c r="AC141" i="1"/>
  <c r="AV141" i="1" s="1"/>
  <c r="Z141" i="1"/>
  <c r="Y141" i="1"/>
  <c r="AS141" i="1" s="1"/>
  <c r="L141" i="1"/>
  <c r="K141" i="1"/>
  <c r="J141" i="1"/>
  <c r="I141" i="1"/>
  <c r="H141" i="1"/>
  <c r="G141" i="1"/>
  <c r="AR140" i="1"/>
  <c r="AQ140" i="1"/>
  <c r="AP140" i="1"/>
  <c r="AO140" i="1"/>
  <c r="AC140" i="1"/>
  <c r="AV140" i="1" s="1"/>
  <c r="Z140" i="1"/>
  <c r="Y140" i="1"/>
  <c r="AS140" i="1" s="1"/>
  <c r="L140" i="1"/>
  <c r="K140" i="1"/>
  <c r="J140" i="1"/>
  <c r="I140" i="1"/>
  <c r="H140" i="1"/>
  <c r="G140" i="1"/>
  <c r="AR139" i="1"/>
  <c r="AQ139" i="1"/>
  <c r="AP139" i="1"/>
  <c r="AO139" i="1"/>
  <c r="AC139" i="1"/>
  <c r="AV139" i="1" s="1"/>
  <c r="Z139" i="1"/>
  <c r="Y139" i="1"/>
  <c r="AS139" i="1" s="1"/>
  <c r="L139" i="1"/>
  <c r="K139" i="1"/>
  <c r="J139" i="1"/>
  <c r="I139" i="1"/>
  <c r="H139" i="1"/>
  <c r="G139" i="1"/>
  <c r="AR138" i="1"/>
  <c r="AQ138" i="1"/>
  <c r="AP138" i="1"/>
  <c r="AO138" i="1"/>
  <c r="AC138" i="1"/>
  <c r="AV138" i="1" s="1"/>
  <c r="Z138" i="1"/>
  <c r="Y138" i="1"/>
  <c r="AS138" i="1" s="1"/>
  <c r="L138" i="1"/>
  <c r="K138" i="1"/>
  <c r="J138" i="1"/>
  <c r="I138" i="1"/>
  <c r="H138" i="1"/>
  <c r="G138" i="1"/>
  <c r="AV137" i="1"/>
  <c r="AC137" i="1"/>
  <c r="Z137" i="1"/>
  <c r="L137" i="1"/>
  <c r="K137" i="1"/>
  <c r="J137" i="1"/>
  <c r="I137" i="1"/>
  <c r="H137" i="1"/>
  <c r="G137" i="1"/>
  <c r="AL137" i="1" s="1"/>
  <c r="AC136" i="1"/>
  <c r="AV136" i="1" s="1"/>
  <c r="Z136" i="1"/>
  <c r="L136" i="1"/>
  <c r="K136" i="1"/>
  <c r="J136" i="1"/>
  <c r="I136" i="1"/>
  <c r="H136" i="1"/>
  <c r="G136" i="1"/>
  <c r="AL136" i="1" s="1"/>
  <c r="AR135" i="1"/>
  <c r="AQ135" i="1"/>
  <c r="AP135" i="1"/>
  <c r="AO135" i="1"/>
  <c r="AC135" i="1"/>
  <c r="Y135" i="1"/>
  <c r="AS135" i="1" s="1"/>
  <c r="J135" i="1"/>
  <c r="I135" i="1"/>
  <c r="H135" i="1"/>
  <c r="G135" i="1"/>
  <c r="AS134" i="1"/>
  <c r="AR134" i="1"/>
  <c r="AQ134" i="1"/>
  <c r="AP134" i="1"/>
  <c r="AO134" i="1"/>
  <c r="AV134" i="1" s="1"/>
  <c r="AC134" i="1"/>
  <c r="Y134" i="1"/>
  <c r="J134" i="1"/>
  <c r="I134" i="1"/>
  <c r="H134" i="1"/>
  <c r="G134" i="1"/>
  <c r="AR133" i="1"/>
  <c r="AQ133" i="1"/>
  <c r="AP133" i="1"/>
  <c r="AO133" i="1"/>
  <c r="AC133" i="1"/>
  <c r="Y133" i="1"/>
  <c r="AS133" i="1" s="1"/>
  <c r="J133" i="1"/>
  <c r="I133" i="1"/>
  <c r="H133" i="1"/>
  <c r="G133" i="1"/>
  <c r="X132" i="1"/>
  <c r="W132" i="1"/>
  <c r="V132" i="1"/>
  <c r="U132" i="1"/>
  <c r="AC132" i="1" s="1"/>
  <c r="K132" i="1"/>
  <c r="J132" i="1"/>
  <c r="I132" i="1"/>
  <c r="H132" i="1"/>
  <c r="G132" i="1"/>
  <c r="AL132" i="1" s="1"/>
  <c r="X131" i="1"/>
  <c r="W131" i="1"/>
  <c r="V131" i="1"/>
  <c r="AC131" i="1" s="1"/>
  <c r="U131" i="1"/>
  <c r="K131" i="1"/>
  <c r="J131" i="1"/>
  <c r="I131" i="1"/>
  <c r="H131" i="1"/>
  <c r="G131" i="1"/>
  <c r="X130" i="1"/>
  <c r="W130" i="1"/>
  <c r="V130" i="1"/>
  <c r="U130" i="1"/>
  <c r="AC130" i="1" s="1"/>
  <c r="K130" i="1"/>
  <c r="J130" i="1"/>
  <c r="I130" i="1"/>
  <c r="H130" i="1"/>
  <c r="G130" i="1"/>
  <c r="AL130" i="1" s="1"/>
  <c r="X129" i="1"/>
  <c r="W129" i="1"/>
  <c r="V129" i="1"/>
  <c r="AC129" i="1" s="1"/>
  <c r="U129" i="1"/>
  <c r="K129" i="1"/>
  <c r="J129" i="1"/>
  <c r="I129" i="1"/>
  <c r="H129" i="1"/>
  <c r="G129" i="1"/>
  <c r="AL129" i="1" s="1"/>
  <c r="X128" i="1"/>
  <c r="W128" i="1"/>
  <c r="V128" i="1"/>
  <c r="U128" i="1"/>
  <c r="AC128" i="1" s="1"/>
  <c r="K128" i="1"/>
  <c r="J128" i="1"/>
  <c r="I128" i="1"/>
  <c r="H128" i="1"/>
  <c r="G128" i="1"/>
  <c r="AL128" i="1" s="1"/>
  <c r="X127" i="1"/>
  <c r="W127" i="1"/>
  <c r="V127" i="1"/>
  <c r="AC127" i="1" s="1"/>
  <c r="U127" i="1"/>
  <c r="K127" i="1"/>
  <c r="J127" i="1"/>
  <c r="I127" i="1"/>
  <c r="H127" i="1"/>
  <c r="G127" i="1"/>
  <c r="X126" i="1"/>
  <c r="W126" i="1"/>
  <c r="V126" i="1"/>
  <c r="AC126" i="1" s="1"/>
  <c r="U126" i="1"/>
  <c r="K126" i="1"/>
  <c r="J126" i="1"/>
  <c r="I126" i="1"/>
  <c r="H126" i="1"/>
  <c r="G126" i="1"/>
  <c r="AL126" i="1" s="1"/>
  <c r="X125" i="1"/>
  <c r="W125" i="1"/>
  <c r="V125" i="1"/>
  <c r="AC125" i="1" s="1"/>
  <c r="U125" i="1"/>
  <c r="K125" i="1"/>
  <c r="J125" i="1"/>
  <c r="I125" i="1"/>
  <c r="H125" i="1"/>
  <c r="G125" i="1"/>
  <c r="AL125" i="1" s="1"/>
  <c r="X124" i="1"/>
  <c r="W124" i="1"/>
  <c r="V124" i="1"/>
  <c r="U124" i="1"/>
  <c r="AC124" i="1" s="1"/>
  <c r="K124" i="1"/>
  <c r="J124" i="1"/>
  <c r="I124" i="1"/>
  <c r="H124" i="1"/>
  <c r="G124" i="1"/>
  <c r="AL124" i="1" s="1"/>
  <c r="X123" i="1"/>
  <c r="W123" i="1"/>
  <c r="V123" i="1"/>
  <c r="AC123" i="1" s="1"/>
  <c r="U123" i="1"/>
  <c r="K123" i="1"/>
  <c r="J123" i="1"/>
  <c r="I123" i="1"/>
  <c r="H123" i="1"/>
  <c r="G123" i="1"/>
  <c r="X122" i="1"/>
  <c r="W122" i="1"/>
  <c r="V122" i="1"/>
  <c r="AC122" i="1" s="1"/>
  <c r="U122" i="1"/>
  <c r="K122" i="1"/>
  <c r="J122" i="1"/>
  <c r="I122" i="1"/>
  <c r="H122" i="1"/>
  <c r="G122" i="1"/>
  <c r="AL122" i="1" s="1"/>
  <c r="X121" i="1"/>
  <c r="W121" i="1"/>
  <c r="V121" i="1"/>
  <c r="AC121" i="1" s="1"/>
  <c r="U121" i="1"/>
  <c r="K121" i="1"/>
  <c r="J121" i="1"/>
  <c r="I121" i="1"/>
  <c r="H121" i="1"/>
  <c r="G121" i="1"/>
  <c r="AL121" i="1" s="1"/>
  <c r="X120" i="1"/>
  <c r="W120" i="1"/>
  <c r="V120" i="1"/>
  <c r="U120" i="1"/>
  <c r="AC120" i="1" s="1"/>
  <c r="K120" i="1"/>
  <c r="J120" i="1"/>
  <c r="I120" i="1"/>
  <c r="H120" i="1"/>
  <c r="G120" i="1"/>
  <c r="AL120" i="1" s="1"/>
  <c r="X119" i="1"/>
  <c r="W119" i="1"/>
  <c r="V119" i="1"/>
  <c r="AC119" i="1" s="1"/>
  <c r="U119" i="1"/>
  <c r="K119" i="1"/>
  <c r="J119" i="1"/>
  <c r="I119" i="1"/>
  <c r="H119" i="1"/>
  <c r="G119" i="1"/>
  <c r="X118" i="1"/>
  <c r="W118" i="1"/>
  <c r="V118" i="1"/>
  <c r="AC118" i="1" s="1"/>
  <c r="U118" i="1"/>
  <c r="K118" i="1"/>
  <c r="J118" i="1"/>
  <c r="I118" i="1"/>
  <c r="H118" i="1"/>
  <c r="G118" i="1"/>
  <c r="AL118" i="1" s="1"/>
  <c r="X117" i="1"/>
  <c r="W117" i="1"/>
  <c r="V117" i="1"/>
  <c r="AC117" i="1" s="1"/>
  <c r="U117" i="1"/>
  <c r="K117" i="1"/>
  <c r="J117" i="1"/>
  <c r="I117" i="1"/>
  <c r="H117" i="1"/>
  <c r="G117" i="1"/>
  <c r="AL117" i="1" s="1"/>
  <c r="X116" i="1"/>
  <c r="W116" i="1"/>
  <c r="V116" i="1"/>
  <c r="U116" i="1"/>
  <c r="AC116" i="1" s="1"/>
  <c r="K116" i="1"/>
  <c r="J116" i="1"/>
  <c r="I116" i="1"/>
  <c r="H116" i="1"/>
  <c r="G116" i="1"/>
  <c r="AL116" i="1" s="1"/>
  <c r="X115" i="1"/>
  <c r="W115" i="1"/>
  <c r="V115" i="1"/>
  <c r="AC115" i="1" s="1"/>
  <c r="U115" i="1"/>
  <c r="K115" i="1"/>
  <c r="J115" i="1"/>
  <c r="I115" i="1"/>
  <c r="H115" i="1"/>
  <c r="G115" i="1"/>
  <c r="X114" i="1"/>
  <c r="W114" i="1"/>
  <c r="V114" i="1"/>
  <c r="AC114" i="1" s="1"/>
  <c r="U114" i="1"/>
  <c r="K114" i="1"/>
  <c r="J114" i="1"/>
  <c r="I114" i="1"/>
  <c r="H114" i="1"/>
  <c r="G114" i="1"/>
  <c r="AL114" i="1" s="1"/>
  <c r="X113" i="1"/>
  <c r="W113" i="1"/>
  <c r="V113" i="1"/>
  <c r="AC113" i="1" s="1"/>
  <c r="U113" i="1"/>
  <c r="K113" i="1"/>
  <c r="J113" i="1"/>
  <c r="I113" i="1"/>
  <c r="H113" i="1"/>
  <c r="G113" i="1"/>
  <c r="AL113" i="1" s="1"/>
  <c r="X112" i="1"/>
  <c r="W112" i="1"/>
  <c r="V112" i="1"/>
  <c r="U112" i="1"/>
  <c r="AC112" i="1" s="1"/>
  <c r="K112" i="1"/>
  <c r="J112" i="1"/>
  <c r="I112" i="1"/>
  <c r="H112" i="1"/>
  <c r="G112" i="1"/>
  <c r="AL112" i="1" s="1"/>
  <c r="X111" i="1"/>
  <c r="W111" i="1"/>
  <c r="V111" i="1"/>
  <c r="AC111" i="1" s="1"/>
  <c r="U111" i="1"/>
  <c r="K111" i="1"/>
  <c r="J111" i="1"/>
  <c r="I111" i="1"/>
  <c r="H111" i="1"/>
  <c r="G111" i="1"/>
  <c r="X110" i="1"/>
  <c r="W110" i="1"/>
  <c r="V110" i="1"/>
  <c r="AC110" i="1" s="1"/>
  <c r="U110" i="1"/>
  <c r="K110" i="1"/>
  <c r="J110" i="1"/>
  <c r="I110" i="1"/>
  <c r="H110" i="1"/>
  <c r="G110" i="1"/>
  <c r="AL110" i="1" s="1"/>
  <c r="X109" i="1"/>
  <c r="W109" i="1"/>
  <c r="V109" i="1"/>
  <c r="U109" i="1"/>
  <c r="AC109" i="1" s="1"/>
  <c r="K109" i="1"/>
  <c r="J109" i="1"/>
  <c r="I109" i="1"/>
  <c r="H109" i="1"/>
  <c r="G109" i="1"/>
  <c r="AL109" i="1" s="1"/>
  <c r="X108" i="1"/>
  <c r="W108" i="1"/>
  <c r="V108" i="1"/>
  <c r="U108" i="1"/>
  <c r="AC108" i="1" s="1"/>
  <c r="K108" i="1"/>
  <c r="J108" i="1"/>
  <c r="I108" i="1"/>
  <c r="H108" i="1"/>
  <c r="G108" i="1"/>
  <c r="AL108" i="1" s="1"/>
  <c r="X107" i="1"/>
  <c r="W107" i="1"/>
  <c r="V107" i="1"/>
  <c r="AC107" i="1" s="1"/>
  <c r="U107" i="1"/>
  <c r="K107" i="1"/>
  <c r="J107" i="1"/>
  <c r="I107" i="1"/>
  <c r="H107" i="1"/>
  <c r="G107" i="1"/>
  <c r="X106" i="1"/>
  <c r="W106" i="1"/>
  <c r="V106" i="1"/>
  <c r="AC106" i="1" s="1"/>
  <c r="U106" i="1"/>
  <c r="K106" i="1"/>
  <c r="J106" i="1"/>
  <c r="I106" i="1"/>
  <c r="H106" i="1"/>
  <c r="G106" i="1"/>
  <c r="AL106" i="1" s="1"/>
  <c r="X105" i="1"/>
  <c r="W105" i="1"/>
  <c r="V105" i="1"/>
  <c r="U105" i="1"/>
  <c r="AC105" i="1" s="1"/>
  <c r="K105" i="1"/>
  <c r="J105" i="1"/>
  <c r="I105" i="1"/>
  <c r="H105" i="1"/>
  <c r="G105" i="1"/>
  <c r="AL105" i="1" s="1"/>
  <c r="X104" i="1"/>
  <c r="W104" i="1"/>
  <c r="V104" i="1"/>
  <c r="U104" i="1"/>
  <c r="AC104" i="1" s="1"/>
  <c r="K104" i="1"/>
  <c r="J104" i="1"/>
  <c r="I104" i="1"/>
  <c r="H104" i="1"/>
  <c r="G104" i="1"/>
  <c r="AL104" i="1" s="1"/>
  <c r="AL103" i="1"/>
  <c r="AK103" i="1"/>
  <c r="AM103" i="1" s="1"/>
  <c r="AR103" i="1" s="1"/>
  <c r="AC103" i="1"/>
  <c r="O103" i="1"/>
  <c r="M103" i="1"/>
  <c r="L103" i="1"/>
  <c r="AL102" i="1"/>
  <c r="AK102" i="1"/>
  <c r="AM102" i="1" s="1"/>
  <c r="AR102" i="1" s="1"/>
  <c r="AC102" i="1"/>
  <c r="O102" i="1"/>
  <c r="M102" i="1"/>
  <c r="L102" i="1"/>
  <c r="AL101" i="1"/>
  <c r="AK101" i="1"/>
  <c r="AC101" i="1"/>
  <c r="O101" i="1"/>
  <c r="M101" i="1"/>
  <c r="L101" i="1"/>
  <c r="AL100" i="1"/>
  <c r="AK100" i="1"/>
  <c r="AM100" i="1" s="1"/>
  <c r="AC100" i="1"/>
  <c r="O100" i="1"/>
  <c r="M100" i="1"/>
  <c r="L100" i="1"/>
  <c r="AL99" i="1"/>
  <c r="AK99" i="1"/>
  <c r="AC99" i="1"/>
  <c r="O99" i="1"/>
  <c r="M99" i="1"/>
  <c r="L99" i="1"/>
  <c r="AL98" i="1"/>
  <c r="AK98" i="1"/>
  <c r="AC98" i="1"/>
  <c r="O98" i="1"/>
  <c r="M98" i="1"/>
  <c r="L98" i="1"/>
  <c r="AL97" i="1"/>
  <c r="AK97" i="1"/>
  <c r="AC97" i="1"/>
  <c r="O97" i="1"/>
  <c r="M97" i="1"/>
  <c r="L97" i="1"/>
  <c r="AL96" i="1"/>
  <c r="AK96" i="1"/>
  <c r="AC96" i="1"/>
  <c r="O96" i="1"/>
  <c r="M96" i="1"/>
  <c r="L96" i="1"/>
  <c r="AO95" i="1"/>
  <c r="AL95" i="1"/>
  <c r="AK95" i="1"/>
  <c r="AM95" i="1" s="1"/>
  <c r="AR95" i="1" s="1"/>
  <c r="AC95" i="1"/>
  <c r="AM94" i="1"/>
  <c r="AL94" i="1"/>
  <c r="AK94" i="1"/>
  <c r="AC94" i="1"/>
  <c r="Y94" i="1"/>
  <c r="AS94" i="1" s="1"/>
  <c r="AL93" i="1"/>
  <c r="AK93" i="1"/>
  <c r="AC93" i="1"/>
  <c r="AL92" i="1"/>
  <c r="AK92" i="1"/>
  <c r="AC92" i="1"/>
  <c r="O92" i="1"/>
  <c r="M92" i="1"/>
  <c r="L92" i="1"/>
  <c r="AL91" i="1"/>
  <c r="AK91" i="1"/>
  <c r="AC91" i="1"/>
  <c r="O91" i="1"/>
  <c r="M91" i="1"/>
  <c r="L91" i="1"/>
  <c r="AL90" i="1"/>
  <c r="AK90" i="1"/>
  <c r="AC90" i="1"/>
  <c r="O90" i="1"/>
  <c r="M90" i="1"/>
  <c r="L90" i="1"/>
  <c r="AL89" i="1"/>
  <c r="AK89" i="1"/>
  <c r="AC89" i="1"/>
  <c r="O89" i="1"/>
  <c r="M89" i="1"/>
  <c r="L89" i="1"/>
  <c r="AM88" i="1"/>
  <c r="AL88" i="1"/>
  <c r="AK88" i="1"/>
  <c r="AC88" i="1"/>
  <c r="Y88" i="1"/>
  <c r="AS88" i="1" s="1"/>
  <c r="O88" i="1"/>
  <c r="M88" i="1"/>
  <c r="L88" i="1"/>
  <c r="AM87" i="1"/>
  <c r="AR87" i="1" s="1"/>
  <c r="AL87" i="1"/>
  <c r="AK87" i="1"/>
  <c r="AC87" i="1"/>
  <c r="Y87" i="1"/>
  <c r="AS87" i="1" s="1"/>
  <c r="O87" i="1"/>
  <c r="M87" i="1"/>
  <c r="L87" i="1"/>
  <c r="AL86" i="1"/>
  <c r="AK86" i="1"/>
  <c r="AC86" i="1"/>
  <c r="O86" i="1"/>
  <c r="M86" i="1"/>
  <c r="L86" i="1"/>
  <c r="AL85" i="1"/>
  <c r="AK85" i="1"/>
  <c r="AC85" i="1"/>
  <c r="O85" i="1"/>
  <c r="M85" i="1"/>
  <c r="L85" i="1"/>
  <c r="AL84" i="1"/>
  <c r="AK84" i="1"/>
  <c r="AC84" i="1"/>
  <c r="O84" i="1"/>
  <c r="M84" i="1"/>
  <c r="L84" i="1"/>
  <c r="AL83" i="1"/>
  <c r="AM83" i="1" s="1"/>
  <c r="AR83" i="1" s="1"/>
  <c r="AK83" i="1"/>
  <c r="AC83" i="1"/>
  <c r="O83" i="1"/>
  <c r="M83" i="1"/>
  <c r="L83" i="1"/>
  <c r="AL82" i="1"/>
  <c r="AK82" i="1"/>
  <c r="AC82" i="1"/>
  <c r="O82" i="1"/>
  <c r="M82" i="1"/>
  <c r="L82" i="1"/>
  <c r="AL81" i="1"/>
  <c r="AK81" i="1"/>
  <c r="AC81" i="1"/>
  <c r="O81" i="1"/>
  <c r="M81" i="1"/>
  <c r="L81" i="1"/>
  <c r="AM80" i="1"/>
  <c r="AL80" i="1"/>
  <c r="AK80" i="1"/>
  <c r="AC80" i="1"/>
  <c r="Y80" i="1"/>
  <c r="AS80" i="1" s="1"/>
  <c r="O80" i="1"/>
  <c r="M80" i="1"/>
  <c r="L80" i="1"/>
  <c r="AM79" i="1"/>
  <c r="AR79" i="1" s="1"/>
  <c r="AL79" i="1"/>
  <c r="AK79" i="1"/>
  <c r="AC79" i="1"/>
  <c r="Y79" i="1"/>
  <c r="AS79" i="1" s="1"/>
  <c r="O79" i="1"/>
  <c r="M79" i="1"/>
  <c r="L79" i="1"/>
  <c r="AL78" i="1"/>
  <c r="AK78" i="1"/>
  <c r="AC78" i="1"/>
  <c r="O78" i="1"/>
  <c r="M78" i="1"/>
  <c r="L78" i="1"/>
  <c r="AL77" i="1"/>
  <c r="AK77" i="1"/>
  <c r="AC77" i="1"/>
  <c r="O77" i="1"/>
  <c r="M77" i="1"/>
  <c r="L77" i="1"/>
  <c r="AC76" i="1"/>
  <c r="K76" i="1"/>
  <c r="J76" i="1"/>
  <c r="I76" i="1"/>
  <c r="H76" i="1"/>
  <c r="AK76" i="1" s="1"/>
  <c r="G76" i="1"/>
  <c r="AL76" i="1" s="1"/>
  <c r="AC75" i="1"/>
  <c r="K75" i="1"/>
  <c r="J75" i="1"/>
  <c r="AK75" i="1" s="1"/>
  <c r="I75" i="1"/>
  <c r="H75" i="1"/>
  <c r="G75" i="1"/>
  <c r="AL75" i="1" s="1"/>
  <c r="AC74" i="1"/>
  <c r="K74" i="1"/>
  <c r="J74" i="1"/>
  <c r="I74" i="1"/>
  <c r="H74" i="1"/>
  <c r="G74" i="1"/>
  <c r="AL74" i="1" s="1"/>
  <c r="AC73" i="1"/>
  <c r="J73" i="1"/>
  <c r="I73" i="1"/>
  <c r="H73" i="1"/>
  <c r="G73" i="1"/>
  <c r="AL73" i="1" s="1"/>
  <c r="AC72" i="1"/>
  <c r="J72" i="1"/>
  <c r="I72" i="1"/>
  <c r="H72" i="1"/>
  <c r="G72" i="1"/>
  <c r="AL72" i="1" s="1"/>
  <c r="AC71" i="1"/>
  <c r="O71" i="1"/>
  <c r="M71" i="1"/>
  <c r="L71" i="1"/>
  <c r="K71" i="1"/>
  <c r="J71" i="1"/>
  <c r="I71" i="1"/>
  <c r="H71" i="1"/>
  <c r="G71" i="1"/>
  <c r="AL71" i="1" s="1"/>
  <c r="AC70" i="1"/>
  <c r="O70" i="1"/>
  <c r="M70" i="1"/>
  <c r="L70" i="1"/>
  <c r="K70" i="1"/>
  <c r="J70" i="1"/>
  <c r="I70" i="1"/>
  <c r="H70" i="1"/>
  <c r="G70" i="1"/>
  <c r="AL70" i="1" s="1"/>
  <c r="AC69" i="1"/>
  <c r="O69" i="1"/>
  <c r="M69" i="1"/>
  <c r="L69" i="1"/>
  <c r="K69" i="1"/>
  <c r="J69" i="1"/>
  <c r="I69" i="1"/>
  <c r="H69" i="1"/>
  <c r="G69" i="1"/>
  <c r="AL69" i="1" s="1"/>
  <c r="AC68" i="1"/>
  <c r="O68" i="1"/>
  <c r="M68" i="1"/>
  <c r="L68" i="1"/>
  <c r="K68" i="1"/>
  <c r="J68" i="1"/>
  <c r="I68" i="1"/>
  <c r="H68" i="1"/>
  <c r="G68" i="1"/>
  <c r="AL68" i="1" s="1"/>
  <c r="AC67" i="1"/>
  <c r="O67" i="1"/>
  <c r="M67" i="1"/>
  <c r="L67" i="1"/>
  <c r="K67" i="1"/>
  <c r="J67" i="1"/>
  <c r="I67" i="1"/>
  <c r="H67" i="1"/>
  <c r="G67" i="1"/>
  <c r="AL67" i="1" s="1"/>
  <c r="AC66" i="1"/>
  <c r="O66" i="1"/>
  <c r="M66" i="1"/>
  <c r="L66" i="1"/>
  <c r="K66" i="1"/>
  <c r="J66" i="1"/>
  <c r="I66" i="1"/>
  <c r="H66" i="1"/>
  <c r="G66" i="1"/>
  <c r="AL66" i="1" s="1"/>
  <c r="AC65" i="1"/>
  <c r="O65" i="1"/>
  <c r="M65" i="1"/>
  <c r="L65" i="1"/>
  <c r="K65" i="1"/>
  <c r="J65" i="1"/>
  <c r="I65" i="1"/>
  <c r="H65" i="1"/>
  <c r="G65" i="1"/>
  <c r="AL65" i="1" s="1"/>
  <c r="AC64" i="1"/>
  <c r="O64" i="1"/>
  <c r="M64" i="1"/>
  <c r="L64" i="1"/>
  <c r="K64" i="1"/>
  <c r="J64" i="1"/>
  <c r="I64" i="1"/>
  <c r="H64" i="1"/>
  <c r="G64" i="1"/>
  <c r="AL64" i="1" s="1"/>
  <c r="AC63" i="1"/>
  <c r="O63" i="1"/>
  <c r="M63" i="1"/>
  <c r="L63" i="1"/>
  <c r="K63" i="1"/>
  <c r="J63" i="1"/>
  <c r="I63" i="1"/>
  <c r="H63" i="1"/>
  <c r="G63" i="1"/>
  <c r="AL63" i="1" s="1"/>
  <c r="AC62" i="1"/>
  <c r="K62" i="1"/>
  <c r="J62" i="1"/>
  <c r="I62" i="1"/>
  <c r="H62" i="1"/>
  <c r="G62" i="1"/>
  <c r="AL62" i="1" s="1"/>
  <c r="AC61" i="1"/>
  <c r="K61" i="1"/>
  <c r="J61" i="1"/>
  <c r="I61" i="1"/>
  <c r="H61" i="1"/>
  <c r="G61" i="1"/>
  <c r="AL61" i="1" s="1"/>
  <c r="AC60" i="1"/>
  <c r="K60" i="1"/>
  <c r="J60" i="1"/>
  <c r="I60" i="1"/>
  <c r="H60" i="1"/>
  <c r="G60" i="1"/>
  <c r="AL60" i="1" s="1"/>
  <c r="AC59" i="1"/>
  <c r="K59" i="1"/>
  <c r="J59" i="1"/>
  <c r="I59" i="1"/>
  <c r="H59" i="1"/>
  <c r="G59" i="1"/>
  <c r="AL59" i="1" s="1"/>
  <c r="AC58" i="1"/>
  <c r="K58" i="1"/>
  <c r="J58" i="1"/>
  <c r="I58" i="1"/>
  <c r="H58" i="1"/>
  <c r="G58" i="1"/>
  <c r="AL58" i="1" s="1"/>
  <c r="AC57" i="1"/>
  <c r="K57" i="1"/>
  <c r="J57" i="1"/>
  <c r="I57" i="1"/>
  <c r="H57" i="1"/>
  <c r="G57" i="1"/>
  <c r="AK57" i="1" s="1"/>
  <c r="AC56" i="1"/>
  <c r="K56" i="1"/>
  <c r="J56" i="1"/>
  <c r="I56" i="1"/>
  <c r="H56" i="1"/>
  <c r="G56" i="1"/>
  <c r="AL56" i="1" s="1"/>
  <c r="AL55" i="1"/>
  <c r="AK55" i="1"/>
  <c r="AC55" i="1"/>
  <c r="AL54" i="1"/>
  <c r="AK54" i="1"/>
  <c r="AC54" i="1"/>
  <c r="AL53" i="1"/>
  <c r="AK53" i="1"/>
  <c r="AC53" i="1"/>
  <c r="AL52" i="1"/>
  <c r="AK52" i="1"/>
  <c r="AC52" i="1"/>
  <c r="AL51" i="1"/>
  <c r="AK51" i="1"/>
  <c r="AC51" i="1"/>
  <c r="AL50" i="1"/>
  <c r="AK50" i="1"/>
  <c r="AC50" i="1"/>
  <c r="AL49" i="1"/>
  <c r="AK49" i="1"/>
  <c r="AC49" i="1"/>
  <c r="AL48" i="1"/>
  <c r="AK48" i="1"/>
  <c r="AC48" i="1"/>
  <c r="AL47" i="1"/>
  <c r="AK47" i="1"/>
  <c r="AC47" i="1"/>
  <c r="AL46" i="1"/>
  <c r="AK46" i="1"/>
  <c r="AC46" i="1"/>
  <c r="AL45" i="1"/>
  <c r="AK45" i="1"/>
  <c r="AC45" i="1"/>
  <c r="AL44" i="1"/>
  <c r="AK44" i="1"/>
  <c r="AC44" i="1"/>
  <c r="AL43" i="1"/>
  <c r="AK43" i="1"/>
  <c r="AC43" i="1"/>
  <c r="AL42" i="1"/>
  <c r="AK42" i="1"/>
  <c r="AC42" i="1"/>
  <c r="AL41" i="1"/>
  <c r="AK41" i="1"/>
  <c r="AC41" i="1"/>
  <c r="AL40" i="1"/>
  <c r="AK40" i="1"/>
  <c r="AC40" i="1"/>
  <c r="AL39" i="1"/>
  <c r="AK39" i="1"/>
  <c r="AC39" i="1"/>
  <c r="AL38" i="1"/>
  <c r="AK38" i="1"/>
  <c r="AC38" i="1"/>
  <c r="AL37" i="1"/>
  <c r="AK37" i="1"/>
  <c r="AC37" i="1"/>
  <c r="AL36" i="1"/>
  <c r="AK36" i="1"/>
  <c r="AC36" i="1"/>
  <c r="AL35" i="1"/>
  <c r="AK35" i="1"/>
  <c r="AC35" i="1"/>
  <c r="AL34" i="1"/>
  <c r="AK34" i="1"/>
  <c r="AC34" i="1"/>
  <c r="AL33" i="1"/>
  <c r="AK33" i="1"/>
  <c r="AC33" i="1"/>
  <c r="O33" i="1"/>
  <c r="M33" i="1"/>
  <c r="L33" i="1"/>
  <c r="AL32" i="1"/>
  <c r="AK32" i="1"/>
  <c r="AM32" i="1" s="1"/>
  <c r="AC32" i="1"/>
  <c r="O32" i="1"/>
  <c r="M32" i="1"/>
  <c r="L32" i="1"/>
  <c r="AL31" i="1"/>
  <c r="AK31" i="1"/>
  <c r="AC31" i="1"/>
  <c r="O31" i="1"/>
  <c r="M31" i="1"/>
  <c r="L31" i="1"/>
  <c r="AL30" i="1"/>
  <c r="AK30" i="1"/>
  <c r="AC30" i="1"/>
  <c r="O30" i="1"/>
  <c r="M30" i="1"/>
  <c r="L30" i="1"/>
  <c r="AL29" i="1"/>
  <c r="AK29" i="1"/>
  <c r="AC29" i="1"/>
  <c r="O29" i="1"/>
  <c r="M29" i="1"/>
  <c r="L29" i="1"/>
  <c r="AL28" i="1"/>
  <c r="AK28" i="1"/>
  <c r="AM28" i="1" s="1"/>
  <c r="AC28" i="1"/>
  <c r="O28" i="1"/>
  <c r="M28" i="1"/>
  <c r="L28" i="1"/>
  <c r="AL27" i="1"/>
  <c r="AK27" i="1"/>
  <c r="AC27" i="1"/>
  <c r="O27" i="1"/>
  <c r="M27" i="1"/>
  <c r="L27" i="1"/>
  <c r="AL26" i="1"/>
  <c r="AK26" i="1"/>
  <c r="AC26" i="1"/>
  <c r="O26" i="1"/>
  <c r="M26" i="1"/>
  <c r="L26" i="1"/>
  <c r="AL25" i="1"/>
  <c r="AK25" i="1"/>
  <c r="AC25" i="1"/>
  <c r="O25" i="1"/>
  <c r="M25" i="1"/>
  <c r="L25" i="1"/>
  <c r="AL24" i="1"/>
  <c r="AK24" i="1"/>
  <c r="AM24" i="1" s="1"/>
  <c r="AC24" i="1"/>
  <c r="O24" i="1"/>
  <c r="M24" i="1"/>
  <c r="L24" i="1"/>
  <c r="AL23" i="1"/>
  <c r="AK23" i="1"/>
  <c r="AC23" i="1"/>
  <c r="O23" i="1"/>
  <c r="M23" i="1"/>
  <c r="L23" i="1"/>
  <c r="AL22" i="1"/>
  <c r="AK22" i="1"/>
  <c r="AC22" i="1"/>
  <c r="O22" i="1"/>
  <c r="M22" i="1"/>
  <c r="L22" i="1"/>
  <c r="AL21" i="1"/>
  <c r="AK21" i="1"/>
  <c r="AC21" i="1"/>
  <c r="O21" i="1"/>
  <c r="M21" i="1"/>
  <c r="L21" i="1"/>
  <c r="AL20" i="1"/>
  <c r="AK20" i="1"/>
  <c r="AC20" i="1"/>
  <c r="O20" i="1"/>
  <c r="M20" i="1"/>
  <c r="L20" i="1"/>
  <c r="AO19" i="1"/>
  <c r="AM19" i="1"/>
  <c r="AR19" i="1" s="1"/>
  <c r="AL19" i="1"/>
  <c r="AK19" i="1"/>
  <c r="AC19" i="1"/>
  <c r="Y19" i="1"/>
  <c r="AS19" i="1" s="1"/>
  <c r="O19" i="1"/>
  <c r="M19" i="1"/>
  <c r="L19" i="1"/>
  <c r="AM18" i="1"/>
  <c r="Y18" i="1" s="1"/>
  <c r="AS18" i="1" s="1"/>
  <c r="AL18" i="1"/>
  <c r="AK18" i="1"/>
  <c r="AC18" i="1"/>
  <c r="O18" i="1"/>
  <c r="M18" i="1"/>
  <c r="L18" i="1"/>
  <c r="AL17" i="1"/>
  <c r="AK17" i="1"/>
  <c r="AC17" i="1"/>
  <c r="O17" i="1"/>
  <c r="M17" i="1"/>
  <c r="L17" i="1"/>
  <c r="AL16" i="1"/>
  <c r="AK16" i="1"/>
  <c r="AM16" i="1" s="1"/>
  <c r="AC16" i="1"/>
  <c r="O16" i="1"/>
  <c r="M16" i="1"/>
  <c r="L16" i="1"/>
  <c r="AO15" i="1"/>
  <c r="AM15" i="1"/>
  <c r="AR15" i="1" s="1"/>
  <c r="AL15" i="1"/>
  <c r="AK15" i="1"/>
  <c r="AC15" i="1"/>
  <c r="Y15" i="1"/>
  <c r="AS15" i="1" s="1"/>
  <c r="O15" i="1"/>
  <c r="M15" i="1"/>
  <c r="L15" i="1"/>
  <c r="AL14" i="1"/>
  <c r="AK14" i="1"/>
  <c r="AC14" i="1"/>
  <c r="O14" i="1"/>
  <c r="M14" i="1"/>
  <c r="L14" i="1"/>
  <c r="AL13" i="1"/>
  <c r="AK13" i="1"/>
  <c r="AC13" i="1"/>
  <c r="O13" i="1"/>
  <c r="M13" i="1"/>
  <c r="L13" i="1"/>
  <c r="AL12" i="1"/>
  <c r="AK12" i="1"/>
  <c r="AC12" i="1"/>
  <c r="O12" i="1"/>
  <c r="M12" i="1"/>
  <c r="L12" i="1"/>
  <c r="AL11" i="1"/>
  <c r="AK11" i="1"/>
  <c r="AC11" i="1"/>
  <c r="O11" i="1"/>
  <c r="M11" i="1"/>
  <c r="L11" i="1"/>
  <c r="AL10" i="1"/>
  <c r="AK10" i="1"/>
  <c r="AC10" i="1"/>
  <c r="O10" i="1"/>
  <c r="M10" i="1"/>
  <c r="L10" i="1"/>
  <c r="AL9" i="1"/>
  <c r="AC9" i="1"/>
  <c r="O9" i="1"/>
  <c r="M9" i="1"/>
  <c r="L9" i="1"/>
  <c r="J9" i="1"/>
  <c r="AK9" i="1" s="1"/>
  <c r="AL8" i="1"/>
  <c r="AK8" i="1"/>
  <c r="AC8" i="1"/>
  <c r="O8" i="1"/>
  <c r="M8" i="1"/>
  <c r="L8" i="1"/>
  <c r="J8" i="1"/>
  <c r="AL7" i="1"/>
  <c r="AC7" i="1"/>
  <c r="O7" i="1"/>
  <c r="M7" i="1"/>
  <c r="L7" i="1"/>
  <c r="J7" i="1"/>
  <c r="AK7" i="1" s="1"/>
  <c r="AL6" i="1"/>
  <c r="AC6" i="1"/>
  <c r="O6" i="1"/>
  <c r="M6" i="1"/>
  <c r="L6" i="1"/>
  <c r="J6" i="1"/>
  <c r="AK6" i="1" s="1"/>
  <c r="AL5" i="1"/>
  <c r="AC5" i="1"/>
  <c r="O5" i="1"/>
  <c r="M5" i="1"/>
  <c r="L5" i="1"/>
  <c r="J5" i="1"/>
  <c r="AK5" i="1" s="1"/>
  <c r="AL4" i="1"/>
  <c r="AK4" i="1"/>
  <c r="AC4" i="1"/>
  <c r="O4" i="1"/>
  <c r="M4" i="1"/>
  <c r="L4" i="1"/>
  <c r="J4" i="1"/>
  <c r="AO22" i="1" l="1"/>
  <c r="AM22" i="1"/>
  <c r="AR22" i="1" s="1"/>
  <c r="AM23" i="1"/>
  <c r="AP23" i="1" s="1"/>
  <c r="AO30" i="1"/>
  <c r="AM30" i="1"/>
  <c r="Y83" i="1"/>
  <c r="AS83" i="1" s="1"/>
  <c r="AP88" i="1"/>
  <c r="AO88" i="1"/>
  <c r="AM93" i="1"/>
  <c r="AQ93" i="1" s="1"/>
  <c r="AP94" i="1"/>
  <c r="AO94" i="1"/>
  <c r="AP99" i="1"/>
  <c r="AO99" i="1"/>
  <c r="AM99" i="1"/>
  <c r="AP11" i="1"/>
  <c r="AM11" i="1"/>
  <c r="AR11" i="1" s="1"/>
  <c r="AQ24" i="1"/>
  <c r="AP31" i="1"/>
  <c r="AO31" i="1"/>
  <c r="AM31" i="1"/>
  <c r="AO103" i="1"/>
  <c r="AV133" i="1"/>
  <c r="AP80" i="1"/>
  <c r="AO80" i="1"/>
  <c r="AO98" i="1"/>
  <c r="AM98" i="1"/>
  <c r="AM230" i="1"/>
  <c r="AO230" i="1" s="1"/>
  <c r="AQ234" i="1"/>
  <c r="AM234" i="1"/>
  <c r="AO234" i="1" s="1"/>
  <c r="AM238" i="1"/>
  <c r="AO238" i="1" s="1"/>
  <c r="AQ242" i="1"/>
  <c r="AM242" i="1"/>
  <c r="AO242" i="1" s="1"/>
  <c r="AR588" i="1"/>
  <c r="Y588" i="1"/>
  <c r="AS588" i="1" s="1"/>
  <c r="AM591" i="1"/>
  <c r="AR591" i="1" s="1"/>
  <c r="AM592" i="1"/>
  <c r="AQ592" i="1" s="1"/>
  <c r="AM675" i="1"/>
  <c r="AR675" i="1" s="1"/>
  <c r="AM687" i="1"/>
  <c r="AQ687" i="1" s="1"/>
  <c r="AM693" i="1"/>
  <c r="AR693" i="1" s="1"/>
  <c r="Y693" i="1"/>
  <c r="AS693" i="1" s="1"/>
  <c r="AK60" i="1"/>
  <c r="AK111" i="1"/>
  <c r="AK123" i="1"/>
  <c r="AK131" i="1"/>
  <c r="AT134" i="1"/>
  <c r="AT148" i="1"/>
  <c r="AT150" i="1"/>
  <c r="AT174" i="1"/>
  <c r="AT176" i="1"/>
  <c r="AK210" i="1"/>
  <c r="AK214" i="1"/>
  <c r="AM389" i="1"/>
  <c r="Y389" i="1" s="1"/>
  <c r="AS389" i="1" s="1"/>
  <c r="AQ393" i="1"/>
  <c r="AM393" i="1"/>
  <c r="Y393" i="1" s="1"/>
  <c r="AS393" i="1" s="1"/>
  <c r="AM397" i="1"/>
  <c r="Y397" i="1" s="1"/>
  <c r="AS397" i="1" s="1"/>
  <c r="AM489" i="1"/>
  <c r="AR489" i="1" s="1"/>
  <c r="AP561" i="1"/>
  <c r="Y561" i="1"/>
  <c r="AS561" i="1" s="1"/>
  <c r="AK61" i="1"/>
  <c r="AQ84" i="1"/>
  <c r="AK115" i="1"/>
  <c r="AK119" i="1"/>
  <c r="AK127" i="1"/>
  <c r="AK137" i="1"/>
  <c r="AT154" i="1"/>
  <c r="AT158" i="1"/>
  <c r="AT162" i="1"/>
  <c r="AT164" i="1"/>
  <c r="AT168" i="1"/>
  <c r="AT170" i="1"/>
  <c r="AT178" i="1"/>
  <c r="AT180" i="1"/>
  <c r="AK206" i="1"/>
  <c r="AM84" i="1"/>
  <c r="AP84" i="1" s="1"/>
  <c r="AM91" i="1"/>
  <c r="AR91" i="1" s="1"/>
  <c r="AM92" i="1"/>
  <c r="AP92" i="1" s="1"/>
  <c r="AP95" i="1"/>
  <c r="AM96" i="1"/>
  <c r="AO102" i="1"/>
  <c r="AP103" i="1"/>
  <c r="AT133" i="1"/>
  <c r="AK203" i="1"/>
  <c r="AK207" i="1"/>
  <c r="AK211" i="1"/>
  <c r="AK215" i="1"/>
  <c r="AM228" i="1"/>
  <c r="AO228" i="1" s="1"/>
  <c r="AM232" i="1"/>
  <c r="AO232" i="1" s="1"/>
  <c r="AQ236" i="1"/>
  <c r="AM236" i="1"/>
  <c r="AO236" i="1" s="1"/>
  <c r="AM240" i="1"/>
  <c r="AO240" i="1" s="1"/>
  <c r="AQ244" i="1"/>
  <c r="AM244" i="1"/>
  <c r="AO244" i="1" s="1"/>
  <c r="AT257" i="1"/>
  <c r="AT262" i="1"/>
  <c r="AT264" i="1"/>
  <c r="AT266" i="1"/>
  <c r="AT268" i="1"/>
  <c r="AT270" i="1"/>
  <c r="AT272" i="1"/>
  <c r="AT274" i="1"/>
  <c r="AK276" i="1"/>
  <c r="AM628" i="1"/>
  <c r="AO628" i="1" s="1"/>
  <c r="AQ32" i="1"/>
  <c r="AK56" i="1"/>
  <c r="AO83" i="1"/>
  <c r="AQ100" i="1"/>
  <c r="AK107" i="1"/>
  <c r="AK136" i="1"/>
  <c r="AT146" i="1"/>
  <c r="AT152" i="1"/>
  <c r="AT156" i="1"/>
  <c r="AT160" i="1"/>
  <c r="AT166" i="1"/>
  <c r="AT172" i="1"/>
  <c r="AM12" i="1"/>
  <c r="AP15" i="1"/>
  <c r="AQ16" i="1"/>
  <c r="AO18" i="1"/>
  <c r="AP19" i="1"/>
  <c r="AM20" i="1"/>
  <c r="AM26" i="1"/>
  <c r="AR26" i="1" s="1"/>
  <c r="AM27" i="1"/>
  <c r="AQ28" i="1"/>
  <c r="AO79" i="1"/>
  <c r="AQ80" i="1"/>
  <c r="AO84" i="1"/>
  <c r="AO87" i="1"/>
  <c r="AQ88" i="1"/>
  <c r="AO92" i="1"/>
  <c r="AQ94" i="1"/>
  <c r="Y95" i="1"/>
  <c r="AS95" i="1" s="1"/>
  <c r="AQ96" i="1"/>
  <c r="Y102" i="1"/>
  <c r="AS102" i="1" s="1"/>
  <c r="Y103" i="1"/>
  <c r="AS103" i="1" s="1"/>
  <c r="AK106" i="1"/>
  <c r="AK110" i="1"/>
  <c r="AK114" i="1"/>
  <c r="AK118" i="1"/>
  <c r="AK122" i="1"/>
  <c r="AK126" i="1"/>
  <c r="AK130" i="1"/>
  <c r="AT135" i="1"/>
  <c r="AT147" i="1"/>
  <c r="AT149" i="1"/>
  <c r="AT151" i="1"/>
  <c r="AT153" i="1"/>
  <c r="AT155" i="1"/>
  <c r="AT157" i="1"/>
  <c r="AT159" i="1"/>
  <c r="AT161" i="1"/>
  <c r="AT163" i="1"/>
  <c r="AT165" i="1"/>
  <c r="AT167" i="1"/>
  <c r="AT169" i="1"/>
  <c r="AT171" i="1"/>
  <c r="AT173" i="1"/>
  <c r="AT175" i="1"/>
  <c r="AT177" i="1"/>
  <c r="AT179" i="1"/>
  <c r="AT181" i="1"/>
  <c r="AT185" i="1"/>
  <c r="AT189" i="1"/>
  <c r="AT193" i="1"/>
  <c r="AQ219" i="1"/>
  <c r="AK277" i="1"/>
  <c r="AT364" i="1"/>
  <c r="AT382" i="1"/>
  <c r="AM391" i="1"/>
  <c r="Y391" i="1" s="1"/>
  <c r="AS391" i="1" s="1"/>
  <c r="AM395" i="1"/>
  <c r="Y395" i="1" s="1"/>
  <c r="AS395" i="1" s="1"/>
  <c r="AM604" i="1"/>
  <c r="AO604" i="1" s="1"/>
  <c r="Y604" i="1"/>
  <c r="AS604" i="1" s="1"/>
  <c r="AT256" i="1"/>
  <c r="AT260" i="1"/>
  <c r="AK289" i="1"/>
  <c r="AL289" i="1"/>
  <c r="AK293" i="1"/>
  <c r="AL293" i="1"/>
  <c r="AK297" i="1"/>
  <c r="AL297" i="1"/>
  <c r="AT335" i="1"/>
  <c r="AT343" i="1"/>
  <c r="AT360" i="1"/>
  <c r="AT372" i="1"/>
  <c r="AT379" i="1"/>
  <c r="AT381" i="1"/>
  <c r="AT388" i="1"/>
  <c r="AT401" i="1"/>
  <c r="AT402" i="1"/>
  <c r="AT409" i="1"/>
  <c r="AT410" i="1"/>
  <c r="AQ497" i="1"/>
  <c r="AM497" i="1"/>
  <c r="AR497" i="1" s="1"/>
  <c r="AQ565" i="1"/>
  <c r="AR565" i="1"/>
  <c r="AO565" i="1"/>
  <c r="AM565" i="1"/>
  <c r="AP565" i="1" s="1"/>
  <c r="AO569" i="1"/>
  <c r="AM579" i="1"/>
  <c r="Y579" i="1" s="1"/>
  <c r="AS579" i="1" s="1"/>
  <c r="AQ632" i="1"/>
  <c r="AM632" i="1"/>
  <c r="AO632" i="1" s="1"/>
  <c r="AM644" i="1"/>
  <c r="AO644" i="1" s="1"/>
  <c r="Y652" i="1"/>
  <c r="AS652" i="1" s="1"/>
  <c r="AO671" i="1"/>
  <c r="AK281" i="1"/>
  <c r="AK285" i="1"/>
  <c r="AT330" i="1"/>
  <c r="AT338" i="1"/>
  <c r="AT346" i="1"/>
  <c r="AT362" i="1"/>
  <c r="AT368" i="1"/>
  <c r="AT386" i="1"/>
  <c r="AM580" i="1"/>
  <c r="AR580" i="1" s="1"/>
  <c r="AR595" i="1"/>
  <c r="AO595" i="1"/>
  <c r="AM648" i="1"/>
  <c r="AO648" i="1" s="1"/>
  <c r="AM660" i="1"/>
  <c r="AO660" i="1" s="1"/>
  <c r="Y660" i="1"/>
  <c r="AS660" i="1" s="1"/>
  <c r="AM667" i="1"/>
  <c r="Y667" i="1"/>
  <c r="AS667" i="1" s="1"/>
  <c r="AM683" i="1"/>
  <c r="AO683" i="1" s="1"/>
  <c r="AK279" i="1"/>
  <c r="AK283" i="1"/>
  <c r="AK287" i="1"/>
  <c r="AK291" i="1"/>
  <c r="AK295" i="1"/>
  <c r="AT298" i="1"/>
  <c r="AT302" i="1"/>
  <c r="AT306" i="1"/>
  <c r="AT310" i="1"/>
  <c r="AT314" i="1"/>
  <c r="AT318" i="1"/>
  <c r="AT322" i="1"/>
  <c r="AT326" i="1"/>
  <c r="AT331" i="1"/>
  <c r="AT339" i="1"/>
  <c r="AT347" i="1"/>
  <c r="AT359" i="1"/>
  <c r="AT370" i="1"/>
  <c r="AT380" i="1"/>
  <c r="AT384" i="1"/>
  <c r="AQ390" i="1"/>
  <c r="AQ392" i="1"/>
  <c r="AQ394" i="1"/>
  <c r="AQ396" i="1"/>
  <c r="AT398" i="1"/>
  <c r="AT406" i="1"/>
  <c r="AT413" i="1"/>
  <c r="AT417" i="1"/>
  <c r="AT421" i="1"/>
  <c r="AK540" i="1"/>
  <c r="AM540" i="1" s="1"/>
  <c r="AQ564" i="1"/>
  <c r="AM572" i="1"/>
  <c r="AR572" i="1" s="1"/>
  <c r="Y572" i="1"/>
  <c r="AS572" i="1" s="1"/>
  <c r="Y591" i="1"/>
  <c r="AS591" i="1" s="1"/>
  <c r="Y592" i="1"/>
  <c r="AS592" i="1" s="1"/>
  <c r="AO608" i="1"/>
  <c r="AR608" i="1"/>
  <c r="AM616" i="1"/>
  <c r="AO616" i="1" s="1"/>
  <c r="Y620" i="1"/>
  <c r="AS620" i="1" s="1"/>
  <c r="AM668" i="1"/>
  <c r="AR668" i="1" s="1"/>
  <c r="Y668" i="1"/>
  <c r="AS668" i="1" s="1"/>
  <c r="AK457" i="1"/>
  <c r="AL457" i="1"/>
  <c r="AK461" i="1"/>
  <c r="AT467" i="1"/>
  <c r="AT471" i="1"/>
  <c r="AT475" i="1"/>
  <c r="AT477" i="1"/>
  <c r="AT480" i="1"/>
  <c r="AQ491" i="1"/>
  <c r="AQ499" i="1"/>
  <c r="AM500" i="1"/>
  <c r="AK511" i="1"/>
  <c r="AL511" i="1"/>
  <c r="AK521" i="1"/>
  <c r="AK535" i="1"/>
  <c r="AL535" i="1"/>
  <c r="AK545" i="1"/>
  <c r="AT551" i="1"/>
  <c r="AT555" i="1"/>
  <c r="AT559" i="1"/>
  <c r="AR564" i="1"/>
  <c r="AQ579" i="1"/>
  <c r="AM607" i="1"/>
  <c r="AO607" i="1" s="1"/>
  <c r="AQ611" i="1"/>
  <c r="AQ616" i="1"/>
  <c r="AM631" i="1"/>
  <c r="AO631" i="1" s="1"/>
  <c r="AV631" i="1" s="1"/>
  <c r="AM635" i="1"/>
  <c r="AQ644" i="1"/>
  <c r="AM647" i="1"/>
  <c r="AO647" i="1" s="1"/>
  <c r="AV647" i="1" s="1"/>
  <c r="AM651" i="1"/>
  <c r="AQ660" i="1"/>
  <c r="AQ667" i="1"/>
  <c r="AQ668" i="1"/>
  <c r="AQ680" i="1"/>
  <c r="AQ683" i="1"/>
  <c r="AQ693" i="1"/>
  <c r="AQ705" i="1"/>
  <c r="AK462" i="1"/>
  <c r="AT466" i="1"/>
  <c r="AT470" i="1"/>
  <c r="AT474" i="1"/>
  <c r="AT481" i="1"/>
  <c r="AK509" i="1"/>
  <c r="AK515" i="1"/>
  <c r="AK517" i="1"/>
  <c r="AK527" i="1"/>
  <c r="AK533" i="1"/>
  <c r="AK539" i="1"/>
  <c r="AK541" i="1"/>
  <c r="AK544" i="1"/>
  <c r="AL544" i="1"/>
  <c r="AT550" i="1"/>
  <c r="AT554" i="1"/>
  <c r="AT556" i="1"/>
  <c r="AT558" i="1"/>
  <c r="AQ635" i="1"/>
  <c r="AQ651" i="1"/>
  <c r="Y679" i="1"/>
  <c r="AS679" i="1" s="1"/>
  <c r="AM710" i="1"/>
  <c r="AK453" i="1"/>
  <c r="AL453" i="1"/>
  <c r="AT465" i="1"/>
  <c r="AT469" i="1"/>
  <c r="AT473" i="1"/>
  <c r="AV478" i="1"/>
  <c r="AV483" i="1"/>
  <c r="AV485" i="1"/>
  <c r="AV487" i="1"/>
  <c r="AM493" i="1"/>
  <c r="AR493" i="1" s="1"/>
  <c r="AQ495" i="1"/>
  <c r="AM502" i="1"/>
  <c r="AQ502" i="1" s="1"/>
  <c r="AQ504" i="1"/>
  <c r="AK507" i="1"/>
  <c r="AK508" i="1"/>
  <c r="AK514" i="1"/>
  <c r="AK518" i="1"/>
  <c r="AK520" i="1"/>
  <c r="AK525" i="1"/>
  <c r="AK531" i="1"/>
  <c r="AK532" i="1"/>
  <c r="AK538" i="1"/>
  <c r="AK542" i="1"/>
  <c r="AK548" i="1"/>
  <c r="AQ569" i="1"/>
  <c r="AM573" i="1"/>
  <c r="AQ583" i="1"/>
  <c r="AQ584" i="1"/>
  <c r="AM587" i="1"/>
  <c r="AQ595" i="1"/>
  <c r="AM599" i="1"/>
  <c r="AO599" i="1" s="1"/>
  <c r="AV599" i="1" s="1"/>
  <c r="AM600" i="1"/>
  <c r="Y600" i="1" s="1"/>
  <c r="AS600" i="1" s="1"/>
  <c r="AM603" i="1"/>
  <c r="AQ603" i="1" s="1"/>
  <c r="AQ608" i="1"/>
  <c r="AR616" i="1"/>
  <c r="AQ619" i="1"/>
  <c r="AM624" i="1"/>
  <c r="AM627" i="1"/>
  <c r="AO627" i="1" s="1"/>
  <c r="AO635" i="1"/>
  <c r="AM640" i="1"/>
  <c r="AM643" i="1"/>
  <c r="AO643" i="1" s="1"/>
  <c r="AO651" i="1"/>
  <c r="AM656" i="1"/>
  <c r="AQ656" i="1" s="1"/>
  <c r="AM659" i="1"/>
  <c r="AO659" i="1" s="1"/>
  <c r="AQ663" i="1"/>
  <c r="AQ664" i="1"/>
  <c r="AQ671" i="1"/>
  <c r="AQ672" i="1"/>
  <c r="Y675" i="1"/>
  <c r="AS675" i="1" s="1"/>
  <c r="AM676" i="1"/>
  <c r="AR676" i="1" s="1"/>
  <c r="AQ679" i="1"/>
  <c r="AM709" i="1"/>
  <c r="AQ709" i="1" s="1"/>
  <c r="AM75" i="1"/>
  <c r="AP75" i="1" s="1"/>
  <c r="AT221" i="1"/>
  <c r="AT223" i="1"/>
  <c r="AT225" i="1"/>
  <c r="AT227" i="1"/>
  <c r="AT247" i="1"/>
  <c r="AT249" i="1"/>
  <c r="AT251" i="1"/>
  <c r="AT253" i="1"/>
  <c r="AT300" i="1"/>
  <c r="AT304" i="1"/>
  <c r="AT305" i="1"/>
  <c r="AT308" i="1"/>
  <c r="AT309" i="1"/>
  <c r="AT312" i="1"/>
  <c r="AT313" i="1"/>
  <c r="AT316" i="1"/>
  <c r="AT320" i="1"/>
  <c r="AT324" i="1"/>
  <c r="AT328" i="1"/>
  <c r="AT329" i="1"/>
  <c r="AT336" i="1"/>
  <c r="AT344" i="1"/>
  <c r="AT352" i="1"/>
  <c r="AT355" i="1"/>
  <c r="AT367" i="1"/>
  <c r="AT375" i="1"/>
  <c r="AP16" i="1"/>
  <c r="AO16" i="1"/>
  <c r="AR16" i="1"/>
  <c r="AP28" i="1"/>
  <c r="AO28" i="1"/>
  <c r="AR28" i="1"/>
  <c r="AO56" i="1"/>
  <c r="AM56" i="1"/>
  <c r="Y56" i="1" s="1"/>
  <c r="AS56" i="1" s="1"/>
  <c r="AM60" i="1"/>
  <c r="AP60" i="1" s="1"/>
  <c r="AP96" i="1"/>
  <c r="AO96" i="1"/>
  <c r="AR96" i="1"/>
  <c r="AT139" i="1"/>
  <c r="AT141" i="1"/>
  <c r="AT143" i="1"/>
  <c r="AT183" i="1"/>
  <c r="AT187" i="1"/>
  <c r="AT191" i="1"/>
  <c r="AT195" i="1"/>
  <c r="AT301" i="1"/>
  <c r="AT317" i="1"/>
  <c r="AT321" i="1"/>
  <c r="AT325" i="1"/>
  <c r="AT337" i="1"/>
  <c r="AT345" i="1"/>
  <c r="AT356" i="1"/>
  <c r="AO20" i="1"/>
  <c r="AR20" i="1"/>
  <c r="AP20" i="1"/>
  <c r="AO76" i="1"/>
  <c r="AM76" i="1"/>
  <c r="AP76" i="1" s="1"/>
  <c r="AT184" i="1"/>
  <c r="AT188" i="1"/>
  <c r="AT192" i="1"/>
  <c r="AT196" i="1"/>
  <c r="AM197" i="1"/>
  <c r="AR197" i="1" s="1"/>
  <c r="AM201" i="1"/>
  <c r="Y201" i="1" s="1"/>
  <c r="AS201" i="1" s="1"/>
  <c r="AT222" i="1"/>
  <c r="AT224" i="1"/>
  <c r="AT226" i="1"/>
  <c r="AT246" i="1"/>
  <c r="AT248" i="1"/>
  <c r="AT250" i="1"/>
  <c r="AT252" i="1"/>
  <c r="AT254" i="1"/>
  <c r="AT258" i="1"/>
  <c r="AT332" i="1"/>
  <c r="AT333" i="1"/>
  <c r="AT340" i="1"/>
  <c r="AT348" i="1"/>
  <c r="AT353" i="1"/>
  <c r="AT357" i="1"/>
  <c r="AT363" i="1"/>
  <c r="AT371" i="1"/>
  <c r="AO12" i="1"/>
  <c r="AR12" i="1"/>
  <c r="AP12" i="1"/>
  <c r="AQ12" i="1"/>
  <c r="AQ20" i="1"/>
  <c r="AP24" i="1"/>
  <c r="AO24" i="1"/>
  <c r="AR24" i="1"/>
  <c r="AP32" i="1"/>
  <c r="AO32" i="1"/>
  <c r="AR32" i="1"/>
  <c r="AM61" i="1"/>
  <c r="AP61" i="1" s="1"/>
  <c r="Y75" i="1"/>
  <c r="AS75" i="1" s="1"/>
  <c r="Y76" i="1"/>
  <c r="AS76" i="1" s="1"/>
  <c r="AP100" i="1"/>
  <c r="AO100" i="1"/>
  <c r="AR100" i="1"/>
  <c r="AP106" i="1"/>
  <c r="AM106" i="1"/>
  <c r="AR106" i="1" s="1"/>
  <c r="AM110" i="1"/>
  <c r="AP110" i="1" s="1"/>
  <c r="AM114" i="1"/>
  <c r="AQ114" i="1" s="1"/>
  <c r="AM118" i="1"/>
  <c r="Y118" i="1" s="1"/>
  <c r="AS118" i="1" s="1"/>
  <c r="AP122" i="1"/>
  <c r="AM122" i="1"/>
  <c r="AR122" i="1" s="1"/>
  <c r="AM126" i="1"/>
  <c r="AP126" i="1" s="1"/>
  <c r="AM130" i="1"/>
  <c r="AQ130" i="1" s="1"/>
  <c r="AM136" i="1"/>
  <c r="AQ136" i="1" s="1"/>
  <c r="AT138" i="1"/>
  <c r="AT140" i="1"/>
  <c r="AT142" i="1"/>
  <c r="AT144" i="1"/>
  <c r="AM198" i="1"/>
  <c r="Y198" i="1" s="1"/>
  <c r="AS198" i="1" s="1"/>
  <c r="AM202" i="1"/>
  <c r="AT255" i="1"/>
  <c r="AT259" i="1"/>
  <c r="AT341" i="1"/>
  <c r="AT349" i="1"/>
  <c r="AT351" i="1"/>
  <c r="AT354" i="1"/>
  <c r="AM10" i="1"/>
  <c r="Y10" i="1" s="1"/>
  <c r="AS10" i="1" s="1"/>
  <c r="AO11" i="1"/>
  <c r="AR18" i="1"/>
  <c r="AP10" i="1"/>
  <c r="AQ11" i="1"/>
  <c r="Y12" i="1"/>
  <c r="AS12" i="1" s="1"/>
  <c r="AQ15" i="1"/>
  <c r="AT15" i="1" s="1"/>
  <c r="AV15" i="1"/>
  <c r="Y16" i="1"/>
  <c r="AS16" i="1" s="1"/>
  <c r="AP18" i="1"/>
  <c r="AQ19" i="1"/>
  <c r="AT19" i="1" s="1"/>
  <c r="AV19" i="1"/>
  <c r="Y20" i="1"/>
  <c r="AS20" i="1" s="1"/>
  <c r="AP22" i="1"/>
  <c r="AQ23" i="1"/>
  <c r="Y24" i="1"/>
  <c r="AS24" i="1" s="1"/>
  <c r="AP26" i="1"/>
  <c r="AQ27" i="1"/>
  <c r="Y28" i="1"/>
  <c r="AS28" i="1" s="1"/>
  <c r="AP30" i="1"/>
  <c r="AQ31" i="1"/>
  <c r="Y32" i="1"/>
  <c r="AS32" i="1" s="1"/>
  <c r="AL57" i="1"/>
  <c r="AK58" i="1"/>
  <c r="AK62" i="1"/>
  <c r="AM62" i="1" s="1"/>
  <c r="AK63" i="1"/>
  <c r="AM63" i="1" s="1"/>
  <c r="AK64" i="1"/>
  <c r="AK65" i="1"/>
  <c r="AM65" i="1" s="1"/>
  <c r="AK66" i="1"/>
  <c r="AK67" i="1"/>
  <c r="AK68" i="1"/>
  <c r="AK69" i="1"/>
  <c r="AK70" i="1"/>
  <c r="AM70" i="1" s="1"/>
  <c r="AK71" i="1"/>
  <c r="AK72" i="1"/>
  <c r="AK73" i="1"/>
  <c r="AM73" i="1" s="1"/>
  <c r="AM77" i="1"/>
  <c r="AR77" i="1" s="1"/>
  <c r="AP79" i="1"/>
  <c r="AV79" i="1" s="1"/>
  <c r="AM81" i="1"/>
  <c r="AQ81" i="1" s="1"/>
  <c r="AR81" i="1"/>
  <c r="AP83" i="1"/>
  <c r="AM85" i="1"/>
  <c r="AR85" i="1"/>
  <c r="AP87" i="1"/>
  <c r="AV87" i="1" s="1"/>
  <c r="AM89" i="1"/>
  <c r="AQ89" i="1" s="1"/>
  <c r="AP91" i="1"/>
  <c r="AQ95" i="1"/>
  <c r="AT95" i="1" s="1"/>
  <c r="AV95" i="1"/>
  <c r="Y96" i="1"/>
  <c r="AS96" i="1" s="1"/>
  <c r="AP98" i="1"/>
  <c r="AQ99" i="1"/>
  <c r="Y100" i="1"/>
  <c r="AS100" i="1" s="1"/>
  <c r="AP102" i="1"/>
  <c r="AV102" i="1" s="1"/>
  <c r="AQ103" i="1"/>
  <c r="AT103" i="1" s="1"/>
  <c r="AV103" i="1"/>
  <c r="AK104" i="1"/>
  <c r="AL107" i="1"/>
  <c r="AK108" i="1"/>
  <c r="AM108" i="1" s="1"/>
  <c r="AL111" i="1"/>
  <c r="AK112" i="1"/>
  <c r="AL115" i="1"/>
  <c r="AK116" i="1"/>
  <c r="AL119" i="1"/>
  <c r="AK120" i="1"/>
  <c r="AL123" i="1"/>
  <c r="AK124" i="1"/>
  <c r="AM124" i="1" s="1"/>
  <c r="AL127" i="1"/>
  <c r="AK128" i="1"/>
  <c r="AL131" i="1"/>
  <c r="AK132" i="1"/>
  <c r="AV135" i="1"/>
  <c r="AK145" i="1"/>
  <c r="AM145" i="1" s="1"/>
  <c r="AP197" i="1"/>
  <c r="AM199" i="1"/>
  <c r="AP199" i="1" s="1"/>
  <c r="AR199" i="1"/>
  <c r="AP201" i="1"/>
  <c r="AM203" i="1"/>
  <c r="AP203" i="1" s="1"/>
  <c r="AR203" i="1"/>
  <c r="AK205" i="1"/>
  <c r="AM205" i="1" s="1"/>
  <c r="AL206" i="1"/>
  <c r="AM207" i="1"/>
  <c r="AP207" i="1" s="1"/>
  <c r="AK209" i="1"/>
  <c r="AL210" i="1"/>
  <c r="AM211" i="1"/>
  <c r="AP211" i="1" s="1"/>
  <c r="AK213" i="1"/>
  <c r="AL214" i="1"/>
  <c r="AM215" i="1"/>
  <c r="AP215" i="1" s="1"/>
  <c r="AK217" i="1"/>
  <c r="AM217" i="1" s="1"/>
  <c r="AM218" i="1"/>
  <c r="AP218" i="1" s="1"/>
  <c r="AP219" i="1"/>
  <c r="AM220" i="1"/>
  <c r="AP220" i="1" s="1"/>
  <c r="AP228" i="1"/>
  <c r="AM229" i="1"/>
  <c r="AP229" i="1" s="1"/>
  <c r="AP230" i="1"/>
  <c r="AM231" i="1"/>
  <c r="AP231" i="1" s="1"/>
  <c r="AR231" i="1"/>
  <c r="AP232" i="1"/>
  <c r="AM233" i="1"/>
  <c r="AP233" i="1" s="1"/>
  <c r="AP234" i="1"/>
  <c r="AM235" i="1"/>
  <c r="AP235" i="1" s="1"/>
  <c r="AP236" i="1"/>
  <c r="AM237" i="1"/>
  <c r="AP237" i="1" s="1"/>
  <c r="AP238" i="1"/>
  <c r="AM239" i="1"/>
  <c r="AP239" i="1" s="1"/>
  <c r="AP240" i="1"/>
  <c r="AM241" i="1"/>
  <c r="AP241" i="1" s="1"/>
  <c r="AP242" i="1"/>
  <c r="AM243" i="1"/>
  <c r="AP243" i="1" s="1"/>
  <c r="AP244" i="1"/>
  <c r="AM245" i="1"/>
  <c r="AP245" i="1" s="1"/>
  <c r="AM276" i="1"/>
  <c r="AP276" i="1" s="1"/>
  <c r="AK278" i="1"/>
  <c r="AM278" i="1" s="1"/>
  <c r="AL279" i="1"/>
  <c r="AM280" i="1"/>
  <c r="AP280" i="1" s="1"/>
  <c r="AR280" i="1"/>
  <c r="AK282" i="1"/>
  <c r="AL283" i="1"/>
  <c r="AM284" i="1"/>
  <c r="AP284" i="1" s="1"/>
  <c r="AK286" i="1"/>
  <c r="AM286" i="1" s="1"/>
  <c r="AL287" i="1"/>
  <c r="AM288" i="1"/>
  <c r="AP288" i="1" s="1"/>
  <c r="AK290" i="1"/>
  <c r="AL291" i="1"/>
  <c r="AM292" i="1"/>
  <c r="AP292" i="1" s="1"/>
  <c r="AK294" i="1"/>
  <c r="AM294" i="1" s="1"/>
  <c r="AL295" i="1"/>
  <c r="AM296" i="1"/>
  <c r="AP296" i="1" s="1"/>
  <c r="AO390" i="1"/>
  <c r="AR390" i="1"/>
  <c r="AP390" i="1"/>
  <c r="AO392" i="1"/>
  <c r="AR392" i="1"/>
  <c r="AP392" i="1"/>
  <c r="AO394" i="1"/>
  <c r="AR394" i="1"/>
  <c r="AP394" i="1"/>
  <c r="AO396" i="1"/>
  <c r="AR396" i="1"/>
  <c r="AP396" i="1"/>
  <c r="AT415" i="1"/>
  <c r="AT419" i="1"/>
  <c r="AT423" i="1"/>
  <c r="AT425" i="1"/>
  <c r="AT427" i="1"/>
  <c r="AT429" i="1"/>
  <c r="AT431" i="1"/>
  <c r="AM522" i="1"/>
  <c r="AP522" i="1" s="1"/>
  <c r="AM528" i="1"/>
  <c r="Y528" i="1" s="1"/>
  <c r="AS528" i="1" s="1"/>
  <c r="AQ10" i="1"/>
  <c r="AQ18" i="1"/>
  <c r="AQ22" i="1"/>
  <c r="AQ26" i="1"/>
  <c r="AQ30" i="1"/>
  <c r="AK59" i="1"/>
  <c r="AK74" i="1"/>
  <c r="AQ79" i="1"/>
  <c r="AR80" i="1"/>
  <c r="AT80" i="1" s="1"/>
  <c r="AQ83" i="1"/>
  <c r="AR84" i="1"/>
  <c r="AV84" i="1" s="1"/>
  <c r="AQ87" i="1"/>
  <c r="AR88" i="1"/>
  <c r="AT88" i="1" s="1"/>
  <c r="AQ91" i="1"/>
  <c r="AR92" i="1"/>
  <c r="AR93" i="1"/>
  <c r="AR94" i="1"/>
  <c r="AT94" i="1" s="1"/>
  <c r="AQ98" i="1"/>
  <c r="AQ102" i="1"/>
  <c r="AK105" i="1"/>
  <c r="AM105" i="1" s="1"/>
  <c r="AK109" i="1"/>
  <c r="AK113" i="1"/>
  <c r="AK117" i="1"/>
  <c r="AM117" i="1" s="1"/>
  <c r="AK121" i="1"/>
  <c r="AM121" i="1" s="1"/>
  <c r="AK125" i="1"/>
  <c r="AK129" i="1"/>
  <c r="AQ197" i="1"/>
  <c r="AO199" i="1"/>
  <c r="AO203" i="1"/>
  <c r="AO207" i="1"/>
  <c r="AO211" i="1"/>
  <c r="AO215" i="1"/>
  <c r="AO218" i="1"/>
  <c r="Y219" i="1"/>
  <c r="AS219" i="1" s="1"/>
  <c r="AO220" i="1"/>
  <c r="Y228" i="1"/>
  <c r="AS228" i="1" s="1"/>
  <c r="AO229" i="1"/>
  <c r="Y230" i="1"/>
  <c r="AS230" i="1" s="1"/>
  <c r="AO231" i="1"/>
  <c r="Y232" i="1"/>
  <c r="AS232" i="1" s="1"/>
  <c r="AO233" i="1"/>
  <c r="Y234" i="1"/>
  <c r="AS234" i="1" s="1"/>
  <c r="AO235" i="1"/>
  <c r="Y236" i="1"/>
  <c r="AS236" i="1" s="1"/>
  <c r="AO237" i="1"/>
  <c r="Y238" i="1"/>
  <c r="AS238" i="1" s="1"/>
  <c r="AO239" i="1"/>
  <c r="Y240" i="1"/>
  <c r="AS240" i="1" s="1"/>
  <c r="AO241" i="1"/>
  <c r="Y242" i="1"/>
  <c r="AS242" i="1" s="1"/>
  <c r="AO243" i="1"/>
  <c r="Y244" i="1"/>
  <c r="AS244" i="1" s="1"/>
  <c r="AO245" i="1"/>
  <c r="AO276" i="1"/>
  <c r="AO280" i="1"/>
  <c r="AO284" i="1"/>
  <c r="AO288" i="1"/>
  <c r="AO292" i="1"/>
  <c r="AT365" i="1"/>
  <c r="AT373" i="1"/>
  <c r="AT374" i="1"/>
  <c r="AT403" i="1"/>
  <c r="AT404" i="1"/>
  <c r="AT405" i="1"/>
  <c r="AT411" i="1"/>
  <c r="AT412" i="1"/>
  <c r="AT416" i="1"/>
  <c r="AT420" i="1"/>
  <c r="AT432" i="1"/>
  <c r="AM433" i="1"/>
  <c r="Y433" i="1" s="1"/>
  <c r="AS433" i="1" s="1"/>
  <c r="AQ433" i="1"/>
  <c r="AP433" i="1"/>
  <c r="AM437" i="1"/>
  <c r="AQ437" i="1" s="1"/>
  <c r="AM462" i="1"/>
  <c r="AR462" i="1" s="1"/>
  <c r="AP500" i="1"/>
  <c r="AQ500" i="1"/>
  <c r="Y22" i="1"/>
  <c r="AS22" i="1" s="1"/>
  <c r="AR219" i="1"/>
  <c r="AR228" i="1"/>
  <c r="AR230" i="1"/>
  <c r="AR232" i="1"/>
  <c r="AR234" i="1"/>
  <c r="AR236" i="1"/>
  <c r="AR238" i="1"/>
  <c r="AR240" i="1"/>
  <c r="AR242" i="1"/>
  <c r="AR244" i="1"/>
  <c r="AT424" i="1"/>
  <c r="AT426" i="1"/>
  <c r="AT428" i="1"/>
  <c r="AT430" i="1"/>
  <c r="Y462" i="1"/>
  <c r="AS462" i="1" s="1"/>
  <c r="AQ503" i="1"/>
  <c r="AP503" i="1"/>
  <c r="AM519" i="1"/>
  <c r="Y519" i="1" s="1"/>
  <c r="AS519" i="1" s="1"/>
  <c r="Y543" i="1"/>
  <c r="AS543" i="1" s="1"/>
  <c r="AM543" i="1"/>
  <c r="AM14" i="1"/>
  <c r="Y14" i="1" s="1"/>
  <c r="AS14" i="1" s="1"/>
  <c r="AM4" i="1"/>
  <c r="AP4" i="1" s="1"/>
  <c r="AM5" i="1"/>
  <c r="AP5" i="1" s="1"/>
  <c r="AM6" i="1"/>
  <c r="AP6" i="1" s="1"/>
  <c r="AM7" i="1"/>
  <c r="AP7" i="1" s="1"/>
  <c r="AM8" i="1"/>
  <c r="AP8" i="1" s="1"/>
  <c r="AM9" i="1"/>
  <c r="AP9" i="1" s="1"/>
  <c r="AM13" i="1"/>
  <c r="AP13" i="1" s="1"/>
  <c r="AM17" i="1"/>
  <c r="AR17" i="1" s="1"/>
  <c r="AM21" i="1"/>
  <c r="AR21" i="1" s="1"/>
  <c r="AM25" i="1"/>
  <c r="AQ25" i="1" s="1"/>
  <c r="AM29" i="1"/>
  <c r="AR29" i="1" s="1"/>
  <c r="AM33" i="1"/>
  <c r="AR33" i="1" s="1"/>
  <c r="AM34" i="1"/>
  <c r="Y34" i="1" s="1"/>
  <c r="AS34" i="1" s="1"/>
  <c r="AM35" i="1"/>
  <c r="AP35" i="1" s="1"/>
  <c r="AM36" i="1"/>
  <c r="AR36" i="1" s="1"/>
  <c r="AM37" i="1"/>
  <c r="AO37" i="1" s="1"/>
  <c r="AM38" i="1"/>
  <c r="AR38" i="1" s="1"/>
  <c r="AM39" i="1"/>
  <c r="AR39" i="1" s="1"/>
  <c r="AM40" i="1"/>
  <c r="Y40" i="1" s="1"/>
  <c r="AS40" i="1" s="1"/>
  <c r="AM41" i="1"/>
  <c r="AO41" i="1" s="1"/>
  <c r="AM42" i="1"/>
  <c r="Y42" i="1" s="1"/>
  <c r="AS42" i="1" s="1"/>
  <c r="AM43" i="1"/>
  <c r="AP43" i="1" s="1"/>
  <c r="AM44" i="1"/>
  <c r="AR44" i="1" s="1"/>
  <c r="AM45" i="1"/>
  <c r="AO45" i="1" s="1"/>
  <c r="AM46" i="1"/>
  <c r="AR46" i="1" s="1"/>
  <c r="AM47" i="1"/>
  <c r="AR47" i="1" s="1"/>
  <c r="AM48" i="1"/>
  <c r="Y48" i="1" s="1"/>
  <c r="AS48" i="1" s="1"/>
  <c r="AM49" i="1"/>
  <c r="AO49" i="1" s="1"/>
  <c r="AM50" i="1"/>
  <c r="Y50" i="1" s="1"/>
  <c r="AS50" i="1" s="1"/>
  <c r="AM51" i="1"/>
  <c r="AP51" i="1" s="1"/>
  <c r="AM52" i="1"/>
  <c r="AR52" i="1" s="1"/>
  <c r="AM53" i="1"/>
  <c r="AO53" i="1" s="1"/>
  <c r="AM54" i="1"/>
  <c r="AR54" i="1" s="1"/>
  <c r="AM55" i="1"/>
  <c r="AR55" i="1" s="1"/>
  <c r="AM78" i="1"/>
  <c r="AR78" i="1" s="1"/>
  <c r="AM82" i="1"/>
  <c r="AO82" i="1" s="1"/>
  <c r="AM86" i="1"/>
  <c r="Y86" i="1" s="1"/>
  <c r="AS86" i="1" s="1"/>
  <c r="AM90" i="1"/>
  <c r="AP90" i="1" s="1"/>
  <c r="AM97" i="1"/>
  <c r="AP97" i="1" s="1"/>
  <c r="AM101" i="1"/>
  <c r="AQ101" i="1" s="1"/>
  <c r="AM137" i="1"/>
  <c r="Y137" i="1" s="1"/>
  <c r="AS137" i="1" s="1"/>
  <c r="AM200" i="1"/>
  <c r="Y200" i="1" s="1"/>
  <c r="AS200" i="1" s="1"/>
  <c r="AM204" i="1"/>
  <c r="AO204" i="1" s="1"/>
  <c r="AM208" i="1"/>
  <c r="AQ208" i="1" s="1"/>
  <c r="AM212" i="1"/>
  <c r="AR212" i="1" s="1"/>
  <c r="AM216" i="1"/>
  <c r="AR216" i="1" s="1"/>
  <c r="AM277" i="1"/>
  <c r="Y277" i="1" s="1"/>
  <c r="AS277" i="1" s="1"/>
  <c r="AM281" i="1"/>
  <c r="AR281" i="1" s="1"/>
  <c r="AM285" i="1"/>
  <c r="AR285" i="1" s="1"/>
  <c r="AM289" i="1"/>
  <c r="AP289" i="1" s="1"/>
  <c r="AM293" i="1"/>
  <c r="Y293" i="1" s="1"/>
  <c r="AS293" i="1" s="1"/>
  <c r="AM297" i="1"/>
  <c r="AO297" i="1" s="1"/>
  <c r="AT361" i="1"/>
  <c r="AT369" i="1"/>
  <c r="AT377" i="1"/>
  <c r="AT378" i="1"/>
  <c r="AT399" i="1"/>
  <c r="AT400" i="1"/>
  <c r="AT407" i="1"/>
  <c r="AT408" i="1"/>
  <c r="AM434" i="1"/>
  <c r="AQ434" i="1" s="1"/>
  <c r="AO461" i="1"/>
  <c r="AM461" i="1"/>
  <c r="Y461" i="1" s="1"/>
  <c r="AS461" i="1" s="1"/>
  <c r="AQ461" i="1"/>
  <c r="AP461" i="1"/>
  <c r="AQ516" i="1"/>
  <c r="AP516" i="1"/>
  <c r="AM525" i="1"/>
  <c r="AR525" i="1" s="1"/>
  <c r="AM526" i="1"/>
  <c r="Y526" i="1" s="1"/>
  <c r="AS526" i="1" s="1"/>
  <c r="AO526" i="1"/>
  <c r="AQ528" i="1"/>
  <c r="AQ540" i="1"/>
  <c r="AP540" i="1"/>
  <c r="AR389" i="1"/>
  <c r="AR391" i="1"/>
  <c r="AR393" i="1"/>
  <c r="AR395" i="1"/>
  <c r="AR397" i="1"/>
  <c r="AL436" i="1"/>
  <c r="AM453" i="1"/>
  <c r="AQ453" i="1" s="1"/>
  <c r="AK455" i="1"/>
  <c r="AM457" i="1"/>
  <c r="Y457" i="1" s="1"/>
  <c r="AS457" i="1" s="1"/>
  <c r="AK459" i="1"/>
  <c r="AM459" i="1" s="1"/>
  <c r="AV477" i="1"/>
  <c r="AT478" i="1"/>
  <c r="AV481" i="1"/>
  <c r="AT482" i="1"/>
  <c r="AV484" i="1"/>
  <c r="AV486" i="1"/>
  <c r="AV488" i="1"/>
  <c r="Y489" i="1"/>
  <c r="AS489" i="1" s="1"/>
  <c r="AO489" i="1"/>
  <c r="Y491" i="1"/>
  <c r="AS491" i="1" s="1"/>
  <c r="AO491" i="1"/>
  <c r="Y493" i="1"/>
  <c r="AS493" i="1" s="1"/>
  <c r="AO493" i="1"/>
  <c r="Y495" i="1"/>
  <c r="AS495" i="1" s="1"/>
  <c r="AO495" i="1"/>
  <c r="Y497" i="1"/>
  <c r="AS497" i="1" s="1"/>
  <c r="AO497" i="1"/>
  <c r="Y499" i="1"/>
  <c r="AS499" i="1" s="1"/>
  <c r="AO499" i="1"/>
  <c r="AM501" i="1"/>
  <c r="Y501" i="1" s="1"/>
  <c r="AS501" i="1" s="1"/>
  <c r="Y503" i="1"/>
  <c r="AS503" i="1" s="1"/>
  <c r="AK505" i="1"/>
  <c r="AK506" i="1"/>
  <c r="AL508" i="1"/>
  <c r="AL518" i="1"/>
  <c r="AM521" i="1"/>
  <c r="Y521" i="1" s="1"/>
  <c r="AS521" i="1" s="1"/>
  <c r="AO522" i="1"/>
  <c r="AR522" i="1"/>
  <c r="AP525" i="1"/>
  <c r="AK529" i="1"/>
  <c r="AK530" i="1"/>
  <c r="AL532" i="1"/>
  <c r="AL542" i="1"/>
  <c r="AR545" i="1"/>
  <c r="AM545" i="1"/>
  <c r="AP545" i="1" s="1"/>
  <c r="AL549" i="1"/>
  <c r="AK549" i="1"/>
  <c r="AT552" i="1"/>
  <c r="AT560" i="1"/>
  <c r="AQ561" i="1"/>
  <c r="AO563" i="1"/>
  <c r="AR563" i="1"/>
  <c r="AM563" i="1"/>
  <c r="AV565" i="1"/>
  <c r="AQ568" i="1"/>
  <c r="AM585" i="1"/>
  <c r="AP585" i="1" s="1"/>
  <c r="AR599" i="1"/>
  <c r="AP599" i="1"/>
  <c r="AM609" i="1"/>
  <c r="Y609" i="1" s="1"/>
  <c r="AS609" i="1" s="1"/>
  <c r="AR615" i="1"/>
  <c r="AP615" i="1"/>
  <c r="AM625" i="1"/>
  <c r="Y625" i="1" s="1"/>
  <c r="AS625" i="1" s="1"/>
  <c r="AR631" i="1"/>
  <c r="AP631" i="1"/>
  <c r="AM641" i="1"/>
  <c r="Y641" i="1" s="1"/>
  <c r="AS641" i="1" s="1"/>
  <c r="AR647" i="1"/>
  <c r="AP647" i="1"/>
  <c r="AM657" i="1"/>
  <c r="Y657" i="1" s="1"/>
  <c r="AS657" i="1" s="1"/>
  <c r="AP685" i="1"/>
  <c r="AR685" i="1"/>
  <c r="AQ691" i="1"/>
  <c r="AP691" i="1"/>
  <c r="AO694" i="1"/>
  <c r="AR694" i="1"/>
  <c r="Y694" i="1"/>
  <c r="AS694" i="1" s="1"/>
  <c r="AO389" i="1"/>
  <c r="Y390" i="1"/>
  <c r="AS390" i="1" s="1"/>
  <c r="AO391" i="1"/>
  <c r="Y392" i="1"/>
  <c r="AS392" i="1" s="1"/>
  <c r="AO393" i="1"/>
  <c r="Y394" i="1"/>
  <c r="AS394" i="1" s="1"/>
  <c r="AO395" i="1"/>
  <c r="Y396" i="1"/>
  <c r="AS396" i="1" s="1"/>
  <c r="AO397" i="1"/>
  <c r="AM452" i="1"/>
  <c r="AP452" i="1" s="1"/>
  <c r="AO453" i="1"/>
  <c r="AK454" i="1"/>
  <c r="AM456" i="1"/>
  <c r="AP456" i="1" s="1"/>
  <c r="AO457" i="1"/>
  <c r="AK458" i="1"/>
  <c r="AM458" i="1" s="1"/>
  <c r="AM460" i="1"/>
  <c r="AP460" i="1" s="1"/>
  <c r="AK463" i="1"/>
  <c r="AT479" i="1"/>
  <c r="AT483" i="1"/>
  <c r="AT485" i="1"/>
  <c r="AT487" i="1"/>
  <c r="AP489" i="1"/>
  <c r="AM490" i="1"/>
  <c r="AP490" i="1" s="1"/>
  <c r="AP491" i="1"/>
  <c r="AM492" i="1"/>
  <c r="AP492" i="1" s="1"/>
  <c r="AP493" i="1"/>
  <c r="AM494" i="1"/>
  <c r="AP494" i="1" s="1"/>
  <c r="AR494" i="1"/>
  <c r="AP495" i="1"/>
  <c r="AM496" i="1"/>
  <c r="AP496" i="1" s="1"/>
  <c r="AP497" i="1"/>
  <c r="AM498" i="1"/>
  <c r="AP498" i="1" s="1"/>
  <c r="AP499" i="1"/>
  <c r="AO500" i="1"/>
  <c r="AR500" i="1"/>
  <c r="AP501" i="1"/>
  <c r="AO502" i="1"/>
  <c r="AR502" i="1"/>
  <c r="AO504" i="1"/>
  <c r="AR504" i="1"/>
  <c r="AK512" i="1"/>
  <c r="AM514" i="1"/>
  <c r="AO514" i="1" s="1"/>
  <c r="AR527" i="1"/>
  <c r="AM527" i="1"/>
  <c r="AO527" i="1" s="1"/>
  <c r="AO528" i="1"/>
  <c r="AR528" i="1"/>
  <c r="AK536" i="1"/>
  <c r="AR538" i="1"/>
  <c r="AM538" i="1"/>
  <c r="AO545" i="1"/>
  <c r="AM546" i="1"/>
  <c r="AP546" i="1" s="1"/>
  <c r="AK575" i="1"/>
  <c r="AR581" i="1"/>
  <c r="AM581" i="1"/>
  <c r="AQ581" i="1" s="1"/>
  <c r="AQ585" i="1"/>
  <c r="AQ588" i="1"/>
  <c r="AO597" i="1"/>
  <c r="AR597" i="1"/>
  <c r="AM597" i="1"/>
  <c r="AQ597" i="1" s="1"/>
  <c r="AQ599" i="1"/>
  <c r="AR603" i="1"/>
  <c r="AP603" i="1"/>
  <c r="AQ604" i="1"/>
  <c r="AR612" i="1"/>
  <c r="AM613" i="1"/>
  <c r="AQ615" i="1"/>
  <c r="AR619" i="1"/>
  <c r="AP619" i="1"/>
  <c r="AQ620" i="1"/>
  <c r="AQ625" i="1"/>
  <c r="AR628" i="1"/>
  <c r="AO629" i="1"/>
  <c r="AR629" i="1"/>
  <c r="AM629" i="1"/>
  <c r="AP629" i="1" s="1"/>
  <c r="AQ631" i="1"/>
  <c r="AR635" i="1"/>
  <c r="AP635" i="1"/>
  <c r="AQ636" i="1"/>
  <c r="AR644" i="1"/>
  <c r="AM645" i="1"/>
  <c r="AQ647" i="1"/>
  <c r="AR651" i="1"/>
  <c r="AP651" i="1"/>
  <c r="AQ652" i="1"/>
  <c r="AQ657" i="1"/>
  <c r="AR660" i="1"/>
  <c r="AO661" i="1"/>
  <c r="AR661" i="1"/>
  <c r="AM661" i="1"/>
  <c r="AP661" i="1" s="1"/>
  <c r="AQ685" i="1"/>
  <c r="AR689" i="1"/>
  <c r="AP689" i="1"/>
  <c r="AO689" i="1"/>
  <c r="AP389" i="1"/>
  <c r="AP391" i="1"/>
  <c r="AP393" i="1"/>
  <c r="AP395" i="1"/>
  <c r="AP397" i="1"/>
  <c r="AK435" i="1"/>
  <c r="AM438" i="1"/>
  <c r="Y438" i="1" s="1"/>
  <c r="AS438" i="1" s="1"/>
  <c r="AM439" i="1"/>
  <c r="AM440" i="1"/>
  <c r="Y440" i="1" s="1"/>
  <c r="AS440" i="1" s="1"/>
  <c r="AM441" i="1"/>
  <c r="AM442" i="1"/>
  <c r="Y442" i="1" s="1"/>
  <c r="AS442" i="1" s="1"/>
  <c r="AM443" i="1"/>
  <c r="AR443" i="1" s="1"/>
  <c r="AM444" i="1"/>
  <c r="AR444" i="1" s="1"/>
  <c r="AM445" i="1"/>
  <c r="AM446" i="1"/>
  <c r="Y446" i="1" s="1"/>
  <c r="AS446" i="1" s="1"/>
  <c r="AM447" i="1"/>
  <c r="AM448" i="1"/>
  <c r="Y448" i="1" s="1"/>
  <c r="AS448" i="1" s="1"/>
  <c r="AM449" i="1"/>
  <c r="AM450" i="1"/>
  <c r="Y450" i="1" s="1"/>
  <c r="AS450" i="1" s="1"/>
  <c r="AM451" i="1"/>
  <c r="AR451" i="1" s="1"/>
  <c r="AP453" i="1"/>
  <c r="AP457" i="1"/>
  <c r="AK464" i="1"/>
  <c r="AM464" i="1" s="1"/>
  <c r="Y500" i="1"/>
  <c r="AS500" i="1" s="1"/>
  <c r="Y502" i="1"/>
  <c r="AS502" i="1" s="1"/>
  <c r="AM509" i="1"/>
  <c r="Y509" i="1" s="1"/>
  <c r="AS509" i="1" s="1"/>
  <c r="Y516" i="1"/>
  <c r="AS516" i="1" s="1"/>
  <c r="AM520" i="1"/>
  <c r="AQ520" i="1" s="1"/>
  <c r="AM533" i="1"/>
  <c r="Y533" i="1" s="1"/>
  <c r="AS533" i="1" s="1"/>
  <c r="Y540" i="1"/>
  <c r="AS540" i="1" s="1"/>
  <c r="AM544" i="1"/>
  <c r="AP544" i="1" s="1"/>
  <c r="AT553" i="1"/>
  <c r="AO561" i="1"/>
  <c r="AM567" i="1"/>
  <c r="AO567" i="1" s="1"/>
  <c r="AM571" i="1"/>
  <c r="Y571" i="1" s="1"/>
  <c r="AS571" i="1" s="1"/>
  <c r="AO578" i="1"/>
  <c r="AR578" i="1"/>
  <c r="AM578" i="1"/>
  <c r="AP578" i="1" s="1"/>
  <c r="AM593" i="1"/>
  <c r="AP593" i="1" s="1"/>
  <c r="AM601" i="1"/>
  <c r="Y601" i="1" s="1"/>
  <c r="AS601" i="1" s="1"/>
  <c r="AR607" i="1"/>
  <c r="AP607" i="1"/>
  <c r="AV615" i="1"/>
  <c r="AP617" i="1"/>
  <c r="AO617" i="1"/>
  <c r="AM617" i="1"/>
  <c r="Y617" i="1" s="1"/>
  <c r="AS617" i="1" s="1"/>
  <c r="AR623" i="1"/>
  <c r="AP623" i="1"/>
  <c r="AV623" i="1" s="1"/>
  <c r="AM633" i="1"/>
  <c r="Y633" i="1" s="1"/>
  <c r="AS633" i="1" s="1"/>
  <c r="AR639" i="1"/>
  <c r="AP639" i="1"/>
  <c r="AP649" i="1"/>
  <c r="AO649" i="1"/>
  <c r="AM649" i="1"/>
  <c r="Y649" i="1" s="1"/>
  <c r="AS649" i="1" s="1"/>
  <c r="AR655" i="1"/>
  <c r="AP655" i="1"/>
  <c r="AV655" i="1" s="1"/>
  <c r="AR710" i="1"/>
  <c r="Y710" i="1"/>
  <c r="AS710" i="1" s="1"/>
  <c r="AO501" i="1"/>
  <c r="AR501" i="1"/>
  <c r="AP502" i="1"/>
  <c r="AO503" i="1"/>
  <c r="AR503" i="1"/>
  <c r="AP504" i="1"/>
  <c r="AM506" i="1"/>
  <c r="AQ506" i="1" s="1"/>
  <c r="AM507" i="1"/>
  <c r="AR507" i="1" s="1"/>
  <c r="AM510" i="1"/>
  <c r="AR510" i="1" s="1"/>
  <c r="AM511" i="1"/>
  <c r="Y511" i="1" s="1"/>
  <c r="AS511" i="1" s="1"/>
  <c r="AL512" i="1"/>
  <c r="AK513" i="1"/>
  <c r="AP514" i="1"/>
  <c r="AM515" i="1"/>
  <c r="AO516" i="1"/>
  <c r="AT516" i="1" s="1"/>
  <c r="AR516" i="1"/>
  <c r="AL517" i="1"/>
  <c r="AQ519" i="1"/>
  <c r="AP519" i="1"/>
  <c r="AO520" i="1"/>
  <c r="AQ521" i="1"/>
  <c r="AQ522" i="1"/>
  <c r="AK523" i="1"/>
  <c r="AK524" i="1"/>
  <c r="AO525" i="1"/>
  <c r="AP527" i="1"/>
  <c r="AP528" i="1"/>
  <c r="AM530" i="1"/>
  <c r="AQ530" i="1" s="1"/>
  <c r="AM531" i="1"/>
  <c r="AR531" i="1" s="1"/>
  <c r="AO533" i="1"/>
  <c r="AM534" i="1"/>
  <c r="AP534" i="1" s="1"/>
  <c r="AM535" i="1"/>
  <c r="AQ535" i="1" s="1"/>
  <c r="AL536" i="1"/>
  <c r="AK537" i="1"/>
  <c r="AM537" i="1" s="1"/>
  <c r="AP538" i="1"/>
  <c r="AM539" i="1"/>
  <c r="Y539" i="1" s="1"/>
  <c r="AS539" i="1" s="1"/>
  <c r="AO540" i="1"/>
  <c r="AR540" i="1"/>
  <c r="AL541" i="1"/>
  <c r="AQ543" i="1"/>
  <c r="AP543" i="1"/>
  <c r="AO544" i="1"/>
  <c r="AQ545" i="1"/>
  <c r="AQ546" i="1"/>
  <c r="AK547" i="1"/>
  <c r="AL548" i="1"/>
  <c r="AR561" i="1"/>
  <c r="Y563" i="1"/>
  <c r="AS563" i="1" s="1"/>
  <c r="AP564" i="1"/>
  <c r="AO564" i="1"/>
  <c r="AQ571" i="1"/>
  <c r="AQ572" i="1"/>
  <c r="AL577" i="1"/>
  <c r="AQ580" i="1"/>
  <c r="Y585" i="1"/>
  <c r="AS585" i="1" s="1"/>
  <c r="AO589" i="1"/>
  <c r="AM589" i="1"/>
  <c r="AQ589" i="1" s="1"/>
  <c r="AQ593" i="1"/>
  <c r="AQ596" i="1"/>
  <c r="AO603" i="1"/>
  <c r="AR604" i="1"/>
  <c r="AO605" i="1"/>
  <c r="AM605" i="1"/>
  <c r="AP605" i="1" s="1"/>
  <c r="AQ607" i="1"/>
  <c r="AR611" i="1"/>
  <c r="AP611" i="1"/>
  <c r="AQ612" i="1"/>
  <c r="AQ617" i="1"/>
  <c r="AO619" i="1"/>
  <c r="AR620" i="1"/>
  <c r="AM621" i="1"/>
  <c r="AP621" i="1" s="1"/>
  <c r="AQ623" i="1"/>
  <c r="AR627" i="1"/>
  <c r="AP627" i="1"/>
  <c r="AQ628" i="1"/>
  <c r="AQ633" i="1"/>
  <c r="AV635" i="1"/>
  <c r="AR636" i="1"/>
  <c r="AM637" i="1"/>
  <c r="AP637" i="1" s="1"/>
  <c r="AQ639" i="1"/>
  <c r="AR643" i="1"/>
  <c r="AP643" i="1"/>
  <c r="AQ649" i="1"/>
  <c r="AV651" i="1"/>
  <c r="AR652" i="1"/>
  <c r="AM653" i="1"/>
  <c r="AQ655" i="1"/>
  <c r="AR659" i="1"/>
  <c r="AP659" i="1"/>
  <c r="AO706" i="1"/>
  <c r="AR706" i="1"/>
  <c r="Y706" i="1"/>
  <c r="AS706" i="1" s="1"/>
  <c r="AO568" i="1"/>
  <c r="AP569" i="1"/>
  <c r="AT569" i="1" s="1"/>
  <c r="AO572" i="1"/>
  <c r="AP573" i="1"/>
  <c r="AP579" i="1"/>
  <c r="AO580" i="1"/>
  <c r="AP583" i="1"/>
  <c r="AV583" i="1" s="1"/>
  <c r="AO584" i="1"/>
  <c r="AP587" i="1"/>
  <c r="AO588" i="1"/>
  <c r="AP591" i="1"/>
  <c r="AO592" i="1"/>
  <c r="AP595" i="1"/>
  <c r="AV595" i="1" s="1"/>
  <c r="AO596" i="1"/>
  <c r="AP663" i="1"/>
  <c r="AT663" i="1" s="1"/>
  <c r="AO664" i="1"/>
  <c r="AM665" i="1"/>
  <c r="Y665" i="1" s="1"/>
  <c r="AS665" i="1" s="1"/>
  <c r="AR665" i="1"/>
  <c r="AP667" i="1"/>
  <c r="AO668" i="1"/>
  <c r="AM669" i="1"/>
  <c r="Y669" i="1" s="1"/>
  <c r="AS669" i="1" s="1"/>
  <c r="AR669" i="1"/>
  <c r="AP671" i="1"/>
  <c r="AT671" i="1" s="1"/>
  <c r="AO672" i="1"/>
  <c r="AM673" i="1"/>
  <c r="Y673" i="1" s="1"/>
  <c r="AS673" i="1" s="1"/>
  <c r="AR673" i="1"/>
  <c r="AP675" i="1"/>
  <c r="AO676" i="1"/>
  <c r="AM677" i="1"/>
  <c r="Y677" i="1" s="1"/>
  <c r="AS677" i="1" s="1"/>
  <c r="AP679" i="1"/>
  <c r="AT679" i="1" s="1"/>
  <c r="AO680" i="1"/>
  <c r="AM681" i="1"/>
  <c r="AQ681" i="1" s="1"/>
  <c r="AR681" i="1"/>
  <c r="AP683" i="1"/>
  <c r="Y685" i="1"/>
  <c r="AS685" i="1" s="1"/>
  <c r="Y691" i="1"/>
  <c r="AS691" i="1" s="1"/>
  <c r="AR701" i="1"/>
  <c r="AP701" i="1"/>
  <c r="AM702" i="1"/>
  <c r="AR702" i="1" s="1"/>
  <c r="AP703" i="1"/>
  <c r="AO703" i="1"/>
  <c r="AM703" i="1"/>
  <c r="AR703" i="1" s="1"/>
  <c r="AM562" i="1"/>
  <c r="AM566" i="1"/>
  <c r="AR566" i="1" s="1"/>
  <c r="AP568" i="1"/>
  <c r="AM570" i="1"/>
  <c r="AP572" i="1"/>
  <c r="AM574" i="1"/>
  <c r="AR574" i="1" s="1"/>
  <c r="AK576" i="1"/>
  <c r="AM576" i="1" s="1"/>
  <c r="AP580" i="1"/>
  <c r="AM582" i="1"/>
  <c r="AP584" i="1"/>
  <c r="AM586" i="1"/>
  <c r="AQ586" i="1" s="1"/>
  <c r="AP588" i="1"/>
  <c r="AM590" i="1"/>
  <c r="AP592" i="1"/>
  <c r="AM594" i="1"/>
  <c r="Y594" i="1" s="1"/>
  <c r="AS594" i="1" s="1"/>
  <c r="AP596" i="1"/>
  <c r="AM598" i="1"/>
  <c r="AP598" i="1" s="1"/>
  <c r="AP600" i="1"/>
  <c r="AM602" i="1"/>
  <c r="AP602" i="1" s="1"/>
  <c r="AP604" i="1"/>
  <c r="AM606" i="1"/>
  <c r="AP606" i="1" s="1"/>
  <c r="AR606" i="1"/>
  <c r="AP608" i="1"/>
  <c r="AT608" i="1" s="1"/>
  <c r="AM610" i="1"/>
  <c r="AP610" i="1" s="1"/>
  <c r="AP612" i="1"/>
  <c r="AT612" i="1" s="1"/>
  <c r="AM614" i="1"/>
  <c r="AP614" i="1" s="1"/>
  <c r="AP616" i="1"/>
  <c r="AV616" i="1" s="1"/>
  <c r="AM618" i="1"/>
  <c r="AP618" i="1" s="1"/>
  <c r="AR618" i="1"/>
  <c r="AP620" i="1"/>
  <c r="AT620" i="1" s="1"/>
  <c r="AM622" i="1"/>
  <c r="AP622" i="1" s="1"/>
  <c r="AR622" i="1"/>
  <c r="AP624" i="1"/>
  <c r="AM626" i="1"/>
  <c r="AP626" i="1" s="1"/>
  <c r="AP628" i="1"/>
  <c r="AV628" i="1" s="1"/>
  <c r="AM630" i="1"/>
  <c r="AP630" i="1" s="1"/>
  <c r="AP632" i="1"/>
  <c r="AM634" i="1"/>
  <c r="AP634" i="1" s="1"/>
  <c r="AP636" i="1"/>
  <c r="AT636" i="1" s="1"/>
  <c r="AM638" i="1"/>
  <c r="AP638" i="1" s="1"/>
  <c r="AR638" i="1"/>
  <c r="AP640" i="1"/>
  <c r="AM642" i="1"/>
  <c r="AP642" i="1" s="1"/>
  <c r="AP644" i="1"/>
  <c r="AM646" i="1"/>
  <c r="AP646" i="1" s="1"/>
  <c r="AP648" i="1"/>
  <c r="AM650" i="1"/>
  <c r="AP650" i="1" s="1"/>
  <c r="AR650" i="1"/>
  <c r="AP652" i="1"/>
  <c r="AT652" i="1" s="1"/>
  <c r="AM654" i="1"/>
  <c r="AP654" i="1" s="1"/>
  <c r="AR654" i="1"/>
  <c r="AP656" i="1"/>
  <c r="AM658" i="1"/>
  <c r="AP658" i="1" s="1"/>
  <c r="AP660" i="1"/>
  <c r="AV660" i="1" s="1"/>
  <c r="AM662" i="1"/>
  <c r="AP664" i="1"/>
  <c r="AO665" i="1"/>
  <c r="AM666" i="1"/>
  <c r="AP668" i="1"/>
  <c r="AO669" i="1"/>
  <c r="AM670" i="1"/>
  <c r="AR670" i="1" s="1"/>
  <c r="AP672" i="1"/>
  <c r="AO673" i="1"/>
  <c r="AM674" i="1"/>
  <c r="Y674" i="1" s="1"/>
  <c r="AS674" i="1" s="1"/>
  <c r="AP676" i="1"/>
  <c r="AM678" i="1"/>
  <c r="AP680" i="1"/>
  <c r="AO681" i="1"/>
  <c r="AM682" i="1"/>
  <c r="AO682" i="1" s="1"/>
  <c r="AR682" i="1"/>
  <c r="AO685" i="1"/>
  <c r="AM686" i="1"/>
  <c r="AO686" i="1" s="1"/>
  <c r="AO687" i="1"/>
  <c r="AR687" i="1"/>
  <c r="AM690" i="1"/>
  <c r="AR690" i="1" s="1"/>
  <c r="AR692" i="1"/>
  <c r="AM692" i="1"/>
  <c r="Y692" i="1" s="1"/>
  <c r="AS692" i="1" s="1"/>
  <c r="AQ694" i="1"/>
  <c r="AR697" i="1"/>
  <c r="AP697" i="1"/>
  <c r="AM698" i="1"/>
  <c r="Y698" i="1" s="1"/>
  <c r="AS698" i="1" s="1"/>
  <c r="AM699" i="1"/>
  <c r="AP699" i="1" s="1"/>
  <c r="AQ701" i="1"/>
  <c r="AQ703" i="1"/>
  <c r="AQ710" i="1"/>
  <c r="AR713" i="1"/>
  <c r="AP713" i="1"/>
  <c r="AM714" i="1"/>
  <c r="AR714" i="1" s="1"/>
  <c r="AM715" i="1"/>
  <c r="AP715" i="1" s="1"/>
  <c r="AM716" i="1"/>
  <c r="AP716" i="1" s="1"/>
  <c r="AM717" i="1"/>
  <c r="AP717" i="1" s="1"/>
  <c r="AM718" i="1"/>
  <c r="AP718" i="1" s="1"/>
  <c r="AM719" i="1"/>
  <c r="AQ719" i="1" s="1"/>
  <c r="AM720" i="1"/>
  <c r="AQ720" i="1" s="1"/>
  <c r="AM721" i="1"/>
  <c r="AQ721" i="1" s="1"/>
  <c r="Y599" i="1"/>
  <c r="AS599" i="1" s="1"/>
  <c r="Y603" i="1"/>
  <c r="AS603" i="1" s="1"/>
  <c r="Y607" i="1"/>
  <c r="AS607" i="1" s="1"/>
  <c r="Y611" i="1"/>
  <c r="AS611" i="1" s="1"/>
  <c r="Y615" i="1"/>
  <c r="AS615" i="1" s="1"/>
  <c r="AT615" i="1" s="1"/>
  <c r="Y619" i="1"/>
  <c r="AS619" i="1" s="1"/>
  <c r="Y623" i="1"/>
  <c r="AS623" i="1" s="1"/>
  <c r="Y627" i="1"/>
  <c r="AS627" i="1" s="1"/>
  <c r="Y631" i="1"/>
  <c r="AS631" i="1" s="1"/>
  <c r="Y635" i="1"/>
  <c r="AS635" i="1" s="1"/>
  <c r="AT635" i="1" s="1"/>
  <c r="Y639" i="1"/>
  <c r="AS639" i="1" s="1"/>
  <c r="Y643" i="1"/>
  <c r="AS643" i="1" s="1"/>
  <c r="Y647" i="1"/>
  <c r="AS647" i="1" s="1"/>
  <c r="Y651" i="1"/>
  <c r="AS651" i="1" s="1"/>
  <c r="AT651" i="1" s="1"/>
  <c r="Y655" i="1"/>
  <c r="AS655" i="1" s="1"/>
  <c r="Y659" i="1"/>
  <c r="AS659" i="1" s="1"/>
  <c r="AP665" i="1"/>
  <c r="AP669" i="1"/>
  <c r="AP673" i="1"/>
  <c r="Y676" i="1"/>
  <c r="AS676" i="1" s="1"/>
  <c r="Y680" i="1"/>
  <c r="AS680" i="1" s="1"/>
  <c r="AP681" i="1"/>
  <c r="AR683" i="1"/>
  <c r="AQ689" i="1"/>
  <c r="AO693" i="1"/>
  <c r="AO695" i="1"/>
  <c r="AM695" i="1"/>
  <c r="AQ695" i="1" s="1"/>
  <c r="AQ697" i="1"/>
  <c r="AQ699" i="1"/>
  <c r="AO701" i="1"/>
  <c r="Y703" i="1"/>
  <c r="AS703" i="1" s="1"/>
  <c r="AQ706" i="1"/>
  <c r="AR709" i="1"/>
  <c r="AP709" i="1"/>
  <c r="AP711" i="1"/>
  <c r="AO711" i="1"/>
  <c r="AR711" i="1"/>
  <c r="AM711" i="1"/>
  <c r="AQ711" i="1" s="1"/>
  <c r="AQ713" i="1"/>
  <c r="AQ715" i="1"/>
  <c r="AQ716" i="1"/>
  <c r="AQ717" i="1"/>
  <c r="AQ718" i="1"/>
  <c r="AM684" i="1"/>
  <c r="AP684" i="1" s="1"/>
  <c r="AP687" i="1"/>
  <c r="AM688" i="1"/>
  <c r="Y689" i="1"/>
  <c r="AS689" i="1" s="1"/>
  <c r="AO691" i="1"/>
  <c r="AR691" i="1"/>
  <c r="AP692" i="1"/>
  <c r="AP693" i="1"/>
  <c r="AO697" i="1"/>
  <c r="AQ702" i="1"/>
  <c r="AR705" i="1"/>
  <c r="AP705" i="1"/>
  <c r="AV705" i="1" s="1"/>
  <c r="AM707" i="1"/>
  <c r="AQ707" i="1" s="1"/>
  <c r="AO713" i="1"/>
  <c r="Y715" i="1"/>
  <c r="AS715" i="1" s="1"/>
  <c r="AO702" i="1"/>
  <c r="AO710" i="1"/>
  <c r="AO714" i="1"/>
  <c r="AP694" i="1"/>
  <c r="AM696" i="1"/>
  <c r="AP696" i="1" s="1"/>
  <c r="AR696" i="1"/>
  <c r="AP698" i="1"/>
  <c r="AM700" i="1"/>
  <c r="AP700" i="1" s="1"/>
  <c r="AP702" i="1"/>
  <c r="AM704" i="1"/>
  <c r="AP704" i="1" s="1"/>
  <c r="AP706" i="1"/>
  <c r="AM708" i="1"/>
  <c r="AP708" i="1" s="1"/>
  <c r="AP710" i="1"/>
  <c r="AM712" i="1"/>
  <c r="AP712" i="1" s="1"/>
  <c r="AR712" i="1"/>
  <c r="AP714" i="1"/>
  <c r="Y697" i="1"/>
  <c r="AS697" i="1" s="1"/>
  <c r="Y701" i="1"/>
  <c r="AS701" i="1" s="1"/>
  <c r="Y705" i="1"/>
  <c r="AS705" i="1" s="1"/>
  <c r="Y709" i="1"/>
  <c r="AS709" i="1" s="1"/>
  <c r="Y713" i="1"/>
  <c r="AS713" i="1" s="1"/>
  <c r="AR677" i="1" l="1"/>
  <c r="AV573" i="1"/>
  <c r="AV659" i="1"/>
  <c r="AP601" i="1"/>
  <c r="AR452" i="1"/>
  <c r="AP609" i="1"/>
  <c r="AQ462" i="1"/>
  <c r="AT242" i="1"/>
  <c r="AT83" i="1"/>
  <c r="AR573" i="1"/>
  <c r="Y573" i="1"/>
  <c r="AS573" i="1" s="1"/>
  <c r="AO573" i="1"/>
  <c r="AQ676" i="1"/>
  <c r="AQ573" i="1"/>
  <c r="Y616" i="1"/>
  <c r="AS616" i="1" s="1"/>
  <c r="Y683" i="1"/>
  <c r="AS683" i="1" s="1"/>
  <c r="AQ648" i="1"/>
  <c r="AQ627" i="1"/>
  <c r="AQ240" i="1"/>
  <c r="AQ232" i="1"/>
  <c r="AO675" i="1"/>
  <c r="AR592" i="1"/>
  <c r="AQ591" i="1"/>
  <c r="AR98" i="1"/>
  <c r="Y98" i="1"/>
  <c r="AS98" i="1" s="1"/>
  <c r="Y84" i="1"/>
  <c r="AS84" i="1" s="1"/>
  <c r="Y11" i="1"/>
  <c r="AS11" i="1" s="1"/>
  <c r="AO93" i="1"/>
  <c r="AR509" i="1"/>
  <c r="AT234" i="1"/>
  <c r="AO624" i="1"/>
  <c r="AR624" i="1"/>
  <c r="AR587" i="1"/>
  <c r="Y587" i="1"/>
  <c r="AS587" i="1" s="1"/>
  <c r="AO587" i="1"/>
  <c r="AV587" i="1" s="1"/>
  <c r="AQ624" i="1"/>
  <c r="AO709" i="1"/>
  <c r="AQ659" i="1"/>
  <c r="Y580" i="1"/>
  <c r="AS580" i="1" s="1"/>
  <c r="Y648" i="1"/>
  <c r="AS648" i="1" s="1"/>
  <c r="AR632" i="1"/>
  <c r="AT632" i="1" s="1"/>
  <c r="AQ395" i="1"/>
  <c r="AR27" i="1"/>
  <c r="AT27" i="1" s="1"/>
  <c r="AO27" i="1"/>
  <c r="Y632" i="1"/>
  <c r="AS632" i="1" s="1"/>
  <c r="AQ92" i="1"/>
  <c r="AQ397" i="1"/>
  <c r="AQ389" i="1"/>
  <c r="AO91" i="1"/>
  <c r="Y687" i="1"/>
  <c r="AS687" i="1" s="1"/>
  <c r="AQ675" i="1"/>
  <c r="Y27" i="1"/>
  <c r="AS27" i="1" s="1"/>
  <c r="AR31" i="1"/>
  <c r="AV31" i="1" s="1"/>
  <c r="Y31" i="1"/>
  <c r="AS31" i="1" s="1"/>
  <c r="AR99" i="1"/>
  <c r="AV99" i="1" s="1"/>
  <c r="Y99" i="1"/>
  <c r="AS99" i="1" s="1"/>
  <c r="AR30" i="1"/>
  <c r="Y30" i="1"/>
  <c r="AS30" i="1" s="1"/>
  <c r="AO23" i="1"/>
  <c r="AQ690" i="1"/>
  <c r="AR699" i="1"/>
  <c r="AP677" i="1"/>
  <c r="AT647" i="1"/>
  <c r="AT631" i="1"/>
  <c r="AT599" i="1"/>
  <c r="AT604" i="1"/>
  <c r="AP567" i="1"/>
  <c r="AR539" i="1"/>
  <c r="AO509" i="1"/>
  <c r="AO633" i="1"/>
  <c r="AR601" i="1"/>
  <c r="AQ641" i="1"/>
  <c r="AQ609" i="1"/>
  <c r="AO581" i="1"/>
  <c r="AO641" i="1"/>
  <c r="AR609" i="1"/>
  <c r="AQ525" i="1"/>
  <c r="AR521" i="1"/>
  <c r="AP526" i="1"/>
  <c r="AO462" i="1"/>
  <c r="AT244" i="1"/>
  <c r="AT240" i="1"/>
  <c r="AT219" i="1"/>
  <c r="AV30" i="1"/>
  <c r="AT22" i="1"/>
  <c r="AV18" i="1"/>
  <c r="AR136" i="1"/>
  <c r="AR118" i="1"/>
  <c r="AO640" i="1"/>
  <c r="AV640" i="1" s="1"/>
  <c r="Y640" i="1"/>
  <c r="AS640" i="1" s="1"/>
  <c r="AR640" i="1"/>
  <c r="AO600" i="1"/>
  <c r="AR600" i="1"/>
  <c r="AT600" i="1" s="1"/>
  <c r="AQ600" i="1"/>
  <c r="AQ493" i="1"/>
  <c r="Y624" i="1"/>
  <c r="AS624" i="1" s="1"/>
  <c r="AQ643" i="1"/>
  <c r="Y644" i="1"/>
  <c r="AS644" i="1" s="1"/>
  <c r="Y628" i="1"/>
  <c r="AS628" i="1" s="1"/>
  <c r="AP27" i="1"/>
  <c r="AQ228" i="1"/>
  <c r="AT228" i="1" s="1"/>
  <c r="Y92" i="1"/>
  <c r="AS92" i="1" s="1"/>
  <c r="Y91" i="1"/>
  <c r="AS91" i="1" s="1"/>
  <c r="AT644" i="1"/>
  <c r="AV624" i="1"/>
  <c r="AR708" i="1"/>
  <c r="AR707" i="1"/>
  <c r="Y699" i="1"/>
  <c r="AS699" i="1" s="1"/>
  <c r="AV709" i="1"/>
  <c r="AR695" i="1"/>
  <c r="AR686" i="1"/>
  <c r="AO677" i="1"/>
  <c r="AV648" i="1"/>
  <c r="AR634" i="1"/>
  <c r="AR602" i="1"/>
  <c r="AV683" i="1"/>
  <c r="AV643" i="1"/>
  <c r="AV627" i="1"/>
  <c r="AV611" i="1"/>
  <c r="AR605" i="1"/>
  <c r="AQ601" i="1"/>
  <c r="AR589" i="1"/>
  <c r="AV639" i="1"/>
  <c r="AP633" i="1"/>
  <c r="AT607" i="1"/>
  <c r="AO601" i="1"/>
  <c r="AR571" i="1"/>
  <c r="AP581" i="1"/>
  <c r="AR514" i="1"/>
  <c r="AR496" i="1"/>
  <c r="AP641" i="1"/>
  <c r="AO609" i="1"/>
  <c r="AQ526" i="1"/>
  <c r="AR461" i="1"/>
  <c r="AP462" i="1"/>
  <c r="AO433" i="1"/>
  <c r="AO296" i="1"/>
  <c r="AT92" i="1"/>
  <c r="AR296" i="1"/>
  <c r="AR239" i="1"/>
  <c r="AT236" i="1"/>
  <c r="AT232" i="1"/>
  <c r="AV98" i="1"/>
  <c r="AV91" i="1"/>
  <c r="AR10" i="1"/>
  <c r="AO136" i="1"/>
  <c r="AO122" i="1"/>
  <c r="AO118" i="1"/>
  <c r="AO106" i="1"/>
  <c r="AR76" i="1"/>
  <c r="AR56" i="1"/>
  <c r="AO656" i="1"/>
  <c r="AV656" i="1" s="1"/>
  <c r="Y656" i="1"/>
  <c r="AS656" i="1" s="1"/>
  <c r="AR656" i="1"/>
  <c r="AQ640" i="1"/>
  <c r="AQ587" i="1"/>
  <c r="AR667" i="1"/>
  <c r="AO667" i="1"/>
  <c r="AR648" i="1"/>
  <c r="AR579" i="1"/>
  <c r="AV579" i="1" s="1"/>
  <c r="AO579" i="1"/>
  <c r="AQ391" i="1"/>
  <c r="AO26" i="1"/>
  <c r="AT26" i="1" s="1"/>
  <c r="AQ489" i="1"/>
  <c r="AO591" i="1"/>
  <c r="AV591" i="1" s="1"/>
  <c r="Y565" i="1"/>
  <c r="AS565" i="1" s="1"/>
  <c r="AT565" i="1" s="1"/>
  <c r="AQ238" i="1"/>
  <c r="AT238" i="1" s="1"/>
  <c r="AQ230" i="1"/>
  <c r="AT230" i="1" s="1"/>
  <c r="Y26" i="1"/>
  <c r="AS26" i="1" s="1"/>
  <c r="AP93" i="1"/>
  <c r="AT93" i="1" s="1"/>
  <c r="Y93" i="1"/>
  <c r="AS93" i="1" s="1"/>
  <c r="AR23" i="1"/>
  <c r="Y23" i="1"/>
  <c r="AS23" i="1" s="1"/>
  <c r="AQ576" i="1"/>
  <c r="AP576" i="1"/>
  <c r="AO576" i="1"/>
  <c r="AR576" i="1"/>
  <c r="AQ121" i="1"/>
  <c r="AP121" i="1"/>
  <c r="AR121" i="1"/>
  <c r="AO121" i="1"/>
  <c r="AQ105" i="1"/>
  <c r="AP105" i="1"/>
  <c r="AR105" i="1"/>
  <c r="AO105" i="1"/>
  <c r="AR294" i="1"/>
  <c r="AQ294" i="1"/>
  <c r="AO294" i="1"/>
  <c r="AP294" i="1"/>
  <c r="AQ124" i="1"/>
  <c r="AO124" i="1"/>
  <c r="AP124" i="1"/>
  <c r="AR124" i="1"/>
  <c r="AQ108" i="1"/>
  <c r="AO108" i="1"/>
  <c r="AP108" i="1"/>
  <c r="AR108" i="1"/>
  <c r="AQ458" i="1"/>
  <c r="AP458" i="1"/>
  <c r="AR458" i="1"/>
  <c r="AO458" i="1"/>
  <c r="AR117" i="1"/>
  <c r="AO117" i="1"/>
  <c r="AQ117" i="1"/>
  <c r="AP117" i="1"/>
  <c r="AR278" i="1"/>
  <c r="AQ278" i="1"/>
  <c r="AO278" i="1"/>
  <c r="AP278" i="1"/>
  <c r="AQ63" i="1"/>
  <c r="AO63" i="1"/>
  <c r="AP63" i="1"/>
  <c r="AR63" i="1"/>
  <c r="AQ537" i="1"/>
  <c r="AO537" i="1"/>
  <c r="AP537" i="1"/>
  <c r="AR537" i="1"/>
  <c r="AR464" i="1"/>
  <c r="AQ464" i="1"/>
  <c r="AP464" i="1"/>
  <c r="AO464" i="1"/>
  <c r="AO459" i="1"/>
  <c r="AP459" i="1"/>
  <c r="AR459" i="1"/>
  <c r="AQ459" i="1"/>
  <c r="AQ286" i="1"/>
  <c r="AO286" i="1"/>
  <c r="AP286" i="1"/>
  <c r="AR286" i="1"/>
  <c r="AQ217" i="1"/>
  <c r="AO217" i="1"/>
  <c r="AP217" i="1"/>
  <c r="AR217" i="1"/>
  <c r="AR145" i="1"/>
  <c r="AQ145" i="1"/>
  <c r="AO145" i="1"/>
  <c r="AP145" i="1"/>
  <c r="AO70" i="1"/>
  <c r="AP70" i="1"/>
  <c r="AR70" i="1"/>
  <c r="AQ70" i="1"/>
  <c r="AO62" i="1"/>
  <c r="AP62" i="1"/>
  <c r="AR62" i="1"/>
  <c r="AQ62" i="1"/>
  <c r="AO205" i="1"/>
  <c r="AP205" i="1"/>
  <c r="AR205" i="1"/>
  <c r="AQ205" i="1"/>
  <c r="AR73" i="1"/>
  <c r="AQ73" i="1"/>
  <c r="AO73" i="1"/>
  <c r="AP73" i="1"/>
  <c r="AQ65" i="1"/>
  <c r="AO65" i="1"/>
  <c r="AP65" i="1"/>
  <c r="AR65" i="1"/>
  <c r="AV710" i="1"/>
  <c r="AT710" i="1"/>
  <c r="AQ700" i="1"/>
  <c r="AV697" i="1"/>
  <c r="AT697" i="1"/>
  <c r="AQ688" i="1"/>
  <c r="AP688" i="1"/>
  <c r="AO688" i="1"/>
  <c r="AO704" i="1"/>
  <c r="Y688" i="1"/>
  <c r="AS688" i="1" s="1"/>
  <c r="AO708" i="1"/>
  <c r="Y704" i="1"/>
  <c r="AS704" i="1" s="1"/>
  <c r="AP678" i="1"/>
  <c r="AO678" i="1"/>
  <c r="AV673" i="1"/>
  <c r="AP662" i="1"/>
  <c r="AO662" i="1"/>
  <c r="AO590" i="1"/>
  <c r="AP590" i="1"/>
  <c r="AO582" i="1"/>
  <c r="AP582" i="1"/>
  <c r="AO562" i="1"/>
  <c r="AP562" i="1"/>
  <c r="Y718" i="1"/>
  <c r="AS718" i="1" s="1"/>
  <c r="AO712" i="1"/>
  <c r="Y708" i="1"/>
  <c r="AS708" i="1" s="1"/>
  <c r="AQ698" i="1"/>
  <c r="AO684" i="1"/>
  <c r="AQ678" i="1"/>
  <c r="AQ670" i="1"/>
  <c r="AQ662" i="1"/>
  <c r="AQ646" i="1"/>
  <c r="AQ630" i="1"/>
  <c r="AQ614" i="1"/>
  <c r="AQ598" i="1"/>
  <c r="AV592" i="1"/>
  <c r="AT592" i="1"/>
  <c r="AQ582" i="1"/>
  <c r="AV568" i="1"/>
  <c r="AT568" i="1"/>
  <c r="AR678" i="1"/>
  <c r="Y653" i="1"/>
  <c r="AS653" i="1" s="1"/>
  <c r="AQ653" i="1"/>
  <c r="AT640" i="1"/>
  <c r="AR637" i="1"/>
  <c r="AO630" i="1"/>
  <c r="AT624" i="1"/>
  <c r="AR621" i="1"/>
  <c r="AV619" i="1"/>
  <c r="AT619" i="1"/>
  <c r="AV608" i="1"/>
  <c r="AV605" i="1"/>
  <c r="Y602" i="1"/>
  <c r="AS602" i="1" s="1"/>
  <c r="AV569" i="1"/>
  <c r="Y523" i="1"/>
  <c r="AS523" i="1" s="1"/>
  <c r="AM523" i="1"/>
  <c r="AT683" i="1"/>
  <c r="AO658" i="1"/>
  <c r="AV652" i="1"/>
  <c r="AO642" i="1"/>
  <c r="AV636" i="1"/>
  <c r="AO626" i="1"/>
  <c r="AV620" i="1"/>
  <c r="AO610" i="1"/>
  <c r="AV604" i="1"/>
  <c r="AT591" i="1"/>
  <c r="Y582" i="1"/>
  <c r="AS582" i="1" s="1"/>
  <c r="AV578" i="1"/>
  <c r="AV561" i="1"/>
  <c r="AT561" i="1"/>
  <c r="AR544" i="1"/>
  <c r="AR535" i="1"/>
  <c r="AO510" i="1"/>
  <c r="AP506" i="1"/>
  <c r="AO449" i="1"/>
  <c r="AP449" i="1"/>
  <c r="AO445" i="1"/>
  <c r="AP445" i="1"/>
  <c r="AO441" i="1"/>
  <c r="AP441" i="1"/>
  <c r="AV679" i="1"/>
  <c r="AV663" i="1"/>
  <c r="AV661" i="1"/>
  <c r="Y645" i="1"/>
  <c r="AS645" i="1" s="1"/>
  <c r="AQ645" i="1"/>
  <c r="AV632" i="1"/>
  <c r="AV629" i="1"/>
  <c r="Y613" i="1"/>
  <c r="AS613" i="1" s="1"/>
  <c r="AQ613" i="1"/>
  <c r="AV600" i="1"/>
  <c r="Y593" i="1"/>
  <c r="AS593" i="1" s="1"/>
  <c r="Y567" i="1"/>
  <c r="AS567" i="1" s="1"/>
  <c r="AP531" i="1"/>
  <c r="AV502" i="1"/>
  <c r="AT502" i="1"/>
  <c r="AQ450" i="1"/>
  <c r="AQ446" i="1"/>
  <c r="AQ442" i="1"/>
  <c r="AQ438" i="1"/>
  <c r="AP682" i="1"/>
  <c r="AQ665" i="1"/>
  <c r="AR657" i="1"/>
  <c r="AO650" i="1"/>
  <c r="AV644" i="1"/>
  <c r="AR625" i="1"/>
  <c r="AO618" i="1"/>
  <c r="AV612" i="1"/>
  <c r="AT583" i="1"/>
  <c r="Y574" i="1"/>
  <c r="AS574" i="1" s="1"/>
  <c r="AM549" i="1"/>
  <c r="AQ549" i="1" s="1"/>
  <c r="AO546" i="1"/>
  <c r="AM542" i="1"/>
  <c r="Y542" i="1" s="1"/>
  <c r="AS542" i="1" s="1"/>
  <c r="AP533" i="1"/>
  <c r="AM529" i="1"/>
  <c r="Y529" i="1" s="1"/>
  <c r="AS529" i="1" s="1"/>
  <c r="AO511" i="1"/>
  <c r="AO506" i="1"/>
  <c r="AT497" i="1"/>
  <c r="AQ492" i="1"/>
  <c r="AT489" i="1"/>
  <c r="AT659" i="1"/>
  <c r="AT627" i="1"/>
  <c r="Y531" i="1"/>
  <c r="AS531" i="1" s="1"/>
  <c r="Y507" i="1"/>
  <c r="AS507" i="1" s="1"/>
  <c r="AV461" i="1"/>
  <c r="AT461" i="1"/>
  <c r="Y453" i="1"/>
  <c r="AS453" i="1" s="1"/>
  <c r="AQ13" i="1"/>
  <c r="AQ544" i="1"/>
  <c r="Y527" i="1"/>
  <c r="AS527" i="1" s="1"/>
  <c r="AO507" i="1"/>
  <c r="AO496" i="1"/>
  <c r="Y460" i="1"/>
  <c r="AS460" i="1" s="1"/>
  <c r="AQ285" i="1"/>
  <c r="AQ204" i="1"/>
  <c r="AQ97" i="1"/>
  <c r="AQ78" i="1"/>
  <c r="AQ52" i="1"/>
  <c r="AQ48" i="1"/>
  <c r="AQ44" i="1"/>
  <c r="AQ40" i="1"/>
  <c r="AQ36" i="1"/>
  <c r="AQ29" i="1"/>
  <c r="AR14" i="1"/>
  <c r="AV607" i="1"/>
  <c r="Y535" i="1"/>
  <c r="AS535" i="1" s="1"/>
  <c r="AQ509" i="1"/>
  <c r="AR446" i="1"/>
  <c r="AR438" i="1"/>
  <c r="AR437" i="1"/>
  <c r="AP216" i="1"/>
  <c r="AP208" i="1"/>
  <c r="AP200" i="1"/>
  <c r="AP101" i="1"/>
  <c r="AP78" i="1"/>
  <c r="AP54" i="1"/>
  <c r="AP50" i="1"/>
  <c r="AP46" i="1"/>
  <c r="AP42" i="1"/>
  <c r="AP38" i="1"/>
  <c r="AP34" i="1"/>
  <c r="AT655" i="1"/>
  <c r="AT623" i="1"/>
  <c r="AQ567" i="1"/>
  <c r="Y494" i="1"/>
  <c r="AS494" i="1" s="1"/>
  <c r="Y456" i="1"/>
  <c r="AS456" i="1" s="1"/>
  <c r="AT394" i="1"/>
  <c r="AO293" i="1"/>
  <c r="AM287" i="1"/>
  <c r="Y287" i="1" s="1"/>
  <c r="AS287" i="1" s="1"/>
  <c r="AO277" i="1"/>
  <c r="AO216" i="1"/>
  <c r="AP210" i="1"/>
  <c r="AM210" i="1"/>
  <c r="Y210" i="1" s="1"/>
  <c r="AS210" i="1" s="1"/>
  <c r="AQ210" i="1"/>
  <c r="AO137" i="1"/>
  <c r="AO101" i="1"/>
  <c r="AV88" i="1"/>
  <c r="AP85" i="1"/>
  <c r="AO85" i="1"/>
  <c r="AO78" i="1"/>
  <c r="AO57" i="1"/>
  <c r="AR57" i="1"/>
  <c r="AM57" i="1"/>
  <c r="Y57" i="1" s="1"/>
  <c r="AS57" i="1" s="1"/>
  <c r="AO52" i="1"/>
  <c r="AO48" i="1"/>
  <c r="AO44" i="1"/>
  <c r="AO40" i="1"/>
  <c r="AO36" i="1"/>
  <c r="AO29" i="1"/>
  <c r="AO13" i="1"/>
  <c r="AO9" i="1"/>
  <c r="AO5" i="1"/>
  <c r="AR297" i="1"/>
  <c r="AR289" i="1"/>
  <c r="AR277" i="1"/>
  <c r="Y208" i="1"/>
  <c r="AS208" i="1" s="1"/>
  <c r="AP202" i="1"/>
  <c r="AO202" i="1"/>
  <c r="AR202" i="1"/>
  <c r="AR130" i="1"/>
  <c r="AQ126" i="1"/>
  <c r="AR114" i="1"/>
  <c r="AQ110" i="1"/>
  <c r="AV100" i="1"/>
  <c r="AT100" i="1"/>
  <c r="Y97" i="1"/>
  <c r="AS97" i="1" s="1"/>
  <c r="Y51" i="1"/>
  <c r="AS51" i="1" s="1"/>
  <c r="Y43" i="1"/>
  <c r="AS43" i="1" s="1"/>
  <c r="Y35" i="1"/>
  <c r="AS35" i="1" s="1"/>
  <c r="AT30" i="1"/>
  <c r="AV22" i="1"/>
  <c r="Y4" i="1"/>
  <c r="AS4" i="1" s="1"/>
  <c r="Y44" i="1"/>
  <c r="AS44" i="1" s="1"/>
  <c r="AT18" i="1"/>
  <c r="AV12" i="1"/>
  <c r="AT12" i="1"/>
  <c r="Y288" i="1"/>
  <c r="AS288" i="1" s="1"/>
  <c r="AQ241" i="1"/>
  <c r="AQ233" i="1"/>
  <c r="AR208" i="1"/>
  <c r="AO201" i="1"/>
  <c r="AR201" i="1"/>
  <c r="Y130" i="1"/>
  <c r="AS130" i="1" s="1"/>
  <c r="AM129" i="1"/>
  <c r="Y122" i="1"/>
  <c r="AS122" i="1" s="1"/>
  <c r="Y114" i="1"/>
  <c r="AS114" i="1" s="1"/>
  <c r="AM113" i="1"/>
  <c r="Y106" i="1"/>
  <c r="AS106" i="1" s="1"/>
  <c r="Y89" i="1"/>
  <c r="AS89" i="1" s="1"/>
  <c r="AT84" i="1"/>
  <c r="Y78" i="1"/>
  <c r="AS78" i="1" s="1"/>
  <c r="AV76" i="1"/>
  <c r="AR53" i="1"/>
  <c r="Y36" i="1"/>
  <c r="AS36" i="1" s="1"/>
  <c r="AV20" i="1"/>
  <c r="AT20" i="1"/>
  <c r="AQ288" i="1"/>
  <c r="Y243" i="1"/>
  <c r="AS243" i="1" s="1"/>
  <c r="Y239" i="1"/>
  <c r="AS239" i="1" s="1"/>
  <c r="Y235" i="1"/>
  <c r="AS235" i="1" s="1"/>
  <c r="Y231" i="1"/>
  <c r="AS231" i="1" s="1"/>
  <c r="Y215" i="1"/>
  <c r="AS215" i="1" s="1"/>
  <c r="AQ199" i="1"/>
  <c r="AT102" i="1"/>
  <c r="AR90" i="1"/>
  <c r="AQ60" i="1"/>
  <c r="Y53" i="1"/>
  <c r="AS53" i="1" s="1"/>
  <c r="Y45" i="1"/>
  <c r="AS45" i="1" s="1"/>
  <c r="Y37" i="1"/>
  <c r="AS37" i="1" s="1"/>
  <c r="AV26" i="1"/>
  <c r="AO10" i="1"/>
  <c r="Y13" i="1"/>
  <c r="AS13" i="1" s="1"/>
  <c r="AQ220" i="1"/>
  <c r="AQ203" i="1"/>
  <c r="Y136" i="1"/>
  <c r="AS136" i="1" s="1"/>
  <c r="AR97" i="1"/>
  <c r="Y90" i="1"/>
  <c r="AS90" i="1" s="1"/>
  <c r="AV83" i="1"/>
  <c r="AQ75" i="1"/>
  <c r="AM68" i="1"/>
  <c r="Y61" i="1"/>
  <c r="AS61" i="1" s="1"/>
  <c r="Y54" i="1"/>
  <c r="AS54" i="1" s="1"/>
  <c r="Y46" i="1"/>
  <c r="AS46" i="1" s="1"/>
  <c r="Y38" i="1"/>
  <c r="AS38" i="1" s="1"/>
  <c r="Y21" i="1"/>
  <c r="AS21" i="1" s="1"/>
  <c r="AQ708" i="1"/>
  <c r="AQ696" i="1"/>
  <c r="AV713" i="1"/>
  <c r="AT713" i="1"/>
  <c r="AO707" i="1"/>
  <c r="Y696" i="1"/>
  <c r="AS696" i="1" s="1"/>
  <c r="AV691" i="1"/>
  <c r="AT691" i="1"/>
  <c r="AR688" i="1"/>
  <c r="AP695" i="1"/>
  <c r="AV695" i="1" s="1"/>
  <c r="AQ684" i="1"/>
  <c r="AR721" i="1"/>
  <c r="AR720" i="1"/>
  <c r="AR719" i="1"/>
  <c r="AR718" i="1"/>
  <c r="AR717" i="1"/>
  <c r="AR716" i="1"/>
  <c r="AR715" i="1"/>
  <c r="Y707" i="1"/>
  <c r="AS707" i="1" s="1"/>
  <c r="AO699" i="1"/>
  <c r="AO690" i="1"/>
  <c r="Y690" i="1"/>
  <c r="AS690" i="1" s="1"/>
  <c r="AV682" i="1"/>
  <c r="AV677" i="1"/>
  <c r="AP666" i="1"/>
  <c r="AO666" i="1"/>
  <c r="AO570" i="1"/>
  <c r="AP570" i="1"/>
  <c r="Y721" i="1"/>
  <c r="AS721" i="1" s="1"/>
  <c r="Y717" i="1"/>
  <c r="AS717" i="1" s="1"/>
  <c r="Y711" i="1"/>
  <c r="AS711" i="1" s="1"/>
  <c r="AO696" i="1"/>
  <c r="AP690" i="1"/>
  <c r="AV680" i="1"/>
  <c r="AT680" i="1"/>
  <c r="AV672" i="1"/>
  <c r="AT672" i="1"/>
  <c r="AV664" i="1"/>
  <c r="AT664" i="1"/>
  <c r="AQ658" i="1"/>
  <c r="AQ642" i="1"/>
  <c r="AQ626" i="1"/>
  <c r="AQ610" i="1"/>
  <c r="AV596" i="1"/>
  <c r="AT596" i="1"/>
  <c r="AV580" i="1"/>
  <c r="AT580" i="1"/>
  <c r="AV572" i="1"/>
  <c r="AT572" i="1"/>
  <c r="AQ566" i="1"/>
  <c r="AV706" i="1"/>
  <c r="AT706" i="1"/>
  <c r="AQ677" i="1"/>
  <c r="AT677" i="1" s="1"/>
  <c r="Y666" i="1"/>
  <c r="AS666" i="1" s="1"/>
  <c r="AT656" i="1"/>
  <c r="AR653" i="1"/>
  <c r="AO646" i="1"/>
  <c r="AO637" i="1"/>
  <c r="AO621" i="1"/>
  <c r="Y618" i="1"/>
  <c r="AS618" i="1" s="1"/>
  <c r="AP589" i="1"/>
  <c r="AR582" i="1"/>
  <c r="AT540" i="1"/>
  <c r="AQ515" i="1"/>
  <c r="AP515" i="1"/>
  <c r="AO515" i="1"/>
  <c r="AR593" i="1"/>
  <c r="AQ578" i="1"/>
  <c r="AT573" i="1"/>
  <c r="AO571" i="1"/>
  <c r="AR567" i="1"/>
  <c r="AV567" i="1" s="1"/>
  <c r="AP535" i="1"/>
  <c r="AR533" i="1"/>
  <c r="AR520" i="1"/>
  <c r="AR511" i="1"/>
  <c r="AO448" i="1"/>
  <c r="AP448" i="1"/>
  <c r="AO444" i="1"/>
  <c r="AP444" i="1"/>
  <c r="AO440" i="1"/>
  <c r="AP440" i="1"/>
  <c r="AV671" i="1"/>
  <c r="Y662" i="1"/>
  <c r="AS662" i="1" s="1"/>
  <c r="AO654" i="1"/>
  <c r="AT648" i="1"/>
  <c r="AR645" i="1"/>
  <c r="Y642" i="1"/>
  <c r="AS642" i="1" s="1"/>
  <c r="AO622" i="1"/>
  <c r="AT616" i="1"/>
  <c r="AR613" i="1"/>
  <c r="Y610" i="1"/>
  <c r="AS610" i="1" s="1"/>
  <c r="AP597" i="1"/>
  <c r="AR590" i="1"/>
  <c r="AT579" i="1"/>
  <c r="Y562" i="1"/>
  <c r="AS562" i="1" s="1"/>
  <c r="AO538" i="1"/>
  <c r="AQ538" i="1"/>
  <c r="AQ531" i="1"/>
  <c r="AT528" i="1"/>
  <c r="AP507" i="1"/>
  <c r="AR498" i="1"/>
  <c r="AR490" i="1"/>
  <c r="AR460" i="1"/>
  <c r="AR456" i="1"/>
  <c r="AQ449" i="1"/>
  <c r="AQ445" i="1"/>
  <c r="AQ441" i="1"/>
  <c r="AT397" i="1"/>
  <c r="AT393" i="1"/>
  <c r="AT389" i="1"/>
  <c r="AP686" i="1"/>
  <c r="AR674" i="1"/>
  <c r="AT660" i="1"/>
  <c r="AO657" i="1"/>
  <c r="Y638" i="1"/>
  <c r="AS638" i="1" s="1"/>
  <c r="AT628" i="1"/>
  <c r="AO625" i="1"/>
  <c r="Y606" i="1"/>
  <c r="AS606" i="1" s="1"/>
  <c r="Y597" i="1"/>
  <c r="AS597" i="1" s="1"/>
  <c r="AR585" i="1"/>
  <c r="AQ563" i="1"/>
  <c r="AP563" i="1"/>
  <c r="AM532" i="1"/>
  <c r="Y532" i="1" s="1"/>
  <c r="AS532" i="1" s="1"/>
  <c r="AP520" i="1"/>
  <c r="AP510" i="1"/>
  <c r="Y506" i="1"/>
  <c r="AS506" i="1" s="1"/>
  <c r="AT499" i="1"/>
  <c r="AQ494" i="1"/>
  <c r="AT491" i="1"/>
  <c r="AQ460" i="1"/>
  <c r="AQ456" i="1"/>
  <c r="AQ452" i="1"/>
  <c r="Y538" i="1"/>
  <c r="AS538" i="1" s="1"/>
  <c r="Y520" i="1"/>
  <c r="AS520" i="1" s="1"/>
  <c r="Y514" i="1"/>
  <c r="AS514" i="1" s="1"/>
  <c r="AO498" i="1"/>
  <c r="Y451" i="1"/>
  <c r="AS451" i="1" s="1"/>
  <c r="Y443" i="1"/>
  <c r="AS443" i="1" s="1"/>
  <c r="AO434" i="1"/>
  <c r="AR434" i="1"/>
  <c r="AQ8" i="1"/>
  <c r="Y544" i="1"/>
  <c r="AS544" i="1" s="1"/>
  <c r="Y515" i="1"/>
  <c r="AS515" i="1" s="1"/>
  <c r="Y490" i="1"/>
  <c r="AS490" i="1" s="1"/>
  <c r="AM463" i="1"/>
  <c r="Y463" i="1" s="1"/>
  <c r="AS463" i="1" s="1"/>
  <c r="AR445" i="1"/>
  <c r="AQ297" i="1"/>
  <c r="AQ281" i="1"/>
  <c r="AQ216" i="1"/>
  <c r="AQ200" i="1"/>
  <c r="AQ90" i="1"/>
  <c r="AQ55" i="1"/>
  <c r="AQ51" i="1"/>
  <c r="AQ47" i="1"/>
  <c r="AQ43" i="1"/>
  <c r="AQ39" i="1"/>
  <c r="AQ35" i="1"/>
  <c r="AQ9" i="1"/>
  <c r="Y545" i="1"/>
  <c r="AS545" i="1" s="1"/>
  <c r="AT545" i="1" s="1"/>
  <c r="AQ533" i="1"/>
  <c r="Y496" i="1"/>
  <c r="AS496" i="1" s="1"/>
  <c r="AO460" i="1"/>
  <c r="AT460" i="1" s="1"/>
  <c r="AO452" i="1"/>
  <c r="Y445" i="1"/>
  <c r="AS445" i="1" s="1"/>
  <c r="AP437" i="1"/>
  <c r="AO437" i="1"/>
  <c r="AP293" i="1"/>
  <c r="AP285" i="1"/>
  <c r="AP277" i="1"/>
  <c r="AP82" i="1"/>
  <c r="AP53" i="1"/>
  <c r="AP49" i="1"/>
  <c r="AP45" i="1"/>
  <c r="AP41" i="1"/>
  <c r="AP37" i="1"/>
  <c r="AP33" i="1"/>
  <c r="AP25" i="1"/>
  <c r="AP17" i="1"/>
  <c r="Y546" i="1"/>
  <c r="AS546" i="1" s="1"/>
  <c r="Y522" i="1"/>
  <c r="AS522" i="1" s="1"/>
  <c r="AO492" i="1"/>
  <c r="Y437" i="1"/>
  <c r="AS437" i="1" s="1"/>
  <c r="AT396" i="1"/>
  <c r="AR292" i="1"/>
  <c r="AO289" i="1"/>
  <c r="Y286" i="1"/>
  <c r="AS286" i="1" s="1"/>
  <c r="AM283" i="1"/>
  <c r="Y283" i="1" s="1"/>
  <c r="AS283" i="1" s="1"/>
  <c r="AR276" i="1"/>
  <c r="AR241" i="1"/>
  <c r="AR233" i="1"/>
  <c r="AR218" i="1"/>
  <c r="AR215" i="1"/>
  <c r="AO212" i="1"/>
  <c r="AM206" i="1"/>
  <c r="Y206" i="1" s="1"/>
  <c r="AS206" i="1" s="1"/>
  <c r="AM127" i="1"/>
  <c r="Y127" i="1" s="1"/>
  <c r="AS127" i="1" s="1"/>
  <c r="AR119" i="1"/>
  <c r="AM119" i="1"/>
  <c r="Y119" i="1" s="1"/>
  <c r="AS119" i="1" s="1"/>
  <c r="AQ119" i="1"/>
  <c r="AM111" i="1"/>
  <c r="Y111" i="1" s="1"/>
  <c r="AS111" i="1" s="1"/>
  <c r="AO97" i="1"/>
  <c r="AV94" i="1"/>
  <c r="AO90" i="1"/>
  <c r="AP81" i="1"/>
  <c r="AO81" i="1"/>
  <c r="Y63" i="1"/>
  <c r="AS63" i="1" s="1"/>
  <c r="AO55" i="1"/>
  <c r="AO51" i="1"/>
  <c r="AO47" i="1"/>
  <c r="AO43" i="1"/>
  <c r="AO39" i="1"/>
  <c r="AO35" i="1"/>
  <c r="AO25" i="1"/>
  <c r="AO8" i="1"/>
  <c r="AO4" i="1"/>
  <c r="Y297" i="1"/>
  <c r="AS297" i="1" s="1"/>
  <c r="Y289" i="1"/>
  <c r="AS289" i="1" s="1"/>
  <c r="Y218" i="1"/>
  <c r="AS218" i="1" s="1"/>
  <c r="Y204" i="1"/>
  <c r="AS204" i="1" s="1"/>
  <c r="AQ198" i="1"/>
  <c r="AR137" i="1"/>
  <c r="AP136" i="1"/>
  <c r="AT136" i="1" s="1"/>
  <c r="AO130" i="1"/>
  <c r="AR126" i="1"/>
  <c r="AQ122" i="1"/>
  <c r="AP118" i="1"/>
  <c r="AO114" i="1"/>
  <c r="AR110" i="1"/>
  <c r="AQ106" i="1"/>
  <c r="AR61" i="1"/>
  <c r="AR48" i="1"/>
  <c r="AR40" i="1"/>
  <c r="AV24" i="1"/>
  <c r="AT24" i="1"/>
  <c r="AR9" i="1"/>
  <c r="AR41" i="1"/>
  <c r="AR6" i="1"/>
  <c r="Y284" i="1"/>
  <c r="AS284" i="1" s="1"/>
  <c r="AQ239" i="1"/>
  <c r="AT239" i="1" s="1"/>
  <c r="AQ231" i="1"/>
  <c r="AT231" i="1" s="1"/>
  <c r="AR204" i="1"/>
  <c r="AO197" i="1"/>
  <c r="AT87" i="1"/>
  <c r="Y81" i="1"/>
  <c r="AS81" i="1" s="1"/>
  <c r="AQ76" i="1"/>
  <c r="AT76" i="1" s="1"/>
  <c r="AM74" i="1"/>
  <c r="AR49" i="1"/>
  <c r="AR25" i="1"/>
  <c r="Y9" i="1"/>
  <c r="AS9" i="1" s="1"/>
  <c r="AQ292" i="1"/>
  <c r="AM290" i="1"/>
  <c r="AQ276" i="1"/>
  <c r="Y211" i="1"/>
  <c r="AS211" i="1" s="1"/>
  <c r="AM120" i="1"/>
  <c r="AM104" i="1"/>
  <c r="Y104" i="1" s="1"/>
  <c r="AS104" i="1" s="1"/>
  <c r="AV96" i="1"/>
  <c r="AT96" i="1"/>
  <c r="AQ85" i="1"/>
  <c r="AR60" i="1"/>
  <c r="AP56" i="1"/>
  <c r="AR50" i="1"/>
  <c r="AR42" i="1"/>
  <c r="AR34" i="1"/>
  <c r="AV28" i="1"/>
  <c r="AT28" i="1"/>
  <c r="Y25" i="1"/>
  <c r="AS25" i="1" s="1"/>
  <c r="AV16" i="1"/>
  <c r="AT16" i="1"/>
  <c r="AR7" i="1"/>
  <c r="AR8" i="1"/>
  <c r="Y285" i="1"/>
  <c r="AS285" i="1" s="1"/>
  <c r="AQ218" i="1"/>
  <c r="AQ207" i="1"/>
  <c r="AR200" i="1"/>
  <c r="Y82" i="1"/>
  <c r="AS82" i="1" s="1"/>
  <c r="AR75" i="1"/>
  <c r="AM64" i="1"/>
  <c r="Y60" i="1"/>
  <c r="AS60" i="1" s="1"/>
  <c r="AR51" i="1"/>
  <c r="AR43" i="1"/>
  <c r="AR35" i="1"/>
  <c r="AR700" i="1"/>
  <c r="AV714" i="1"/>
  <c r="AQ704" i="1"/>
  <c r="Y712" i="1"/>
  <c r="AS712" i="1" s="1"/>
  <c r="AP707" i="1"/>
  <c r="AO700" i="1"/>
  <c r="AV701" i="1"/>
  <c r="AT701" i="1"/>
  <c r="AV693" i="1"/>
  <c r="AT693" i="1"/>
  <c r="AO721" i="1"/>
  <c r="AO720" i="1"/>
  <c r="AO719" i="1"/>
  <c r="AO718" i="1"/>
  <c r="AT718" i="1" s="1"/>
  <c r="AO717" i="1"/>
  <c r="AT717" i="1" s="1"/>
  <c r="AO716" i="1"/>
  <c r="AO715" i="1"/>
  <c r="AT705" i="1"/>
  <c r="AV685" i="1"/>
  <c r="AT685" i="1"/>
  <c r="AV681" i="1"/>
  <c r="AP670" i="1"/>
  <c r="AO670" i="1"/>
  <c r="AV665" i="1"/>
  <c r="AT665" i="1"/>
  <c r="AR658" i="1"/>
  <c r="AR642" i="1"/>
  <c r="AR626" i="1"/>
  <c r="AR610" i="1"/>
  <c r="AO594" i="1"/>
  <c r="AP594" i="1"/>
  <c r="AO586" i="1"/>
  <c r="AP586" i="1"/>
  <c r="Y576" i="1"/>
  <c r="AS576" i="1" s="1"/>
  <c r="Y720" i="1"/>
  <c r="AS720" i="1" s="1"/>
  <c r="Y716" i="1"/>
  <c r="AS716" i="1" s="1"/>
  <c r="AT709" i="1"/>
  <c r="Y695" i="1"/>
  <c r="AS695" i="1" s="1"/>
  <c r="AQ686" i="1"/>
  <c r="AQ682" i="1"/>
  <c r="AQ674" i="1"/>
  <c r="AQ666" i="1"/>
  <c r="AQ654" i="1"/>
  <c r="AQ638" i="1"/>
  <c r="AQ622" i="1"/>
  <c r="AQ606" i="1"/>
  <c r="AQ590" i="1"/>
  <c r="AV584" i="1"/>
  <c r="AT584" i="1"/>
  <c r="AQ570" i="1"/>
  <c r="AQ562" i="1"/>
  <c r="Y684" i="1"/>
  <c r="AS684" i="1" s="1"/>
  <c r="AO653" i="1"/>
  <c r="Y634" i="1"/>
  <c r="AS634" i="1" s="1"/>
  <c r="Y605" i="1"/>
  <c r="AS605" i="1" s="1"/>
  <c r="AQ605" i="1"/>
  <c r="AT605" i="1" s="1"/>
  <c r="AO598" i="1"/>
  <c r="AT587" i="1"/>
  <c r="Y566" i="1"/>
  <c r="AS566" i="1" s="1"/>
  <c r="AQ539" i="1"/>
  <c r="AP539" i="1"/>
  <c r="AO539" i="1"/>
  <c r="AT539" i="1" s="1"/>
  <c r="Y537" i="1"/>
  <c r="AS537" i="1" s="1"/>
  <c r="AT533" i="1"/>
  <c r="AM524" i="1"/>
  <c r="Y524" i="1"/>
  <c r="AS524" i="1" s="1"/>
  <c r="AQ517" i="1"/>
  <c r="AO517" i="1"/>
  <c r="AM517" i="1"/>
  <c r="Y517" i="1" s="1"/>
  <c r="AS517" i="1" s="1"/>
  <c r="AR515" i="1"/>
  <c r="AM512" i="1"/>
  <c r="Y512" i="1" s="1"/>
  <c r="AS512" i="1" s="1"/>
  <c r="AV501" i="1"/>
  <c r="Y682" i="1"/>
  <c r="AS682" i="1" s="1"/>
  <c r="AQ669" i="1"/>
  <c r="AR649" i="1"/>
  <c r="AR633" i="1"/>
  <c r="AR617" i="1"/>
  <c r="AO593" i="1"/>
  <c r="Y589" i="1"/>
  <c r="AS589" i="1" s="1"/>
  <c r="AP571" i="1"/>
  <c r="AR534" i="1"/>
  <c r="AR530" i="1"/>
  <c r="AP511" i="1"/>
  <c r="AO451" i="1"/>
  <c r="AP451" i="1"/>
  <c r="AO447" i="1"/>
  <c r="AP447" i="1"/>
  <c r="AO443" i="1"/>
  <c r="AP443" i="1"/>
  <c r="AO439" i="1"/>
  <c r="AP439" i="1"/>
  <c r="AV689" i="1"/>
  <c r="AT689" i="1"/>
  <c r="AR684" i="1"/>
  <c r="Y670" i="1"/>
  <c r="AS670" i="1" s="1"/>
  <c r="Y661" i="1"/>
  <c r="AS661" i="1" s="1"/>
  <c r="AQ661" i="1"/>
  <c r="AT661" i="1" s="1"/>
  <c r="AO645" i="1"/>
  <c r="Y629" i="1"/>
  <c r="AS629" i="1" s="1"/>
  <c r="AQ629" i="1"/>
  <c r="AO613" i="1"/>
  <c r="AT595" i="1"/>
  <c r="AM547" i="1"/>
  <c r="Y547" i="1" s="1"/>
  <c r="AS547" i="1" s="1"/>
  <c r="AQ507" i="1"/>
  <c r="AV504" i="1"/>
  <c r="AT504" i="1"/>
  <c r="AR492" i="1"/>
  <c r="AQ448" i="1"/>
  <c r="AQ444" i="1"/>
  <c r="AQ440" i="1"/>
  <c r="Y714" i="1"/>
  <c r="AS714" i="1" s="1"/>
  <c r="AV694" i="1"/>
  <c r="AT694" i="1"/>
  <c r="AQ673" i="1"/>
  <c r="AT673" i="1" s="1"/>
  <c r="AP657" i="1"/>
  <c r="AR641" i="1"/>
  <c r="AO634" i="1"/>
  <c r="AP625" i="1"/>
  <c r="AO602" i="1"/>
  <c r="AR594" i="1"/>
  <c r="AO585" i="1"/>
  <c r="Y581" i="1"/>
  <c r="AS581" i="1" s="1"/>
  <c r="AM575" i="1"/>
  <c r="AO535" i="1"/>
  <c r="AT535" i="1" s="1"/>
  <c r="AO530" i="1"/>
  <c r="AT522" i="1"/>
  <c r="AM518" i="1"/>
  <c r="Y518" i="1" s="1"/>
  <c r="AS518" i="1" s="1"/>
  <c r="AP509" i="1"/>
  <c r="AT509" i="1" s="1"/>
  <c r="AM505" i="1"/>
  <c r="Y505" i="1" s="1"/>
  <c r="AS505" i="1" s="1"/>
  <c r="AQ496" i="1"/>
  <c r="AT493" i="1"/>
  <c r="Y459" i="1"/>
  <c r="AS459" i="1" s="1"/>
  <c r="AM436" i="1"/>
  <c r="Y436" i="1" s="1"/>
  <c r="AS436" i="1" s="1"/>
  <c r="AT643" i="1"/>
  <c r="AQ534" i="1"/>
  <c r="AR526" i="1"/>
  <c r="AT526" i="1" s="1"/>
  <c r="AQ510" i="1"/>
  <c r="Y492" i="1"/>
  <c r="AS492" i="1" s="1"/>
  <c r="AO456" i="1"/>
  <c r="AT456" i="1" s="1"/>
  <c r="AR448" i="1"/>
  <c r="AR440" i="1"/>
  <c r="AP434" i="1"/>
  <c r="AQ7" i="1"/>
  <c r="AO543" i="1"/>
  <c r="AR543" i="1"/>
  <c r="AO519" i="1"/>
  <c r="AT519" i="1" s="1"/>
  <c r="AR519" i="1"/>
  <c r="AQ514" i="1"/>
  <c r="AT514" i="1" s="1"/>
  <c r="Y452" i="1"/>
  <c r="AS452" i="1" s="1"/>
  <c r="Y444" i="1"/>
  <c r="AS444" i="1" s="1"/>
  <c r="AQ293" i="1"/>
  <c r="AQ277" i="1"/>
  <c r="AQ212" i="1"/>
  <c r="AQ137" i="1"/>
  <c r="AQ86" i="1"/>
  <c r="AQ54" i="1"/>
  <c r="AQ50" i="1"/>
  <c r="AQ46" i="1"/>
  <c r="AQ42" i="1"/>
  <c r="AQ38" i="1"/>
  <c r="AQ34" i="1"/>
  <c r="AQ21" i="1"/>
  <c r="AQ4" i="1"/>
  <c r="AQ511" i="1"/>
  <c r="AQ501" i="1"/>
  <c r="AT501" i="1" s="1"/>
  <c r="AO494" i="1"/>
  <c r="AT494" i="1" s="1"/>
  <c r="AQ457" i="1"/>
  <c r="AR450" i="1"/>
  <c r="AR442" i="1"/>
  <c r="AM435" i="1"/>
  <c r="AR433" i="1"/>
  <c r="AP212" i="1"/>
  <c r="AP204" i="1"/>
  <c r="AT204" i="1" s="1"/>
  <c r="Y121" i="1"/>
  <c r="AS121" i="1" s="1"/>
  <c r="Y105" i="1"/>
  <c r="AS105" i="1" s="1"/>
  <c r="AP86" i="1"/>
  <c r="AP52" i="1"/>
  <c r="AP48" i="1"/>
  <c r="AP44" i="1"/>
  <c r="AP40" i="1"/>
  <c r="AP36" i="1"/>
  <c r="AQ14" i="1"/>
  <c r="AT639" i="1"/>
  <c r="AT611" i="1"/>
  <c r="Y534" i="1"/>
  <c r="AS534" i="1" s="1"/>
  <c r="Y510" i="1"/>
  <c r="AS510" i="1" s="1"/>
  <c r="Y434" i="1"/>
  <c r="AS434" i="1" s="1"/>
  <c r="AT390" i="1"/>
  <c r="AM295" i="1"/>
  <c r="Y295" i="1" s="1"/>
  <c r="AS295" i="1" s="1"/>
  <c r="AR288" i="1"/>
  <c r="AO285" i="1"/>
  <c r="AT285" i="1" s="1"/>
  <c r="AM279" i="1"/>
  <c r="Y279" i="1" s="1"/>
  <c r="AS279" i="1" s="1"/>
  <c r="AR243" i="1"/>
  <c r="AR235" i="1"/>
  <c r="AR220" i="1"/>
  <c r="AR211" i="1"/>
  <c r="AO208" i="1"/>
  <c r="AT208" i="1" s="1"/>
  <c r="Y205" i="1"/>
  <c r="AS205" i="1" s="1"/>
  <c r="Y132" i="1"/>
  <c r="AS132" i="1" s="1"/>
  <c r="Y124" i="1"/>
  <c r="AS124" i="1" s="1"/>
  <c r="Y108" i="1"/>
  <c r="AS108" i="1" s="1"/>
  <c r="AV93" i="1"/>
  <c r="AR89" i="1"/>
  <c r="AO86" i="1"/>
  <c r="AV80" i="1"/>
  <c r="AP77" i="1"/>
  <c r="AO77" i="1"/>
  <c r="Y70" i="1"/>
  <c r="AS70" i="1" s="1"/>
  <c r="Y62" i="1"/>
  <c r="AS62" i="1" s="1"/>
  <c r="AO54" i="1"/>
  <c r="AO50" i="1"/>
  <c r="AO46" i="1"/>
  <c r="AO42" i="1"/>
  <c r="AO38" i="1"/>
  <c r="AO34" i="1"/>
  <c r="AO21" i="1"/>
  <c r="AO7" i="1"/>
  <c r="AQ6" i="1"/>
  <c r="AR293" i="1"/>
  <c r="Y216" i="1"/>
  <c r="AS216" i="1" s="1"/>
  <c r="AQ202" i="1"/>
  <c r="AP130" i="1"/>
  <c r="AO126" i="1"/>
  <c r="AQ118" i="1"/>
  <c r="AP114" i="1"/>
  <c r="AO110" i="1"/>
  <c r="AT98" i="1"/>
  <c r="AM71" i="1"/>
  <c r="AO61" i="1"/>
  <c r="Y55" i="1"/>
  <c r="AS55" i="1" s="1"/>
  <c r="Y47" i="1"/>
  <c r="AS47" i="1" s="1"/>
  <c r="Y39" i="1"/>
  <c r="AS39" i="1" s="1"/>
  <c r="AV32" i="1"/>
  <c r="AT32" i="1"/>
  <c r="Y29" i="1"/>
  <c r="AS29" i="1" s="1"/>
  <c r="Y17" i="1"/>
  <c r="AS17" i="1" s="1"/>
  <c r="Y8" i="1"/>
  <c r="AS8" i="1" s="1"/>
  <c r="Y52" i="1"/>
  <c r="AS52" i="1" s="1"/>
  <c r="AR37" i="1"/>
  <c r="Y296" i="1"/>
  <c r="AS296" i="1" s="1"/>
  <c r="Y280" i="1"/>
  <c r="AS280" i="1" s="1"/>
  <c r="AQ245" i="1"/>
  <c r="AQ237" i="1"/>
  <c r="AQ229" i="1"/>
  <c r="AQ201" i="1"/>
  <c r="Y197" i="1"/>
  <c r="AS197" i="1" s="1"/>
  <c r="Y126" i="1"/>
  <c r="AS126" i="1" s="1"/>
  <c r="AM125" i="1"/>
  <c r="Y110" i="1"/>
  <c r="AS110" i="1" s="1"/>
  <c r="AM109" i="1"/>
  <c r="Y109" i="1" s="1"/>
  <c r="AS109" i="1" s="1"/>
  <c r="AR101" i="1"/>
  <c r="AT79" i="1"/>
  <c r="AR45" i="1"/>
  <c r="Y5" i="1"/>
  <c r="AS5" i="1" s="1"/>
  <c r="AQ296" i="1"/>
  <c r="AQ280" i="1"/>
  <c r="AT280" i="1" s="1"/>
  <c r="Y245" i="1"/>
  <c r="AS245" i="1" s="1"/>
  <c r="Y241" i="1"/>
  <c r="AS241" i="1" s="1"/>
  <c r="Y237" i="1"/>
  <c r="AS237" i="1" s="1"/>
  <c r="Y233" i="1"/>
  <c r="AS233" i="1" s="1"/>
  <c r="Y229" i="1"/>
  <c r="AS229" i="1" s="1"/>
  <c r="Y207" i="1"/>
  <c r="AS207" i="1" s="1"/>
  <c r="AM132" i="1"/>
  <c r="AM116" i="1"/>
  <c r="Y116" i="1" s="1"/>
  <c r="AS116" i="1" s="1"/>
  <c r="Y101" i="1"/>
  <c r="AS101" i="1" s="1"/>
  <c r="AR82" i="1"/>
  <c r="AO60" i="1"/>
  <c r="AQ56" i="1"/>
  <c r="Y49" i="1"/>
  <c r="AS49" i="1" s="1"/>
  <c r="Y41" i="1"/>
  <c r="AS41" i="1" s="1"/>
  <c r="Y33" i="1"/>
  <c r="AS33" i="1" s="1"/>
  <c r="Y6" i="1"/>
  <c r="AS6" i="1" s="1"/>
  <c r="Y7" i="1"/>
  <c r="AS7" i="1" s="1"/>
  <c r="Y281" i="1"/>
  <c r="AS281" i="1" s="1"/>
  <c r="AQ211" i="1"/>
  <c r="AM209" i="1"/>
  <c r="Y199" i="1"/>
  <c r="AS199" i="1" s="1"/>
  <c r="AT199" i="1" s="1"/>
  <c r="AT91" i="1"/>
  <c r="Y85" i="1"/>
  <c r="AS85" i="1" s="1"/>
  <c r="AO75" i="1"/>
  <c r="AR704" i="1"/>
  <c r="AQ712" i="1"/>
  <c r="AV702" i="1"/>
  <c r="AT711" i="1"/>
  <c r="AV711" i="1"/>
  <c r="Y700" i="1"/>
  <c r="AS700" i="1" s="1"/>
  <c r="AP721" i="1"/>
  <c r="AP720" i="1"/>
  <c r="AP719" i="1"/>
  <c r="AO698" i="1"/>
  <c r="AR698" i="1"/>
  <c r="AO692" i="1"/>
  <c r="AQ692" i="1"/>
  <c r="AV687" i="1"/>
  <c r="AT687" i="1"/>
  <c r="AP674" i="1"/>
  <c r="AO674" i="1"/>
  <c r="AV669" i="1"/>
  <c r="AT669" i="1"/>
  <c r="AR646" i="1"/>
  <c r="AR630" i="1"/>
  <c r="AR614" i="1"/>
  <c r="AR598" i="1"/>
  <c r="AO574" i="1"/>
  <c r="AP574" i="1"/>
  <c r="AP566" i="1"/>
  <c r="AO566" i="1"/>
  <c r="Y719" i="1"/>
  <c r="AS719" i="1" s="1"/>
  <c r="AQ714" i="1"/>
  <c r="AT714" i="1" s="1"/>
  <c r="AT703" i="1"/>
  <c r="AV703" i="1"/>
  <c r="AV676" i="1"/>
  <c r="AT676" i="1"/>
  <c r="AV668" i="1"/>
  <c r="AT668" i="1"/>
  <c r="AQ650" i="1"/>
  <c r="AQ634" i="1"/>
  <c r="AQ618" i="1"/>
  <c r="AQ602" i="1"/>
  <c r="AQ594" i="1"/>
  <c r="AV588" i="1"/>
  <c r="AT588" i="1"/>
  <c r="AQ574" i="1"/>
  <c r="Y681" i="1"/>
  <c r="AS681" i="1" s="1"/>
  <c r="AT681" i="1" s="1"/>
  <c r="AP653" i="1"/>
  <c r="Y650" i="1"/>
  <c r="AS650" i="1" s="1"/>
  <c r="Y637" i="1"/>
  <c r="AS637" i="1" s="1"/>
  <c r="AQ637" i="1"/>
  <c r="Y621" i="1"/>
  <c r="AS621" i="1" s="1"/>
  <c r="AQ621" i="1"/>
  <c r="AO614" i="1"/>
  <c r="AV603" i="1"/>
  <c r="AT603" i="1"/>
  <c r="AP577" i="1"/>
  <c r="AM577" i="1"/>
  <c r="Y577" i="1" s="1"/>
  <c r="AS577" i="1" s="1"/>
  <c r="AQ577" i="1"/>
  <c r="AT564" i="1"/>
  <c r="AV564" i="1"/>
  <c r="AM548" i="1"/>
  <c r="Y548" i="1" s="1"/>
  <c r="AS548" i="1" s="1"/>
  <c r="AM541" i="1"/>
  <c r="Y541" i="1" s="1"/>
  <c r="AS541" i="1" s="1"/>
  <c r="AR536" i="1"/>
  <c r="AO536" i="1"/>
  <c r="AM536" i="1"/>
  <c r="AP536" i="1" s="1"/>
  <c r="AT520" i="1"/>
  <c r="AV503" i="1"/>
  <c r="AT503" i="1"/>
  <c r="Y686" i="1"/>
  <c r="AS686" i="1" s="1"/>
  <c r="Y678" i="1"/>
  <c r="AS678" i="1" s="1"/>
  <c r="AR662" i="1"/>
  <c r="AT649" i="1"/>
  <c r="AV649" i="1"/>
  <c r="Y646" i="1"/>
  <c r="AS646" i="1" s="1"/>
  <c r="AT633" i="1"/>
  <c r="AV633" i="1"/>
  <c r="Y630" i="1"/>
  <c r="AS630" i="1" s="1"/>
  <c r="AT617" i="1"/>
  <c r="AV617" i="1"/>
  <c r="Y614" i="1"/>
  <c r="AS614" i="1" s="1"/>
  <c r="AT601" i="1"/>
  <c r="AV601" i="1"/>
  <c r="Y598" i="1"/>
  <c r="AS598" i="1" s="1"/>
  <c r="AR586" i="1"/>
  <c r="AR570" i="1"/>
  <c r="AR562" i="1"/>
  <c r="AO534" i="1"/>
  <c r="AT534" i="1" s="1"/>
  <c r="AP530" i="1"/>
  <c r="AR506" i="1"/>
  <c r="Y464" i="1"/>
  <c r="AS464" i="1" s="1"/>
  <c r="AO450" i="1"/>
  <c r="AP450" i="1"/>
  <c r="AO446" i="1"/>
  <c r="AP446" i="1"/>
  <c r="AO442" i="1"/>
  <c r="AP442" i="1"/>
  <c r="AO438" i="1"/>
  <c r="AP438" i="1"/>
  <c r="Y658" i="1"/>
  <c r="AS658" i="1" s="1"/>
  <c r="AP645" i="1"/>
  <c r="AO638" i="1"/>
  <c r="Y626" i="1"/>
  <c r="AS626" i="1" s="1"/>
  <c r="AP613" i="1"/>
  <c r="AO606" i="1"/>
  <c r="Y586" i="1"/>
  <c r="AS586" i="1" s="1"/>
  <c r="AT581" i="1"/>
  <c r="AV581" i="1"/>
  <c r="Y570" i="1"/>
  <c r="AS570" i="1" s="1"/>
  <c r="Y536" i="1"/>
  <c r="AS536" i="1" s="1"/>
  <c r="AV500" i="1"/>
  <c r="AT500" i="1"/>
  <c r="Y458" i="1"/>
  <c r="AS458" i="1" s="1"/>
  <c r="AQ451" i="1"/>
  <c r="AQ447" i="1"/>
  <c r="AQ443" i="1"/>
  <c r="AQ439" i="1"/>
  <c r="AT395" i="1"/>
  <c r="AT391" i="1"/>
  <c r="Y702" i="1"/>
  <c r="AS702" i="1" s="1"/>
  <c r="AT702" i="1" s="1"/>
  <c r="AR666" i="1"/>
  <c r="Y654" i="1"/>
  <c r="AS654" i="1" s="1"/>
  <c r="AT641" i="1"/>
  <c r="AV641" i="1"/>
  <c r="Y622" i="1"/>
  <c r="AS622" i="1" s="1"/>
  <c r="AT609" i="1"/>
  <c r="AV609" i="1"/>
  <c r="Y590" i="1"/>
  <c r="AS590" i="1" s="1"/>
  <c r="Y578" i="1"/>
  <c r="AS578" i="1" s="1"/>
  <c r="AT563" i="1"/>
  <c r="AV563" i="1"/>
  <c r="Y549" i="1"/>
  <c r="AS549" i="1" s="1"/>
  <c r="AR546" i="1"/>
  <c r="Y530" i="1"/>
  <c r="AS530" i="1" s="1"/>
  <c r="AP521" i="1"/>
  <c r="AO521" i="1"/>
  <c r="AM513" i="1"/>
  <c r="AM508" i="1"/>
  <c r="Y508" i="1" s="1"/>
  <c r="AS508" i="1" s="1"/>
  <c r="AQ508" i="1"/>
  <c r="AQ498" i="1"/>
  <c r="AT495" i="1"/>
  <c r="AQ490" i="1"/>
  <c r="AR457" i="1"/>
  <c r="AR453" i="1"/>
  <c r="AT453" i="1" s="1"/>
  <c r="Y525" i="1"/>
  <c r="AS525" i="1" s="1"/>
  <c r="AT525" i="1" s="1"/>
  <c r="AO490" i="1"/>
  <c r="AT490" i="1" s="1"/>
  <c r="Y447" i="1"/>
  <c r="AS447" i="1" s="1"/>
  <c r="Y439" i="1"/>
  <c r="AS439" i="1" s="1"/>
  <c r="AO531" i="1"/>
  <c r="AT531" i="1" s="1"/>
  <c r="Y498" i="1"/>
  <c r="AS498" i="1" s="1"/>
  <c r="AM455" i="1"/>
  <c r="Y455" i="1" s="1"/>
  <c r="AS455" i="1" s="1"/>
  <c r="AR449" i="1"/>
  <c r="AR441" i="1"/>
  <c r="AQ289" i="1"/>
  <c r="AQ82" i="1"/>
  <c r="AQ53" i="1"/>
  <c r="AQ49" i="1"/>
  <c r="AQ45" i="1"/>
  <c r="AQ41" i="1"/>
  <c r="AQ37" i="1"/>
  <c r="AQ33" i="1"/>
  <c r="AQ17" i="1"/>
  <c r="AQ527" i="1"/>
  <c r="AT527" i="1" s="1"/>
  <c r="AV462" i="1"/>
  <c r="AT462" i="1"/>
  <c r="AM454" i="1"/>
  <c r="Y449" i="1"/>
  <c r="AS449" i="1" s="1"/>
  <c r="Y441" i="1"/>
  <c r="AS441" i="1" s="1"/>
  <c r="AV433" i="1"/>
  <c r="AT433" i="1"/>
  <c r="AP297" i="1"/>
  <c r="AT297" i="1" s="1"/>
  <c r="AP281" i="1"/>
  <c r="AT241" i="1"/>
  <c r="AT233" i="1"/>
  <c r="AT218" i="1"/>
  <c r="AT211" i="1"/>
  <c r="AP137" i="1"/>
  <c r="Y117" i="1"/>
  <c r="AS117" i="1" s="1"/>
  <c r="AP55" i="1"/>
  <c r="AP47" i="1"/>
  <c r="AP39" i="1"/>
  <c r="AP29" i="1"/>
  <c r="AP21" i="1"/>
  <c r="AR447" i="1"/>
  <c r="AR439" i="1"/>
  <c r="AT392" i="1"/>
  <c r="Y294" i="1"/>
  <c r="AS294" i="1" s="1"/>
  <c r="AP291" i="1"/>
  <c r="AO291" i="1"/>
  <c r="AM291" i="1"/>
  <c r="Y291" i="1" s="1"/>
  <c r="AS291" i="1" s="1"/>
  <c r="AQ291" i="1"/>
  <c r="AR284" i="1"/>
  <c r="AO281" i="1"/>
  <c r="Y278" i="1"/>
  <c r="AS278" i="1" s="1"/>
  <c r="AR245" i="1"/>
  <c r="AT245" i="1" s="1"/>
  <c r="AR237" i="1"/>
  <c r="AT237" i="1" s="1"/>
  <c r="AR229" i="1"/>
  <c r="AT229" i="1" s="1"/>
  <c r="Y217" i="1"/>
  <c r="AS217" i="1" s="1"/>
  <c r="AP214" i="1"/>
  <c r="AM214" i="1"/>
  <c r="Y214" i="1" s="1"/>
  <c r="AS214" i="1" s="1"/>
  <c r="AR207" i="1"/>
  <c r="AO200" i="1"/>
  <c r="AT200" i="1" s="1"/>
  <c r="Y145" i="1"/>
  <c r="AS145" i="1" s="1"/>
  <c r="AO131" i="1"/>
  <c r="AM131" i="1"/>
  <c r="Y131" i="1" s="1"/>
  <c r="AS131" i="1" s="1"/>
  <c r="AQ131" i="1"/>
  <c r="AM123" i="1"/>
  <c r="Y123" i="1" s="1"/>
  <c r="AS123" i="1" s="1"/>
  <c r="AM115" i="1"/>
  <c r="Y115" i="1" s="1"/>
  <c r="AS115" i="1" s="1"/>
  <c r="AM107" i="1"/>
  <c r="Y107" i="1" s="1"/>
  <c r="AS107" i="1" s="1"/>
  <c r="AV92" i="1"/>
  <c r="AP89" i="1"/>
  <c r="AO89" i="1"/>
  <c r="Y73" i="1"/>
  <c r="AS73" i="1" s="1"/>
  <c r="Y65" i="1"/>
  <c r="AS65" i="1" s="1"/>
  <c r="AO33" i="1"/>
  <c r="AO17" i="1"/>
  <c r="AP14" i="1"/>
  <c r="AO6" i="1"/>
  <c r="AT11" i="1"/>
  <c r="AV11" i="1"/>
  <c r="AQ5" i="1"/>
  <c r="Y220" i="1"/>
  <c r="AS220" i="1" s="1"/>
  <c r="Y212" i="1"/>
  <c r="AS212" i="1" s="1"/>
  <c r="Y202" i="1"/>
  <c r="AS202" i="1" s="1"/>
  <c r="AP198" i="1"/>
  <c r="AO198" i="1"/>
  <c r="AR198" i="1"/>
  <c r="AV122" i="1"/>
  <c r="AT122" i="1"/>
  <c r="AV106" i="1"/>
  <c r="AT106" i="1"/>
  <c r="AR86" i="1"/>
  <c r="AM67" i="1"/>
  <c r="Y67" i="1" s="1"/>
  <c r="AS67" i="1" s="1"/>
  <c r="AQ61" i="1"/>
  <c r="AM59" i="1"/>
  <c r="Y59" i="1" s="1"/>
  <c r="AS59" i="1" s="1"/>
  <c r="AO14" i="1"/>
  <c r="AR5" i="1"/>
  <c r="AM66" i="1"/>
  <c r="Y66" i="1" s="1"/>
  <c r="AS66" i="1" s="1"/>
  <c r="Y292" i="1"/>
  <c r="AS292" i="1" s="1"/>
  <c r="AT292" i="1" s="1"/>
  <c r="Y276" i="1"/>
  <c r="AS276" i="1" s="1"/>
  <c r="AT276" i="1" s="1"/>
  <c r="AQ243" i="1"/>
  <c r="AT243" i="1" s="1"/>
  <c r="AQ235" i="1"/>
  <c r="AT235" i="1" s="1"/>
  <c r="AQ284" i="1"/>
  <c r="AT284" i="1" s="1"/>
  <c r="AM282" i="1"/>
  <c r="Y282" i="1" s="1"/>
  <c r="AS282" i="1" s="1"/>
  <c r="Y203" i="1"/>
  <c r="AS203" i="1" s="1"/>
  <c r="AT203" i="1" s="1"/>
  <c r="AM128" i="1"/>
  <c r="Y128" i="1" s="1"/>
  <c r="AS128" i="1" s="1"/>
  <c r="AM112" i="1"/>
  <c r="AQ77" i="1"/>
  <c r="AM69" i="1"/>
  <c r="AM58" i="1"/>
  <c r="AR13" i="1"/>
  <c r="AQ215" i="1"/>
  <c r="AT215" i="1" s="1"/>
  <c r="AM213" i="1"/>
  <c r="Y77" i="1"/>
  <c r="AS77" i="1" s="1"/>
  <c r="AM72" i="1"/>
  <c r="AR4" i="1"/>
  <c r="AT220" i="1" l="1"/>
  <c r="AO436" i="1"/>
  <c r="AQ518" i="1"/>
  <c r="AT682" i="1"/>
  <c r="AT207" i="1"/>
  <c r="AO111" i="1"/>
  <c r="AV41" i="1"/>
  <c r="AV82" i="1"/>
  <c r="AP532" i="1"/>
  <c r="AP287" i="1"/>
  <c r="AT544" i="1"/>
  <c r="AP549" i="1"/>
  <c r="AT99" i="1"/>
  <c r="AV27" i="1"/>
  <c r="AT31" i="1"/>
  <c r="AR107" i="1"/>
  <c r="AQ123" i="1"/>
  <c r="AO214" i="1"/>
  <c r="AR512" i="1"/>
  <c r="AT56" i="1"/>
  <c r="AQ111" i="1"/>
  <c r="AP111" i="1"/>
  <c r="AO119" i="1"/>
  <c r="AT45" i="1"/>
  <c r="AQ532" i="1"/>
  <c r="AT589" i="1"/>
  <c r="AT567" i="1"/>
  <c r="AV667" i="1"/>
  <c r="AT667" i="1"/>
  <c r="AV23" i="1"/>
  <c r="AT675" i="1"/>
  <c r="AV49" i="1"/>
  <c r="AT597" i="1"/>
  <c r="AT578" i="1"/>
  <c r="AT288" i="1"/>
  <c r="AQ287" i="1"/>
  <c r="AT23" i="1"/>
  <c r="AV675" i="1"/>
  <c r="AO107" i="1"/>
  <c r="AQ107" i="1"/>
  <c r="AP107" i="1"/>
  <c r="AP123" i="1"/>
  <c r="AP131" i="1"/>
  <c r="AQ214" i="1"/>
  <c r="AT521" i="1"/>
  <c r="AQ536" i="1"/>
  <c r="AO548" i="1"/>
  <c r="AT296" i="1"/>
  <c r="AT457" i="1"/>
  <c r="AR436" i="1"/>
  <c r="AO518" i="1"/>
  <c r="AT629" i="1"/>
  <c r="AT118" i="1"/>
  <c r="AR111" i="1"/>
  <c r="AR127" i="1"/>
  <c r="AT37" i="1"/>
  <c r="AT53" i="1"/>
  <c r="AO532" i="1"/>
  <c r="AR532" i="1"/>
  <c r="AT686" i="1"/>
  <c r="AT543" i="1"/>
  <c r="AQ436" i="1"/>
  <c r="AP436" i="1"/>
  <c r="AR518" i="1"/>
  <c r="AP518" i="1"/>
  <c r="AO575" i="1"/>
  <c r="AR575" i="1"/>
  <c r="AQ575" i="1"/>
  <c r="AP575" i="1"/>
  <c r="AV602" i="1"/>
  <c r="AT602" i="1"/>
  <c r="AT613" i="1"/>
  <c r="AV613" i="1"/>
  <c r="AO512" i="1"/>
  <c r="AR517" i="1"/>
  <c r="AV586" i="1"/>
  <c r="AT586" i="1"/>
  <c r="AT715" i="1"/>
  <c r="AV715" i="1"/>
  <c r="AT719" i="1"/>
  <c r="AO64" i="1"/>
  <c r="AP64" i="1"/>
  <c r="AR64" i="1"/>
  <c r="AQ64" i="1"/>
  <c r="AV25" i="1"/>
  <c r="AT25" i="1"/>
  <c r="AV47" i="1"/>
  <c r="AT47" i="1"/>
  <c r="AV90" i="1"/>
  <c r="AT90" i="1"/>
  <c r="AP119" i="1"/>
  <c r="AO127" i="1"/>
  <c r="AR206" i="1"/>
  <c r="AT212" i="1"/>
  <c r="AR283" i="1"/>
  <c r="AT289" i="1"/>
  <c r="AT492" i="1"/>
  <c r="AT498" i="1"/>
  <c r="AT538" i="1"/>
  <c r="AV622" i="1"/>
  <c r="AT622" i="1"/>
  <c r="AV654" i="1"/>
  <c r="AT654" i="1"/>
  <c r="AV440" i="1"/>
  <c r="AT440" i="1"/>
  <c r="AV448" i="1"/>
  <c r="AT448" i="1"/>
  <c r="AT515" i="1"/>
  <c r="AT621" i="1"/>
  <c r="AV621" i="1"/>
  <c r="AT690" i="1"/>
  <c r="AV690" i="1"/>
  <c r="AV56" i="1"/>
  <c r="AQ129" i="1"/>
  <c r="AP129" i="1"/>
  <c r="AR129" i="1"/>
  <c r="AO129" i="1"/>
  <c r="AV118" i="1"/>
  <c r="AV9" i="1"/>
  <c r="AT9" i="1"/>
  <c r="AV40" i="1"/>
  <c r="AT40" i="1"/>
  <c r="AQ57" i="1"/>
  <c r="AP57" i="1"/>
  <c r="AV78" i="1"/>
  <c r="AT78" i="1"/>
  <c r="AV101" i="1"/>
  <c r="AT101" i="1"/>
  <c r="AR210" i="1"/>
  <c r="AT216" i="1"/>
  <c r="AR287" i="1"/>
  <c r="AT293" i="1"/>
  <c r="Y129" i="1"/>
  <c r="AS129" i="1" s="1"/>
  <c r="AT506" i="1"/>
  <c r="AQ542" i="1"/>
  <c r="AO549" i="1"/>
  <c r="AV630" i="1"/>
  <c r="AT630" i="1"/>
  <c r="AT662" i="1"/>
  <c r="AV662" i="1"/>
  <c r="AT678" i="1"/>
  <c r="AV678" i="1"/>
  <c r="AT695" i="1"/>
  <c r="AT205" i="1"/>
  <c r="AT145" i="1"/>
  <c r="AT278" i="1"/>
  <c r="AT458" i="1"/>
  <c r="AT294" i="1"/>
  <c r="AV37" i="1"/>
  <c r="AV45" i="1"/>
  <c r="AV53" i="1"/>
  <c r="AQ69" i="1"/>
  <c r="AO69" i="1"/>
  <c r="AP69" i="1"/>
  <c r="AR69" i="1"/>
  <c r="AT536" i="1"/>
  <c r="AP541" i="1"/>
  <c r="AV442" i="1"/>
  <c r="AT442" i="1"/>
  <c r="AV450" i="1"/>
  <c r="AT450" i="1"/>
  <c r="AO541" i="1"/>
  <c r="AP548" i="1"/>
  <c r="AV698" i="1"/>
  <c r="AT698" i="1"/>
  <c r="AV75" i="1"/>
  <c r="AT75" i="1"/>
  <c r="AR209" i="1"/>
  <c r="AQ209" i="1"/>
  <c r="AO209" i="1"/>
  <c r="AP209" i="1"/>
  <c r="AR116" i="1"/>
  <c r="AQ116" i="1"/>
  <c r="AO116" i="1"/>
  <c r="AP116" i="1"/>
  <c r="AR125" i="1"/>
  <c r="AO125" i="1"/>
  <c r="AQ125" i="1"/>
  <c r="AP125" i="1"/>
  <c r="AR71" i="1"/>
  <c r="AQ71" i="1"/>
  <c r="AO71" i="1"/>
  <c r="AP71" i="1"/>
  <c r="AT21" i="1"/>
  <c r="AV21" i="1"/>
  <c r="AV46" i="1"/>
  <c r="AT46" i="1"/>
  <c r="AR279" i="1"/>
  <c r="AR295" i="1"/>
  <c r="AV443" i="1"/>
  <c r="AT443" i="1"/>
  <c r="AV451" i="1"/>
  <c r="AT451" i="1"/>
  <c r="AQ512" i="1"/>
  <c r="AP517" i="1"/>
  <c r="AT670" i="1"/>
  <c r="AV670" i="1"/>
  <c r="AT716" i="1"/>
  <c r="AT720" i="1"/>
  <c r="AV35" i="1"/>
  <c r="AT35" i="1"/>
  <c r="AV51" i="1"/>
  <c r="AT51" i="1"/>
  <c r="Y71" i="1"/>
  <c r="AS71" i="1" s="1"/>
  <c r="AQ127" i="1"/>
  <c r="AP127" i="1"/>
  <c r="AO206" i="1"/>
  <c r="AO283" i="1"/>
  <c r="AT452" i="1"/>
  <c r="AV434" i="1"/>
  <c r="AT434" i="1"/>
  <c r="AT532" i="1"/>
  <c r="AT637" i="1"/>
  <c r="AV637" i="1"/>
  <c r="AV686" i="1"/>
  <c r="AT699" i="1"/>
  <c r="AV699" i="1"/>
  <c r="AT707" i="1"/>
  <c r="AV707" i="1"/>
  <c r="AQ68" i="1"/>
  <c r="AO68" i="1"/>
  <c r="AP68" i="1"/>
  <c r="AR68" i="1"/>
  <c r="AQ113" i="1"/>
  <c r="AP113" i="1"/>
  <c r="AR113" i="1"/>
  <c r="AO113" i="1"/>
  <c r="AT202" i="1"/>
  <c r="AT13" i="1"/>
  <c r="AV13" i="1"/>
  <c r="AV44" i="1"/>
  <c r="AT44" i="1"/>
  <c r="Y64" i="1"/>
  <c r="AS64" i="1" s="1"/>
  <c r="AV85" i="1"/>
  <c r="AT85" i="1"/>
  <c r="AT137" i="1"/>
  <c r="AO210" i="1"/>
  <c r="AT210" i="1" s="1"/>
  <c r="AT277" i="1"/>
  <c r="AO287" i="1"/>
  <c r="AT287" i="1" s="1"/>
  <c r="AT496" i="1"/>
  <c r="AT511" i="1"/>
  <c r="AR542" i="1"/>
  <c r="AP542" i="1"/>
  <c r="AR549" i="1"/>
  <c r="AV597" i="1"/>
  <c r="AV441" i="1"/>
  <c r="AT441" i="1"/>
  <c r="AV449" i="1"/>
  <c r="AT449" i="1"/>
  <c r="AV610" i="1"/>
  <c r="AT610" i="1"/>
  <c r="AV642" i="1"/>
  <c r="AT642" i="1"/>
  <c r="AO523" i="1"/>
  <c r="AR523" i="1"/>
  <c r="AQ523" i="1"/>
  <c r="AP523" i="1"/>
  <c r="AV712" i="1"/>
  <c r="AT712" i="1"/>
  <c r="AV582" i="1"/>
  <c r="AT582" i="1"/>
  <c r="AV704" i="1"/>
  <c r="AT704" i="1"/>
  <c r="AT217" i="1"/>
  <c r="AT286" i="1"/>
  <c r="AV63" i="1"/>
  <c r="AT63" i="1"/>
  <c r="AV117" i="1"/>
  <c r="AT117" i="1"/>
  <c r="AV108" i="1"/>
  <c r="AT108" i="1"/>
  <c r="AV124" i="1"/>
  <c r="AT124" i="1"/>
  <c r="AT41" i="1"/>
  <c r="AT49" i="1"/>
  <c r="AT82" i="1"/>
  <c r="AV576" i="1"/>
  <c r="AT576" i="1"/>
  <c r="AQ213" i="1"/>
  <c r="AO213" i="1"/>
  <c r="AP213" i="1"/>
  <c r="AR213" i="1"/>
  <c r="AQ67" i="1"/>
  <c r="AO67" i="1"/>
  <c r="AP67" i="1"/>
  <c r="AR67" i="1"/>
  <c r="AV42" i="1"/>
  <c r="AT42" i="1"/>
  <c r="AT17" i="1"/>
  <c r="AV17" i="1"/>
  <c r="AT107" i="1"/>
  <c r="AV107" i="1"/>
  <c r="AR115" i="1"/>
  <c r="AQ72" i="1"/>
  <c r="AO72" i="1"/>
  <c r="AP72" i="1"/>
  <c r="AR72" i="1"/>
  <c r="AQ112" i="1"/>
  <c r="AO112" i="1"/>
  <c r="AP112" i="1"/>
  <c r="AR112" i="1"/>
  <c r="AQ59" i="1"/>
  <c r="AP59" i="1"/>
  <c r="AR59" i="1"/>
  <c r="AO59" i="1"/>
  <c r="AV33" i="1"/>
  <c r="AT33" i="1"/>
  <c r="AO115" i="1"/>
  <c r="AR123" i="1"/>
  <c r="AQ455" i="1"/>
  <c r="AO455" i="1"/>
  <c r="AP455" i="1"/>
  <c r="AR455" i="1"/>
  <c r="AO508" i="1"/>
  <c r="AR508" i="1"/>
  <c r="AQ541" i="1"/>
  <c r="AQ548" i="1"/>
  <c r="AR577" i="1"/>
  <c r="AT674" i="1"/>
  <c r="AV674" i="1"/>
  <c r="AV60" i="1"/>
  <c r="AT60" i="1"/>
  <c r="AR132" i="1"/>
  <c r="AQ132" i="1"/>
  <c r="AO132" i="1"/>
  <c r="AP132" i="1"/>
  <c r="AV126" i="1"/>
  <c r="AT126" i="1"/>
  <c r="AV34" i="1"/>
  <c r="AT34" i="1"/>
  <c r="AV50" i="1"/>
  <c r="AT50" i="1"/>
  <c r="AV86" i="1"/>
  <c r="AT86" i="1"/>
  <c r="AO279" i="1"/>
  <c r="AO295" i="1"/>
  <c r="AR435" i="1"/>
  <c r="AQ435" i="1"/>
  <c r="AP435" i="1"/>
  <c r="AO435" i="1"/>
  <c r="AR505" i="1"/>
  <c r="AQ505" i="1"/>
  <c r="AP505" i="1"/>
  <c r="AO505" i="1"/>
  <c r="AT518" i="1"/>
  <c r="AT530" i="1"/>
  <c r="AT585" i="1"/>
  <c r="AV585" i="1"/>
  <c r="AV634" i="1"/>
  <c r="AT634" i="1"/>
  <c r="AO547" i="1"/>
  <c r="AT547" i="1" s="1"/>
  <c r="AP547" i="1"/>
  <c r="AR547" i="1"/>
  <c r="AQ547" i="1"/>
  <c r="AT517" i="1"/>
  <c r="AV594" i="1"/>
  <c r="AT594" i="1"/>
  <c r="AT721" i="1"/>
  <c r="AV700" i="1"/>
  <c r="AT700" i="1"/>
  <c r="AO104" i="1"/>
  <c r="AP104" i="1"/>
  <c r="AR104" i="1"/>
  <c r="AQ104" i="1"/>
  <c r="AO290" i="1"/>
  <c r="AP290" i="1"/>
  <c r="AR290" i="1"/>
  <c r="AQ290" i="1"/>
  <c r="AV114" i="1"/>
  <c r="AT114" i="1"/>
  <c r="AV130" i="1"/>
  <c r="AT130" i="1"/>
  <c r="AT4" i="1"/>
  <c r="AV4" i="1"/>
  <c r="AV39" i="1"/>
  <c r="AT39" i="1"/>
  <c r="AV55" i="1"/>
  <c r="AT55" i="1"/>
  <c r="AV81" i="1"/>
  <c r="AT81" i="1"/>
  <c r="AV97" i="1"/>
  <c r="AT97" i="1"/>
  <c r="AT111" i="1"/>
  <c r="AV111" i="1"/>
  <c r="AQ206" i="1"/>
  <c r="AP206" i="1"/>
  <c r="AQ283" i="1"/>
  <c r="AP283" i="1"/>
  <c r="Y125" i="1"/>
  <c r="AS125" i="1" s="1"/>
  <c r="AV437" i="1"/>
  <c r="AT437" i="1"/>
  <c r="AT657" i="1"/>
  <c r="AV657" i="1"/>
  <c r="AV444" i="1"/>
  <c r="AT444" i="1"/>
  <c r="AT571" i="1"/>
  <c r="AV571" i="1"/>
  <c r="AV646" i="1"/>
  <c r="AT646" i="1"/>
  <c r="AV570" i="1"/>
  <c r="AT570" i="1"/>
  <c r="AV10" i="1"/>
  <c r="AT10" i="1"/>
  <c r="AV29" i="1"/>
  <c r="AT29" i="1"/>
  <c r="AV48" i="1"/>
  <c r="AT48" i="1"/>
  <c r="Y68" i="1"/>
  <c r="AS68" i="1" s="1"/>
  <c r="Y112" i="1"/>
  <c r="AS112" i="1" s="1"/>
  <c r="AT507" i="1"/>
  <c r="AT546" i="1"/>
  <c r="AV650" i="1"/>
  <c r="AT650" i="1"/>
  <c r="AV589" i="1"/>
  <c r="AV684" i="1"/>
  <c r="AT684" i="1"/>
  <c r="AV73" i="1"/>
  <c r="AT73" i="1"/>
  <c r="AV62" i="1"/>
  <c r="AT62" i="1"/>
  <c r="AV70" i="1"/>
  <c r="AT70" i="1"/>
  <c r="AT459" i="1"/>
  <c r="AV606" i="1"/>
  <c r="AT606" i="1"/>
  <c r="AV566" i="1"/>
  <c r="AT566" i="1"/>
  <c r="AT61" i="1"/>
  <c r="AV61" i="1"/>
  <c r="AV7" i="1"/>
  <c r="AT7" i="1"/>
  <c r="AQ282" i="1"/>
  <c r="AO282" i="1"/>
  <c r="AP282" i="1"/>
  <c r="AR282" i="1"/>
  <c r="AV14" i="1"/>
  <c r="AT14" i="1"/>
  <c r="Y69" i="1"/>
  <c r="AS69" i="1" s="1"/>
  <c r="AQ58" i="1"/>
  <c r="AO58" i="1"/>
  <c r="AP58" i="1"/>
  <c r="AR58" i="1"/>
  <c r="AQ128" i="1"/>
  <c r="AO128" i="1"/>
  <c r="AP128" i="1"/>
  <c r="AR128" i="1"/>
  <c r="AQ66" i="1"/>
  <c r="AO66" i="1"/>
  <c r="AP66" i="1"/>
  <c r="AR66" i="1"/>
  <c r="AT198" i="1"/>
  <c r="AT6" i="1"/>
  <c r="AV6" i="1"/>
  <c r="Y58" i="1"/>
  <c r="AS58" i="1" s="1"/>
  <c r="AV89" i="1"/>
  <c r="AT89" i="1"/>
  <c r="AQ115" i="1"/>
  <c r="AP115" i="1"/>
  <c r="AO123" i="1"/>
  <c r="AR131" i="1"/>
  <c r="AT131" i="1" s="1"/>
  <c r="AR214" i="1"/>
  <c r="AT214" i="1" s="1"/>
  <c r="AT281" i="1"/>
  <c r="AR291" i="1"/>
  <c r="AT291" i="1" s="1"/>
  <c r="AQ454" i="1"/>
  <c r="AP454" i="1"/>
  <c r="AR454" i="1"/>
  <c r="AO454" i="1"/>
  <c r="AP508" i="1"/>
  <c r="AP513" i="1"/>
  <c r="AO513" i="1"/>
  <c r="AQ513" i="1"/>
  <c r="AR513" i="1"/>
  <c r="Y454" i="1"/>
  <c r="AS454" i="1" s="1"/>
  <c r="AV638" i="1"/>
  <c r="AT638" i="1"/>
  <c r="AV438" i="1"/>
  <c r="AT438" i="1"/>
  <c r="AV446" i="1"/>
  <c r="AT446" i="1"/>
  <c r="AR541" i="1"/>
  <c r="AR548" i="1"/>
  <c r="AT548" i="1" s="1"/>
  <c r="AO577" i="1"/>
  <c r="AV614" i="1"/>
  <c r="AT614" i="1"/>
  <c r="AV574" i="1"/>
  <c r="AT574" i="1"/>
  <c r="AV692" i="1"/>
  <c r="AT692" i="1"/>
  <c r="AR109" i="1"/>
  <c r="AO109" i="1"/>
  <c r="AQ109" i="1"/>
  <c r="AP109" i="1"/>
  <c r="AV110" i="1"/>
  <c r="AT110" i="1"/>
  <c r="AV38" i="1"/>
  <c r="AT38" i="1"/>
  <c r="AV54" i="1"/>
  <c r="AT54" i="1"/>
  <c r="AV77" i="1"/>
  <c r="AT77" i="1"/>
  <c r="AQ279" i="1"/>
  <c r="AP279" i="1"/>
  <c r="AQ295" i="1"/>
  <c r="AP295" i="1"/>
  <c r="AT436" i="1"/>
  <c r="AV436" i="1"/>
  <c r="AT645" i="1"/>
  <c r="AV645" i="1"/>
  <c r="AV439" i="1"/>
  <c r="AT439" i="1"/>
  <c r="AV447" i="1"/>
  <c r="AT447" i="1"/>
  <c r="AT593" i="1"/>
  <c r="AV593" i="1"/>
  <c r="AP512" i="1"/>
  <c r="AQ524" i="1"/>
  <c r="AP524" i="1"/>
  <c r="AO524" i="1"/>
  <c r="AR524" i="1"/>
  <c r="AV598" i="1"/>
  <c r="AT598" i="1"/>
  <c r="AT653" i="1"/>
  <c r="AV653" i="1"/>
  <c r="AO120" i="1"/>
  <c r="AP120" i="1"/>
  <c r="AR120" i="1"/>
  <c r="AQ120" i="1"/>
  <c r="AP74" i="1"/>
  <c r="AR74" i="1"/>
  <c r="AO74" i="1"/>
  <c r="AQ74" i="1"/>
  <c r="AT197" i="1"/>
  <c r="AV8" i="1"/>
  <c r="AT8" i="1"/>
  <c r="AV43" i="1"/>
  <c r="AT43" i="1"/>
  <c r="AT119" i="1"/>
  <c r="AV119" i="1"/>
  <c r="Y209" i="1"/>
  <c r="AS209" i="1" s="1"/>
  <c r="Y74" i="1"/>
  <c r="AS74" i="1" s="1"/>
  <c r="AP463" i="1"/>
  <c r="AR463" i="1"/>
  <c r="AO463" i="1"/>
  <c r="AQ463" i="1"/>
  <c r="AT625" i="1"/>
  <c r="AV625" i="1"/>
  <c r="Y513" i="1"/>
  <c r="AS513" i="1" s="1"/>
  <c r="AV696" i="1"/>
  <c r="AT696" i="1"/>
  <c r="AT666" i="1"/>
  <c r="AV666" i="1"/>
  <c r="AT201" i="1"/>
  <c r="AV5" i="1"/>
  <c r="AT5" i="1"/>
  <c r="AV36" i="1"/>
  <c r="AT36" i="1"/>
  <c r="AV52" i="1"/>
  <c r="AT52" i="1"/>
  <c r="AT57" i="1"/>
  <c r="AV57" i="1"/>
  <c r="Y72" i="1"/>
  <c r="AS72" i="1" s="1"/>
  <c r="Y120" i="1"/>
  <c r="AS120" i="1" s="1"/>
  <c r="Y213" i="1"/>
  <c r="AS213" i="1" s="1"/>
  <c r="Y290" i="1"/>
  <c r="AS290" i="1" s="1"/>
  <c r="Y113" i="1"/>
  <c r="AS113" i="1" s="1"/>
  <c r="AP529" i="1"/>
  <c r="AQ529" i="1"/>
  <c r="AR529" i="1"/>
  <c r="AO529" i="1"/>
  <c r="AO542" i="1"/>
  <c r="AT542" i="1" s="1"/>
  <c r="AV618" i="1"/>
  <c r="AT618" i="1"/>
  <c r="Y575" i="1"/>
  <c r="AS575" i="1" s="1"/>
  <c r="Y435" i="1"/>
  <c r="AS435" i="1" s="1"/>
  <c r="AV445" i="1"/>
  <c r="AT445" i="1"/>
  <c r="AT510" i="1"/>
  <c r="AV626" i="1"/>
  <c r="AT626" i="1"/>
  <c r="AV658" i="1"/>
  <c r="AT658" i="1"/>
  <c r="AV562" i="1"/>
  <c r="AT562" i="1"/>
  <c r="AV590" i="1"/>
  <c r="AT590" i="1"/>
  <c r="AV708" i="1"/>
  <c r="AT708" i="1"/>
  <c r="AV688" i="1"/>
  <c r="AT688" i="1"/>
  <c r="AV65" i="1"/>
  <c r="AT65" i="1"/>
  <c r="AV464" i="1"/>
  <c r="AT464" i="1"/>
  <c r="AT537" i="1"/>
  <c r="AV105" i="1"/>
  <c r="AT105" i="1"/>
  <c r="AV121" i="1"/>
  <c r="AT121" i="1"/>
  <c r="AV131" i="1" l="1"/>
  <c r="AT513" i="1"/>
  <c r="AT524" i="1"/>
  <c r="AT529" i="1"/>
  <c r="AV120" i="1"/>
  <c r="AT120" i="1"/>
  <c r="AT282" i="1"/>
  <c r="AT290" i="1"/>
  <c r="AV104" i="1"/>
  <c r="AT104" i="1"/>
  <c r="AV132" i="1"/>
  <c r="AT132" i="1"/>
  <c r="AT508" i="1"/>
  <c r="AT523" i="1"/>
  <c r="AT283" i="1"/>
  <c r="AT127" i="1"/>
  <c r="AV127" i="1"/>
  <c r="AV463" i="1"/>
  <c r="AT463" i="1"/>
  <c r="AV66" i="1"/>
  <c r="AT66" i="1"/>
  <c r="AV128" i="1"/>
  <c r="AT128" i="1"/>
  <c r="AV58" i="1"/>
  <c r="AT58" i="1"/>
  <c r="AT505" i="1"/>
  <c r="AV435" i="1"/>
  <c r="AT435" i="1"/>
  <c r="AT295" i="1"/>
  <c r="AV59" i="1"/>
  <c r="AT59" i="1"/>
  <c r="AV68" i="1"/>
  <c r="AT68" i="1"/>
  <c r="AT206" i="1"/>
  <c r="AV69" i="1"/>
  <c r="AT69" i="1"/>
  <c r="AV74" i="1"/>
  <c r="AT74" i="1"/>
  <c r="AT454" i="1"/>
  <c r="AT123" i="1"/>
  <c r="AV123" i="1"/>
  <c r="AT279" i="1"/>
  <c r="AT115" i="1"/>
  <c r="AV115" i="1"/>
  <c r="AV71" i="1"/>
  <c r="AT71" i="1"/>
  <c r="AV116" i="1"/>
  <c r="AT116" i="1"/>
  <c r="AT209" i="1"/>
  <c r="AV129" i="1"/>
  <c r="AT129" i="1"/>
  <c r="AT512" i="1"/>
  <c r="AV575" i="1"/>
  <c r="AT575" i="1"/>
  <c r="AV109" i="1"/>
  <c r="AT109" i="1"/>
  <c r="AT577" i="1"/>
  <c r="AV577" i="1"/>
  <c r="AT455" i="1"/>
  <c r="AV112" i="1"/>
  <c r="AT112" i="1"/>
  <c r="AV72" i="1"/>
  <c r="AT72" i="1"/>
  <c r="AV67" i="1"/>
  <c r="AT67" i="1"/>
  <c r="AT213" i="1"/>
  <c r="AV113" i="1"/>
  <c r="AT113" i="1"/>
  <c r="AV125" i="1"/>
  <c r="AT125" i="1"/>
  <c r="AT541" i="1"/>
  <c r="AT549" i="1"/>
  <c r="AV64" i="1"/>
  <c r="AT64" i="1"/>
</calcChain>
</file>

<file path=xl/sharedStrings.xml><?xml version="1.0" encoding="utf-8"?>
<sst xmlns="http://schemas.openxmlformats.org/spreadsheetml/2006/main" count="4401" uniqueCount="171">
  <si>
    <t>Input</t>
  </si>
  <si>
    <t>Output</t>
  </si>
  <si>
    <t>Autor, ano publicação</t>
  </si>
  <si>
    <t>Dados exp ou simulação</t>
  </si>
  <si>
    <t>Tipo de gaseificador</t>
  </si>
  <si>
    <t>Agente de gaseificação</t>
  </si>
  <si>
    <t>Biomassa</t>
  </si>
  <si>
    <t>C [%wt db]</t>
  </si>
  <si>
    <t>H [%wt db]</t>
  </si>
  <si>
    <t>O [%wt db]</t>
  </si>
  <si>
    <t>N [%wt db]</t>
  </si>
  <si>
    <t>S [%wt db]</t>
  </si>
  <si>
    <t>Fixed Carbon (FC) [%]</t>
  </si>
  <si>
    <t>Volatile matter (VM) [%]</t>
  </si>
  <si>
    <t>Moisture content (MC) [%wt]</t>
  </si>
  <si>
    <t>Ash [%wt]</t>
  </si>
  <si>
    <t>ER [-]</t>
  </si>
  <si>
    <t>T [ºC]</t>
  </si>
  <si>
    <t>Bed material</t>
  </si>
  <si>
    <t>Steam/ Biomass</t>
  </si>
  <si>
    <t>LHVfuel [MJ/kg]</t>
  </si>
  <si>
    <t>H2 [%vol]</t>
  </si>
  <si>
    <t>CO [%vol]</t>
  </si>
  <si>
    <t>CO2 [%vol]</t>
  </si>
  <si>
    <t>CH4 [%vol]</t>
  </si>
  <si>
    <t>N2 [%vol]</t>
  </si>
  <si>
    <r>
      <rPr>
        <b/>
        <sz val="11"/>
        <color rgb="FFFF0000"/>
        <rFont val="Calibri"/>
      </rPr>
      <t>GY</t>
    </r>
    <r>
      <rPr>
        <b/>
        <sz val="11"/>
        <color rgb="FFFF0000"/>
        <rFont val="Calibri"/>
      </rPr>
      <t xml:space="preserve"> [Nm3/kg]</t>
    </r>
  </si>
  <si>
    <t>CGE [%]</t>
  </si>
  <si>
    <t>CCE [%]</t>
  </si>
  <si>
    <r>
      <rPr>
        <b/>
        <sz val="11"/>
        <color rgb="FFFF0000"/>
        <rFont val="Calibri"/>
      </rPr>
      <t>LHVgas</t>
    </r>
    <r>
      <rPr>
        <b/>
        <sz val="11"/>
        <color rgb="FFFF0000"/>
        <rFont val="Calibri"/>
      </rPr>
      <t xml:space="preserve"> [kJ/Nm3]</t>
    </r>
  </si>
  <si>
    <t>LHVp [kJ/Nm3]</t>
  </si>
  <si>
    <r>
      <rPr>
        <b/>
        <sz val="11"/>
        <color theme="1"/>
        <rFont val="Calibri"/>
      </rPr>
      <t>GY</t>
    </r>
    <r>
      <rPr>
        <b/>
        <sz val="11"/>
        <color rgb="FFFF0000"/>
        <rFont val="Calibri"/>
      </rPr>
      <t xml:space="preserve"> [mmol/g]</t>
    </r>
  </si>
  <si>
    <r>
      <rPr>
        <b/>
        <sz val="11"/>
        <color theme="1"/>
        <rFont val="Calibri"/>
      </rPr>
      <t>GY</t>
    </r>
    <r>
      <rPr>
        <b/>
        <sz val="11"/>
        <color rgb="FFFF0000"/>
        <rFont val="Calibri"/>
      </rPr>
      <t xml:space="preserve"> [kg/Nm3]</t>
    </r>
  </si>
  <si>
    <r>
      <rPr>
        <b/>
        <sz val="11"/>
        <color theme="1"/>
        <rFont val="Calibri"/>
      </rPr>
      <t>LHVgas</t>
    </r>
    <r>
      <rPr>
        <b/>
        <sz val="11"/>
        <color rgb="FFFF0000"/>
        <rFont val="Calibri"/>
      </rPr>
      <t xml:space="preserve"> [MJ/Nm3]</t>
    </r>
  </si>
  <si>
    <t>Composição total</t>
  </si>
  <si>
    <t>nN2</t>
  </si>
  <si>
    <t>ns</t>
  </si>
  <si>
    <t>nT</t>
  </si>
  <si>
    <t>H2' [%vol]</t>
  </si>
  <si>
    <t>CO' [%vol]</t>
  </si>
  <si>
    <t>CO2' [%vol]</t>
  </si>
  <si>
    <t>CH4' [%vol]</t>
  </si>
  <si>
    <t>N2' [%vol]</t>
  </si>
  <si>
    <t>Soma</t>
  </si>
  <si>
    <t>LHVgas' [kJ/Nm3]</t>
  </si>
  <si>
    <t>Serrano, 2020</t>
  </si>
  <si>
    <t>Experimental</t>
  </si>
  <si>
    <t>Bubbling fluidized bed gasifier</t>
  </si>
  <si>
    <t>Air</t>
  </si>
  <si>
    <t>Pine Sawdust</t>
  </si>
  <si>
    <t>Silica sand</t>
  </si>
  <si>
    <t>-</t>
  </si>
  <si>
    <t>Rubber wood chip</t>
  </si>
  <si>
    <t>Air-steam</t>
  </si>
  <si>
    <t>Poultry Litter</t>
  </si>
  <si>
    <t>Rice husk</t>
  </si>
  <si>
    <t>Palm empty fruit bunch</t>
  </si>
  <si>
    <t>Sawdust</t>
  </si>
  <si>
    <t>Olive waste</t>
  </si>
  <si>
    <t>Ofite</t>
  </si>
  <si>
    <t>Alumina</t>
  </si>
  <si>
    <t>Cynara cardunculus L.</t>
  </si>
  <si>
    <t>Olivine</t>
  </si>
  <si>
    <t>Rubber woodchip</t>
  </si>
  <si>
    <t>Wood (pine)</t>
  </si>
  <si>
    <t>Wood (oak + maple)</t>
  </si>
  <si>
    <t>Seed corn</t>
  </si>
  <si>
    <t>Sunflower</t>
  </si>
  <si>
    <t xml:space="preserve"> Willow</t>
  </si>
  <si>
    <t>Pine chips</t>
  </si>
  <si>
    <t>Ozonoh, 2019</t>
  </si>
  <si>
    <t>Vários (entrained, fluidised, and fixed bed)</t>
  </si>
  <si>
    <t>Biomass, coal and their blends</t>
  </si>
  <si>
    <t>Loha, 2011</t>
  </si>
  <si>
    <t>Fluidized bed gasifier</t>
  </si>
  <si>
    <t>Steam</t>
  </si>
  <si>
    <t>Bassyouni, 2014</t>
  </si>
  <si>
    <t>Downdraft gasifier</t>
  </si>
  <si>
    <t>Date palm leaves (DPL) waste</t>
  </si>
  <si>
    <t>Rapagnà, 2000</t>
  </si>
  <si>
    <t>Bubbling fluidised-bed gasifier</t>
  </si>
  <si>
    <t>Sand</t>
  </si>
  <si>
    <t>Dolomite</t>
  </si>
  <si>
    <t>Guo, 2001</t>
  </si>
  <si>
    <t>Poplar sawdust</t>
  </si>
  <si>
    <t>Pine sawdust</t>
  </si>
  <si>
    <t>Sugar cane bagasse</t>
  </si>
  <si>
    <t>Cotton stem</t>
  </si>
  <si>
    <t>Sreejith, 2013</t>
  </si>
  <si>
    <t>Fluidised bed gasifier</t>
  </si>
  <si>
    <t>Wood sawdust</t>
  </si>
  <si>
    <r>
      <rPr>
        <b/>
        <sz val="11"/>
        <color theme="1"/>
        <rFont val="Calibri"/>
      </rPr>
      <t>Sreejith, 2013</t>
    </r>
    <r>
      <rPr>
        <sz val="11"/>
        <color theme="1"/>
        <rFont val="Calibri"/>
      </rPr>
      <t>, mas citando dados de Chang et al.</t>
    </r>
  </si>
  <si>
    <t>Bubbling fluidised bed gasifier</t>
  </si>
  <si>
    <t>Cellulose</t>
  </si>
  <si>
    <t>Cellulose particles</t>
  </si>
  <si>
    <r>
      <rPr>
        <b/>
        <sz val="11"/>
        <color theme="1"/>
        <rFont val="Calibri"/>
      </rPr>
      <t>Sreejith, 2013</t>
    </r>
    <r>
      <rPr>
        <sz val="11"/>
        <color theme="1"/>
        <rFont val="Calibri"/>
      </rPr>
      <t>, mas citando dados de Hernandez et al.</t>
    </r>
  </si>
  <si>
    <t>Entrained flow</t>
  </si>
  <si>
    <t>Grape residues</t>
  </si>
  <si>
    <t>Shahbaz, 2017</t>
  </si>
  <si>
    <t>Fluidized-bed gasifier and fixed-bed reactor</t>
  </si>
  <si>
    <t>Palm oil waste</t>
  </si>
  <si>
    <t>Khan, 2014</t>
  </si>
  <si>
    <t>Palm kernel shell</t>
  </si>
  <si>
    <t>Han, 2011</t>
  </si>
  <si>
    <t>Bubbling fluidized bed</t>
  </si>
  <si>
    <t>Li, 2009</t>
  </si>
  <si>
    <t>Fixed bed</t>
  </si>
  <si>
    <t>Palm oil wastes (shell)</t>
  </si>
  <si>
    <t>Palm oil wastes (fiber)</t>
  </si>
  <si>
    <t>Palm oil wastes (EFB)</t>
  </si>
  <si>
    <t>Calcined dolomite</t>
  </si>
  <si>
    <t>nano-NiLaFe/g-Al2O3 catalyst</t>
  </si>
  <si>
    <t>Chang, 2011</t>
  </si>
  <si>
    <t>Fluidised bed</t>
  </si>
  <si>
    <t>alfa-cellulose</t>
  </si>
  <si>
    <t>Air-Steam</t>
  </si>
  <si>
    <t>Lv, 2007</t>
  </si>
  <si>
    <t>Fluidized bed</t>
  </si>
  <si>
    <t>Xu, 2009</t>
  </si>
  <si>
    <t>Dried coffee grounds</t>
  </si>
  <si>
    <t>Pfeifer, 2009</t>
  </si>
  <si>
    <t>Wood pellets</t>
  </si>
  <si>
    <t>Calcite</t>
  </si>
  <si>
    <t>Weerachanchai, 2009</t>
  </si>
  <si>
    <t>Larch wood</t>
  </si>
  <si>
    <t>Calcined limestone</t>
  </si>
  <si>
    <t>Calcined waste concrete</t>
  </si>
  <si>
    <t>Calcined limestone (100% N2)</t>
  </si>
  <si>
    <t xml:space="preserve">Mixed bed material </t>
  </si>
  <si>
    <t>Ngo, 2011</t>
  </si>
  <si>
    <t>Circulating fluidized bed</t>
  </si>
  <si>
    <t>Pine wood chips</t>
  </si>
  <si>
    <t>GY</t>
  </si>
  <si>
    <t>CGE</t>
  </si>
  <si>
    <t>CCE</t>
  </si>
  <si>
    <t>LHVp</t>
  </si>
  <si>
    <t>Gas yield</t>
  </si>
  <si>
    <t>Cold Gas Efficiency</t>
  </si>
  <si>
    <t>Carbon Conversion Efficiency</t>
  </si>
  <si>
    <t>LHV</t>
  </si>
  <si>
    <t>Lower Heating Value</t>
  </si>
  <si>
    <t>db</t>
  </si>
  <si>
    <t>dry basis</t>
  </si>
  <si>
    <t>LHVfuel</t>
  </si>
  <si>
    <t>fuel: Biomass, coal, &amp; coal + biomass</t>
  </si>
  <si>
    <t>Ozonoh</t>
  </si>
  <si>
    <r>
      <rPr>
        <b/>
        <sz val="11"/>
        <color theme="1"/>
        <rFont val="Calibri"/>
      </rPr>
      <t>Pandey</t>
    </r>
    <r>
      <rPr>
        <sz val="11"/>
        <color theme="1"/>
        <rFont val="Calibri"/>
      </rPr>
      <t xml:space="preserve">: LHV of gasification products including tars and entrained char | </t>
    </r>
    <r>
      <rPr>
        <b/>
        <sz val="11"/>
        <color theme="1"/>
        <rFont val="Calibri"/>
      </rPr>
      <t>Ngo</t>
    </r>
    <r>
      <rPr>
        <sz val="11"/>
        <color theme="1"/>
        <rFont val="Calibri"/>
      </rPr>
      <t>: product consists of CO, CO2, CH4, H2, and H2O.</t>
    </r>
  </si>
  <si>
    <t>Número de mols do syngas livre de N2</t>
  </si>
  <si>
    <t>H2', CO', CO2' e CH4'</t>
  </si>
  <si>
    <t>% calculado dos gases considerando não são livres de Nitrogênio (antes eram)</t>
  </si>
  <si>
    <t>Valor de LHV calculado (tabela Perry)</t>
  </si>
  <si>
    <t>Valor de N2 quando H2, CO, CO2, CH4 não são livres de N2 (cálculo: subtrair de 100%)</t>
  </si>
  <si>
    <t>Valor de N2 quando H2, CO, CO2, CH4 são livres de N2 (cálculo diferenciado)</t>
  </si>
  <si>
    <t>ER preenchido por mim (zero quando agente de gaseificação é vapor)</t>
  </si>
  <si>
    <t>Steam/biomass preenchido por mim (zero quando agente de gaseificação é ar)</t>
  </si>
  <si>
    <t>Observações:</t>
  </si>
  <si>
    <r>
      <rPr>
        <b/>
        <sz val="11"/>
        <color theme="1"/>
        <rFont val="Calibri"/>
      </rPr>
      <t>1.</t>
    </r>
    <r>
      <rPr>
        <sz val="11"/>
        <color theme="1"/>
        <rFont val="Calibri"/>
      </rPr>
      <t xml:space="preserve"> Unidade do GY no Ozonoh estava como kg/Nm3, por isso inverti os valores do banco de dados (unidade Nm3/kg em Serrano e Pandey, bem como na tabela).</t>
    </r>
  </si>
  <si>
    <r>
      <rPr>
        <b/>
        <sz val="11"/>
        <color theme="1"/>
        <rFont val="Calibri"/>
      </rPr>
      <t>2.</t>
    </r>
    <r>
      <rPr>
        <sz val="11"/>
        <color theme="1"/>
        <rFont val="Calibri"/>
      </rPr>
      <t>Em Serrano, o GY está em daf (dry ash free).</t>
    </r>
  </si>
  <si>
    <r>
      <rPr>
        <b/>
        <sz val="11"/>
        <color theme="1"/>
        <rFont val="Calibri"/>
      </rPr>
      <t xml:space="preserve">3. </t>
    </r>
    <r>
      <rPr>
        <sz val="11"/>
        <color theme="1"/>
        <rFont val="Calibri"/>
      </rPr>
      <t>Em Serrano, CH4, CO2 e CO estão como %vol N2 free.</t>
    </r>
  </si>
  <si>
    <r>
      <rPr>
        <b/>
        <sz val="11"/>
        <color theme="1"/>
        <rFont val="Calibri"/>
      </rPr>
      <t>4.</t>
    </r>
    <r>
      <rPr>
        <sz val="11"/>
        <color theme="1"/>
        <rFont val="Calibri"/>
      </rPr>
      <t xml:space="preserve"> Pandey </t>
    </r>
    <r>
      <rPr>
        <b/>
        <sz val="11"/>
        <color theme="1"/>
        <rFont val="Calibri"/>
      </rPr>
      <t>não</t>
    </r>
    <r>
      <rPr>
        <sz val="11"/>
        <color theme="1"/>
        <rFont val="Calibri"/>
      </rPr>
      <t xml:space="preserve"> especifica se C, H, O, N, S e ash estão em dry basis, mas mantive db na tabela (Serrano e Ozonoh especificam que esses parâmetros estão em base seca).</t>
    </r>
  </si>
  <si>
    <r>
      <rPr>
        <b/>
        <sz val="11"/>
        <color theme="1"/>
        <rFont val="Calibri"/>
      </rPr>
      <t>5.</t>
    </r>
    <r>
      <rPr>
        <sz val="11"/>
        <color theme="1"/>
        <rFont val="Calibri"/>
      </rPr>
      <t xml:space="preserve"> Moisture: Em Serrano está como %wt ar (as received), em Ozonoh está como %wt dry basis e em Pandey está como %wt.</t>
    </r>
  </si>
  <si>
    <r>
      <rPr>
        <b/>
        <sz val="11"/>
        <color theme="1"/>
        <rFont val="Calibri"/>
      </rPr>
      <t>6.</t>
    </r>
    <r>
      <rPr>
        <sz val="11"/>
        <color theme="1"/>
        <rFont val="Calibri"/>
      </rPr>
      <t xml:space="preserve"> LHV em Ozonoh está como [MJ/Nm3] e em Pandey está como [kJ/Nm3]. Coloquei na tabela como [kJ/Nm3] e, portanto, já converti os valores do banco de dados de Ozonoh.</t>
    </r>
  </si>
  <si>
    <r>
      <rPr>
        <b/>
        <sz val="11"/>
        <color theme="1"/>
        <rFont val="Calibri"/>
      </rPr>
      <t>7.</t>
    </r>
    <r>
      <rPr>
        <sz val="11"/>
        <color theme="1"/>
        <rFont val="Calibri"/>
      </rPr>
      <t xml:space="preserve"> LHVfuel, em Ozonoh, não indica a unidade.</t>
    </r>
  </si>
  <si>
    <r>
      <rPr>
        <b/>
        <sz val="11"/>
        <color theme="1"/>
        <rFont val="Calibri"/>
      </rPr>
      <t xml:space="preserve">8. </t>
    </r>
    <r>
      <rPr>
        <sz val="11"/>
        <color theme="1"/>
        <rFont val="Calibri"/>
      </rPr>
      <t>Calculei LHV do Serrano (e outros em rosa) com dados da tabela do Perry.</t>
    </r>
  </si>
  <si>
    <r>
      <rPr>
        <b/>
        <sz val="11"/>
        <color theme="1"/>
        <rFont val="Calibri"/>
      </rPr>
      <t>9.</t>
    </r>
    <r>
      <rPr>
        <sz val="11"/>
        <color theme="1"/>
        <rFont val="Calibri"/>
      </rPr>
      <t xml:space="preserve"> Loha, 2013, fornece % do N2. A soma de N2, H2, CH4, CO E CO2 resulta em 100% em Loha. </t>
    </r>
  </si>
  <si>
    <r>
      <rPr>
        <b/>
        <sz val="11"/>
        <color theme="1"/>
        <rFont val="Calibri"/>
      </rPr>
      <t>10.</t>
    </r>
    <r>
      <rPr>
        <sz val="11"/>
        <color theme="1"/>
        <rFont val="Calibri"/>
      </rPr>
      <t xml:space="preserve"> Loha (2010), Bassyouni (2014), Rupesh (2015), Rapagnà (2000), Sreejith (2013), Shahbaz (2017), Han (2011) e Li (2009): extraí dados dos gráficos dos artigos utilizando o WebPlotDigitizer.</t>
    </r>
  </si>
  <si>
    <r>
      <rPr>
        <b/>
        <sz val="11"/>
        <color theme="1"/>
        <rFont val="Calibri"/>
      </rPr>
      <t>11.</t>
    </r>
    <r>
      <rPr>
        <sz val="11"/>
        <color theme="1"/>
        <rFont val="Calibri"/>
      </rPr>
      <t xml:space="preserve"> Em Guo, os dados exp dos gases H2, CH4, CO e CO2 foram fornecidos por meio de gráfico "Gas production rate (m^3/h) x time (h)". A partir desses dados, calculei os valores em %vol.</t>
    </r>
  </si>
  <si>
    <r>
      <rPr>
        <b/>
        <sz val="11"/>
        <color theme="1"/>
        <rFont val="Calibri"/>
      </rPr>
      <t>12.</t>
    </r>
    <r>
      <rPr>
        <sz val="11"/>
        <color theme="1"/>
        <rFont val="Calibri"/>
      </rPr>
      <t xml:space="preserve"> Em Guo, os dados da biomassa (moisture, FC, VM, ash, C, H, O, N, S) estão como "as received basis".</t>
    </r>
  </si>
  <si>
    <r>
      <rPr>
        <b/>
        <sz val="11"/>
        <color theme="1"/>
        <rFont val="Calibri"/>
      </rPr>
      <t xml:space="preserve">13. </t>
    </r>
    <r>
      <rPr>
        <sz val="11"/>
        <color theme="1"/>
        <rFont val="Calibri"/>
      </rPr>
      <t>Em Sreejith, C, H, O e N em wt% in dry and ash free; e FC, moisture, volatiles e ash como as received basis.</t>
    </r>
  </si>
  <si>
    <r>
      <rPr>
        <b/>
        <sz val="11"/>
        <color theme="1"/>
        <rFont val="Calibri"/>
      </rPr>
      <t>14.</t>
    </r>
    <r>
      <rPr>
        <sz val="11"/>
        <color theme="1"/>
        <rFont val="Calibri"/>
      </rPr>
      <t xml:space="preserve"> Sreejith fornece composição do gás produto em %mole fraction. Mas estamos assumindo que %mol=%vol.</t>
    </r>
  </si>
  <si>
    <r>
      <rPr>
        <b/>
        <sz val="11"/>
        <color theme="1"/>
        <rFont val="Calibri"/>
      </rPr>
      <t>15.</t>
    </r>
    <r>
      <rPr>
        <sz val="11"/>
        <color theme="1"/>
        <rFont val="Calibri"/>
      </rPr>
      <t xml:space="preserve"> Sreejith: colhi as informações experimentais - fig. 10, 11, 14 a 17 e tabelas 5, 9, 10 e 11).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</si>
</sst>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sz val="11"/>
      <color rgb="FFC0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7030A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00B050"/>
        <bgColor rgb="FF00B05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DC1"/>
        <bgColor rgb="FFFFCDC1"/>
      </patternFill>
    </fill>
    <fill>
      <patternFill patternType="solid">
        <fgColor rgb="FFFFD1FF"/>
        <bgColor rgb="FFFFD1F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FE598"/>
        <bgColor rgb="FFFFE59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8" borderId="8" xfId="0" applyFont="1" applyFill="1" applyBorder="1"/>
    <xf numFmtId="0" fontId="2" fillId="0" borderId="9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1" fontId="1" fillId="9" borderId="4" xfId="0" applyNumberFormat="1" applyFont="1" applyFill="1" applyBorder="1" applyAlignment="1">
      <alignment horizontal="center" vertical="center"/>
    </xf>
    <xf numFmtId="164" fontId="1" fillId="9" borderId="10" xfId="0" applyNumberFormat="1" applyFont="1" applyFill="1" applyBorder="1" applyAlignment="1">
      <alignment horizontal="center" vertical="center"/>
    </xf>
    <xf numFmtId="2" fontId="1" fillId="9" borderId="10" xfId="0" applyNumberFormat="1" applyFont="1" applyFill="1" applyBorder="1" applyAlignment="1">
      <alignment horizontal="center" vertical="center"/>
    </xf>
    <xf numFmtId="2" fontId="1" fillId="10" borderId="10" xfId="0" applyNumberFormat="1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6" fillId="0" borderId="0" xfId="0" applyFont="1"/>
    <xf numFmtId="2" fontId="1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2" fontId="8" fillId="9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1" fillId="9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2" fontId="1" fillId="1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2" fontId="1" fillId="3" borderId="4" xfId="0" applyNumberFormat="1" applyFont="1" applyFill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2" fontId="7" fillId="15" borderId="4" xfId="0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5" fillId="15" borderId="4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top" wrapText="1"/>
    </xf>
    <xf numFmtId="0" fontId="1" fillId="16" borderId="4" xfId="0" applyFont="1" applyFill="1" applyBorder="1" applyAlignment="1">
      <alignment horizontal="center" vertical="center"/>
    </xf>
    <xf numFmtId="2" fontId="5" fillId="16" borderId="4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1" fillId="17" borderId="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2" fontId="1" fillId="10" borderId="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165" fontId="1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1" borderId="5" xfId="0" applyFont="1" applyFill="1" applyBorder="1"/>
    <xf numFmtId="0" fontId="1" fillId="12" borderId="4" xfId="0" applyFont="1" applyFill="1" applyBorder="1"/>
    <xf numFmtId="0" fontId="1" fillId="10" borderId="4" xfId="0" applyFont="1" applyFill="1" applyBorder="1"/>
    <xf numFmtId="0" fontId="1" fillId="17" borderId="4" xfId="0" applyFont="1" applyFill="1" applyBorder="1"/>
    <xf numFmtId="0" fontId="1" fillId="3" borderId="4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21"/>
  <sheetViews>
    <sheetView tabSelected="1" workbookViewId="0">
      <pane ySplit="3" topLeftCell="A4" activePane="bottomLeft" state="frozen"/>
      <selection pane="bottomLeft" activeCell="L3" sqref="L3"/>
    </sheetView>
  </sheetViews>
  <sheetFormatPr defaultColWidth="14.42578125" defaultRowHeight="15" customHeight="1" x14ac:dyDescent="0.25"/>
  <cols>
    <col min="1" max="1" width="8.7109375" customWidth="1"/>
    <col min="2" max="2" width="13.28515625" customWidth="1"/>
    <col min="3" max="3" width="14.28515625" customWidth="1"/>
    <col min="4" max="4" width="11.5703125" customWidth="1"/>
    <col min="5" max="5" width="13.42578125" customWidth="1"/>
    <col min="6" max="6" width="19.7109375" customWidth="1"/>
    <col min="7" max="13" width="8.7109375" customWidth="1"/>
    <col min="14" max="14" width="10.7109375" customWidth="1"/>
    <col min="15" max="17" width="8.7109375" customWidth="1"/>
    <col min="18" max="18" width="17.140625" customWidth="1"/>
    <col min="19" max="19" width="8.140625" customWidth="1"/>
    <col min="20" max="20" width="9.140625" customWidth="1"/>
    <col min="21" max="21" width="9.42578125" customWidth="1"/>
    <col min="22" max="24" width="8.7109375" customWidth="1"/>
    <col min="25" max="25" width="12.140625" customWidth="1"/>
    <col min="26" max="26" width="15.42578125" customWidth="1"/>
    <col min="27" max="28" width="8.7109375" customWidth="1"/>
    <col min="29" max="29" width="9.5703125" customWidth="1"/>
    <col min="30" max="30" width="10" customWidth="1"/>
    <col min="31" max="31" width="8.7109375" customWidth="1"/>
    <col min="32" max="32" width="8.85546875" customWidth="1"/>
    <col min="33" max="33" width="9.85546875" customWidth="1"/>
    <col min="34" max="34" width="10.28515625" customWidth="1"/>
    <col min="35" max="35" width="11.7109375" customWidth="1"/>
    <col min="36" max="40" width="8.7109375" customWidth="1"/>
    <col min="41" max="45" width="11.42578125" customWidth="1"/>
    <col min="46" max="47" width="8.7109375" customWidth="1"/>
    <col min="48" max="48" width="12.7109375" customWidth="1"/>
    <col min="49" max="50" width="8.7109375" customWidth="1"/>
  </cols>
  <sheetData>
    <row r="1" spans="1:49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G2" s="105" t="s">
        <v>0</v>
      </c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7"/>
      <c r="T2" s="2"/>
      <c r="U2" s="108" t="s">
        <v>1</v>
      </c>
      <c r="V2" s="106"/>
      <c r="W2" s="106"/>
      <c r="X2" s="106"/>
      <c r="Y2" s="106"/>
      <c r="Z2" s="106"/>
      <c r="AA2" s="106"/>
      <c r="AB2" s="106"/>
      <c r="AC2" s="106"/>
      <c r="AD2" s="107"/>
      <c r="AF2" s="1"/>
    </row>
    <row r="3" spans="1:49" ht="60" x14ac:dyDescent="0.25">
      <c r="B3" s="3" t="s">
        <v>2</v>
      </c>
      <c r="C3" s="3" t="s">
        <v>3</v>
      </c>
      <c r="D3" s="4" t="s">
        <v>4</v>
      </c>
      <c r="E3" s="3" t="s">
        <v>5</v>
      </c>
      <c r="F3" s="5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7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8" t="s">
        <v>18</v>
      </c>
      <c r="S3" s="6" t="s">
        <v>19</v>
      </c>
      <c r="T3" s="8" t="s">
        <v>20</v>
      </c>
      <c r="U3" s="6" t="s">
        <v>21</v>
      </c>
      <c r="V3" s="6" t="s">
        <v>22</v>
      </c>
      <c r="W3" s="9" t="s">
        <v>23</v>
      </c>
      <c r="X3" s="9" t="s">
        <v>24</v>
      </c>
      <c r="Y3" s="9" t="s">
        <v>25</v>
      </c>
      <c r="Z3" s="10" t="s">
        <v>26</v>
      </c>
      <c r="AA3" s="9" t="s">
        <v>27</v>
      </c>
      <c r="AB3" s="9" t="s">
        <v>28</v>
      </c>
      <c r="AC3" s="10" t="s">
        <v>29</v>
      </c>
      <c r="AD3" s="10" t="s">
        <v>30</v>
      </c>
      <c r="AF3" s="9" t="s">
        <v>31</v>
      </c>
      <c r="AG3" s="9" t="s">
        <v>32</v>
      </c>
      <c r="AH3" s="9" t="s">
        <v>33</v>
      </c>
      <c r="AI3" s="9" t="s">
        <v>34</v>
      </c>
      <c r="AK3" s="11" t="s">
        <v>35</v>
      </c>
      <c r="AL3" s="11" t="s">
        <v>36</v>
      </c>
      <c r="AM3" s="11" t="s">
        <v>37</v>
      </c>
      <c r="AN3" s="12"/>
      <c r="AO3" s="9" t="s">
        <v>38</v>
      </c>
      <c r="AP3" s="9" t="s">
        <v>39</v>
      </c>
      <c r="AQ3" s="9" t="s">
        <v>40</v>
      </c>
      <c r="AR3" s="9" t="s">
        <v>41</v>
      </c>
      <c r="AS3" s="9" t="s">
        <v>42</v>
      </c>
      <c r="AT3" s="9" t="s">
        <v>43</v>
      </c>
      <c r="AU3" s="13"/>
      <c r="AV3" s="9" t="s">
        <v>44</v>
      </c>
    </row>
    <row r="4" spans="1:49" x14ac:dyDescent="0.25">
      <c r="A4" s="14"/>
      <c r="B4" s="15" t="s">
        <v>45</v>
      </c>
      <c r="C4" s="16" t="s">
        <v>46</v>
      </c>
      <c r="D4" s="17" t="s">
        <v>47</v>
      </c>
      <c r="E4" s="18" t="s">
        <v>48</v>
      </c>
      <c r="F4" s="19" t="s">
        <v>49</v>
      </c>
      <c r="G4" s="20">
        <v>50</v>
      </c>
      <c r="H4" s="20">
        <v>5.7</v>
      </c>
      <c r="I4" s="20">
        <v>44.1</v>
      </c>
      <c r="J4" s="21">
        <f t="shared" ref="J4:J9" si="0">100-SUM(G4:I4)-K4</f>
        <v>0.16999999999998863</v>
      </c>
      <c r="K4" s="20">
        <v>0.03</v>
      </c>
      <c r="L4" s="22">
        <f t="shared" ref="L4:L9" si="1">16.5*(100-N4)/100</f>
        <v>12.6225</v>
      </c>
      <c r="M4" s="23">
        <f t="shared" ref="M4:M9" si="2">82.65*(100-N4)/100</f>
        <v>63.227250000000005</v>
      </c>
      <c r="N4" s="20">
        <v>23.5</v>
      </c>
      <c r="O4" s="22">
        <f t="shared" ref="O4:O9" si="3">0.85*(100-N4)/100</f>
        <v>0.65024999999999988</v>
      </c>
      <c r="P4" s="20">
        <v>0.32</v>
      </c>
      <c r="Q4" s="24">
        <v>800</v>
      </c>
      <c r="R4" s="24" t="s">
        <v>50</v>
      </c>
      <c r="S4" s="20">
        <v>0</v>
      </c>
      <c r="T4" s="25">
        <v>18.399999999999999</v>
      </c>
      <c r="U4" s="26">
        <v>18.087855297157621</v>
      </c>
      <c r="V4" s="26">
        <v>36.175710594315241</v>
      </c>
      <c r="W4" s="26">
        <v>34.883720930232556</v>
      </c>
      <c r="X4" s="26">
        <v>7.7519379844961236</v>
      </c>
      <c r="Y4" s="27">
        <f t="shared" ref="Y4:Y132" si="4">(AK4/AM4)*100</f>
        <v>48.99417735302562</v>
      </c>
      <c r="Z4" s="26">
        <v>2.2999999999999998</v>
      </c>
      <c r="AA4" s="18" t="s">
        <v>51</v>
      </c>
      <c r="AB4" s="18" t="s">
        <v>51</v>
      </c>
      <c r="AC4" s="28">
        <f t="shared" ref="AC4:AC135" si="5">((U4*0.24182)+(V4*0.283)+(X4*0.80262))*(10000/22.4)</f>
        <v>9300.7105943152437</v>
      </c>
      <c r="AD4" s="18" t="s">
        <v>51</v>
      </c>
      <c r="AF4" s="1"/>
      <c r="AK4" s="1">
        <f t="shared" ref="AK4:AK132" si="6">0.79*((P4*(((G4/12)+(H4/4))-((I4/16)/2)))/0.21)+(J4/14)/2</f>
        <v>5.0783730158730158</v>
      </c>
      <c r="AL4" s="29">
        <f t="shared" ref="AL4:AL132" si="7">(100*G4)/(12*(V4+W4+X4))</f>
        <v>5.2868852459016402</v>
      </c>
      <c r="AM4" s="29">
        <f t="shared" ref="AM4:AM132" si="8">AL4+AK4</f>
        <v>10.365258261774656</v>
      </c>
      <c r="AO4" s="30">
        <f t="shared" ref="AO4:AO132" si="9">((AL4*(U4/100))/AM4)*100</f>
        <v>9.2258593935095767</v>
      </c>
      <c r="AP4" s="30">
        <f t="shared" ref="AP4:AP132" si="10">((AL4*(V4/100))/AM4)*100</f>
        <v>18.451718787019153</v>
      </c>
      <c r="AQ4" s="30">
        <f t="shared" ref="AQ4:AQ132" si="11">((AL4*(W4/100))/AM4)*100</f>
        <v>17.7927288303399</v>
      </c>
      <c r="AR4" s="30">
        <f t="shared" ref="AR4:AR132" si="12">((AL4*(X4/100))/AM4)*100</f>
        <v>3.9539397400755329</v>
      </c>
      <c r="AS4" s="30">
        <f t="shared" ref="AS4:AS132" si="13">Y4</f>
        <v>48.99417735302562</v>
      </c>
      <c r="AT4" s="31">
        <f t="shared" ref="AT4:AT258" si="14">SUM(AO4:AS4)</f>
        <v>98.418424103969784</v>
      </c>
      <c r="AV4" s="28">
        <f t="shared" ref="AV4:AV135" si="15">((AO4*0.24182)+(AP4*0.283)+(AR4*0.80262))*(10000/22.4)</f>
        <v>4743.9039506447898</v>
      </c>
    </row>
    <row r="5" spans="1:49" x14ac:dyDescent="0.25">
      <c r="B5" s="32"/>
      <c r="C5" s="16" t="s">
        <v>46</v>
      </c>
      <c r="D5" s="17"/>
      <c r="E5" s="18" t="s">
        <v>48</v>
      </c>
      <c r="F5" s="33"/>
      <c r="G5" s="20">
        <v>50</v>
      </c>
      <c r="H5" s="20">
        <v>5.7</v>
      </c>
      <c r="I5" s="20">
        <v>44.1</v>
      </c>
      <c r="J5" s="21">
        <f t="shared" si="0"/>
        <v>0.16999999999998863</v>
      </c>
      <c r="K5" s="20">
        <v>0.03</v>
      </c>
      <c r="L5" s="22">
        <f t="shared" si="1"/>
        <v>13.035</v>
      </c>
      <c r="M5" s="23">
        <f t="shared" si="2"/>
        <v>65.293500000000009</v>
      </c>
      <c r="N5" s="20">
        <v>21</v>
      </c>
      <c r="O5" s="22">
        <f t="shared" si="3"/>
        <v>0.67149999999999987</v>
      </c>
      <c r="P5" s="20">
        <v>0.37</v>
      </c>
      <c r="Q5" s="24">
        <v>800</v>
      </c>
      <c r="R5" s="24" t="s">
        <v>50</v>
      </c>
      <c r="S5" s="20">
        <v>0</v>
      </c>
      <c r="T5" s="25">
        <v>18.399999999999999</v>
      </c>
      <c r="U5" s="20">
        <v>22.781774580335728</v>
      </c>
      <c r="V5" s="20">
        <v>31.175059952038367</v>
      </c>
      <c r="W5" s="20">
        <v>35.97122302158273</v>
      </c>
      <c r="X5" s="20">
        <v>6.4748201438848918</v>
      </c>
      <c r="Y5" s="27">
        <f t="shared" si="4"/>
        <v>50.916311010595052</v>
      </c>
      <c r="Z5" s="20">
        <v>2.5</v>
      </c>
      <c r="AA5" s="18" t="s">
        <v>51</v>
      </c>
      <c r="AB5" s="18" t="s">
        <v>51</v>
      </c>
      <c r="AC5" s="28">
        <f t="shared" si="5"/>
        <v>8718.0584104145255</v>
      </c>
      <c r="AD5" s="18" t="s">
        <v>51</v>
      </c>
      <c r="AF5" s="1"/>
      <c r="AK5" s="1">
        <f t="shared" si="6"/>
        <v>5.8709201388888896</v>
      </c>
      <c r="AL5" s="29">
        <f t="shared" si="7"/>
        <v>5.6596091205211723</v>
      </c>
      <c r="AM5" s="29">
        <f t="shared" si="8"/>
        <v>11.530529259410063</v>
      </c>
      <c r="AO5" s="30">
        <f t="shared" si="9"/>
        <v>11.182135381279302</v>
      </c>
      <c r="AP5" s="30">
        <f t="shared" si="10"/>
        <v>15.301869469119048</v>
      </c>
      <c r="AQ5" s="30">
        <f t="shared" si="11"/>
        <v>17.656003233598895</v>
      </c>
      <c r="AR5" s="30">
        <f t="shared" si="12"/>
        <v>3.178080582047802</v>
      </c>
      <c r="AS5" s="30">
        <f t="shared" si="13"/>
        <v>50.916311010595052</v>
      </c>
      <c r="AT5" s="31">
        <f t="shared" si="14"/>
        <v>98.234399676640095</v>
      </c>
      <c r="AV5" s="28">
        <f t="shared" si="15"/>
        <v>4279.1446760825265</v>
      </c>
    </row>
    <row r="6" spans="1:49" x14ac:dyDescent="0.25">
      <c r="B6" s="32"/>
      <c r="C6" s="16" t="s">
        <v>46</v>
      </c>
      <c r="D6" s="17"/>
      <c r="E6" s="18" t="s">
        <v>48</v>
      </c>
      <c r="F6" s="33"/>
      <c r="G6" s="20">
        <v>50</v>
      </c>
      <c r="H6" s="20">
        <v>5.7</v>
      </c>
      <c r="I6" s="20">
        <v>44.1</v>
      </c>
      <c r="J6" s="21">
        <f t="shared" si="0"/>
        <v>0.16999999999998863</v>
      </c>
      <c r="K6" s="20">
        <v>0.03</v>
      </c>
      <c r="L6" s="22">
        <f t="shared" si="1"/>
        <v>12.705</v>
      </c>
      <c r="M6" s="23">
        <f t="shared" si="2"/>
        <v>63.640500000000003</v>
      </c>
      <c r="N6" s="20">
        <v>23</v>
      </c>
      <c r="O6" s="22">
        <f t="shared" si="3"/>
        <v>0.65450000000000008</v>
      </c>
      <c r="P6" s="20">
        <v>0.47</v>
      </c>
      <c r="Q6" s="24">
        <v>810</v>
      </c>
      <c r="R6" s="24" t="s">
        <v>50</v>
      </c>
      <c r="S6" s="20">
        <v>0</v>
      </c>
      <c r="T6" s="25">
        <v>18.399999999999999</v>
      </c>
      <c r="U6" s="20">
        <v>23.880597014925375</v>
      </c>
      <c r="V6" s="20">
        <v>29.850746268656717</v>
      </c>
      <c r="W6" s="20">
        <v>35.820895522388057</v>
      </c>
      <c r="X6" s="20">
        <v>7.1641791044776122</v>
      </c>
      <c r="Y6" s="27">
        <f t="shared" si="4"/>
        <v>56.585083909199383</v>
      </c>
      <c r="Z6" s="20">
        <v>2.5</v>
      </c>
      <c r="AA6" s="18" t="s">
        <v>51</v>
      </c>
      <c r="AB6" s="18" t="s">
        <v>51</v>
      </c>
      <c r="AC6" s="28">
        <f t="shared" si="5"/>
        <v>8916.3752665245211</v>
      </c>
      <c r="AD6" s="18" t="s">
        <v>51</v>
      </c>
      <c r="AF6" s="1"/>
      <c r="AK6" s="1">
        <f t="shared" si="6"/>
        <v>7.4560143849206364</v>
      </c>
      <c r="AL6" s="29">
        <f t="shared" si="7"/>
        <v>5.7206284153005464</v>
      </c>
      <c r="AM6" s="29">
        <f t="shared" si="8"/>
        <v>13.176642800221183</v>
      </c>
      <c r="AO6" s="30">
        <f t="shared" si="9"/>
        <v>10.367741156012087</v>
      </c>
      <c r="AP6" s="30">
        <f t="shared" si="10"/>
        <v>12.959676445015109</v>
      </c>
      <c r="AQ6" s="30">
        <f t="shared" si="11"/>
        <v>15.551611734018127</v>
      </c>
      <c r="AR6" s="30">
        <f t="shared" si="12"/>
        <v>3.1103223468036258</v>
      </c>
      <c r="AS6" s="30">
        <f t="shared" si="13"/>
        <v>56.585083909199383</v>
      </c>
      <c r="AT6" s="31">
        <f t="shared" si="14"/>
        <v>98.574435591048342</v>
      </c>
      <c r="AV6" s="28">
        <f t="shared" si="15"/>
        <v>3871.0368403025204</v>
      </c>
    </row>
    <row r="7" spans="1:49" x14ac:dyDescent="0.25">
      <c r="B7" s="32"/>
      <c r="C7" s="16" t="s">
        <v>46</v>
      </c>
      <c r="D7" s="17"/>
      <c r="E7" s="18" t="s">
        <v>48</v>
      </c>
      <c r="F7" s="33"/>
      <c r="G7" s="20">
        <v>50</v>
      </c>
      <c r="H7" s="20">
        <v>5.7</v>
      </c>
      <c r="I7" s="20">
        <v>44.1</v>
      </c>
      <c r="J7" s="21">
        <f t="shared" si="0"/>
        <v>0.16999999999998863</v>
      </c>
      <c r="K7" s="20">
        <v>0.03</v>
      </c>
      <c r="L7" s="22">
        <f t="shared" si="1"/>
        <v>12.87</v>
      </c>
      <c r="M7" s="23">
        <f t="shared" si="2"/>
        <v>64.467000000000013</v>
      </c>
      <c r="N7" s="20">
        <v>22</v>
      </c>
      <c r="O7" s="22">
        <f t="shared" si="3"/>
        <v>0.66299999999999992</v>
      </c>
      <c r="P7" s="20">
        <v>0.26</v>
      </c>
      <c r="Q7" s="24">
        <v>800</v>
      </c>
      <c r="R7" s="24" t="s">
        <v>50</v>
      </c>
      <c r="S7" s="20">
        <v>0</v>
      </c>
      <c r="T7" s="25">
        <v>18.399999999999999</v>
      </c>
      <c r="U7" s="20">
        <v>20.383693045563547</v>
      </c>
      <c r="V7" s="20">
        <v>31.175059952038367</v>
      </c>
      <c r="W7" s="20">
        <v>35.97122302158273</v>
      </c>
      <c r="X7" s="20">
        <v>6.4748201438848918</v>
      </c>
      <c r="Y7" s="27">
        <f t="shared" si="4"/>
        <v>42.171736474503163</v>
      </c>
      <c r="Z7" s="20">
        <v>2.1</v>
      </c>
      <c r="AA7" s="18" t="s">
        <v>51</v>
      </c>
      <c r="AB7" s="18" t="s">
        <v>51</v>
      </c>
      <c r="AC7" s="28">
        <f t="shared" si="5"/>
        <v>8459.1726618705034</v>
      </c>
      <c r="AD7" s="18" t="s">
        <v>51</v>
      </c>
      <c r="AF7" s="1"/>
      <c r="AK7" s="1">
        <f t="shared" si="6"/>
        <v>4.1273164682539694</v>
      </c>
      <c r="AL7" s="29">
        <f t="shared" si="7"/>
        <v>5.6596091205211723</v>
      </c>
      <c r="AM7" s="29">
        <f t="shared" si="8"/>
        <v>9.7869255887751407</v>
      </c>
      <c r="AO7" s="30">
        <f t="shared" si="9"/>
        <v>11.787535730616863</v>
      </c>
      <c r="AP7" s="30">
        <f t="shared" si="10"/>
        <v>18.027995823296379</v>
      </c>
      <c r="AQ7" s="30">
        <f t="shared" si="11"/>
        <v>20.801533642265049</v>
      </c>
      <c r="AR7" s="30">
        <f t="shared" si="12"/>
        <v>3.7442760556077102</v>
      </c>
      <c r="AS7" s="30">
        <f t="shared" si="13"/>
        <v>42.171736474503163</v>
      </c>
      <c r="AT7" s="31">
        <f t="shared" si="14"/>
        <v>96.533077726289164</v>
      </c>
      <c r="AV7" s="28">
        <f t="shared" si="15"/>
        <v>4891.7926589832614</v>
      </c>
    </row>
    <row r="8" spans="1:49" x14ac:dyDescent="0.25">
      <c r="B8" s="32"/>
      <c r="C8" s="16" t="s">
        <v>46</v>
      </c>
      <c r="D8" s="17"/>
      <c r="E8" s="18" t="s">
        <v>48</v>
      </c>
      <c r="F8" s="33"/>
      <c r="G8" s="20">
        <v>50</v>
      </c>
      <c r="H8" s="20">
        <v>5.7</v>
      </c>
      <c r="I8" s="20">
        <v>44.1</v>
      </c>
      <c r="J8" s="21">
        <f t="shared" si="0"/>
        <v>0.16999999999998863</v>
      </c>
      <c r="K8" s="20">
        <v>0.03</v>
      </c>
      <c r="L8" s="22">
        <f t="shared" si="1"/>
        <v>12.375</v>
      </c>
      <c r="M8" s="23">
        <f t="shared" si="2"/>
        <v>61.987499999999997</v>
      </c>
      <c r="N8" s="20">
        <v>25</v>
      </c>
      <c r="O8" s="22">
        <f t="shared" si="3"/>
        <v>0.63749999999999996</v>
      </c>
      <c r="P8" s="20">
        <v>0.36</v>
      </c>
      <c r="Q8" s="24">
        <v>790</v>
      </c>
      <c r="R8" s="24" t="s">
        <v>50</v>
      </c>
      <c r="S8" s="20">
        <v>0</v>
      </c>
      <c r="T8" s="25">
        <v>18.399999999999999</v>
      </c>
      <c r="U8" s="20">
        <v>22.781774580335728</v>
      </c>
      <c r="V8" s="20">
        <v>31.175059952038367</v>
      </c>
      <c r="W8" s="20">
        <v>35.97122302158273</v>
      </c>
      <c r="X8" s="20">
        <v>6.4748201438848918</v>
      </c>
      <c r="Y8" s="27">
        <f t="shared" si="4"/>
        <v>50.232155740719563</v>
      </c>
      <c r="Z8" s="20">
        <v>2.4</v>
      </c>
      <c r="AA8" s="18" t="s">
        <v>51</v>
      </c>
      <c r="AB8" s="18" t="s">
        <v>51</v>
      </c>
      <c r="AC8" s="28">
        <f t="shared" si="5"/>
        <v>8718.0584104145255</v>
      </c>
      <c r="AD8" s="18" t="s">
        <v>51</v>
      </c>
      <c r="AF8" s="1"/>
      <c r="AK8" s="1">
        <f t="shared" si="6"/>
        <v>5.7124107142857143</v>
      </c>
      <c r="AL8" s="29">
        <f t="shared" si="7"/>
        <v>5.6596091205211723</v>
      </c>
      <c r="AM8" s="29">
        <f t="shared" si="8"/>
        <v>11.372019834806887</v>
      </c>
      <c r="AO8" s="30">
        <f t="shared" si="9"/>
        <v>11.337998092641826</v>
      </c>
      <c r="AP8" s="30">
        <f t="shared" si="10"/>
        <v>15.515155284667765</v>
      </c>
      <c r="AQ8" s="30">
        <f t="shared" si="11"/>
        <v>17.902102251539727</v>
      </c>
      <c r="AR8" s="30">
        <f t="shared" si="12"/>
        <v>3.2223784052771509</v>
      </c>
      <c r="AS8" s="30">
        <f t="shared" si="13"/>
        <v>50.232155740719563</v>
      </c>
      <c r="AT8" s="31">
        <f t="shared" si="14"/>
        <v>98.20978977484603</v>
      </c>
      <c r="AV8" s="28">
        <f t="shared" si="15"/>
        <v>4338.7897321282007</v>
      </c>
    </row>
    <row r="9" spans="1:49" x14ac:dyDescent="0.25">
      <c r="B9" s="32"/>
      <c r="C9" s="16" t="s">
        <v>46</v>
      </c>
      <c r="D9" s="17"/>
      <c r="E9" s="18" t="s">
        <v>48</v>
      </c>
      <c r="F9" s="34"/>
      <c r="G9" s="20">
        <v>50</v>
      </c>
      <c r="H9" s="20">
        <v>5.7</v>
      </c>
      <c r="I9" s="20">
        <v>44.1</v>
      </c>
      <c r="J9" s="21">
        <f t="shared" si="0"/>
        <v>0.16999999999998863</v>
      </c>
      <c r="K9" s="20">
        <v>0.03</v>
      </c>
      <c r="L9" s="22">
        <f t="shared" si="1"/>
        <v>13.365</v>
      </c>
      <c r="M9" s="23">
        <f t="shared" si="2"/>
        <v>66.9465</v>
      </c>
      <c r="N9" s="20">
        <v>19</v>
      </c>
      <c r="O9" s="22">
        <f t="shared" si="3"/>
        <v>0.68849999999999989</v>
      </c>
      <c r="P9" s="20">
        <v>0.32</v>
      </c>
      <c r="Q9" s="24">
        <v>800</v>
      </c>
      <c r="R9" s="24" t="s">
        <v>50</v>
      </c>
      <c r="S9" s="20">
        <v>0</v>
      </c>
      <c r="T9" s="25">
        <v>18.399999999999999</v>
      </c>
      <c r="U9" s="20">
        <v>17.272727272727273</v>
      </c>
      <c r="V9" s="20">
        <v>32.727272727272727</v>
      </c>
      <c r="W9" s="20">
        <v>24.545454545454547</v>
      </c>
      <c r="X9" s="20">
        <v>8.1818181818181817</v>
      </c>
      <c r="Y9" s="27">
        <f t="shared" si="4"/>
        <v>44.375415378391658</v>
      </c>
      <c r="Z9" s="20">
        <v>2.1</v>
      </c>
      <c r="AA9" s="18" t="s">
        <v>51</v>
      </c>
      <c r="AB9" s="18" t="s">
        <v>51</v>
      </c>
      <c r="AC9" s="28">
        <f t="shared" si="5"/>
        <v>8931.0714285714275</v>
      </c>
      <c r="AD9" s="18" t="s">
        <v>51</v>
      </c>
      <c r="AF9" s="1"/>
      <c r="AK9" s="1">
        <f t="shared" si="6"/>
        <v>5.0783730158730158</v>
      </c>
      <c r="AL9" s="29">
        <f t="shared" si="7"/>
        <v>6.3657407407407405</v>
      </c>
      <c r="AM9" s="29">
        <f t="shared" si="8"/>
        <v>11.444113756613756</v>
      </c>
      <c r="AO9" s="30">
        <f t="shared" si="9"/>
        <v>9.6078827982778048</v>
      </c>
      <c r="AP9" s="30">
        <f t="shared" si="10"/>
        <v>18.204409512526365</v>
      </c>
      <c r="AQ9" s="30">
        <f t="shared" si="11"/>
        <v>13.653307134394776</v>
      </c>
      <c r="AR9" s="30">
        <f t="shared" si="12"/>
        <v>4.5511023781315911</v>
      </c>
      <c r="AS9" s="30">
        <f t="shared" si="13"/>
        <v>44.375415378391658</v>
      </c>
      <c r="AT9" s="31">
        <f t="shared" si="14"/>
        <v>90.392117201722186</v>
      </c>
      <c r="AV9" s="28">
        <f t="shared" si="15"/>
        <v>4967.8713844019994</v>
      </c>
    </row>
    <row r="10" spans="1:49" x14ac:dyDescent="0.25">
      <c r="B10" s="32"/>
      <c r="C10" s="16" t="s">
        <v>46</v>
      </c>
      <c r="D10" s="17"/>
      <c r="E10" s="18" t="s">
        <v>48</v>
      </c>
      <c r="F10" s="19" t="s">
        <v>52</v>
      </c>
      <c r="G10" s="35">
        <v>46.4</v>
      </c>
      <c r="H10" s="35">
        <v>5.7</v>
      </c>
      <c r="I10" s="35">
        <v>47.7</v>
      </c>
      <c r="J10" s="36">
        <v>0.2</v>
      </c>
      <c r="K10" s="35">
        <v>0</v>
      </c>
      <c r="L10" s="22">
        <f t="shared" ref="L10:L14" si="16">10*(100-N10)/100</f>
        <v>9.15</v>
      </c>
      <c r="M10" s="23">
        <f t="shared" ref="M10:M14" si="17">88.9*(100-N10)/100</f>
        <v>81.343500000000006</v>
      </c>
      <c r="N10" s="20">
        <v>8.5</v>
      </c>
      <c r="O10" s="22">
        <f t="shared" ref="O10:O14" si="18">1.1*(100-N10)/100</f>
        <v>1.0065</v>
      </c>
      <c r="P10" s="20">
        <v>0.32</v>
      </c>
      <c r="Q10" s="24">
        <v>750</v>
      </c>
      <c r="R10" s="24" t="s">
        <v>50</v>
      </c>
      <c r="S10" s="20">
        <v>0</v>
      </c>
      <c r="T10" s="37" t="s">
        <v>51</v>
      </c>
      <c r="U10" s="20">
        <v>14.709343374911743</v>
      </c>
      <c r="V10" s="20">
        <v>33.60790774299835</v>
      </c>
      <c r="W10" s="20">
        <v>40.127088726759233</v>
      </c>
      <c r="X10" s="20">
        <v>8.1666274417510003</v>
      </c>
      <c r="Y10" s="27">
        <f t="shared" si="4"/>
        <v>49.257102691968456</v>
      </c>
      <c r="Z10" s="20">
        <v>1.8907987866531848</v>
      </c>
      <c r="AA10" s="18" t="s">
        <v>51</v>
      </c>
      <c r="AB10" s="18" t="s">
        <v>51</v>
      </c>
      <c r="AC10" s="28">
        <f t="shared" si="5"/>
        <v>8760.1561711999457</v>
      </c>
      <c r="AD10" s="18" t="s">
        <v>51</v>
      </c>
      <c r="AF10" s="1"/>
      <c r="AK10" s="1">
        <f t="shared" si="6"/>
        <v>4.5828730158730169</v>
      </c>
      <c r="AL10" s="29">
        <f t="shared" si="7"/>
        <v>4.721111111111111</v>
      </c>
      <c r="AM10" s="29">
        <f t="shared" si="8"/>
        <v>9.3039841269841279</v>
      </c>
      <c r="AO10" s="30">
        <f t="shared" si="9"/>
        <v>7.4639470034172071</v>
      </c>
      <c r="AP10" s="30">
        <f t="shared" si="10"/>
        <v>17.053626113407631</v>
      </c>
      <c r="AQ10" s="30">
        <f t="shared" si="11"/>
        <v>20.36164742532214</v>
      </c>
      <c r="AR10" s="30">
        <f t="shared" si="12"/>
        <v>4.1439833762972338</v>
      </c>
      <c r="AS10" s="30">
        <f t="shared" si="13"/>
        <v>49.257102691968456</v>
      </c>
      <c r="AT10" s="31">
        <f t="shared" si="14"/>
        <v>98.28030661041268</v>
      </c>
      <c r="AV10" s="28">
        <f t="shared" si="15"/>
        <v>4445.1570499751761</v>
      </c>
    </row>
    <row r="11" spans="1:49" x14ac:dyDescent="0.25">
      <c r="B11" s="32"/>
      <c r="C11" s="16" t="s">
        <v>46</v>
      </c>
      <c r="D11" s="17"/>
      <c r="E11" s="18" t="s">
        <v>48</v>
      </c>
      <c r="F11" s="38"/>
      <c r="G11" s="35">
        <v>46.4</v>
      </c>
      <c r="H11" s="35">
        <v>5.7</v>
      </c>
      <c r="I11" s="35">
        <v>47.7</v>
      </c>
      <c r="J11" s="36">
        <v>0.2</v>
      </c>
      <c r="K11" s="35">
        <v>0</v>
      </c>
      <c r="L11" s="22">
        <f t="shared" si="16"/>
        <v>9.15</v>
      </c>
      <c r="M11" s="23">
        <f t="shared" si="17"/>
        <v>81.343500000000006</v>
      </c>
      <c r="N11" s="20">
        <v>8.5</v>
      </c>
      <c r="O11" s="22">
        <f t="shared" si="18"/>
        <v>1.0065</v>
      </c>
      <c r="P11" s="20">
        <v>0.36</v>
      </c>
      <c r="Q11" s="24">
        <v>776.5</v>
      </c>
      <c r="R11" s="24" t="s">
        <v>50</v>
      </c>
      <c r="S11" s="20">
        <v>0</v>
      </c>
      <c r="T11" s="37" t="s">
        <v>51</v>
      </c>
      <c r="U11" s="20">
        <v>16.538981523208651</v>
      </c>
      <c r="V11" s="20">
        <v>29.044614691302385</v>
      </c>
      <c r="W11" s="20">
        <v>38.192879675529518</v>
      </c>
      <c r="X11" s="20">
        <v>7.5935105903560158</v>
      </c>
      <c r="Y11" s="27">
        <f t="shared" si="4"/>
        <v>49.94013125445759</v>
      </c>
      <c r="Z11" s="20">
        <v>2.1840242669362993</v>
      </c>
      <c r="AA11" s="18" t="s">
        <v>51</v>
      </c>
      <c r="AB11" s="18" t="s">
        <v>51</v>
      </c>
      <c r="AC11" s="28">
        <f t="shared" si="5"/>
        <v>8175.7972944698386</v>
      </c>
      <c r="AD11" s="18" t="s">
        <v>51</v>
      </c>
      <c r="AF11" s="1"/>
      <c r="AK11" s="1">
        <f t="shared" si="6"/>
        <v>5.1548392857142868</v>
      </c>
      <c r="AL11" s="29">
        <f t="shared" si="7"/>
        <v>5.1671986349493135</v>
      </c>
      <c r="AM11" s="29">
        <f t="shared" si="8"/>
        <v>10.3220379206636</v>
      </c>
      <c r="AO11" s="30">
        <f t="shared" si="9"/>
        <v>8.2793924423677634</v>
      </c>
      <c r="AP11" s="30">
        <f t="shared" si="10"/>
        <v>14.539695992114501</v>
      </c>
      <c r="AQ11" s="30">
        <f t="shared" si="11"/>
        <v>19.11930543571302</v>
      </c>
      <c r="AR11" s="30">
        <f t="shared" si="12"/>
        <v>3.8013014347110845</v>
      </c>
      <c r="AS11" s="30">
        <f t="shared" si="13"/>
        <v>49.94013125445759</v>
      </c>
      <c r="AT11" s="31">
        <f t="shared" si="14"/>
        <v>95.67982655936396</v>
      </c>
      <c r="AV11" s="28">
        <f t="shared" si="15"/>
        <v>4092.793394513209</v>
      </c>
    </row>
    <row r="12" spans="1:49" x14ac:dyDescent="0.25">
      <c r="B12" s="32"/>
      <c r="C12" s="16" t="s">
        <v>46</v>
      </c>
      <c r="D12" s="17"/>
      <c r="E12" s="18" t="s">
        <v>48</v>
      </c>
      <c r="F12" s="38"/>
      <c r="G12" s="35">
        <v>46.4</v>
      </c>
      <c r="H12" s="35">
        <v>5.7</v>
      </c>
      <c r="I12" s="35">
        <v>47.7</v>
      </c>
      <c r="J12" s="36">
        <v>0.2</v>
      </c>
      <c r="K12" s="35">
        <v>0</v>
      </c>
      <c r="L12" s="22">
        <f t="shared" si="16"/>
        <v>9.15</v>
      </c>
      <c r="M12" s="23">
        <f t="shared" si="17"/>
        <v>81.343500000000006</v>
      </c>
      <c r="N12" s="20">
        <v>8.5</v>
      </c>
      <c r="O12" s="22">
        <f t="shared" si="18"/>
        <v>1.0065</v>
      </c>
      <c r="P12" s="20">
        <v>0.38</v>
      </c>
      <c r="Q12" s="24">
        <v>790.5</v>
      </c>
      <c r="R12" s="24" t="s">
        <v>50</v>
      </c>
      <c r="S12" s="20">
        <v>0</v>
      </c>
      <c r="T12" s="37" t="s">
        <v>51</v>
      </c>
      <c r="U12" s="20">
        <v>19.158233670653175</v>
      </c>
      <c r="V12" s="20">
        <v>29.645814167433304</v>
      </c>
      <c r="W12" s="20">
        <v>37.396504139834413</v>
      </c>
      <c r="X12" s="20">
        <v>7.98068077276909</v>
      </c>
      <c r="Y12" s="27">
        <f t="shared" si="4"/>
        <v>51.353717966596079</v>
      </c>
      <c r="Z12" s="20">
        <v>2.3154701718907988</v>
      </c>
      <c r="AA12" s="18" t="s">
        <v>51</v>
      </c>
      <c r="AB12" s="18" t="s">
        <v>51</v>
      </c>
      <c r="AC12" s="28">
        <f t="shared" si="5"/>
        <v>8673.2426238664739</v>
      </c>
      <c r="AD12" s="18" t="s">
        <v>51</v>
      </c>
      <c r="AF12" s="1"/>
      <c r="AK12" s="1">
        <f t="shared" si="6"/>
        <v>5.4408224206349214</v>
      </c>
      <c r="AL12" s="29">
        <f t="shared" si="7"/>
        <v>5.1539750664214177</v>
      </c>
      <c r="AM12" s="29">
        <f t="shared" si="8"/>
        <v>10.59479748705634</v>
      </c>
      <c r="AO12" s="30">
        <f t="shared" si="9"/>
        <v>9.3197683840444938</v>
      </c>
      <c r="AP12" s="30">
        <f t="shared" si="10"/>
        <v>14.42158637098842</v>
      </c>
      <c r="AQ12" s="30">
        <f t="shared" si="11"/>
        <v>18.192008874497422</v>
      </c>
      <c r="AR12" s="30">
        <f t="shared" si="12"/>
        <v>3.8823044769068908</v>
      </c>
      <c r="AS12" s="30">
        <f t="shared" si="13"/>
        <v>51.353717966596079</v>
      </c>
      <c r="AT12" s="31">
        <f t="shared" si="14"/>
        <v>97.169386073033309</v>
      </c>
      <c r="AV12" s="28">
        <f t="shared" si="15"/>
        <v>4219.2100682474875</v>
      </c>
    </row>
    <row r="13" spans="1:49" x14ac:dyDescent="0.25">
      <c r="B13" s="32"/>
      <c r="C13" s="16" t="s">
        <v>46</v>
      </c>
      <c r="D13" s="17"/>
      <c r="E13" s="18" t="s">
        <v>48</v>
      </c>
      <c r="F13" s="38"/>
      <c r="G13" s="35">
        <v>46.4</v>
      </c>
      <c r="H13" s="35">
        <v>5.7</v>
      </c>
      <c r="I13" s="35">
        <v>47.7</v>
      </c>
      <c r="J13" s="36">
        <v>0.2</v>
      </c>
      <c r="K13" s="35">
        <v>0</v>
      </c>
      <c r="L13" s="22">
        <f t="shared" si="16"/>
        <v>9.15</v>
      </c>
      <c r="M13" s="23">
        <f t="shared" si="17"/>
        <v>81.343500000000006</v>
      </c>
      <c r="N13" s="20">
        <v>8.5</v>
      </c>
      <c r="O13" s="22">
        <f t="shared" si="18"/>
        <v>1.0065</v>
      </c>
      <c r="P13" s="20">
        <v>0.41</v>
      </c>
      <c r="Q13" s="24">
        <v>808.4</v>
      </c>
      <c r="R13" s="24" t="s">
        <v>50</v>
      </c>
      <c r="S13" s="20">
        <v>0</v>
      </c>
      <c r="T13" s="37" t="s">
        <v>51</v>
      </c>
      <c r="U13" s="20">
        <v>16.642335766423358</v>
      </c>
      <c r="V13" s="20">
        <v>28.223844282238442</v>
      </c>
      <c r="W13" s="20">
        <v>40.778588807785894</v>
      </c>
      <c r="X13" s="20">
        <v>8.442822384428224</v>
      </c>
      <c r="Y13" s="27">
        <f t="shared" si="4"/>
        <v>54.03690337918384</v>
      </c>
      <c r="Z13" s="20">
        <v>2.3660262891809909</v>
      </c>
      <c r="AA13" s="18" t="s">
        <v>51</v>
      </c>
      <c r="AB13" s="18" t="s">
        <v>51</v>
      </c>
      <c r="AC13" s="28">
        <f t="shared" si="5"/>
        <v>8387.5784237052485</v>
      </c>
      <c r="AD13" s="18" t="s">
        <v>51</v>
      </c>
      <c r="AF13" s="1"/>
      <c r="AK13" s="1">
        <f t="shared" si="6"/>
        <v>5.8697971230158732</v>
      </c>
      <c r="AL13" s="29">
        <f t="shared" si="7"/>
        <v>4.9927741124725094</v>
      </c>
      <c r="AM13" s="29">
        <f t="shared" si="8"/>
        <v>10.862571235488382</v>
      </c>
      <c r="AO13" s="30">
        <f t="shared" si="9"/>
        <v>7.6493328682818147</v>
      </c>
      <c r="AP13" s="30">
        <f t="shared" si="10"/>
        <v>12.972552817553954</v>
      </c>
      <c r="AQ13" s="30">
        <f t="shared" si="11"/>
        <v>18.743102174327959</v>
      </c>
      <c r="AR13" s="30">
        <f t="shared" si="12"/>
        <v>3.8805826100786396</v>
      </c>
      <c r="AS13" s="30">
        <f t="shared" si="13"/>
        <v>54.03690337918384</v>
      </c>
      <c r="AT13" s="31">
        <f t="shared" si="14"/>
        <v>97.282473849426196</v>
      </c>
      <c r="AV13" s="28">
        <f t="shared" si="15"/>
        <v>3855.1907750343721</v>
      </c>
    </row>
    <row r="14" spans="1:49" x14ac:dyDescent="0.25">
      <c r="B14" s="32"/>
      <c r="C14" s="16" t="s">
        <v>46</v>
      </c>
      <c r="D14" s="17"/>
      <c r="E14" s="18" t="s">
        <v>48</v>
      </c>
      <c r="F14" s="39"/>
      <c r="G14" s="35">
        <v>46.4</v>
      </c>
      <c r="H14" s="35">
        <v>5.7</v>
      </c>
      <c r="I14" s="35">
        <v>47.7</v>
      </c>
      <c r="J14" s="36">
        <v>0.2</v>
      </c>
      <c r="K14" s="35">
        <v>0</v>
      </c>
      <c r="L14" s="22">
        <f t="shared" si="16"/>
        <v>9.15</v>
      </c>
      <c r="M14" s="23">
        <f t="shared" si="17"/>
        <v>81.343500000000006</v>
      </c>
      <c r="N14" s="20">
        <v>8.5</v>
      </c>
      <c r="O14" s="22">
        <f t="shared" si="18"/>
        <v>1.0065</v>
      </c>
      <c r="P14" s="20">
        <v>0.43</v>
      </c>
      <c r="Q14" s="24">
        <v>834.2</v>
      </c>
      <c r="R14" s="24" t="s">
        <v>50</v>
      </c>
      <c r="S14" s="20">
        <v>0</v>
      </c>
      <c r="T14" s="37" t="s">
        <v>51</v>
      </c>
      <c r="U14" s="20">
        <v>12.235649546827796</v>
      </c>
      <c r="V14" s="20">
        <v>25.956696878147032</v>
      </c>
      <c r="W14" s="20">
        <v>40.181268882175225</v>
      </c>
      <c r="X14" s="20">
        <v>7.9808660624370598</v>
      </c>
      <c r="Y14" s="27">
        <f t="shared" si="4"/>
        <v>54.12803630309773</v>
      </c>
      <c r="Z14" s="20">
        <v>2.487360970677452</v>
      </c>
      <c r="AA14" s="18" t="s">
        <v>51</v>
      </c>
      <c r="AB14" s="18" t="s">
        <v>51</v>
      </c>
      <c r="AC14" s="28">
        <f t="shared" si="5"/>
        <v>7459.898530786937</v>
      </c>
      <c r="AD14" s="18" t="s">
        <v>51</v>
      </c>
      <c r="AF14" s="1"/>
      <c r="AK14" s="1">
        <f t="shared" si="6"/>
        <v>6.1557802579365086</v>
      </c>
      <c r="AL14" s="29">
        <f t="shared" si="7"/>
        <v>5.2168478260869566</v>
      </c>
      <c r="AM14" s="29">
        <f t="shared" si="8"/>
        <v>11.372628084023464</v>
      </c>
      <c r="AO14" s="30">
        <f t="shared" si="9"/>
        <v>5.612732718201034</v>
      </c>
      <c r="AP14" s="30">
        <f t="shared" si="10"/>
        <v>11.906846568858574</v>
      </c>
      <c r="AQ14" s="30">
        <f t="shared" si="11"/>
        <v>18.431937074586109</v>
      </c>
      <c r="AR14" s="30">
        <f t="shared" si="12"/>
        <v>3.6609799828595224</v>
      </c>
      <c r="AS14" s="30">
        <f t="shared" si="13"/>
        <v>54.12803630309773</v>
      </c>
      <c r="AT14" s="31">
        <f t="shared" si="14"/>
        <v>93.740532647602976</v>
      </c>
      <c r="AV14" s="28">
        <f t="shared" si="15"/>
        <v>3422.0019458683305</v>
      </c>
    </row>
    <row r="15" spans="1:49" x14ac:dyDescent="0.25">
      <c r="B15" s="32"/>
      <c r="C15" s="16" t="s">
        <v>46</v>
      </c>
      <c r="D15" s="17"/>
      <c r="E15" s="18" t="s">
        <v>53</v>
      </c>
      <c r="F15" s="19" t="s">
        <v>49</v>
      </c>
      <c r="G15" s="22">
        <v>50.82</v>
      </c>
      <c r="H15" s="22">
        <v>7.12</v>
      </c>
      <c r="I15" s="22">
        <v>41.34</v>
      </c>
      <c r="J15" s="23">
        <v>0.15082999999999999</v>
      </c>
      <c r="K15" s="22">
        <v>0.56999999999999995</v>
      </c>
      <c r="L15" s="22">
        <f t="shared" ref="L15:L29" si="19">17.16*(100-N15)/100</f>
        <v>15.7872</v>
      </c>
      <c r="M15" s="23">
        <f t="shared" ref="M15:M29" si="20">82.29*(100-N15)/100</f>
        <v>75.706800000000001</v>
      </c>
      <c r="N15" s="20">
        <v>8</v>
      </c>
      <c r="O15" s="22">
        <f t="shared" ref="O15:O29" si="21">0.55*(100-N15)/100</f>
        <v>0.50600000000000001</v>
      </c>
      <c r="P15" s="20">
        <v>0.22</v>
      </c>
      <c r="Q15" s="24">
        <v>700</v>
      </c>
      <c r="R15" s="24" t="s">
        <v>50</v>
      </c>
      <c r="S15" s="20">
        <v>2.7</v>
      </c>
      <c r="T15" s="37" t="s">
        <v>51</v>
      </c>
      <c r="U15" s="20">
        <v>21.4</v>
      </c>
      <c r="V15" s="20">
        <v>42.85</v>
      </c>
      <c r="W15" s="20">
        <v>20.48</v>
      </c>
      <c r="X15" s="20">
        <v>9.32</v>
      </c>
      <c r="Y15" s="27">
        <f t="shared" si="4"/>
        <v>40.173174665044158</v>
      </c>
      <c r="Z15" s="20">
        <v>1.5629440181869847</v>
      </c>
      <c r="AA15" s="18" t="s">
        <v>51</v>
      </c>
      <c r="AB15" s="18" t="s">
        <v>51</v>
      </c>
      <c r="AC15" s="28">
        <f t="shared" si="5"/>
        <v>11063.355535714287</v>
      </c>
      <c r="AD15" s="18" t="s">
        <v>51</v>
      </c>
      <c r="AF15" s="1"/>
      <c r="AK15" s="1">
        <f t="shared" si="6"/>
        <v>3.9143350000000008</v>
      </c>
      <c r="AL15" s="29">
        <f t="shared" si="7"/>
        <v>5.8293186510667576</v>
      </c>
      <c r="AM15" s="29">
        <f t="shared" si="8"/>
        <v>9.743653651066758</v>
      </c>
      <c r="AO15" s="30">
        <f t="shared" si="9"/>
        <v>12.80294062168055</v>
      </c>
      <c r="AP15" s="30">
        <f t="shared" si="10"/>
        <v>25.635794656028583</v>
      </c>
      <c r="AQ15" s="30">
        <f t="shared" si="11"/>
        <v>12.25253382859896</v>
      </c>
      <c r="AR15" s="30">
        <f t="shared" si="12"/>
        <v>5.575860121217886</v>
      </c>
      <c r="AS15" s="30">
        <f t="shared" si="13"/>
        <v>40.173174665044158</v>
      </c>
      <c r="AT15" s="31">
        <f t="shared" si="14"/>
        <v>96.440303892570142</v>
      </c>
      <c r="AV15" s="28">
        <f t="shared" si="15"/>
        <v>6618.8543925369549</v>
      </c>
    </row>
    <row r="16" spans="1:49" x14ac:dyDescent="0.25">
      <c r="B16" s="32"/>
      <c r="C16" s="16" t="s">
        <v>46</v>
      </c>
      <c r="D16" s="17"/>
      <c r="E16" s="18" t="s">
        <v>53</v>
      </c>
      <c r="F16" s="38"/>
      <c r="G16" s="22">
        <v>50.82</v>
      </c>
      <c r="H16" s="22">
        <v>7.12</v>
      </c>
      <c r="I16" s="22">
        <v>41.34</v>
      </c>
      <c r="J16" s="23">
        <v>0.15082999999999999</v>
      </c>
      <c r="K16" s="22">
        <v>0.56999999999999995</v>
      </c>
      <c r="L16" s="22">
        <f t="shared" si="19"/>
        <v>15.7872</v>
      </c>
      <c r="M16" s="23">
        <f t="shared" si="20"/>
        <v>75.706800000000001</v>
      </c>
      <c r="N16" s="20">
        <v>8</v>
      </c>
      <c r="O16" s="22">
        <f t="shared" si="21"/>
        <v>0.50600000000000001</v>
      </c>
      <c r="P16" s="20">
        <v>0.22</v>
      </c>
      <c r="Q16" s="24">
        <v>750</v>
      </c>
      <c r="R16" s="24" t="s">
        <v>50</v>
      </c>
      <c r="S16" s="20">
        <v>2.7</v>
      </c>
      <c r="T16" s="37" t="s">
        <v>51</v>
      </c>
      <c r="U16" s="20">
        <v>28.2</v>
      </c>
      <c r="V16" s="20">
        <v>39.299999999999997</v>
      </c>
      <c r="W16" s="20">
        <v>19.5</v>
      </c>
      <c r="X16" s="20">
        <v>8.2799999999999994</v>
      </c>
      <c r="Y16" s="27">
        <f t="shared" si="4"/>
        <v>38.271928104841543</v>
      </c>
      <c r="Z16" s="20">
        <v>1.6503814457778652</v>
      </c>
      <c r="AA16" s="18" t="s">
        <v>51</v>
      </c>
      <c r="AB16" s="18" t="s">
        <v>51</v>
      </c>
      <c r="AC16" s="28">
        <f t="shared" si="5"/>
        <v>10976.3025</v>
      </c>
      <c r="AD16" s="18" t="s">
        <v>51</v>
      </c>
      <c r="AF16" s="1"/>
      <c r="AK16" s="1">
        <f t="shared" si="6"/>
        <v>3.9143350000000008</v>
      </c>
      <c r="AL16" s="29">
        <f t="shared" si="7"/>
        <v>6.3133571854502089</v>
      </c>
      <c r="AM16" s="29">
        <f t="shared" si="8"/>
        <v>10.227692185450209</v>
      </c>
      <c r="AO16" s="30">
        <f t="shared" si="9"/>
        <v>17.407316274434685</v>
      </c>
      <c r="AP16" s="30">
        <f t="shared" si="10"/>
        <v>24.259132254797276</v>
      </c>
      <c r="AQ16" s="30">
        <f t="shared" si="11"/>
        <v>12.036974019555901</v>
      </c>
      <c r="AR16" s="30">
        <f t="shared" si="12"/>
        <v>5.1110843529191206</v>
      </c>
      <c r="AS16" s="30">
        <f t="shared" si="13"/>
        <v>38.271928104841543</v>
      </c>
      <c r="AT16" s="31">
        <f t="shared" si="14"/>
        <v>97.086435006548527</v>
      </c>
      <c r="AV16" s="28">
        <f t="shared" si="15"/>
        <v>6775.4598986300753</v>
      </c>
    </row>
    <row r="17" spans="2:48" x14ac:dyDescent="0.25">
      <c r="B17" s="32"/>
      <c r="C17" s="16" t="s">
        <v>46</v>
      </c>
      <c r="D17" s="17"/>
      <c r="E17" s="18" t="s">
        <v>53</v>
      </c>
      <c r="F17" s="38"/>
      <c r="G17" s="22">
        <v>50.82</v>
      </c>
      <c r="H17" s="22">
        <v>7.12</v>
      </c>
      <c r="I17" s="22">
        <v>41.34</v>
      </c>
      <c r="J17" s="23">
        <v>0.15082999999999999</v>
      </c>
      <c r="K17" s="22">
        <v>0.56999999999999995</v>
      </c>
      <c r="L17" s="22">
        <f t="shared" si="19"/>
        <v>15.7872</v>
      </c>
      <c r="M17" s="23">
        <f t="shared" si="20"/>
        <v>75.706800000000001</v>
      </c>
      <c r="N17" s="20">
        <v>8</v>
      </c>
      <c r="O17" s="22">
        <f t="shared" si="21"/>
        <v>0.50600000000000001</v>
      </c>
      <c r="P17" s="20">
        <v>0.22</v>
      </c>
      <c r="Q17" s="24">
        <v>800</v>
      </c>
      <c r="R17" s="24" t="s">
        <v>50</v>
      </c>
      <c r="S17" s="20">
        <v>2.7</v>
      </c>
      <c r="T17" s="37" t="s">
        <v>51</v>
      </c>
      <c r="U17" s="20">
        <v>32.19</v>
      </c>
      <c r="V17" s="20">
        <v>37.700000000000003</v>
      </c>
      <c r="W17" s="20">
        <v>18.64</v>
      </c>
      <c r="X17" s="20">
        <v>7.6</v>
      </c>
      <c r="Y17" s="27">
        <f t="shared" si="4"/>
        <v>37.14589652008307</v>
      </c>
      <c r="Z17" s="20">
        <v>2.7652086475615887</v>
      </c>
      <c r="AA17" s="18" t="s">
        <v>51</v>
      </c>
      <c r="AB17" s="18" t="s">
        <v>51</v>
      </c>
      <c r="AC17" s="28">
        <f t="shared" si="5"/>
        <v>10961.249017857142</v>
      </c>
      <c r="AD17" s="18" t="s">
        <v>51</v>
      </c>
      <c r="AF17" s="1"/>
      <c r="AK17" s="1">
        <f t="shared" si="6"/>
        <v>3.9143350000000008</v>
      </c>
      <c r="AL17" s="29">
        <f t="shared" si="7"/>
        <v>6.6233969346262116</v>
      </c>
      <c r="AM17" s="29">
        <f t="shared" si="8"/>
        <v>10.537731934626212</v>
      </c>
      <c r="AO17" s="30">
        <f t="shared" si="9"/>
        <v>20.232735910185255</v>
      </c>
      <c r="AP17" s="30">
        <f t="shared" si="10"/>
        <v>23.695997011928682</v>
      </c>
      <c r="AQ17" s="30">
        <f t="shared" si="11"/>
        <v>11.716004888656517</v>
      </c>
      <c r="AR17" s="30">
        <f t="shared" si="12"/>
        <v>4.7769118644736865</v>
      </c>
      <c r="AS17" s="30">
        <f t="shared" si="13"/>
        <v>37.14589652008307</v>
      </c>
      <c r="AT17" s="31">
        <f t="shared" si="14"/>
        <v>97.567546195327211</v>
      </c>
      <c r="AV17" s="28">
        <f t="shared" si="15"/>
        <v>6889.5948003753065</v>
      </c>
    </row>
    <row r="18" spans="2:48" x14ac:dyDescent="0.25">
      <c r="B18" s="32"/>
      <c r="C18" s="16" t="s">
        <v>46</v>
      </c>
      <c r="D18" s="17"/>
      <c r="E18" s="18" t="s">
        <v>53</v>
      </c>
      <c r="F18" s="38"/>
      <c r="G18" s="22">
        <v>50.82</v>
      </c>
      <c r="H18" s="22">
        <v>7.12</v>
      </c>
      <c r="I18" s="22">
        <v>41.34</v>
      </c>
      <c r="J18" s="23">
        <v>0.15082999999999999</v>
      </c>
      <c r="K18" s="22">
        <v>0.56999999999999995</v>
      </c>
      <c r="L18" s="22">
        <f t="shared" si="19"/>
        <v>15.7872</v>
      </c>
      <c r="M18" s="23">
        <f t="shared" si="20"/>
        <v>75.706800000000001</v>
      </c>
      <c r="N18" s="20">
        <v>8</v>
      </c>
      <c r="O18" s="22">
        <f t="shared" si="21"/>
        <v>0.50600000000000001</v>
      </c>
      <c r="P18" s="20">
        <v>0.22</v>
      </c>
      <c r="Q18" s="24">
        <v>850</v>
      </c>
      <c r="R18" s="24" t="s">
        <v>50</v>
      </c>
      <c r="S18" s="20">
        <v>2.7</v>
      </c>
      <c r="T18" s="37" t="s">
        <v>51</v>
      </c>
      <c r="U18" s="20">
        <v>36.29</v>
      </c>
      <c r="V18" s="20">
        <v>34.56</v>
      </c>
      <c r="W18" s="20">
        <v>18.7</v>
      </c>
      <c r="X18" s="20">
        <v>7.3</v>
      </c>
      <c r="Y18" s="27">
        <f t="shared" si="4"/>
        <v>35.88696753748826</v>
      </c>
      <c r="Z18" s="20">
        <v>2.6777712199707087</v>
      </c>
      <c r="AA18" s="18" t="s">
        <v>51</v>
      </c>
      <c r="AB18" s="18" t="s">
        <v>51</v>
      </c>
      <c r="AC18" s="28">
        <f t="shared" si="5"/>
        <v>10899.666874999999</v>
      </c>
      <c r="AD18" s="18" t="s">
        <v>51</v>
      </c>
      <c r="AF18" s="1"/>
      <c r="AK18" s="1">
        <f t="shared" si="6"/>
        <v>3.9143350000000008</v>
      </c>
      <c r="AL18" s="29">
        <f t="shared" si="7"/>
        <v>6.9930647291941872</v>
      </c>
      <c r="AM18" s="29">
        <f t="shared" si="8"/>
        <v>10.907399729194188</v>
      </c>
      <c r="AO18" s="30">
        <f t="shared" si="9"/>
        <v>23.26661948064551</v>
      </c>
      <c r="AP18" s="30">
        <f t="shared" si="10"/>
        <v>22.15746401904406</v>
      </c>
      <c r="AQ18" s="30">
        <f t="shared" si="11"/>
        <v>11.989137070489695</v>
      </c>
      <c r="AR18" s="30">
        <f t="shared" si="12"/>
        <v>4.680251369763357</v>
      </c>
      <c r="AS18" s="30">
        <f t="shared" si="13"/>
        <v>35.88696753748826</v>
      </c>
      <c r="AT18" s="31">
        <f t="shared" si="14"/>
        <v>97.980439477430878</v>
      </c>
      <c r="AV18" s="28">
        <f t="shared" si="15"/>
        <v>6988.1069618743886</v>
      </c>
    </row>
    <row r="19" spans="2:48" x14ac:dyDescent="0.25">
      <c r="B19" s="32"/>
      <c r="C19" s="16" t="s">
        <v>46</v>
      </c>
      <c r="D19" s="17"/>
      <c r="E19" s="18" t="s">
        <v>53</v>
      </c>
      <c r="F19" s="38"/>
      <c r="G19" s="22">
        <v>50.82</v>
      </c>
      <c r="H19" s="22">
        <v>7.12</v>
      </c>
      <c r="I19" s="22">
        <v>41.34</v>
      </c>
      <c r="J19" s="23">
        <v>0.15082999999999999</v>
      </c>
      <c r="K19" s="22">
        <v>0.56999999999999995</v>
      </c>
      <c r="L19" s="22">
        <f t="shared" si="19"/>
        <v>15.7872</v>
      </c>
      <c r="M19" s="23">
        <f t="shared" si="20"/>
        <v>75.706800000000001</v>
      </c>
      <c r="N19" s="20">
        <v>8</v>
      </c>
      <c r="O19" s="22">
        <f t="shared" si="21"/>
        <v>0.50600000000000001</v>
      </c>
      <c r="P19" s="20">
        <v>0.22</v>
      </c>
      <c r="Q19" s="24">
        <v>900</v>
      </c>
      <c r="R19" s="24" t="s">
        <v>50</v>
      </c>
      <c r="S19" s="20">
        <v>2.7</v>
      </c>
      <c r="T19" s="37" t="s">
        <v>51</v>
      </c>
      <c r="U19" s="20">
        <v>39.42</v>
      </c>
      <c r="V19" s="20">
        <v>33.35</v>
      </c>
      <c r="W19" s="20">
        <v>19.25</v>
      </c>
      <c r="X19" s="20">
        <v>6.13</v>
      </c>
      <c r="Y19" s="27">
        <f t="shared" si="4"/>
        <v>35.184083547720597</v>
      </c>
      <c r="Z19" s="20">
        <v>2.7652086475615887</v>
      </c>
      <c r="AA19" s="18" t="s">
        <v>51</v>
      </c>
      <c r="AB19" s="18" t="s">
        <v>51</v>
      </c>
      <c r="AC19" s="28">
        <f t="shared" si="5"/>
        <v>10665.470982142857</v>
      </c>
      <c r="AD19" s="18" t="s">
        <v>51</v>
      </c>
      <c r="AF19" s="1"/>
      <c r="AK19" s="1">
        <f t="shared" si="6"/>
        <v>3.9143350000000008</v>
      </c>
      <c r="AL19" s="29">
        <f t="shared" si="7"/>
        <v>7.2109654350417163</v>
      </c>
      <c r="AM19" s="29">
        <f t="shared" si="8"/>
        <v>11.125300435041718</v>
      </c>
      <c r="AO19" s="30">
        <f t="shared" si="9"/>
        <v>25.550434265488537</v>
      </c>
      <c r="AP19" s="30">
        <f t="shared" si="10"/>
        <v>21.61610813683518</v>
      </c>
      <c r="AQ19" s="30">
        <f t="shared" si="11"/>
        <v>12.477063917063786</v>
      </c>
      <c r="AR19" s="30">
        <f t="shared" si="12"/>
        <v>3.9732156785247277</v>
      </c>
      <c r="AS19" s="30">
        <f t="shared" si="13"/>
        <v>35.184083547720597</v>
      </c>
      <c r="AT19" s="31">
        <f t="shared" si="14"/>
        <v>98.800905545632816</v>
      </c>
      <c r="AV19" s="28">
        <f t="shared" si="15"/>
        <v>6912.9227610278176</v>
      </c>
    </row>
    <row r="20" spans="2:48" x14ac:dyDescent="0.25">
      <c r="B20" s="32"/>
      <c r="C20" s="16" t="s">
        <v>46</v>
      </c>
      <c r="D20" s="17"/>
      <c r="E20" s="18" t="s">
        <v>53</v>
      </c>
      <c r="F20" s="38"/>
      <c r="G20" s="22">
        <v>50.82</v>
      </c>
      <c r="H20" s="22">
        <v>7.12</v>
      </c>
      <c r="I20" s="22">
        <v>41.34</v>
      </c>
      <c r="J20" s="23">
        <v>0.15082999999999999</v>
      </c>
      <c r="K20" s="22">
        <v>0.56999999999999995</v>
      </c>
      <c r="L20" s="22">
        <f t="shared" si="19"/>
        <v>15.7872</v>
      </c>
      <c r="M20" s="23">
        <f t="shared" si="20"/>
        <v>75.706800000000001</v>
      </c>
      <c r="N20" s="20">
        <v>8</v>
      </c>
      <c r="O20" s="22">
        <f t="shared" si="21"/>
        <v>0.50600000000000001</v>
      </c>
      <c r="P20" s="20">
        <v>0.19</v>
      </c>
      <c r="Q20" s="24">
        <v>800</v>
      </c>
      <c r="R20" s="24" t="s">
        <v>50</v>
      </c>
      <c r="S20" s="20">
        <v>1.56</v>
      </c>
      <c r="T20" s="37" t="s">
        <v>51</v>
      </c>
      <c r="U20" s="20">
        <v>32.11</v>
      </c>
      <c r="V20" s="20">
        <v>37.92</v>
      </c>
      <c r="W20" s="20">
        <v>17.75</v>
      </c>
      <c r="X20" s="20">
        <v>7.79</v>
      </c>
      <c r="Y20" s="27">
        <f t="shared" si="4"/>
        <v>33.628708585632587</v>
      </c>
      <c r="Z20" s="20">
        <v>2.3280215096071868</v>
      </c>
      <c r="AA20" s="18" t="s">
        <v>51</v>
      </c>
      <c r="AB20" s="18" t="s">
        <v>51</v>
      </c>
      <c r="AC20" s="28">
        <f t="shared" si="5"/>
        <v>11048.486607142855</v>
      </c>
      <c r="AD20" s="18" t="s">
        <v>51</v>
      </c>
      <c r="AF20" s="1"/>
      <c r="AK20" s="1">
        <f t="shared" si="6"/>
        <v>3.3812966071428581</v>
      </c>
      <c r="AL20" s="29">
        <f t="shared" si="7"/>
        <v>6.6734951150330915</v>
      </c>
      <c r="AM20" s="29">
        <f t="shared" si="8"/>
        <v>10.054791722175949</v>
      </c>
      <c r="AO20" s="30">
        <f t="shared" si="9"/>
        <v>21.311821673153378</v>
      </c>
      <c r="AP20" s="30">
        <f t="shared" si="10"/>
        <v>25.167993704328122</v>
      </c>
      <c r="AQ20" s="30">
        <f t="shared" si="11"/>
        <v>11.780904226050215</v>
      </c>
      <c r="AR20" s="30">
        <f t="shared" si="12"/>
        <v>5.1703236011792209</v>
      </c>
      <c r="AS20" s="30">
        <f t="shared" si="13"/>
        <v>33.628708585632587</v>
      </c>
      <c r="AT20" s="31">
        <f t="shared" si="14"/>
        <v>97.059751790343512</v>
      </c>
      <c r="AV20" s="28">
        <f t="shared" si="15"/>
        <v>7333.0232429041407</v>
      </c>
    </row>
    <row r="21" spans="2:48" ht="15.75" customHeight="1" x14ac:dyDescent="0.25">
      <c r="B21" s="32"/>
      <c r="C21" s="16" t="s">
        <v>46</v>
      </c>
      <c r="D21" s="17"/>
      <c r="E21" s="18" t="s">
        <v>53</v>
      </c>
      <c r="F21" s="38"/>
      <c r="G21" s="22">
        <v>50.82</v>
      </c>
      <c r="H21" s="22">
        <v>7.12</v>
      </c>
      <c r="I21" s="22">
        <v>41.34</v>
      </c>
      <c r="J21" s="23">
        <v>0.15082999999999999</v>
      </c>
      <c r="K21" s="22">
        <v>0.56999999999999995</v>
      </c>
      <c r="L21" s="22">
        <f t="shared" si="19"/>
        <v>15.7872</v>
      </c>
      <c r="M21" s="23">
        <f t="shared" si="20"/>
        <v>75.706800000000001</v>
      </c>
      <c r="N21" s="20">
        <v>8</v>
      </c>
      <c r="O21" s="22">
        <f t="shared" si="21"/>
        <v>0.50600000000000001</v>
      </c>
      <c r="P21" s="20">
        <v>0.21</v>
      </c>
      <c r="Q21" s="24">
        <v>800</v>
      </c>
      <c r="R21" s="24" t="s">
        <v>50</v>
      </c>
      <c r="S21" s="20">
        <v>1.56</v>
      </c>
      <c r="T21" s="37" t="s">
        <v>51</v>
      </c>
      <c r="U21" s="20">
        <v>31.34</v>
      </c>
      <c r="V21" s="20">
        <v>39.39</v>
      </c>
      <c r="W21" s="20">
        <v>16.899999999999999</v>
      </c>
      <c r="X21" s="20">
        <v>8.11</v>
      </c>
      <c r="Y21" s="27">
        <f t="shared" si="4"/>
        <v>36.233383491611832</v>
      </c>
      <c r="Z21" s="20">
        <v>2.4591776509935075</v>
      </c>
      <c r="AA21" s="18" t="s">
        <v>51</v>
      </c>
      <c r="AB21" s="18" t="s">
        <v>51</v>
      </c>
      <c r="AC21" s="28">
        <f t="shared" si="5"/>
        <v>11265.739732142856</v>
      </c>
      <c r="AD21" s="18" t="s">
        <v>51</v>
      </c>
      <c r="AF21" s="1"/>
      <c r="AK21" s="1">
        <f t="shared" si="6"/>
        <v>3.7366555357142861</v>
      </c>
      <c r="AL21" s="29">
        <f t="shared" si="7"/>
        <v>6.5760869565217384</v>
      </c>
      <c r="AM21" s="29">
        <f t="shared" si="8"/>
        <v>10.312742492236024</v>
      </c>
      <c r="AO21" s="30">
        <f t="shared" si="9"/>
        <v>19.984457613728853</v>
      </c>
      <c r="AP21" s="30">
        <f t="shared" si="10"/>
        <v>25.1176702426541</v>
      </c>
      <c r="AQ21" s="30">
        <f t="shared" si="11"/>
        <v>10.7765581899176</v>
      </c>
      <c r="AR21" s="30">
        <f t="shared" si="12"/>
        <v>5.1714725988302801</v>
      </c>
      <c r="AS21" s="30">
        <f t="shared" si="13"/>
        <v>36.233383491611832</v>
      </c>
      <c r="AT21" s="31">
        <f t="shared" si="14"/>
        <v>97.283542136742653</v>
      </c>
      <c r="AV21" s="28">
        <f t="shared" si="15"/>
        <v>7183.7810518286533</v>
      </c>
    </row>
    <row r="22" spans="2:48" ht="15.75" customHeight="1" x14ac:dyDescent="0.25">
      <c r="B22" s="32"/>
      <c r="C22" s="16" t="s">
        <v>46</v>
      </c>
      <c r="D22" s="17"/>
      <c r="E22" s="18" t="s">
        <v>53</v>
      </c>
      <c r="F22" s="38"/>
      <c r="G22" s="22">
        <v>50.82</v>
      </c>
      <c r="H22" s="22">
        <v>7.12</v>
      </c>
      <c r="I22" s="22">
        <v>41.34</v>
      </c>
      <c r="J22" s="23">
        <v>0.15082999999999999</v>
      </c>
      <c r="K22" s="22">
        <v>0.56999999999999995</v>
      </c>
      <c r="L22" s="22">
        <f t="shared" si="19"/>
        <v>15.7872</v>
      </c>
      <c r="M22" s="23">
        <f t="shared" si="20"/>
        <v>75.706800000000001</v>
      </c>
      <c r="N22" s="20">
        <v>8</v>
      </c>
      <c r="O22" s="22">
        <f t="shared" si="21"/>
        <v>0.50600000000000001</v>
      </c>
      <c r="P22" s="20">
        <v>0.23</v>
      </c>
      <c r="Q22" s="24">
        <v>800</v>
      </c>
      <c r="R22" s="24" t="s">
        <v>50</v>
      </c>
      <c r="S22" s="20">
        <v>1.56</v>
      </c>
      <c r="T22" s="37" t="s">
        <v>51</v>
      </c>
      <c r="U22" s="20">
        <v>31.41</v>
      </c>
      <c r="V22" s="20">
        <v>39.96</v>
      </c>
      <c r="W22" s="20">
        <v>16.47</v>
      </c>
      <c r="X22" s="20">
        <v>7.59</v>
      </c>
      <c r="Y22" s="27">
        <f t="shared" si="4"/>
        <v>38.21764238479669</v>
      </c>
      <c r="Z22" s="20">
        <v>2.5138260432378075</v>
      </c>
      <c r="AA22" s="18" t="s">
        <v>51</v>
      </c>
      <c r="AB22" s="18" t="s">
        <v>51</v>
      </c>
      <c r="AC22" s="28">
        <f t="shared" si="5"/>
        <v>11158.987499999999</v>
      </c>
      <c r="AD22" s="18" t="s">
        <v>51</v>
      </c>
      <c r="AF22" s="1"/>
      <c r="AK22" s="1">
        <f t="shared" si="6"/>
        <v>4.0920144642857146</v>
      </c>
      <c r="AL22" s="29">
        <f t="shared" si="7"/>
        <v>6.6151202749140889</v>
      </c>
      <c r="AM22" s="29">
        <f t="shared" si="8"/>
        <v>10.707134739199804</v>
      </c>
      <c r="AO22" s="30">
        <f t="shared" si="9"/>
        <v>19.405838526935359</v>
      </c>
      <c r="AP22" s="30">
        <f t="shared" si="10"/>
        <v>24.688230103035245</v>
      </c>
      <c r="AQ22" s="30">
        <f t="shared" si="11"/>
        <v>10.175554299223984</v>
      </c>
      <c r="AR22" s="30">
        <f t="shared" si="12"/>
        <v>4.6892809429939311</v>
      </c>
      <c r="AS22" s="30">
        <f t="shared" si="13"/>
        <v>38.21764238479669</v>
      </c>
      <c r="AT22" s="31">
        <f t="shared" si="14"/>
        <v>97.176546256985205</v>
      </c>
      <c r="AV22" s="28">
        <f t="shared" si="15"/>
        <v>6894.2855634858361</v>
      </c>
    </row>
    <row r="23" spans="2:48" ht="15.75" customHeight="1" x14ac:dyDescent="0.25">
      <c r="B23" s="32"/>
      <c r="C23" s="16" t="s">
        <v>46</v>
      </c>
      <c r="D23" s="17"/>
      <c r="E23" s="18" t="s">
        <v>53</v>
      </c>
      <c r="F23" s="38"/>
      <c r="G23" s="22">
        <v>50.82</v>
      </c>
      <c r="H23" s="22">
        <v>7.12</v>
      </c>
      <c r="I23" s="22">
        <v>41.34</v>
      </c>
      <c r="J23" s="23">
        <v>0.15082999999999999</v>
      </c>
      <c r="K23" s="22">
        <v>0.56999999999999995</v>
      </c>
      <c r="L23" s="22">
        <f t="shared" si="19"/>
        <v>15.7872</v>
      </c>
      <c r="M23" s="23">
        <f t="shared" si="20"/>
        <v>75.706800000000001</v>
      </c>
      <c r="N23" s="20">
        <v>8</v>
      </c>
      <c r="O23" s="22">
        <f t="shared" si="21"/>
        <v>0.50600000000000001</v>
      </c>
      <c r="P23" s="20">
        <v>0.25</v>
      </c>
      <c r="Q23" s="24">
        <v>800</v>
      </c>
      <c r="R23" s="24" t="s">
        <v>50</v>
      </c>
      <c r="S23" s="20">
        <v>1.56</v>
      </c>
      <c r="T23" s="37" t="s">
        <v>51</v>
      </c>
      <c r="U23" s="20">
        <v>30.98</v>
      </c>
      <c r="V23" s="20">
        <v>39.6</v>
      </c>
      <c r="W23" s="20">
        <v>18.03</v>
      </c>
      <c r="X23" s="20">
        <v>7.24</v>
      </c>
      <c r="Y23" s="27">
        <f t="shared" si="4"/>
        <v>40.519755817012481</v>
      </c>
      <c r="Z23" s="20">
        <v>2.3826699018514872</v>
      </c>
      <c r="AA23" s="18" t="s">
        <v>51</v>
      </c>
      <c r="AB23" s="18" t="s">
        <v>51</v>
      </c>
      <c r="AC23" s="28">
        <f t="shared" si="5"/>
        <v>10941.67517857143</v>
      </c>
      <c r="AD23" s="18" t="s">
        <v>51</v>
      </c>
      <c r="AF23" s="1"/>
      <c r="AK23" s="1">
        <f t="shared" si="6"/>
        <v>4.4473733928571431</v>
      </c>
      <c r="AL23" s="29">
        <f t="shared" si="7"/>
        <v>6.5284414983813779</v>
      </c>
      <c r="AM23" s="29">
        <f t="shared" si="8"/>
        <v>10.975814891238521</v>
      </c>
      <c r="AO23" s="30">
        <f t="shared" si="9"/>
        <v>18.426979647889532</v>
      </c>
      <c r="AP23" s="30">
        <f t="shared" si="10"/>
        <v>23.55417669646306</v>
      </c>
      <c r="AQ23" s="30">
        <f t="shared" si="11"/>
        <v>10.724288026192651</v>
      </c>
      <c r="AR23" s="30">
        <f t="shared" si="12"/>
        <v>4.3063696788482968</v>
      </c>
      <c r="AS23" s="30">
        <f t="shared" si="13"/>
        <v>40.519755817012481</v>
      </c>
      <c r="AT23" s="31">
        <f t="shared" si="14"/>
        <v>97.531569866406016</v>
      </c>
      <c r="AV23" s="28">
        <f t="shared" si="15"/>
        <v>6508.1351139236222</v>
      </c>
    </row>
    <row r="24" spans="2:48" ht="15.75" customHeight="1" x14ac:dyDescent="0.25">
      <c r="B24" s="32"/>
      <c r="C24" s="16" t="s">
        <v>46</v>
      </c>
      <c r="D24" s="17"/>
      <c r="E24" s="18" t="s">
        <v>53</v>
      </c>
      <c r="F24" s="38"/>
      <c r="G24" s="22">
        <v>50.82</v>
      </c>
      <c r="H24" s="22">
        <v>7.12</v>
      </c>
      <c r="I24" s="22">
        <v>41.34</v>
      </c>
      <c r="J24" s="23">
        <v>0.15082999999999999</v>
      </c>
      <c r="K24" s="22">
        <v>0.56999999999999995</v>
      </c>
      <c r="L24" s="22">
        <f t="shared" si="19"/>
        <v>15.7872</v>
      </c>
      <c r="M24" s="23">
        <f t="shared" si="20"/>
        <v>75.706800000000001</v>
      </c>
      <c r="N24" s="21">
        <v>8</v>
      </c>
      <c r="O24" s="22">
        <f t="shared" si="21"/>
        <v>0.50600000000000001</v>
      </c>
      <c r="P24" s="21">
        <v>0.27</v>
      </c>
      <c r="Q24" s="40">
        <v>800</v>
      </c>
      <c r="R24" s="24" t="s">
        <v>50</v>
      </c>
      <c r="S24" s="21">
        <v>1.56</v>
      </c>
      <c r="T24" s="41" t="s">
        <v>51</v>
      </c>
      <c r="U24" s="21">
        <v>31.88</v>
      </c>
      <c r="V24" s="21">
        <v>38.020000000000003</v>
      </c>
      <c r="W24" s="21">
        <v>19.93</v>
      </c>
      <c r="X24" s="21">
        <v>6.56</v>
      </c>
      <c r="Y24" s="27">
        <f t="shared" si="4"/>
        <v>42.249285628022655</v>
      </c>
      <c r="Z24" s="21">
        <v>2.0547795483856861</v>
      </c>
      <c r="AA24" s="18" t="s">
        <v>51</v>
      </c>
      <c r="AB24" s="18" t="s">
        <v>51</v>
      </c>
      <c r="AC24" s="28">
        <f t="shared" si="5"/>
        <v>10595.566428571428</v>
      </c>
      <c r="AD24" s="18" t="s">
        <v>51</v>
      </c>
      <c r="AF24" s="1"/>
      <c r="AK24" s="1">
        <f t="shared" si="6"/>
        <v>4.8027323214285724</v>
      </c>
      <c r="AL24" s="29">
        <f t="shared" si="7"/>
        <v>6.564873662997984</v>
      </c>
      <c r="AM24" s="29">
        <f t="shared" si="8"/>
        <v>11.367605984426557</v>
      </c>
      <c r="AO24" s="30">
        <f t="shared" si="9"/>
        <v>18.410927741786374</v>
      </c>
      <c r="AP24" s="30">
        <f t="shared" si="10"/>
        <v>21.956821604225787</v>
      </c>
      <c r="AQ24" s="30">
        <f t="shared" si="11"/>
        <v>11.509717374335084</v>
      </c>
      <c r="AR24" s="30">
        <f t="shared" si="12"/>
        <v>3.7884468628017127</v>
      </c>
      <c r="AS24" s="30">
        <f t="shared" si="13"/>
        <v>42.249285628022655</v>
      </c>
      <c r="AT24" s="31">
        <f t="shared" si="14"/>
        <v>97.915199211171611</v>
      </c>
      <c r="AV24" s="28">
        <f t="shared" si="15"/>
        <v>6119.0153042574057</v>
      </c>
    </row>
    <row r="25" spans="2:48" ht="15.75" customHeight="1" x14ac:dyDescent="0.25">
      <c r="B25" s="32"/>
      <c r="C25" s="16" t="s">
        <v>46</v>
      </c>
      <c r="D25" s="17"/>
      <c r="E25" s="18" t="s">
        <v>48</v>
      </c>
      <c r="F25" s="38"/>
      <c r="G25" s="22">
        <v>50.82</v>
      </c>
      <c r="H25" s="22">
        <v>7.12</v>
      </c>
      <c r="I25" s="22">
        <v>41.34</v>
      </c>
      <c r="J25" s="23">
        <v>0.15082999999999999</v>
      </c>
      <c r="K25" s="22">
        <v>0.56999999999999995</v>
      </c>
      <c r="L25" s="22">
        <f t="shared" si="19"/>
        <v>15.7872</v>
      </c>
      <c r="M25" s="23">
        <f t="shared" si="20"/>
        <v>75.706800000000001</v>
      </c>
      <c r="N25" s="21">
        <v>8</v>
      </c>
      <c r="O25" s="22">
        <f t="shared" si="21"/>
        <v>0.50600000000000001</v>
      </c>
      <c r="P25" s="21">
        <v>0.22</v>
      </c>
      <c r="Q25" s="40">
        <v>800</v>
      </c>
      <c r="R25" s="24" t="s">
        <v>50</v>
      </c>
      <c r="S25" s="21">
        <v>0</v>
      </c>
      <c r="T25" s="41" t="s">
        <v>51</v>
      </c>
      <c r="U25" s="21">
        <v>33.5</v>
      </c>
      <c r="V25" s="21">
        <v>42.99</v>
      </c>
      <c r="W25" s="21">
        <v>15.97</v>
      </c>
      <c r="X25" s="21">
        <v>6.12</v>
      </c>
      <c r="Y25" s="27">
        <f t="shared" si="4"/>
        <v>37.559429287569202</v>
      </c>
      <c r="Z25" s="21">
        <v>1.5957330535335648</v>
      </c>
      <c r="AA25" s="18" t="s">
        <v>51</v>
      </c>
      <c r="AB25" s="18" t="s">
        <v>51</v>
      </c>
      <c r="AC25" s="28">
        <f t="shared" si="5"/>
        <v>11240.702857142856</v>
      </c>
      <c r="AD25" s="18" t="s">
        <v>51</v>
      </c>
      <c r="AF25" s="1"/>
      <c r="AK25" s="1">
        <f t="shared" si="6"/>
        <v>3.9143350000000008</v>
      </c>
      <c r="AL25" s="29">
        <f t="shared" si="7"/>
        <v>6.5073755377996312</v>
      </c>
      <c r="AM25" s="29">
        <f t="shared" si="8"/>
        <v>10.421710537799632</v>
      </c>
      <c r="AO25" s="30">
        <f t="shared" si="9"/>
        <v>20.917591188664321</v>
      </c>
      <c r="AP25" s="30">
        <f t="shared" si="10"/>
        <v>26.843201349274004</v>
      </c>
      <c r="AQ25" s="30">
        <f t="shared" si="11"/>
        <v>9.9717591427752001</v>
      </c>
      <c r="AR25" s="30">
        <f t="shared" si="12"/>
        <v>3.8213629276007652</v>
      </c>
      <c r="AS25" s="30">
        <f t="shared" si="13"/>
        <v>37.559429287569202</v>
      </c>
      <c r="AT25" s="31">
        <f t="shared" si="14"/>
        <v>99.113343895883503</v>
      </c>
      <c r="AV25" s="28">
        <f t="shared" si="15"/>
        <v>7018.7590160885156</v>
      </c>
    </row>
    <row r="26" spans="2:48" ht="15.75" customHeight="1" x14ac:dyDescent="0.25">
      <c r="B26" s="32"/>
      <c r="C26" s="16" t="s">
        <v>46</v>
      </c>
      <c r="D26" s="17"/>
      <c r="E26" s="18" t="s">
        <v>53</v>
      </c>
      <c r="F26" s="38"/>
      <c r="G26" s="22">
        <v>50.82</v>
      </c>
      <c r="H26" s="22">
        <v>7.12</v>
      </c>
      <c r="I26" s="22">
        <v>41.34</v>
      </c>
      <c r="J26" s="23">
        <v>0.15082999999999999</v>
      </c>
      <c r="K26" s="22">
        <v>0.56999999999999995</v>
      </c>
      <c r="L26" s="22">
        <f t="shared" si="19"/>
        <v>15.7872</v>
      </c>
      <c r="M26" s="23">
        <f t="shared" si="20"/>
        <v>75.706800000000001</v>
      </c>
      <c r="N26" s="21">
        <v>8</v>
      </c>
      <c r="O26" s="22">
        <f t="shared" si="21"/>
        <v>0.50600000000000001</v>
      </c>
      <c r="P26" s="21">
        <v>0.22</v>
      </c>
      <c r="Q26" s="40">
        <v>800</v>
      </c>
      <c r="R26" s="24" t="s">
        <v>50</v>
      </c>
      <c r="S26" s="21">
        <v>1.35</v>
      </c>
      <c r="T26" s="41" t="s">
        <v>51</v>
      </c>
      <c r="U26" s="21">
        <v>29.85</v>
      </c>
      <c r="V26" s="21">
        <v>40.53</v>
      </c>
      <c r="W26" s="21">
        <v>16.98</v>
      </c>
      <c r="X26" s="21">
        <v>8.49</v>
      </c>
      <c r="Y26" s="27">
        <f t="shared" si="4"/>
        <v>37.889210807406386</v>
      </c>
      <c r="Z26" s="21">
        <v>2.6121931492775481</v>
      </c>
      <c r="AA26" s="18" t="s">
        <v>51</v>
      </c>
      <c r="AB26" s="18" t="s">
        <v>51</v>
      </c>
      <c r="AC26" s="28">
        <f t="shared" si="5"/>
        <v>11385.071785714284</v>
      </c>
      <c r="AD26" s="18" t="s">
        <v>51</v>
      </c>
      <c r="AF26" s="1"/>
      <c r="AK26" s="1">
        <f t="shared" si="6"/>
        <v>3.9143350000000008</v>
      </c>
      <c r="AL26" s="29">
        <f t="shared" si="7"/>
        <v>6.416666666666667</v>
      </c>
      <c r="AM26" s="29">
        <f t="shared" si="8"/>
        <v>10.331001666666667</v>
      </c>
      <c r="AO26" s="30">
        <f t="shared" si="9"/>
        <v>18.540070573989194</v>
      </c>
      <c r="AP26" s="30">
        <f t="shared" si="10"/>
        <v>25.173502859758194</v>
      </c>
      <c r="AQ26" s="30">
        <f t="shared" si="11"/>
        <v>10.546412004902397</v>
      </c>
      <c r="AR26" s="30">
        <f t="shared" si="12"/>
        <v>5.2732060024511984</v>
      </c>
      <c r="AS26" s="30">
        <f t="shared" si="13"/>
        <v>37.889210807406386</v>
      </c>
      <c r="AT26" s="31">
        <f t="shared" si="14"/>
        <v>97.422402248507353</v>
      </c>
      <c r="AV26" s="28">
        <f t="shared" si="15"/>
        <v>7071.3579362504543</v>
      </c>
    </row>
    <row r="27" spans="2:48" ht="15.75" customHeight="1" x14ac:dyDescent="0.25">
      <c r="B27" s="32"/>
      <c r="C27" s="16" t="s">
        <v>46</v>
      </c>
      <c r="D27" s="17"/>
      <c r="E27" s="18" t="s">
        <v>53</v>
      </c>
      <c r="F27" s="38"/>
      <c r="G27" s="22">
        <v>50.82</v>
      </c>
      <c r="H27" s="22">
        <v>7.12</v>
      </c>
      <c r="I27" s="22">
        <v>41.34</v>
      </c>
      <c r="J27" s="23">
        <v>0.15082999999999999</v>
      </c>
      <c r="K27" s="22">
        <v>0.56999999999999995</v>
      </c>
      <c r="L27" s="22">
        <f t="shared" si="19"/>
        <v>15.7872</v>
      </c>
      <c r="M27" s="23">
        <f t="shared" si="20"/>
        <v>75.706800000000001</v>
      </c>
      <c r="N27" s="21">
        <v>8</v>
      </c>
      <c r="O27" s="22">
        <f t="shared" si="21"/>
        <v>0.50600000000000001</v>
      </c>
      <c r="P27" s="21">
        <v>0.22</v>
      </c>
      <c r="Q27" s="40">
        <v>800</v>
      </c>
      <c r="R27" s="24" t="s">
        <v>50</v>
      </c>
      <c r="S27" s="21">
        <v>2.02</v>
      </c>
      <c r="T27" s="41" t="s">
        <v>51</v>
      </c>
      <c r="U27" s="21">
        <v>30.94</v>
      </c>
      <c r="V27" s="21">
        <v>39.340000000000003</v>
      </c>
      <c r="W27" s="21">
        <v>17.34</v>
      </c>
      <c r="X27" s="21">
        <v>8.2200000000000006</v>
      </c>
      <c r="Y27" s="27">
        <f t="shared" si="4"/>
        <v>37.494496776027034</v>
      </c>
      <c r="Z27" s="21">
        <v>2.5575447570332477</v>
      </c>
      <c r="AA27" s="18" t="s">
        <v>51</v>
      </c>
      <c r="AB27" s="18" t="s">
        <v>51</v>
      </c>
      <c r="AC27" s="28">
        <f t="shared" si="5"/>
        <v>11255.654999999999</v>
      </c>
      <c r="AD27" s="18" t="s">
        <v>51</v>
      </c>
      <c r="AF27" s="1"/>
      <c r="AK27" s="1">
        <f t="shared" si="6"/>
        <v>3.9143350000000008</v>
      </c>
      <c r="AL27" s="29">
        <f t="shared" si="7"/>
        <v>6.5254237288135588</v>
      </c>
      <c r="AM27" s="29">
        <f t="shared" si="8"/>
        <v>10.43975872881356</v>
      </c>
      <c r="AO27" s="30">
        <f t="shared" si="9"/>
        <v>19.339202697497235</v>
      </c>
      <c r="AP27" s="30">
        <f t="shared" si="10"/>
        <v>24.589664968310966</v>
      </c>
      <c r="AQ27" s="30">
        <f t="shared" si="11"/>
        <v>10.838454259036913</v>
      </c>
      <c r="AR27" s="30">
        <f t="shared" si="12"/>
        <v>5.1379523650105776</v>
      </c>
      <c r="AS27" s="30">
        <f t="shared" si="13"/>
        <v>37.494496776027034</v>
      </c>
      <c r="AT27" s="31">
        <f t="shared" si="14"/>
        <v>97.399771065882732</v>
      </c>
      <c r="AV27" s="28">
        <f t="shared" si="15"/>
        <v>7035.4037989042754</v>
      </c>
    </row>
    <row r="28" spans="2:48" ht="15.75" customHeight="1" x14ac:dyDescent="0.25">
      <c r="B28" s="32"/>
      <c r="C28" s="16" t="s">
        <v>46</v>
      </c>
      <c r="D28" s="17"/>
      <c r="E28" s="18" t="s">
        <v>53</v>
      </c>
      <c r="F28" s="38"/>
      <c r="G28" s="22">
        <v>50.82</v>
      </c>
      <c r="H28" s="22">
        <v>7.12</v>
      </c>
      <c r="I28" s="22">
        <v>41.34</v>
      </c>
      <c r="J28" s="23">
        <v>0.15082999999999999</v>
      </c>
      <c r="K28" s="22">
        <v>0.56999999999999995</v>
      </c>
      <c r="L28" s="22">
        <f t="shared" si="19"/>
        <v>15.7872</v>
      </c>
      <c r="M28" s="23">
        <f t="shared" si="20"/>
        <v>75.706800000000001</v>
      </c>
      <c r="N28" s="21">
        <v>8</v>
      </c>
      <c r="O28" s="22">
        <f t="shared" si="21"/>
        <v>0.50600000000000001</v>
      </c>
      <c r="P28" s="21">
        <v>0.22</v>
      </c>
      <c r="Q28" s="40">
        <v>800</v>
      </c>
      <c r="R28" s="24" t="s">
        <v>50</v>
      </c>
      <c r="S28" s="21">
        <v>2.7</v>
      </c>
      <c r="T28" s="41" t="s">
        <v>51</v>
      </c>
      <c r="U28" s="21">
        <v>32.22</v>
      </c>
      <c r="V28" s="21">
        <v>37.700000000000003</v>
      </c>
      <c r="W28" s="21">
        <v>18.71</v>
      </c>
      <c r="X28" s="21">
        <v>7.76</v>
      </c>
      <c r="Y28" s="27">
        <f t="shared" si="4"/>
        <v>37.22976905616872</v>
      </c>
      <c r="Z28" s="21">
        <v>2.4373182940957876</v>
      </c>
      <c r="AA28" s="18" t="s">
        <v>51</v>
      </c>
      <c r="AB28" s="18" t="s">
        <v>51</v>
      </c>
      <c r="AC28" s="28">
        <f t="shared" si="5"/>
        <v>11021.817678571428</v>
      </c>
      <c r="AD28" s="18" t="s">
        <v>51</v>
      </c>
      <c r="AF28" s="1"/>
      <c r="AK28" s="1">
        <f t="shared" si="6"/>
        <v>3.9143350000000008</v>
      </c>
      <c r="AL28" s="29">
        <f t="shared" si="7"/>
        <v>6.5996571606669789</v>
      </c>
      <c r="AM28" s="29">
        <f t="shared" si="8"/>
        <v>10.51399216066698</v>
      </c>
      <c r="AO28" s="30">
        <f t="shared" si="9"/>
        <v>20.224568410102435</v>
      </c>
      <c r="AP28" s="30">
        <f t="shared" si="10"/>
        <v>23.664377065824389</v>
      </c>
      <c r="AQ28" s="30">
        <f t="shared" si="11"/>
        <v>11.744310209590832</v>
      </c>
      <c r="AR28" s="30">
        <f t="shared" si="12"/>
        <v>4.8709699212413078</v>
      </c>
      <c r="AS28" s="30">
        <f t="shared" si="13"/>
        <v>37.22976905616872</v>
      </c>
      <c r="AT28" s="31">
        <f t="shared" si="14"/>
        <v>97.733994662927685</v>
      </c>
      <c r="AV28" s="28">
        <f t="shared" si="15"/>
        <v>6918.4204110473092</v>
      </c>
    </row>
    <row r="29" spans="2:48" ht="15.75" customHeight="1" x14ac:dyDescent="0.25">
      <c r="B29" s="32"/>
      <c r="C29" s="16" t="s">
        <v>46</v>
      </c>
      <c r="D29" s="17"/>
      <c r="E29" s="18" t="s">
        <v>53</v>
      </c>
      <c r="F29" s="39"/>
      <c r="G29" s="22">
        <v>50.82</v>
      </c>
      <c r="H29" s="22">
        <v>7.12</v>
      </c>
      <c r="I29" s="22">
        <v>41.34</v>
      </c>
      <c r="J29" s="23">
        <v>0.15082999999999999</v>
      </c>
      <c r="K29" s="22">
        <v>0.56999999999999995</v>
      </c>
      <c r="L29" s="22">
        <f t="shared" si="19"/>
        <v>15.7872</v>
      </c>
      <c r="M29" s="23">
        <f t="shared" si="20"/>
        <v>75.706800000000001</v>
      </c>
      <c r="N29" s="21">
        <v>8</v>
      </c>
      <c r="O29" s="22">
        <f t="shared" si="21"/>
        <v>0.50600000000000001</v>
      </c>
      <c r="P29" s="21">
        <v>0.22</v>
      </c>
      <c r="Q29" s="40">
        <v>800</v>
      </c>
      <c r="R29" s="24" t="s">
        <v>50</v>
      </c>
      <c r="S29" s="21">
        <v>4.04</v>
      </c>
      <c r="T29" s="41" t="s">
        <v>51</v>
      </c>
      <c r="U29" s="21">
        <v>31.86</v>
      </c>
      <c r="V29" s="21">
        <v>37.42</v>
      </c>
      <c r="W29" s="21">
        <v>19.62</v>
      </c>
      <c r="X29" s="21">
        <v>7.48</v>
      </c>
      <c r="Y29" s="27">
        <f t="shared" si="4"/>
        <v>37.356972563345927</v>
      </c>
      <c r="Z29" s="21">
        <v>2.1312872975277068</v>
      </c>
      <c r="AA29" s="18" t="s">
        <v>51</v>
      </c>
      <c r="AB29" s="18" t="s">
        <v>51</v>
      </c>
      <c r="AC29" s="28">
        <f t="shared" si="5"/>
        <v>10847.251249999999</v>
      </c>
      <c r="AD29" s="18" t="s">
        <v>51</v>
      </c>
      <c r="AF29" s="1"/>
      <c r="AK29" s="1">
        <f t="shared" si="6"/>
        <v>3.9143350000000008</v>
      </c>
      <c r="AL29" s="29">
        <f t="shared" si="7"/>
        <v>6.5638561686298811</v>
      </c>
      <c r="AM29" s="29">
        <f t="shared" si="8"/>
        <v>10.478191168629882</v>
      </c>
      <c r="AO29" s="30">
        <f t="shared" si="9"/>
        <v>19.958068541317989</v>
      </c>
      <c r="AP29" s="30">
        <f t="shared" si="10"/>
        <v>23.441020866795956</v>
      </c>
      <c r="AQ29" s="30">
        <f t="shared" si="11"/>
        <v>12.29056198307153</v>
      </c>
      <c r="AR29" s="30">
        <f t="shared" si="12"/>
        <v>4.6856984522617253</v>
      </c>
      <c r="AS29" s="30">
        <f t="shared" si="13"/>
        <v>37.356972563345927</v>
      </c>
      <c r="AT29" s="31">
        <f t="shared" si="14"/>
        <v>97.732322406793131</v>
      </c>
      <c r="AV29" s="28">
        <f t="shared" si="15"/>
        <v>6795.0465766603029</v>
      </c>
    </row>
    <row r="30" spans="2:48" ht="15.75" customHeight="1" x14ac:dyDescent="0.25">
      <c r="B30" s="32"/>
      <c r="C30" s="16" t="s">
        <v>46</v>
      </c>
      <c r="D30" s="17"/>
      <c r="E30" s="18" t="s">
        <v>48</v>
      </c>
      <c r="F30" s="19" t="s">
        <v>54</v>
      </c>
      <c r="G30" s="42">
        <v>55.04</v>
      </c>
      <c r="H30" s="42">
        <v>6.5</v>
      </c>
      <c r="I30" s="42">
        <v>31.04</v>
      </c>
      <c r="J30" s="36">
        <v>6.49</v>
      </c>
      <c r="K30" s="42">
        <v>0.93</v>
      </c>
      <c r="L30" s="22">
        <f t="shared" ref="L30:L33" si="22">8.8*(100-N30)/100</f>
        <v>6.8552000000000008</v>
      </c>
      <c r="M30" s="23">
        <f t="shared" ref="M30:M33" si="23">73.65*(100-N30)/100</f>
        <v>57.373350000000009</v>
      </c>
      <c r="N30" s="21">
        <v>22.1</v>
      </c>
      <c r="O30" s="23">
        <f t="shared" ref="O30:O33" si="24">17.55*(100-N30)/100</f>
        <v>13.671450000000002</v>
      </c>
      <c r="P30" s="21">
        <v>0.18</v>
      </c>
      <c r="Q30" s="40">
        <v>700</v>
      </c>
      <c r="R30" s="40" t="s">
        <v>50</v>
      </c>
      <c r="S30" s="18">
        <v>0</v>
      </c>
      <c r="T30" s="41" t="s">
        <v>51</v>
      </c>
      <c r="U30" s="21">
        <v>23.677419354838708</v>
      </c>
      <c r="V30" s="21">
        <v>17.451612903225808</v>
      </c>
      <c r="W30" s="21">
        <v>36.645161290322584</v>
      </c>
      <c r="X30" s="21">
        <v>6</v>
      </c>
      <c r="Y30" s="27">
        <f t="shared" si="4"/>
        <v>33.129334565840942</v>
      </c>
      <c r="Z30" s="21">
        <v>0.23250000000000001</v>
      </c>
      <c r="AA30" s="18" t="s">
        <v>51</v>
      </c>
      <c r="AB30" s="18" t="s">
        <v>51</v>
      </c>
      <c r="AC30" s="28">
        <f t="shared" si="5"/>
        <v>6910.8035714285716</v>
      </c>
      <c r="AD30" s="18" t="s">
        <v>51</v>
      </c>
      <c r="AF30" s="1"/>
      <c r="AK30" s="1">
        <f t="shared" si="6"/>
        <v>3.7811428571428576</v>
      </c>
      <c r="AL30" s="29">
        <f t="shared" si="7"/>
        <v>7.6321345500089457</v>
      </c>
      <c r="AM30" s="29">
        <f t="shared" si="8"/>
        <v>11.413277407151803</v>
      </c>
      <c r="AO30" s="30">
        <f t="shared" si="9"/>
        <v>15.833247880217014</v>
      </c>
      <c r="AP30" s="30">
        <f t="shared" si="10"/>
        <v>11.670009677380662</v>
      </c>
      <c r="AQ30" s="30">
        <f t="shared" si="11"/>
        <v>24.504863204259575</v>
      </c>
      <c r="AR30" s="30">
        <f t="shared" si="12"/>
        <v>4.0122399260495438</v>
      </c>
      <c r="AS30" s="30">
        <f t="shared" si="13"/>
        <v>33.129334565840942</v>
      </c>
      <c r="AT30" s="31">
        <f t="shared" si="14"/>
        <v>89.149695253747751</v>
      </c>
      <c r="AV30" s="28">
        <f t="shared" si="15"/>
        <v>4621.3003350619156</v>
      </c>
    </row>
    <row r="31" spans="2:48" ht="15.75" customHeight="1" x14ac:dyDescent="0.25">
      <c r="B31" s="32"/>
      <c r="C31" s="16" t="s">
        <v>46</v>
      </c>
      <c r="D31" s="17"/>
      <c r="E31" s="18" t="s">
        <v>48</v>
      </c>
      <c r="F31" s="38"/>
      <c r="G31" s="42">
        <v>55.04</v>
      </c>
      <c r="H31" s="42">
        <v>6.5</v>
      </c>
      <c r="I31" s="42">
        <v>31.04</v>
      </c>
      <c r="J31" s="36">
        <v>6.49</v>
      </c>
      <c r="K31" s="42">
        <v>0.93</v>
      </c>
      <c r="L31" s="22">
        <f t="shared" si="22"/>
        <v>6.8552000000000008</v>
      </c>
      <c r="M31" s="23">
        <f t="shared" si="23"/>
        <v>57.373350000000009</v>
      </c>
      <c r="N31" s="21">
        <v>22.1</v>
      </c>
      <c r="O31" s="23">
        <f t="shared" si="24"/>
        <v>13.671450000000002</v>
      </c>
      <c r="P31" s="21">
        <v>0.22</v>
      </c>
      <c r="Q31" s="40">
        <v>700</v>
      </c>
      <c r="R31" s="40" t="s">
        <v>50</v>
      </c>
      <c r="S31" s="18">
        <v>0</v>
      </c>
      <c r="T31" s="41" t="s">
        <v>51</v>
      </c>
      <c r="U31" s="21">
        <v>27.972027972027973</v>
      </c>
      <c r="V31" s="21">
        <v>20.5449722691102</v>
      </c>
      <c r="W31" s="21">
        <v>31.878466361224984</v>
      </c>
      <c r="X31" s="21">
        <v>6.1490233904027001</v>
      </c>
      <c r="Y31" s="27">
        <f t="shared" si="4"/>
        <v>36.852025663562451</v>
      </c>
      <c r="Z31" s="21">
        <v>0.45202300000000001</v>
      </c>
      <c r="AA31" s="18" t="s">
        <v>51</v>
      </c>
      <c r="AB31" s="18" t="s">
        <v>51</v>
      </c>
      <c r="AC31" s="28">
        <f t="shared" si="5"/>
        <v>7818.6393348031288</v>
      </c>
      <c r="AD31" s="18" t="s">
        <v>51</v>
      </c>
      <c r="AF31" s="1"/>
      <c r="AK31" s="1">
        <f t="shared" si="6"/>
        <v>4.5698888888888893</v>
      </c>
      <c r="AL31" s="29">
        <f t="shared" si="7"/>
        <v>7.8307561410731426</v>
      </c>
      <c r="AM31" s="29">
        <f t="shared" si="8"/>
        <v>12.400645029962032</v>
      </c>
      <c r="AO31" s="30">
        <f t="shared" si="9"/>
        <v>17.663769045157355</v>
      </c>
      <c r="AP31" s="30">
        <f t="shared" si="10"/>
        <v>12.973733815925922</v>
      </c>
      <c r="AQ31" s="30">
        <f t="shared" si="11"/>
        <v>20.130605756636232</v>
      </c>
      <c r="AR31" s="30">
        <f t="shared" si="12"/>
        <v>3.8829837125130391</v>
      </c>
      <c r="AS31" s="30">
        <f t="shared" si="13"/>
        <v>36.852025663562451</v>
      </c>
      <c r="AT31" s="31">
        <f t="shared" si="14"/>
        <v>91.503117993795001</v>
      </c>
      <c r="AV31" s="28">
        <f t="shared" si="15"/>
        <v>4937.3123606000909</v>
      </c>
    </row>
    <row r="32" spans="2:48" ht="15.75" customHeight="1" x14ac:dyDescent="0.25">
      <c r="B32" s="32"/>
      <c r="C32" s="16" t="s">
        <v>46</v>
      </c>
      <c r="D32" s="17"/>
      <c r="E32" s="18" t="s">
        <v>48</v>
      </c>
      <c r="F32" s="38"/>
      <c r="G32" s="42">
        <v>55.04</v>
      </c>
      <c r="H32" s="42">
        <v>6.5</v>
      </c>
      <c r="I32" s="42">
        <v>31.04</v>
      </c>
      <c r="J32" s="36">
        <v>6.49</v>
      </c>
      <c r="K32" s="42">
        <v>0.93</v>
      </c>
      <c r="L32" s="22">
        <f t="shared" si="22"/>
        <v>6.8552000000000008</v>
      </c>
      <c r="M32" s="23">
        <f t="shared" si="23"/>
        <v>57.373350000000009</v>
      </c>
      <c r="N32" s="21">
        <v>22.1</v>
      </c>
      <c r="O32" s="23">
        <f t="shared" si="24"/>
        <v>13.671450000000002</v>
      </c>
      <c r="P32" s="21">
        <v>0.3</v>
      </c>
      <c r="Q32" s="40">
        <v>700</v>
      </c>
      <c r="R32" s="40" t="s">
        <v>50</v>
      </c>
      <c r="S32" s="18">
        <v>0</v>
      </c>
      <c r="T32" s="41" t="s">
        <v>51</v>
      </c>
      <c r="U32" s="21">
        <v>26.105810928013877</v>
      </c>
      <c r="V32" s="21">
        <v>21.010407632263661</v>
      </c>
      <c r="W32" s="21">
        <v>33.824804856895057</v>
      </c>
      <c r="X32" s="21">
        <v>5.3339115351257593</v>
      </c>
      <c r="Y32" s="27">
        <f t="shared" si="4"/>
        <v>44.642192617980619</v>
      </c>
      <c r="Z32" s="21">
        <v>0.53037999999999985</v>
      </c>
      <c r="AA32" s="18" t="s">
        <v>51</v>
      </c>
      <c r="AB32" s="18" t="s">
        <v>51</v>
      </c>
      <c r="AC32" s="28">
        <f t="shared" si="5"/>
        <v>7383.9092119935576</v>
      </c>
      <c r="AD32" s="18" t="s">
        <v>51</v>
      </c>
      <c r="AF32" s="1"/>
      <c r="AK32" s="1">
        <f t="shared" si="6"/>
        <v>6.1473809523809528</v>
      </c>
      <c r="AL32" s="29">
        <f t="shared" si="7"/>
        <v>7.6229573573573575</v>
      </c>
      <c r="AM32" s="29">
        <f t="shared" si="8"/>
        <v>13.77033830973831</v>
      </c>
      <c r="AO32" s="30">
        <f t="shared" si="9"/>
        <v>14.45160452904409</v>
      </c>
      <c r="AP32" s="30">
        <f t="shared" si="10"/>
        <v>11.630900987245617</v>
      </c>
      <c r="AQ32" s="30">
        <f t="shared" si="11"/>
        <v>18.7246703200239</v>
      </c>
      <c r="AR32" s="30">
        <f t="shared" si="12"/>
        <v>2.952736473542231</v>
      </c>
      <c r="AS32" s="30">
        <f t="shared" si="13"/>
        <v>44.642192617980619</v>
      </c>
      <c r="AT32" s="31">
        <f t="shared" si="14"/>
        <v>92.402104927836461</v>
      </c>
      <c r="AV32" s="28">
        <f t="shared" si="15"/>
        <v>4087.5702388385789</v>
      </c>
    </row>
    <row r="33" spans="2:48" ht="15.75" customHeight="1" x14ac:dyDescent="0.25">
      <c r="B33" s="32"/>
      <c r="C33" s="16" t="s">
        <v>46</v>
      </c>
      <c r="D33" s="17"/>
      <c r="E33" s="18" t="s">
        <v>53</v>
      </c>
      <c r="F33" s="39"/>
      <c r="G33" s="42">
        <v>55.04</v>
      </c>
      <c r="H33" s="42">
        <v>6.5</v>
      </c>
      <c r="I33" s="42">
        <v>31.04</v>
      </c>
      <c r="J33" s="36">
        <v>6.49</v>
      </c>
      <c r="K33" s="42">
        <v>0.93</v>
      </c>
      <c r="L33" s="22">
        <f t="shared" si="22"/>
        <v>6.8552000000000008</v>
      </c>
      <c r="M33" s="23">
        <f t="shared" si="23"/>
        <v>57.373350000000009</v>
      </c>
      <c r="N33" s="21">
        <v>22.1</v>
      </c>
      <c r="O33" s="23">
        <f t="shared" si="24"/>
        <v>13.671450000000002</v>
      </c>
      <c r="P33" s="21">
        <v>0.3</v>
      </c>
      <c r="Q33" s="40">
        <v>700</v>
      </c>
      <c r="R33" s="40" t="s">
        <v>50</v>
      </c>
      <c r="S33" s="18">
        <v>0.24</v>
      </c>
      <c r="T33" s="41" t="s">
        <v>51</v>
      </c>
      <c r="U33" s="21">
        <v>32.859813084112147</v>
      </c>
      <c r="V33" s="21">
        <v>17.476635514018692</v>
      </c>
      <c r="W33" s="21">
        <v>33.158878504672892</v>
      </c>
      <c r="X33" s="21">
        <v>4.8411214953271031</v>
      </c>
      <c r="Y33" s="27">
        <f t="shared" si="4"/>
        <v>42.645350748736213</v>
      </c>
      <c r="Z33" s="21">
        <v>0.72760000000000002</v>
      </c>
      <c r="AA33" s="18" t="s">
        <v>51</v>
      </c>
      <c r="AB33" s="18" t="s">
        <v>51</v>
      </c>
      <c r="AC33" s="28">
        <f t="shared" si="5"/>
        <v>7490.0128504672903</v>
      </c>
      <c r="AD33" s="18" t="s">
        <v>51</v>
      </c>
      <c r="AF33" s="1"/>
      <c r="AK33" s="1">
        <f t="shared" si="6"/>
        <v>6.1473809523809528</v>
      </c>
      <c r="AL33" s="29">
        <f t="shared" si="7"/>
        <v>8.2677448337825705</v>
      </c>
      <c r="AM33" s="29">
        <f t="shared" si="8"/>
        <v>14.415125786163523</v>
      </c>
      <c r="AO33" s="30">
        <f t="shared" si="9"/>
        <v>18.846630539013411</v>
      </c>
      <c r="AP33" s="30">
        <f t="shared" si="10"/>
        <v>10.023662999987224</v>
      </c>
      <c r="AQ33" s="30">
        <f t="shared" si="11"/>
        <v>19.018158462007836</v>
      </c>
      <c r="AR33" s="30">
        <f t="shared" si="12"/>
        <v>2.7766082534723968</v>
      </c>
      <c r="AS33" s="30">
        <f t="shared" si="13"/>
        <v>42.645350748736213</v>
      </c>
      <c r="AT33" s="31">
        <f t="shared" si="14"/>
        <v>93.310411003217084</v>
      </c>
      <c r="AV33" s="28">
        <f t="shared" si="15"/>
        <v>4295.8705992600999</v>
      </c>
    </row>
    <row r="34" spans="2:48" ht="15.75" customHeight="1" x14ac:dyDescent="0.25">
      <c r="B34" s="32"/>
      <c r="C34" s="16" t="s">
        <v>46</v>
      </c>
      <c r="D34" s="17"/>
      <c r="E34" s="18" t="s">
        <v>53</v>
      </c>
      <c r="F34" s="19" t="s">
        <v>55</v>
      </c>
      <c r="G34" s="21">
        <v>47</v>
      </c>
      <c r="H34" s="21">
        <v>6.78</v>
      </c>
      <c r="I34" s="21">
        <v>45.7</v>
      </c>
      <c r="J34" s="18">
        <v>0.47499999999999998</v>
      </c>
      <c r="K34" s="21">
        <v>0.04</v>
      </c>
      <c r="L34" s="20">
        <v>14.99</v>
      </c>
      <c r="M34" s="21">
        <v>55.54</v>
      </c>
      <c r="N34" s="18">
        <v>9.9499999999999993</v>
      </c>
      <c r="O34" s="21">
        <v>19.52</v>
      </c>
      <c r="P34" s="21">
        <v>0.35</v>
      </c>
      <c r="Q34" s="40">
        <v>750</v>
      </c>
      <c r="R34" s="40" t="s">
        <v>50</v>
      </c>
      <c r="S34" s="21">
        <v>0.5</v>
      </c>
      <c r="T34" s="41" t="s">
        <v>51</v>
      </c>
      <c r="U34" s="21">
        <v>20.489977728285076</v>
      </c>
      <c r="V34" s="21">
        <v>28.507795100222719</v>
      </c>
      <c r="W34" s="21">
        <v>46.325167037861917</v>
      </c>
      <c r="X34" s="21">
        <v>4.6770601336302899</v>
      </c>
      <c r="Y34" s="27">
        <f t="shared" si="4"/>
        <v>52.867062152396372</v>
      </c>
      <c r="Z34" s="21">
        <v>1.92</v>
      </c>
      <c r="AA34" s="18" t="s">
        <v>51</v>
      </c>
      <c r="AB34" s="18" t="s">
        <v>51</v>
      </c>
      <c r="AC34" s="28">
        <f t="shared" si="5"/>
        <v>7489.50644288896</v>
      </c>
      <c r="AD34" s="18" t="s">
        <v>51</v>
      </c>
      <c r="AF34" s="1"/>
      <c r="AK34" s="1">
        <f t="shared" si="6"/>
        <v>5.5252941468253969</v>
      </c>
      <c r="AL34" s="29">
        <f t="shared" si="7"/>
        <v>4.9260037348272636</v>
      </c>
      <c r="AM34" s="29">
        <f t="shared" si="8"/>
        <v>10.45129788165266</v>
      </c>
      <c r="AO34" s="30">
        <f t="shared" si="9"/>
        <v>9.6575284676604305</v>
      </c>
      <c r="AP34" s="30">
        <f t="shared" si="10"/>
        <v>13.436561346310169</v>
      </c>
      <c r="AQ34" s="30">
        <f t="shared" si="11"/>
        <v>21.834412187754019</v>
      </c>
      <c r="AR34" s="30">
        <f t="shared" si="12"/>
        <v>2.2044358458790119</v>
      </c>
      <c r="AS34" s="30">
        <f t="shared" si="13"/>
        <v>52.867062152396372</v>
      </c>
      <c r="AT34" s="31">
        <f t="shared" si="14"/>
        <v>100</v>
      </c>
      <c r="AV34" s="28">
        <f t="shared" si="15"/>
        <v>3530.024416819123</v>
      </c>
    </row>
    <row r="35" spans="2:48" ht="15.75" customHeight="1" x14ac:dyDescent="0.25">
      <c r="B35" s="32"/>
      <c r="C35" s="16" t="s">
        <v>46</v>
      </c>
      <c r="D35" s="17"/>
      <c r="E35" s="18" t="s">
        <v>53</v>
      </c>
      <c r="F35" s="38"/>
      <c r="G35" s="21">
        <v>47</v>
      </c>
      <c r="H35" s="21">
        <v>6.78</v>
      </c>
      <c r="I35" s="21">
        <v>45.7</v>
      </c>
      <c r="J35" s="18">
        <v>0.47499999999999998</v>
      </c>
      <c r="K35" s="21">
        <v>0.04</v>
      </c>
      <c r="L35" s="20">
        <v>14.99</v>
      </c>
      <c r="M35" s="21">
        <v>55.54</v>
      </c>
      <c r="N35" s="18">
        <v>9.9499999999999993</v>
      </c>
      <c r="O35" s="21">
        <v>19.52</v>
      </c>
      <c r="P35" s="21">
        <v>0.3</v>
      </c>
      <c r="Q35" s="40">
        <v>800</v>
      </c>
      <c r="R35" s="40" t="s">
        <v>50</v>
      </c>
      <c r="S35" s="21">
        <v>0.5</v>
      </c>
      <c r="T35" s="41" t="s">
        <v>51</v>
      </c>
      <c r="U35" s="21">
        <v>24.421052631578949</v>
      </c>
      <c r="V35" s="21">
        <v>30.94736842105263</v>
      </c>
      <c r="W35" s="21">
        <v>38.73684210526315</v>
      </c>
      <c r="X35" s="21">
        <v>5.8947368421052628</v>
      </c>
      <c r="Y35" s="27">
        <f t="shared" si="4"/>
        <v>47.763094756139147</v>
      </c>
      <c r="Z35" s="21">
        <v>1.96</v>
      </c>
      <c r="AA35" s="18" t="s">
        <v>51</v>
      </c>
      <c r="AB35" s="18" t="s">
        <v>51</v>
      </c>
      <c r="AC35" s="28">
        <f t="shared" si="5"/>
        <v>8658.4097744360897</v>
      </c>
      <c r="AD35" s="18" t="s">
        <v>51</v>
      </c>
      <c r="AF35" s="1"/>
      <c r="AK35" s="1">
        <f t="shared" si="6"/>
        <v>4.738389880952381</v>
      </c>
      <c r="AL35" s="29">
        <f t="shared" si="7"/>
        <v>5.1822191272052001</v>
      </c>
      <c r="AM35" s="29">
        <f t="shared" si="8"/>
        <v>9.9206090081575802</v>
      </c>
      <c r="AO35" s="30">
        <f t="shared" si="9"/>
        <v>12.756802122711283</v>
      </c>
      <c r="AP35" s="30">
        <f t="shared" si="10"/>
        <v>16.16594751757378</v>
      </c>
      <c r="AQ35" s="30">
        <f t="shared" si="11"/>
        <v>20.234927504990306</v>
      </c>
      <c r="AR35" s="30">
        <f t="shared" si="12"/>
        <v>3.0792280985854825</v>
      </c>
      <c r="AS35" s="30">
        <f t="shared" si="13"/>
        <v>47.763094756139147</v>
      </c>
      <c r="AT35" s="31">
        <f t="shared" si="14"/>
        <v>100</v>
      </c>
      <c r="AV35" s="28">
        <f t="shared" si="15"/>
        <v>4522.8853094973683</v>
      </c>
    </row>
    <row r="36" spans="2:48" ht="15.75" customHeight="1" x14ac:dyDescent="0.25">
      <c r="B36" s="32"/>
      <c r="C36" s="16" t="s">
        <v>46</v>
      </c>
      <c r="D36" s="17"/>
      <c r="E36" s="18" t="s">
        <v>53</v>
      </c>
      <c r="F36" s="38"/>
      <c r="G36" s="21">
        <v>47</v>
      </c>
      <c r="H36" s="21">
        <v>6.78</v>
      </c>
      <c r="I36" s="21">
        <v>45.7</v>
      </c>
      <c r="J36" s="18">
        <v>0.47499999999999998</v>
      </c>
      <c r="K36" s="21">
        <v>0.04</v>
      </c>
      <c r="L36" s="20">
        <v>14.99</v>
      </c>
      <c r="M36" s="21">
        <v>55.54</v>
      </c>
      <c r="N36" s="18">
        <v>9.9499999999999993</v>
      </c>
      <c r="O36" s="21">
        <v>19.52</v>
      </c>
      <c r="P36" s="21">
        <v>0.35</v>
      </c>
      <c r="Q36" s="40">
        <v>800</v>
      </c>
      <c r="R36" s="40" t="s">
        <v>50</v>
      </c>
      <c r="S36" s="21">
        <v>0.2</v>
      </c>
      <c r="T36" s="41" t="s">
        <v>51</v>
      </c>
      <c r="U36" s="21">
        <v>17.798594847775174</v>
      </c>
      <c r="V36" s="21">
        <v>32.084309133489462</v>
      </c>
      <c r="W36" s="21">
        <v>43.559718969555036</v>
      </c>
      <c r="X36" s="21">
        <v>6.5573770491803272</v>
      </c>
      <c r="Y36" s="27">
        <f t="shared" si="4"/>
        <v>53.69569127481634</v>
      </c>
      <c r="Z36" s="21">
        <v>2.0699999999999998</v>
      </c>
      <c r="AA36" s="18" t="s">
        <v>51</v>
      </c>
      <c r="AB36" s="18" t="s">
        <v>51</v>
      </c>
      <c r="AC36" s="28">
        <f t="shared" si="5"/>
        <v>8324.5525259284041</v>
      </c>
      <c r="AD36" s="18" t="s">
        <v>51</v>
      </c>
      <c r="AF36" s="1"/>
      <c r="AK36" s="1">
        <f t="shared" si="6"/>
        <v>5.5252941468253969</v>
      </c>
      <c r="AL36" s="29">
        <f t="shared" si="7"/>
        <v>4.7647198480531818</v>
      </c>
      <c r="AM36" s="29">
        <f t="shared" si="8"/>
        <v>10.290013994878578</v>
      </c>
      <c r="AO36" s="30">
        <f t="shared" si="9"/>
        <v>8.2415163070584505</v>
      </c>
      <c r="AP36" s="30">
        <f t="shared" si="10"/>
        <v>14.856417553513262</v>
      </c>
      <c r="AQ36" s="30">
        <f t="shared" si="11"/>
        <v>20.170026751485157</v>
      </c>
      <c r="AR36" s="30">
        <f t="shared" si="12"/>
        <v>3.0363481131267975</v>
      </c>
      <c r="AS36" s="30">
        <f t="shared" si="13"/>
        <v>53.69569127481634</v>
      </c>
      <c r="AT36" s="31">
        <f t="shared" si="14"/>
        <v>100</v>
      </c>
      <c r="AV36" s="28">
        <f t="shared" si="15"/>
        <v>3854.6265015959634</v>
      </c>
    </row>
    <row r="37" spans="2:48" ht="15.75" customHeight="1" x14ac:dyDescent="0.25">
      <c r="B37" s="32"/>
      <c r="C37" s="16" t="s">
        <v>46</v>
      </c>
      <c r="D37" s="17"/>
      <c r="E37" s="18" t="s">
        <v>53</v>
      </c>
      <c r="F37" s="38"/>
      <c r="G37" s="21">
        <v>47</v>
      </c>
      <c r="H37" s="21">
        <v>6.78</v>
      </c>
      <c r="I37" s="21">
        <v>45.7</v>
      </c>
      <c r="J37" s="18">
        <v>0.47499999999999998</v>
      </c>
      <c r="K37" s="21">
        <v>0.04</v>
      </c>
      <c r="L37" s="20">
        <v>14.99</v>
      </c>
      <c r="M37" s="21">
        <v>55.54</v>
      </c>
      <c r="N37" s="18">
        <v>9.9499999999999993</v>
      </c>
      <c r="O37" s="21">
        <v>19.52</v>
      </c>
      <c r="P37" s="21">
        <v>0.35</v>
      </c>
      <c r="Q37" s="40">
        <v>800</v>
      </c>
      <c r="R37" s="40" t="s">
        <v>50</v>
      </c>
      <c r="S37" s="21">
        <v>0.5</v>
      </c>
      <c r="T37" s="41" t="s">
        <v>51</v>
      </c>
      <c r="U37" s="21">
        <v>22.269807280513916</v>
      </c>
      <c r="V37" s="21">
        <v>28.693790149892934</v>
      </c>
      <c r="W37" s="21">
        <v>43.468950749464668</v>
      </c>
      <c r="X37" s="21">
        <v>5.5674518201284791</v>
      </c>
      <c r="Y37" s="27">
        <f t="shared" si="4"/>
        <v>52.302597903152062</v>
      </c>
      <c r="Z37" s="21">
        <v>2.1</v>
      </c>
      <c r="AA37" s="18" t="s">
        <v>51</v>
      </c>
      <c r="AB37" s="18" t="s">
        <v>51</v>
      </c>
      <c r="AC37" s="28">
        <f t="shared" si="5"/>
        <v>8024.1855307433461</v>
      </c>
      <c r="AD37" s="18" t="s">
        <v>51</v>
      </c>
      <c r="AF37" s="1"/>
      <c r="AK37" s="1">
        <f t="shared" si="6"/>
        <v>5.5252941468253969</v>
      </c>
      <c r="AL37" s="29">
        <f t="shared" si="7"/>
        <v>5.0387970615243338</v>
      </c>
      <c r="AM37" s="29">
        <f t="shared" si="8"/>
        <v>10.56409120834973</v>
      </c>
      <c r="AO37" s="30">
        <f t="shared" si="9"/>
        <v>10.622119524779844</v>
      </c>
      <c r="AP37" s="30">
        <f t="shared" si="10"/>
        <v>13.686192464620184</v>
      </c>
      <c r="AQ37" s="30">
        <f t="shared" si="11"/>
        <v>20.733560226252965</v>
      </c>
      <c r="AR37" s="30">
        <f t="shared" si="12"/>
        <v>2.655529881194961</v>
      </c>
      <c r="AS37" s="30">
        <f t="shared" si="13"/>
        <v>52.302597903152062</v>
      </c>
      <c r="AT37" s="31">
        <f t="shared" si="14"/>
        <v>100.00000000000001</v>
      </c>
      <c r="AV37" s="28">
        <f t="shared" si="15"/>
        <v>3827.328037595747</v>
      </c>
    </row>
    <row r="38" spans="2:48" ht="15.75" customHeight="1" x14ac:dyDescent="0.25">
      <c r="B38" s="32"/>
      <c r="C38" s="16" t="s">
        <v>46</v>
      </c>
      <c r="D38" s="17"/>
      <c r="E38" s="18" t="s">
        <v>53</v>
      </c>
      <c r="F38" s="38"/>
      <c r="G38" s="21">
        <v>47</v>
      </c>
      <c r="H38" s="21">
        <v>6.78</v>
      </c>
      <c r="I38" s="21">
        <v>45.7</v>
      </c>
      <c r="J38" s="18">
        <v>0.47499999999999998</v>
      </c>
      <c r="K38" s="21">
        <v>0.04</v>
      </c>
      <c r="L38" s="20">
        <v>14.99</v>
      </c>
      <c r="M38" s="21">
        <v>55.54</v>
      </c>
      <c r="N38" s="18">
        <v>9.9499999999999993</v>
      </c>
      <c r="O38" s="21">
        <v>19.52</v>
      </c>
      <c r="P38" s="21">
        <v>0.4</v>
      </c>
      <c r="Q38" s="40">
        <v>800</v>
      </c>
      <c r="R38" s="40" t="s">
        <v>50</v>
      </c>
      <c r="S38" s="21">
        <v>0.5</v>
      </c>
      <c r="T38" s="41" t="s">
        <v>51</v>
      </c>
      <c r="U38" s="21">
        <v>21.098901098901099</v>
      </c>
      <c r="V38" s="21">
        <v>26.813186813186814</v>
      </c>
      <c r="W38" s="21">
        <v>47.252747252747255</v>
      </c>
      <c r="X38" s="21">
        <v>4.8351648351648358</v>
      </c>
      <c r="Y38" s="27">
        <f t="shared" si="4"/>
        <v>55.977970118965381</v>
      </c>
      <c r="Z38" s="21">
        <v>2.29</v>
      </c>
      <c r="AA38" s="18" t="s">
        <v>51</v>
      </c>
      <c r="AB38" s="18" t="s">
        <v>51</v>
      </c>
      <c r="AC38" s="28">
        <f t="shared" si="5"/>
        <v>7397.7982731554157</v>
      </c>
      <c r="AD38" s="18" t="s">
        <v>51</v>
      </c>
      <c r="AF38" s="1"/>
      <c r="AK38" s="1">
        <f t="shared" si="6"/>
        <v>6.3121984126984136</v>
      </c>
      <c r="AL38" s="29">
        <f t="shared" si="7"/>
        <v>4.9640204271123496</v>
      </c>
      <c r="AM38" s="29">
        <f t="shared" si="8"/>
        <v>11.276218839810763</v>
      </c>
      <c r="AO38" s="30">
        <f t="shared" si="9"/>
        <v>9.2881645463281846</v>
      </c>
      <c r="AP38" s="30">
        <f t="shared" si="10"/>
        <v>11.803709110958732</v>
      </c>
      <c r="AQ38" s="30">
        <f t="shared" si="11"/>
        <v>20.801618515214162</v>
      </c>
      <c r="AR38" s="30">
        <f t="shared" si="12"/>
        <v>2.1285377085335422</v>
      </c>
      <c r="AS38" s="30">
        <f t="shared" si="13"/>
        <v>55.977970118965381</v>
      </c>
      <c r="AT38" s="31">
        <f t="shared" si="14"/>
        <v>100</v>
      </c>
      <c r="AV38" s="28">
        <f t="shared" si="15"/>
        <v>3256.6609663471404</v>
      </c>
    </row>
    <row r="39" spans="2:48" ht="15.75" customHeight="1" x14ac:dyDescent="0.25">
      <c r="B39" s="32"/>
      <c r="C39" s="16" t="s">
        <v>46</v>
      </c>
      <c r="D39" s="17"/>
      <c r="E39" s="18" t="s">
        <v>53</v>
      </c>
      <c r="F39" s="38"/>
      <c r="G39" s="21">
        <v>47</v>
      </c>
      <c r="H39" s="21">
        <v>6.78</v>
      </c>
      <c r="I39" s="21">
        <v>45.7</v>
      </c>
      <c r="J39" s="18">
        <v>0.47499999999999998</v>
      </c>
      <c r="K39" s="21">
        <v>0.04</v>
      </c>
      <c r="L39" s="20">
        <v>14.99</v>
      </c>
      <c r="M39" s="21">
        <v>55.54</v>
      </c>
      <c r="N39" s="18">
        <v>9.9499999999999993</v>
      </c>
      <c r="O39" s="21">
        <v>19.52</v>
      </c>
      <c r="P39" s="21">
        <v>0.35</v>
      </c>
      <c r="Q39" s="40">
        <v>850</v>
      </c>
      <c r="R39" s="40" t="s">
        <v>50</v>
      </c>
      <c r="S39" s="21">
        <v>0.5</v>
      </c>
      <c r="T39" s="41" t="s">
        <v>51</v>
      </c>
      <c r="U39" s="21">
        <v>25.518672199170123</v>
      </c>
      <c r="V39" s="21">
        <v>30.08298755186722</v>
      </c>
      <c r="W39" s="21">
        <v>38.174273858921154</v>
      </c>
      <c r="X39" s="21">
        <v>6.224066390041493</v>
      </c>
      <c r="Y39" s="27">
        <f t="shared" si="4"/>
        <v>51.236592974268206</v>
      </c>
      <c r="Z39" s="21">
        <v>2.31</v>
      </c>
      <c r="AA39" s="18" t="s">
        <v>51</v>
      </c>
      <c r="AB39" s="18" t="s">
        <v>51</v>
      </c>
      <c r="AC39" s="28">
        <f t="shared" si="5"/>
        <v>8785.7013189093068</v>
      </c>
      <c r="AD39" s="18" t="s">
        <v>51</v>
      </c>
      <c r="AF39" s="1"/>
      <c r="AK39" s="1">
        <f t="shared" si="6"/>
        <v>5.5252941468253969</v>
      </c>
      <c r="AL39" s="29">
        <f t="shared" si="7"/>
        <v>5.258588672237698</v>
      </c>
      <c r="AM39" s="29">
        <f t="shared" si="8"/>
        <v>10.783882819063095</v>
      </c>
      <c r="AO39" s="30">
        <f t="shared" si="9"/>
        <v>12.443773992043592</v>
      </c>
      <c r="AP39" s="30">
        <f t="shared" si="10"/>
        <v>14.669489665417244</v>
      </c>
      <c r="AQ39" s="30">
        <f t="shared" si="11"/>
        <v>18.615076540943257</v>
      </c>
      <c r="AR39" s="30">
        <f t="shared" si="12"/>
        <v>3.0350668273277051</v>
      </c>
      <c r="AS39" s="30">
        <f t="shared" si="13"/>
        <v>51.236592974268206</v>
      </c>
      <c r="AT39" s="31">
        <f t="shared" si="14"/>
        <v>100</v>
      </c>
      <c r="AV39" s="28">
        <f t="shared" si="15"/>
        <v>4284.2072942048326</v>
      </c>
    </row>
    <row r="40" spans="2:48" ht="15.75" customHeight="1" x14ac:dyDescent="0.25">
      <c r="B40" s="32"/>
      <c r="C40" s="16" t="s">
        <v>46</v>
      </c>
      <c r="D40" s="17"/>
      <c r="E40" s="18" t="s">
        <v>53</v>
      </c>
      <c r="F40" s="38"/>
      <c r="G40" s="21">
        <v>47</v>
      </c>
      <c r="H40" s="21">
        <v>6.78</v>
      </c>
      <c r="I40" s="21">
        <v>45.7</v>
      </c>
      <c r="J40" s="18">
        <v>0.47499999999999998</v>
      </c>
      <c r="K40" s="21">
        <v>0.04</v>
      </c>
      <c r="L40" s="20">
        <v>14.99</v>
      </c>
      <c r="M40" s="21">
        <v>55.54</v>
      </c>
      <c r="N40" s="18">
        <v>9.9499999999999993</v>
      </c>
      <c r="O40" s="21">
        <v>19.52</v>
      </c>
      <c r="P40" s="21">
        <v>0.35</v>
      </c>
      <c r="Q40" s="40">
        <v>800</v>
      </c>
      <c r="R40" s="40" t="s">
        <v>50</v>
      </c>
      <c r="S40" s="21">
        <v>0.8</v>
      </c>
      <c r="T40" s="41" t="s">
        <v>51</v>
      </c>
      <c r="U40" s="21">
        <v>24.532224532224532</v>
      </c>
      <c r="V40" s="21">
        <v>26.403326403326403</v>
      </c>
      <c r="W40" s="21">
        <v>43.866943866943863</v>
      </c>
      <c r="X40" s="21">
        <v>5.1975051975051976</v>
      </c>
      <c r="Y40" s="27">
        <f t="shared" si="4"/>
        <v>51.565265803755565</v>
      </c>
      <c r="Z40" s="21">
        <v>2.13</v>
      </c>
      <c r="AA40" s="18" t="s">
        <v>51</v>
      </c>
      <c r="AB40" s="18" t="s">
        <v>51</v>
      </c>
      <c r="AC40" s="28">
        <f t="shared" si="5"/>
        <v>7846.4935402435412</v>
      </c>
      <c r="AD40" s="18" t="s">
        <v>51</v>
      </c>
      <c r="AF40" s="1"/>
      <c r="AK40" s="1">
        <f t="shared" si="6"/>
        <v>5.5252941468253969</v>
      </c>
      <c r="AL40" s="29">
        <f t="shared" si="7"/>
        <v>5.1898530762167132</v>
      </c>
      <c r="AM40" s="29">
        <f t="shared" si="8"/>
        <v>10.715147223042109</v>
      </c>
      <c r="AO40" s="30">
        <f t="shared" si="9"/>
        <v>11.882117744608825</v>
      </c>
      <c r="AP40" s="30">
        <f t="shared" si="10"/>
        <v>12.788380962417973</v>
      </c>
      <c r="AQ40" s="30">
        <f t="shared" si="11"/>
        <v>21.246837661970012</v>
      </c>
      <c r="AR40" s="30">
        <f t="shared" si="12"/>
        <v>2.5173978272476321</v>
      </c>
      <c r="AS40" s="30">
        <f t="shared" si="13"/>
        <v>51.565265803755565</v>
      </c>
      <c r="AT40" s="31">
        <f t="shared" si="14"/>
        <v>100.00000000000001</v>
      </c>
      <c r="AV40" s="28">
        <f t="shared" si="15"/>
        <v>3800.4282899424497</v>
      </c>
    </row>
    <row r="41" spans="2:48" ht="15.75" customHeight="1" x14ac:dyDescent="0.25">
      <c r="B41" s="32"/>
      <c r="C41" s="16" t="s">
        <v>46</v>
      </c>
      <c r="D41" s="17"/>
      <c r="E41" s="18" t="s">
        <v>53</v>
      </c>
      <c r="F41" s="39"/>
      <c r="G41" s="21">
        <v>47</v>
      </c>
      <c r="H41" s="21">
        <v>6.78</v>
      </c>
      <c r="I41" s="21">
        <v>45.7</v>
      </c>
      <c r="J41" s="18">
        <v>0.47499999999999998</v>
      </c>
      <c r="K41" s="21">
        <v>0.04</v>
      </c>
      <c r="L41" s="20">
        <v>14.99</v>
      </c>
      <c r="M41" s="21">
        <v>55.54</v>
      </c>
      <c r="N41" s="18">
        <v>9.9499999999999993</v>
      </c>
      <c r="O41" s="21">
        <v>19.52</v>
      </c>
      <c r="P41" s="21">
        <v>0.35</v>
      </c>
      <c r="Q41" s="40">
        <v>850</v>
      </c>
      <c r="R41" s="40" t="s">
        <v>50</v>
      </c>
      <c r="S41" s="21">
        <v>0.8</v>
      </c>
      <c r="T41" s="41" t="s">
        <v>51</v>
      </c>
      <c r="U41" s="21">
        <v>25.889328063241106</v>
      </c>
      <c r="V41" s="21">
        <v>28.063241106719367</v>
      </c>
      <c r="W41" s="21">
        <v>40.316205533596829</v>
      </c>
      <c r="X41" s="21">
        <v>5.7312252964426875</v>
      </c>
      <c r="Y41" s="27">
        <f t="shared" si="4"/>
        <v>51.111938887354015</v>
      </c>
      <c r="Z41" s="21">
        <v>2.34</v>
      </c>
      <c r="AA41" s="18" t="s">
        <v>51</v>
      </c>
      <c r="AB41" s="18" t="s">
        <v>51</v>
      </c>
      <c r="AC41" s="28">
        <f t="shared" si="5"/>
        <v>8393.951157538113</v>
      </c>
      <c r="AD41" s="18" t="s">
        <v>51</v>
      </c>
      <c r="AF41" s="1"/>
      <c r="AK41" s="1">
        <f t="shared" si="6"/>
        <v>5.5252941468253969</v>
      </c>
      <c r="AL41" s="29">
        <f t="shared" si="7"/>
        <v>5.2848888888888901</v>
      </c>
      <c r="AM41" s="29">
        <f t="shared" si="8"/>
        <v>10.810183035714287</v>
      </c>
      <c r="AO41" s="30">
        <f t="shared" si="9"/>
        <v>12.65679052521072</v>
      </c>
      <c r="AP41" s="30">
        <f t="shared" si="10"/>
        <v>13.719574462442155</v>
      </c>
      <c r="AQ41" s="30">
        <f t="shared" si="11"/>
        <v>19.709811199564779</v>
      </c>
      <c r="AR41" s="30">
        <f t="shared" si="12"/>
        <v>2.8018849254283271</v>
      </c>
      <c r="AS41" s="30">
        <f t="shared" si="13"/>
        <v>51.111938887354015</v>
      </c>
      <c r="AT41" s="31">
        <f t="shared" si="14"/>
        <v>100</v>
      </c>
      <c r="AV41" s="28">
        <f t="shared" si="15"/>
        <v>4103.6399716628885</v>
      </c>
    </row>
    <row r="42" spans="2:48" ht="14.25" customHeight="1" x14ac:dyDescent="0.25">
      <c r="B42" s="32"/>
      <c r="C42" s="16" t="s">
        <v>46</v>
      </c>
      <c r="D42" s="17"/>
      <c r="E42" s="18" t="s">
        <v>48</v>
      </c>
      <c r="F42" s="43" t="s">
        <v>56</v>
      </c>
      <c r="G42" s="42">
        <v>43.52</v>
      </c>
      <c r="H42" s="42">
        <v>5.72</v>
      </c>
      <c r="I42" s="42">
        <v>48.9</v>
      </c>
      <c r="J42" s="18">
        <v>1.2</v>
      </c>
      <c r="K42" s="21">
        <v>0.66</v>
      </c>
      <c r="L42" s="20">
        <v>8.36</v>
      </c>
      <c r="M42" s="21">
        <v>79.34</v>
      </c>
      <c r="N42" s="21">
        <v>7.8</v>
      </c>
      <c r="O42" s="42">
        <v>4.5</v>
      </c>
      <c r="P42" s="21">
        <v>0.25</v>
      </c>
      <c r="Q42" s="40">
        <v>650</v>
      </c>
      <c r="R42" s="40" t="s">
        <v>50</v>
      </c>
      <c r="S42" s="21">
        <v>0</v>
      </c>
      <c r="T42" s="41" t="s">
        <v>51</v>
      </c>
      <c r="U42" s="21">
        <v>19.499200852424085</v>
      </c>
      <c r="V42" s="21">
        <v>30.687266915290362</v>
      </c>
      <c r="W42" s="21">
        <v>43.899840170484822</v>
      </c>
      <c r="X42" s="21">
        <v>5.9136920618007478</v>
      </c>
      <c r="Y42" s="27">
        <f t="shared" si="4"/>
        <v>42.730153129584799</v>
      </c>
      <c r="Z42" s="21">
        <v>1.5165337307785878</v>
      </c>
      <c r="AA42" s="18" t="s">
        <v>51</v>
      </c>
      <c r="AB42" s="18" t="s">
        <v>51</v>
      </c>
      <c r="AC42" s="28">
        <f t="shared" si="5"/>
        <v>8101.0003615191426</v>
      </c>
      <c r="AD42" s="18" t="s">
        <v>51</v>
      </c>
      <c r="AF42" s="1"/>
      <c r="AK42" s="1">
        <f t="shared" si="6"/>
        <v>3.3613665674603173</v>
      </c>
      <c r="AL42" s="29">
        <f t="shared" si="7"/>
        <v>4.5051312596514448</v>
      </c>
      <c r="AM42" s="29">
        <f t="shared" si="8"/>
        <v>7.866497827111762</v>
      </c>
      <c r="AO42" s="30">
        <f t="shared" si="9"/>
        <v>11.167162469137967</v>
      </c>
      <c r="AP42" s="30">
        <f t="shared" si="10"/>
        <v>17.574550771102373</v>
      </c>
      <c r="AQ42" s="30">
        <f t="shared" si="11"/>
        <v>25.141371241993671</v>
      </c>
      <c r="AR42" s="30">
        <f t="shared" si="12"/>
        <v>3.3867623881811881</v>
      </c>
      <c r="AS42" s="30">
        <f t="shared" si="13"/>
        <v>42.730153129584799</v>
      </c>
      <c r="AT42" s="31">
        <f t="shared" si="14"/>
        <v>100</v>
      </c>
      <c r="AV42" s="28">
        <f t="shared" si="15"/>
        <v>4639.4305020137954</v>
      </c>
    </row>
    <row r="43" spans="2:48" ht="15.75" customHeight="1" x14ac:dyDescent="0.25">
      <c r="B43" s="32"/>
      <c r="C43" s="16" t="s">
        <v>46</v>
      </c>
      <c r="D43" s="17"/>
      <c r="E43" s="18" t="s">
        <v>48</v>
      </c>
      <c r="F43" s="44"/>
      <c r="G43" s="42">
        <v>43.52</v>
      </c>
      <c r="H43" s="42">
        <v>5.72</v>
      </c>
      <c r="I43" s="42">
        <v>48.9</v>
      </c>
      <c r="J43" s="18">
        <v>1.2</v>
      </c>
      <c r="K43" s="21">
        <v>0.66</v>
      </c>
      <c r="L43" s="20">
        <v>8.36</v>
      </c>
      <c r="M43" s="21">
        <v>79.34</v>
      </c>
      <c r="N43" s="21">
        <v>7.8</v>
      </c>
      <c r="O43" s="42">
        <v>4.5</v>
      </c>
      <c r="P43" s="21">
        <v>0.25</v>
      </c>
      <c r="Q43" s="40">
        <v>750</v>
      </c>
      <c r="R43" s="40" t="s">
        <v>50</v>
      </c>
      <c r="S43" s="21">
        <v>0</v>
      </c>
      <c r="T43" s="41" t="s">
        <v>51</v>
      </c>
      <c r="U43" s="21">
        <v>15.228186332466308</v>
      </c>
      <c r="V43" s="21">
        <v>32.040671553558767</v>
      </c>
      <c r="W43" s="21">
        <v>44.454953889808472</v>
      </c>
      <c r="X43" s="21">
        <v>8.2761882241664715</v>
      </c>
      <c r="Y43" s="27">
        <f t="shared" si="4"/>
        <v>43.999719779643939</v>
      </c>
      <c r="Z43" s="21">
        <v>1.6647663510802539</v>
      </c>
      <c r="AA43" s="18" t="s">
        <v>51</v>
      </c>
      <c r="AB43" s="18" t="s">
        <v>51</v>
      </c>
      <c r="AC43" s="28">
        <f t="shared" si="5"/>
        <v>8657.4215451136733</v>
      </c>
      <c r="AD43" s="18" t="s">
        <v>51</v>
      </c>
      <c r="AF43" s="1"/>
      <c r="AK43" s="1">
        <f t="shared" si="6"/>
        <v>3.3613665674603173</v>
      </c>
      <c r="AL43" s="29">
        <f t="shared" si="7"/>
        <v>4.2781515574151552</v>
      </c>
      <c r="AM43" s="29">
        <f t="shared" si="8"/>
        <v>7.6395181248754724</v>
      </c>
      <c r="AO43" s="30">
        <f t="shared" si="9"/>
        <v>8.5278270186590959</v>
      </c>
      <c r="AP43" s="30">
        <f t="shared" si="10"/>
        <v>17.942865854476821</v>
      </c>
      <c r="AQ43" s="30">
        <f t="shared" si="11"/>
        <v>24.89489875012282</v>
      </c>
      <c r="AR43" s="30">
        <f t="shared" si="12"/>
        <v>4.6346885970973339</v>
      </c>
      <c r="AS43" s="30">
        <f t="shared" si="13"/>
        <v>43.999719779643939</v>
      </c>
      <c r="AT43" s="31">
        <f t="shared" si="14"/>
        <v>100.00000000000001</v>
      </c>
      <c r="AV43" s="28">
        <f t="shared" si="15"/>
        <v>4848.180325121135</v>
      </c>
    </row>
    <row r="44" spans="2:48" ht="15.75" customHeight="1" x14ac:dyDescent="0.25">
      <c r="B44" s="32"/>
      <c r="C44" s="16" t="s">
        <v>46</v>
      </c>
      <c r="D44" s="17"/>
      <c r="E44" s="18" t="s">
        <v>48</v>
      </c>
      <c r="F44" s="44"/>
      <c r="G44" s="42">
        <v>43.52</v>
      </c>
      <c r="H44" s="42">
        <v>5.72</v>
      </c>
      <c r="I44" s="42">
        <v>48.9</v>
      </c>
      <c r="J44" s="18">
        <v>1.2</v>
      </c>
      <c r="K44" s="21">
        <v>0.66</v>
      </c>
      <c r="L44" s="20">
        <v>8.36</v>
      </c>
      <c r="M44" s="21">
        <v>79.34</v>
      </c>
      <c r="N44" s="21">
        <v>7.8</v>
      </c>
      <c r="O44" s="42">
        <v>4.5</v>
      </c>
      <c r="P44" s="21">
        <v>0.25</v>
      </c>
      <c r="Q44" s="40">
        <v>850</v>
      </c>
      <c r="R44" s="40" t="s">
        <v>50</v>
      </c>
      <c r="S44" s="21">
        <v>0</v>
      </c>
      <c r="T44" s="41" t="s">
        <v>51</v>
      </c>
      <c r="U44" s="21">
        <v>16.023738872403563</v>
      </c>
      <c r="V44" s="21">
        <v>36.392539211530313</v>
      </c>
      <c r="W44" s="21">
        <v>40.589232725731236</v>
      </c>
      <c r="X44" s="21">
        <v>6.994489190334888</v>
      </c>
      <c r="Y44" s="27">
        <f t="shared" si="4"/>
        <v>43.767523899523276</v>
      </c>
      <c r="Z44" s="21">
        <v>1.9270240639216638</v>
      </c>
      <c r="AA44" s="18" t="s">
        <v>51</v>
      </c>
      <c r="AB44" s="18" t="s">
        <v>51</v>
      </c>
      <c r="AC44" s="28">
        <f t="shared" si="5"/>
        <v>8833.8687700599548</v>
      </c>
      <c r="AD44" s="18" t="s">
        <v>51</v>
      </c>
      <c r="AF44" s="1"/>
      <c r="AK44" s="1">
        <f t="shared" si="6"/>
        <v>3.3613665674603173</v>
      </c>
      <c r="AL44" s="29">
        <f t="shared" si="7"/>
        <v>4.3186808009422846</v>
      </c>
      <c r="AM44" s="29">
        <f t="shared" si="8"/>
        <v>7.6800473684026018</v>
      </c>
      <c r="AO44" s="30">
        <f t="shared" si="9"/>
        <v>9.0105451318271292</v>
      </c>
      <c r="AP44" s="30">
        <f t="shared" si="10"/>
        <v>20.464425914480401</v>
      </c>
      <c r="AQ44" s="30">
        <f t="shared" si="11"/>
        <v>22.824330591863692</v>
      </c>
      <c r="AR44" s="30">
        <f t="shared" si="12"/>
        <v>3.9331744623054936</v>
      </c>
      <c r="AS44" s="30">
        <f t="shared" si="13"/>
        <v>43.767523899523276</v>
      </c>
      <c r="AT44" s="31">
        <f t="shared" si="14"/>
        <v>100</v>
      </c>
      <c r="AV44" s="28">
        <f t="shared" si="15"/>
        <v>4967.5031448714399</v>
      </c>
    </row>
    <row r="45" spans="2:48" ht="15.75" customHeight="1" x14ac:dyDescent="0.25">
      <c r="B45" s="32"/>
      <c r="C45" s="16" t="s">
        <v>46</v>
      </c>
      <c r="D45" s="17"/>
      <c r="E45" s="18" t="s">
        <v>48</v>
      </c>
      <c r="F45" s="44"/>
      <c r="G45" s="42">
        <v>43.52</v>
      </c>
      <c r="H45" s="42">
        <v>5.72</v>
      </c>
      <c r="I45" s="42">
        <v>48.9</v>
      </c>
      <c r="J45" s="18">
        <v>1.2</v>
      </c>
      <c r="K45" s="21">
        <v>0.66</v>
      </c>
      <c r="L45" s="20">
        <v>8.36</v>
      </c>
      <c r="M45" s="21">
        <v>79.34</v>
      </c>
      <c r="N45" s="21">
        <v>7.8</v>
      </c>
      <c r="O45" s="42">
        <v>4.5</v>
      </c>
      <c r="P45" s="21">
        <v>0.25</v>
      </c>
      <c r="Q45" s="40">
        <v>950</v>
      </c>
      <c r="R45" s="40" t="s">
        <v>50</v>
      </c>
      <c r="S45" s="21">
        <v>0</v>
      </c>
      <c r="T45" s="41" t="s">
        <v>51</v>
      </c>
      <c r="U45" s="21">
        <v>20.242998352553542</v>
      </c>
      <c r="V45" s="21">
        <v>38.71499176276771</v>
      </c>
      <c r="W45" s="21">
        <v>34.452224052718286</v>
      </c>
      <c r="X45" s="21">
        <v>6.5897858319604614</v>
      </c>
      <c r="Y45" s="27">
        <f t="shared" si="4"/>
        <v>42.503149381066471</v>
      </c>
      <c r="Z45" s="21">
        <v>2.1892817767630737</v>
      </c>
      <c r="AA45" s="18" t="s">
        <v>51</v>
      </c>
      <c r="AB45" s="18" t="s">
        <v>51</v>
      </c>
      <c r="AC45" s="28">
        <f t="shared" si="5"/>
        <v>9437.7671584490472</v>
      </c>
      <c r="AD45" s="18" t="s">
        <v>51</v>
      </c>
      <c r="AF45" s="1"/>
      <c r="AK45" s="1">
        <f t="shared" si="6"/>
        <v>3.3613665674603173</v>
      </c>
      <c r="AL45" s="29">
        <f t="shared" si="7"/>
        <v>4.5471451932180047</v>
      </c>
      <c r="AM45" s="29">
        <f t="shared" si="8"/>
        <v>7.908511760678322</v>
      </c>
      <c r="AO45" s="30">
        <f t="shared" si="9"/>
        <v>11.639086523560886</v>
      </c>
      <c r="AP45" s="30">
        <f t="shared" si="10"/>
        <v>22.259900980970968</v>
      </c>
      <c r="AQ45" s="30">
        <f t="shared" si="11"/>
        <v>19.808943798491718</v>
      </c>
      <c r="AR45" s="30">
        <f t="shared" si="12"/>
        <v>3.7889193159099528</v>
      </c>
      <c r="AS45" s="30">
        <f t="shared" si="13"/>
        <v>42.503149381066471</v>
      </c>
      <c r="AT45" s="31">
        <f t="shared" si="14"/>
        <v>100</v>
      </c>
      <c r="AV45" s="28">
        <f t="shared" si="15"/>
        <v>5426.4188848562162</v>
      </c>
    </row>
    <row r="46" spans="2:48" ht="15.75" customHeight="1" x14ac:dyDescent="0.25">
      <c r="B46" s="32"/>
      <c r="C46" s="16" t="s">
        <v>46</v>
      </c>
      <c r="D46" s="17"/>
      <c r="E46" s="18" t="s">
        <v>48</v>
      </c>
      <c r="F46" s="44"/>
      <c r="G46" s="42">
        <v>43.52</v>
      </c>
      <c r="H46" s="42">
        <v>5.72</v>
      </c>
      <c r="I46" s="42">
        <v>48.9</v>
      </c>
      <c r="J46" s="18">
        <v>1.2</v>
      </c>
      <c r="K46" s="21">
        <v>0.66</v>
      </c>
      <c r="L46" s="20">
        <v>8.36</v>
      </c>
      <c r="M46" s="21">
        <v>79.34</v>
      </c>
      <c r="N46" s="21">
        <v>7.8</v>
      </c>
      <c r="O46" s="42">
        <v>4.5</v>
      </c>
      <c r="P46" s="21">
        <v>0.25</v>
      </c>
      <c r="Q46" s="40">
        <v>1050</v>
      </c>
      <c r="R46" s="40" t="s">
        <v>50</v>
      </c>
      <c r="S46" s="21">
        <v>0</v>
      </c>
      <c r="T46" s="41" t="s">
        <v>51</v>
      </c>
      <c r="U46" s="21">
        <v>24.884049203468436</v>
      </c>
      <c r="V46" s="21">
        <v>40.250050413389786</v>
      </c>
      <c r="W46" s="21">
        <v>28.3323250655374</v>
      </c>
      <c r="X46" s="21">
        <v>6.5335753176043543</v>
      </c>
      <c r="Y46" s="27">
        <f t="shared" si="4"/>
        <v>41.045043909544219</v>
      </c>
      <c r="Z46" s="21">
        <v>2.3261118878107658</v>
      </c>
      <c r="AA46" s="18" t="s">
        <v>51</v>
      </c>
      <c r="AB46" s="18" t="s">
        <v>51</v>
      </c>
      <c r="AC46" s="28">
        <f t="shared" si="5"/>
        <v>10112.59074410163</v>
      </c>
      <c r="AD46" s="18" t="s">
        <v>51</v>
      </c>
      <c r="AF46" s="1"/>
      <c r="AK46" s="1">
        <f t="shared" si="6"/>
        <v>3.3613665674603173</v>
      </c>
      <c r="AL46" s="29">
        <f t="shared" si="7"/>
        <v>4.8280912751677851</v>
      </c>
      <c r="AM46" s="29">
        <f t="shared" si="8"/>
        <v>8.1894578426281015</v>
      </c>
      <c r="AO46" s="30">
        <f t="shared" si="9"/>
        <v>14.67038028143223</v>
      </c>
      <c r="AP46" s="30">
        <f t="shared" si="10"/>
        <v>23.729399547600266</v>
      </c>
      <c r="AQ46" s="30">
        <f t="shared" si="11"/>
        <v>16.703309801792777</v>
      </c>
      <c r="AR46" s="30">
        <f t="shared" si="12"/>
        <v>3.8518664596305041</v>
      </c>
      <c r="AS46" s="30">
        <f t="shared" si="13"/>
        <v>41.045043909544219</v>
      </c>
      <c r="AT46" s="31">
        <f t="shared" si="14"/>
        <v>100</v>
      </c>
      <c r="AV46" s="28">
        <f t="shared" si="15"/>
        <v>5961.8734327926122</v>
      </c>
    </row>
    <row r="47" spans="2:48" ht="15.75" customHeight="1" x14ac:dyDescent="0.25">
      <c r="B47" s="32"/>
      <c r="C47" s="16" t="s">
        <v>46</v>
      </c>
      <c r="D47" s="17"/>
      <c r="E47" s="18" t="s">
        <v>48</v>
      </c>
      <c r="F47" s="44"/>
      <c r="G47" s="42">
        <v>43.52</v>
      </c>
      <c r="H47" s="42">
        <v>5.72</v>
      </c>
      <c r="I47" s="42">
        <v>48.9</v>
      </c>
      <c r="J47" s="18">
        <v>1.2</v>
      </c>
      <c r="K47" s="21">
        <v>0.66</v>
      </c>
      <c r="L47" s="20">
        <v>8.36</v>
      </c>
      <c r="M47" s="21">
        <v>79.34</v>
      </c>
      <c r="N47" s="21">
        <v>7.8</v>
      </c>
      <c r="O47" s="42">
        <v>4.5</v>
      </c>
      <c r="P47" s="21">
        <v>0.17</v>
      </c>
      <c r="Q47" s="40">
        <v>770</v>
      </c>
      <c r="R47" s="40" t="s">
        <v>50</v>
      </c>
      <c r="S47" s="21">
        <v>0</v>
      </c>
      <c r="T47" s="41" t="s">
        <v>51</v>
      </c>
      <c r="U47" s="21">
        <v>16.28898362126991</v>
      </c>
      <c r="V47" s="21">
        <v>35.449854161992363</v>
      </c>
      <c r="W47" s="21">
        <v>40.901951985640558</v>
      </c>
      <c r="X47" s="21">
        <v>7.3592102310971494</v>
      </c>
      <c r="Y47" s="27">
        <f t="shared" si="4"/>
        <v>34.672948992160059</v>
      </c>
      <c r="Z47" s="21">
        <v>1.3683011104769212</v>
      </c>
      <c r="AA47" s="18" t="s">
        <v>51</v>
      </c>
      <c r="AB47" s="18" t="s">
        <v>51</v>
      </c>
      <c r="AC47" s="28">
        <f t="shared" si="5"/>
        <v>8874.0893137600542</v>
      </c>
      <c r="AD47" s="18" t="s">
        <v>51</v>
      </c>
      <c r="AF47" s="1"/>
      <c r="AK47" s="1">
        <f t="shared" si="6"/>
        <v>2.2994435515873017</v>
      </c>
      <c r="AL47" s="29">
        <f t="shared" si="7"/>
        <v>4.3323648709014568</v>
      </c>
      <c r="AM47" s="29">
        <f t="shared" si="8"/>
        <v>6.6318084224887581</v>
      </c>
      <c r="AO47" s="30">
        <f t="shared" si="9"/>
        <v>10.641112638925689</v>
      </c>
      <c r="AP47" s="30">
        <f t="shared" si="10"/>
        <v>23.158344310609621</v>
      </c>
      <c r="AQ47" s="30">
        <f t="shared" si="11"/>
        <v>26.720039036861611</v>
      </c>
      <c r="AR47" s="30">
        <f t="shared" si="12"/>
        <v>4.8075550214430107</v>
      </c>
      <c r="AS47" s="30">
        <f t="shared" si="13"/>
        <v>34.672948992160059</v>
      </c>
      <c r="AT47" s="31">
        <f t="shared" si="14"/>
        <v>99.999999999999986</v>
      </c>
      <c r="AV47" s="28">
        <f t="shared" si="15"/>
        <v>5797.1808524813041</v>
      </c>
    </row>
    <row r="48" spans="2:48" ht="15.75" customHeight="1" x14ac:dyDescent="0.25">
      <c r="B48" s="32"/>
      <c r="C48" s="16" t="s">
        <v>46</v>
      </c>
      <c r="D48" s="17"/>
      <c r="E48" s="18" t="s">
        <v>48</v>
      </c>
      <c r="F48" s="44"/>
      <c r="G48" s="42">
        <v>43.52</v>
      </c>
      <c r="H48" s="42">
        <v>5.72</v>
      </c>
      <c r="I48" s="42">
        <v>48.9</v>
      </c>
      <c r="J48" s="18">
        <v>1.2</v>
      </c>
      <c r="K48" s="21">
        <v>0.66</v>
      </c>
      <c r="L48" s="20">
        <v>8.36</v>
      </c>
      <c r="M48" s="21">
        <v>79.34</v>
      </c>
      <c r="N48" s="21">
        <v>7.8</v>
      </c>
      <c r="O48" s="42">
        <v>4.5</v>
      </c>
      <c r="P48" s="21">
        <v>0.21</v>
      </c>
      <c r="Q48" s="40">
        <v>770</v>
      </c>
      <c r="R48" s="40" t="s">
        <v>50</v>
      </c>
      <c r="S48" s="21">
        <v>0</v>
      </c>
      <c r="T48" s="41" t="s">
        <v>51</v>
      </c>
      <c r="U48" s="21">
        <v>12.111257117827417</v>
      </c>
      <c r="V48" s="21">
        <v>36.399474375821278</v>
      </c>
      <c r="W48" s="21">
        <v>42.181340341655712</v>
      </c>
      <c r="X48" s="21">
        <v>9.3079281646955732</v>
      </c>
      <c r="Y48" s="27">
        <f t="shared" si="4"/>
        <v>40.685245507096049</v>
      </c>
      <c r="Z48" s="21">
        <v>1.5393387492865365</v>
      </c>
      <c r="AA48" s="18" t="s">
        <v>51</v>
      </c>
      <c r="AB48" s="18" t="s">
        <v>51</v>
      </c>
      <c r="AC48" s="28">
        <f t="shared" si="5"/>
        <v>9241.3056911332169</v>
      </c>
      <c r="AD48" s="18" t="s">
        <v>51</v>
      </c>
      <c r="AF48" s="1"/>
      <c r="AK48" s="1">
        <f t="shared" si="6"/>
        <v>2.8304050595238093</v>
      </c>
      <c r="AL48" s="29">
        <f t="shared" si="7"/>
        <v>4.1264291054074276</v>
      </c>
      <c r="AM48" s="29">
        <f t="shared" si="8"/>
        <v>6.9568341649312373</v>
      </c>
      <c r="AO48" s="30">
        <f t="shared" si="9"/>
        <v>7.1837624254436863</v>
      </c>
      <c r="AP48" s="30">
        <f t="shared" si="10"/>
        <v>21.590258862725868</v>
      </c>
      <c r="AQ48" s="30">
        <f t="shared" si="11"/>
        <v>25.019758465469334</v>
      </c>
      <c r="AR48" s="30">
        <f t="shared" si="12"/>
        <v>5.5209747392650383</v>
      </c>
      <c r="AS48" s="30">
        <f t="shared" si="13"/>
        <v>40.685245507096049</v>
      </c>
      <c r="AT48" s="31">
        <f t="shared" si="14"/>
        <v>99.999999999999972</v>
      </c>
      <c r="AV48" s="28">
        <f t="shared" si="15"/>
        <v>5481.4577826344284</v>
      </c>
    </row>
    <row r="49" spans="2:48" ht="15.75" customHeight="1" x14ac:dyDescent="0.25">
      <c r="B49" s="32"/>
      <c r="C49" s="16" t="s">
        <v>46</v>
      </c>
      <c r="D49" s="17"/>
      <c r="E49" s="18" t="s">
        <v>48</v>
      </c>
      <c r="F49" s="44"/>
      <c r="G49" s="42">
        <v>43.52</v>
      </c>
      <c r="H49" s="42">
        <v>5.72</v>
      </c>
      <c r="I49" s="42">
        <v>48.9</v>
      </c>
      <c r="J49" s="18">
        <v>1.2</v>
      </c>
      <c r="K49" s="21">
        <v>0.66</v>
      </c>
      <c r="L49" s="20">
        <v>8.36</v>
      </c>
      <c r="M49" s="21">
        <v>79.34</v>
      </c>
      <c r="N49" s="21">
        <v>7.8</v>
      </c>
      <c r="O49" s="42">
        <v>4.5</v>
      </c>
      <c r="P49" s="21">
        <v>0.28000000000000003</v>
      </c>
      <c r="Q49" s="40">
        <v>770</v>
      </c>
      <c r="R49" s="40" t="s">
        <v>50</v>
      </c>
      <c r="S49" s="21">
        <v>0</v>
      </c>
      <c r="T49" s="41" t="s">
        <v>51</v>
      </c>
      <c r="U49" s="21">
        <v>11.684334511189638</v>
      </c>
      <c r="V49" s="21">
        <v>34.652532391048304</v>
      </c>
      <c r="W49" s="21">
        <v>46.289752650176688</v>
      </c>
      <c r="X49" s="21">
        <v>7.3733804475853963</v>
      </c>
      <c r="Y49" s="27">
        <f t="shared" si="4"/>
        <v>47.794997658785618</v>
      </c>
      <c r="Z49" s="21">
        <v>1.8472064991438437</v>
      </c>
      <c r="AA49" s="18" t="s">
        <v>51</v>
      </c>
      <c r="AB49" s="18" t="s">
        <v>51</v>
      </c>
      <c r="AC49" s="28">
        <f t="shared" si="5"/>
        <v>8281.3370772337221</v>
      </c>
      <c r="AD49" s="18" t="s">
        <v>51</v>
      </c>
      <c r="AF49" s="1"/>
      <c r="AK49" s="1">
        <f t="shared" si="6"/>
        <v>3.7595876984126986</v>
      </c>
      <c r="AL49" s="29">
        <f t="shared" si="7"/>
        <v>4.1064817284609223</v>
      </c>
      <c r="AM49" s="29">
        <f t="shared" si="8"/>
        <v>7.8660694268736204</v>
      </c>
      <c r="AO49" s="30">
        <f t="shared" si="9"/>
        <v>6.0998071051218714</v>
      </c>
      <c r="AP49" s="30">
        <f t="shared" si="10"/>
        <v>18.090355346036837</v>
      </c>
      <c r="AQ49" s="30">
        <f t="shared" si="11"/>
        <v>24.165566454767085</v>
      </c>
      <c r="AR49" s="30">
        <f t="shared" si="12"/>
        <v>3.8492734352886</v>
      </c>
      <c r="AS49" s="30">
        <f t="shared" si="13"/>
        <v>47.794997658785618</v>
      </c>
      <c r="AT49" s="31">
        <f t="shared" si="14"/>
        <v>100.00000000000001</v>
      </c>
      <c r="AV49" s="28">
        <f t="shared" si="15"/>
        <v>4323.2722150537193</v>
      </c>
    </row>
    <row r="50" spans="2:48" ht="15.75" customHeight="1" x14ac:dyDescent="0.25">
      <c r="B50" s="32"/>
      <c r="C50" s="16" t="s">
        <v>46</v>
      </c>
      <c r="D50" s="17"/>
      <c r="E50" s="18" t="s">
        <v>48</v>
      </c>
      <c r="F50" s="45"/>
      <c r="G50" s="42">
        <v>43.52</v>
      </c>
      <c r="H50" s="42">
        <v>5.72</v>
      </c>
      <c r="I50" s="42">
        <v>48.9</v>
      </c>
      <c r="J50" s="18">
        <v>1.2</v>
      </c>
      <c r="K50" s="21">
        <v>0.66</v>
      </c>
      <c r="L50" s="20">
        <v>8.36</v>
      </c>
      <c r="M50" s="21">
        <v>79.34</v>
      </c>
      <c r="N50" s="21">
        <v>7.8</v>
      </c>
      <c r="O50" s="42">
        <v>4.5</v>
      </c>
      <c r="P50" s="21">
        <v>0.32</v>
      </c>
      <c r="Q50" s="40">
        <v>770</v>
      </c>
      <c r="R50" s="40" t="s">
        <v>50</v>
      </c>
      <c r="S50" s="21">
        <v>0</v>
      </c>
      <c r="T50" s="41" t="s">
        <v>51</v>
      </c>
      <c r="U50" s="21">
        <v>9.7455592894863194</v>
      </c>
      <c r="V50" s="21">
        <v>33.10129620739319</v>
      </c>
      <c r="W50" s="21">
        <v>50.456072971675482</v>
      </c>
      <c r="X50" s="21">
        <v>6.6970715314450331</v>
      </c>
      <c r="Y50" s="27">
        <f t="shared" si="4"/>
        <v>51.638498277010413</v>
      </c>
      <c r="Z50" s="21">
        <v>2.0182441379534586</v>
      </c>
      <c r="AA50" s="18" t="s">
        <v>51</v>
      </c>
      <c r="AB50" s="18" t="s">
        <v>51</v>
      </c>
      <c r="AC50" s="28">
        <f t="shared" si="5"/>
        <v>7633.7238958233338</v>
      </c>
      <c r="AD50" s="18" t="s">
        <v>51</v>
      </c>
      <c r="AF50" s="1"/>
      <c r="AK50" s="1">
        <f t="shared" si="6"/>
        <v>4.2905492063492066</v>
      </c>
      <c r="AL50" s="29">
        <f t="shared" si="7"/>
        <v>4.0182695035460982</v>
      </c>
      <c r="AM50" s="29">
        <f t="shared" si="8"/>
        <v>8.3088187098953057</v>
      </c>
      <c r="AO50" s="30">
        <f t="shared" si="9"/>
        <v>4.7130988236998972</v>
      </c>
      <c r="AP50" s="30">
        <f t="shared" si="10"/>
        <v>16.008283935670338</v>
      </c>
      <c r="AQ50" s="30">
        <f t="shared" si="11"/>
        <v>24.401314599549714</v>
      </c>
      <c r="AR50" s="30">
        <f t="shared" si="12"/>
        <v>3.238804364069634</v>
      </c>
      <c r="AS50" s="30">
        <f t="shared" si="13"/>
        <v>51.638498277010413</v>
      </c>
      <c r="AT50" s="31">
        <f t="shared" si="14"/>
        <v>100</v>
      </c>
      <c r="AV50" s="28">
        <f t="shared" si="15"/>
        <v>3691.7835134068673</v>
      </c>
    </row>
    <row r="51" spans="2:48" ht="15.75" customHeight="1" x14ac:dyDescent="0.25">
      <c r="B51" s="32"/>
      <c r="C51" s="16" t="s">
        <v>46</v>
      </c>
      <c r="D51" s="17"/>
      <c r="E51" s="18" t="s">
        <v>48</v>
      </c>
      <c r="F51" s="19" t="s">
        <v>57</v>
      </c>
      <c r="G51" s="42">
        <v>44.96</v>
      </c>
      <c r="H51" s="42">
        <v>5.83</v>
      </c>
      <c r="I51" s="42">
        <v>45.5</v>
      </c>
      <c r="J51" s="18">
        <v>3.1</v>
      </c>
      <c r="K51" s="21">
        <v>0.61</v>
      </c>
      <c r="L51" s="20">
        <v>8.9</v>
      </c>
      <c r="M51" s="21">
        <v>76.099999999999994</v>
      </c>
      <c r="N51" s="21">
        <v>14.6</v>
      </c>
      <c r="O51" s="42">
        <v>0.4</v>
      </c>
      <c r="P51" s="21">
        <v>0.25</v>
      </c>
      <c r="Q51" s="40">
        <v>650</v>
      </c>
      <c r="R51" s="40" t="s">
        <v>50</v>
      </c>
      <c r="S51" s="21">
        <v>0</v>
      </c>
      <c r="T51" s="41" t="s">
        <v>51</v>
      </c>
      <c r="U51" s="21">
        <v>15.374841168996188</v>
      </c>
      <c r="V51" s="21">
        <v>38.068614993646761</v>
      </c>
      <c r="W51" s="21">
        <v>38.881829733163912</v>
      </c>
      <c r="X51" s="21">
        <v>7.6747141041931384</v>
      </c>
      <c r="Y51" s="27">
        <f t="shared" si="4"/>
        <v>45.308983343755841</v>
      </c>
      <c r="Z51" s="21">
        <v>1.5411767171765103</v>
      </c>
      <c r="AA51" s="18" t="s">
        <v>51</v>
      </c>
      <c r="AB51" s="18" t="s">
        <v>51</v>
      </c>
      <c r="AC51" s="28">
        <f t="shared" si="5"/>
        <v>9219.3040933018692</v>
      </c>
      <c r="AD51" s="18" t="s">
        <v>51</v>
      </c>
      <c r="AF51" s="1"/>
      <c r="AK51" s="1">
        <f t="shared" si="6"/>
        <v>3.6678695436507942</v>
      </c>
      <c r="AL51" s="29">
        <f t="shared" si="7"/>
        <v>4.427367367367367</v>
      </c>
      <c r="AM51" s="29">
        <f t="shared" si="8"/>
        <v>8.0952369110181621</v>
      </c>
      <c r="AO51" s="30">
        <f t="shared" si="9"/>
        <v>8.4086569446067863</v>
      </c>
      <c r="AP51" s="30">
        <f t="shared" si="10"/>
        <v>20.820112566976803</v>
      </c>
      <c r="AQ51" s="30">
        <f t="shared" si="11"/>
        <v>21.264867975617165</v>
      </c>
      <c r="AR51" s="30">
        <f t="shared" si="12"/>
        <v>4.197379169043387</v>
      </c>
      <c r="AS51" s="30">
        <f t="shared" si="13"/>
        <v>45.308983343755841</v>
      </c>
      <c r="AT51" s="31">
        <f t="shared" si="14"/>
        <v>99.999999999999986</v>
      </c>
      <c r="AV51" s="28">
        <f t="shared" si="15"/>
        <v>5042.1311372575237</v>
      </c>
    </row>
    <row r="52" spans="2:48" ht="15.75" customHeight="1" x14ac:dyDescent="0.25">
      <c r="B52" s="32"/>
      <c r="C52" s="16" t="s">
        <v>46</v>
      </c>
      <c r="D52" s="17"/>
      <c r="E52" s="18" t="s">
        <v>48</v>
      </c>
      <c r="F52" s="38"/>
      <c r="G52" s="42">
        <v>44.96</v>
      </c>
      <c r="H52" s="42">
        <v>5.83</v>
      </c>
      <c r="I52" s="42">
        <v>45.5</v>
      </c>
      <c r="J52" s="18">
        <v>3.1</v>
      </c>
      <c r="K52" s="21">
        <v>0.61</v>
      </c>
      <c r="L52" s="20">
        <v>8.9</v>
      </c>
      <c r="M52" s="21">
        <v>76.099999999999994</v>
      </c>
      <c r="N52" s="21">
        <v>14.6</v>
      </c>
      <c r="O52" s="42">
        <v>0.4</v>
      </c>
      <c r="P52" s="21">
        <v>0.25</v>
      </c>
      <c r="Q52" s="40">
        <v>750</v>
      </c>
      <c r="R52" s="40" t="s">
        <v>50</v>
      </c>
      <c r="S52" s="21">
        <v>0</v>
      </c>
      <c r="T52" s="41" t="s">
        <v>51</v>
      </c>
      <c r="U52" s="21">
        <v>14.489194499017682</v>
      </c>
      <c r="V52" s="21">
        <v>36.345776031434184</v>
      </c>
      <c r="W52" s="21">
        <v>43.344793713163064</v>
      </c>
      <c r="X52" s="21">
        <v>5.8202357563850686</v>
      </c>
      <c r="Y52" s="27">
        <f t="shared" si="4"/>
        <v>45.567094532489918</v>
      </c>
      <c r="Z52" s="21">
        <v>2.0235297355294635</v>
      </c>
      <c r="AA52" s="18" t="s">
        <v>51</v>
      </c>
      <c r="AB52" s="18" t="s">
        <v>51</v>
      </c>
      <c r="AC52" s="28">
        <f t="shared" si="5"/>
        <v>8241.5487738563006</v>
      </c>
      <c r="AD52" s="18" t="s">
        <v>51</v>
      </c>
      <c r="AF52" s="1"/>
      <c r="AK52" s="1">
        <f t="shared" si="6"/>
        <v>3.6678695436507942</v>
      </c>
      <c r="AL52" s="29">
        <f t="shared" si="7"/>
        <v>4.3815125406854296</v>
      </c>
      <c r="AM52" s="29">
        <f t="shared" si="8"/>
        <v>8.0493820843362229</v>
      </c>
      <c r="AO52" s="30">
        <f t="shared" si="9"/>
        <v>7.8868895446539673</v>
      </c>
      <c r="AP52" s="30">
        <f t="shared" si="10"/>
        <v>19.78406190862351</v>
      </c>
      <c r="AQ52" s="30">
        <f t="shared" si="11"/>
        <v>23.593830586973308</v>
      </c>
      <c r="AR52" s="30">
        <f t="shared" si="12"/>
        <v>3.1681234272593053</v>
      </c>
      <c r="AS52" s="30">
        <f t="shared" si="13"/>
        <v>45.567094532489918</v>
      </c>
      <c r="AT52" s="31">
        <f t="shared" si="14"/>
        <v>100</v>
      </c>
      <c r="AV52" s="28">
        <f t="shared" si="15"/>
        <v>4486.1144531319369</v>
      </c>
    </row>
    <row r="53" spans="2:48" ht="15.75" customHeight="1" x14ac:dyDescent="0.25">
      <c r="B53" s="32"/>
      <c r="C53" s="16" t="s">
        <v>46</v>
      </c>
      <c r="D53" s="17"/>
      <c r="E53" s="18" t="s">
        <v>48</v>
      </c>
      <c r="F53" s="38"/>
      <c r="G53" s="42">
        <v>44.96</v>
      </c>
      <c r="H53" s="42">
        <v>5.83</v>
      </c>
      <c r="I53" s="42">
        <v>45.5</v>
      </c>
      <c r="J53" s="18">
        <v>3.1</v>
      </c>
      <c r="K53" s="21">
        <v>0.61</v>
      </c>
      <c r="L53" s="20">
        <v>8.9</v>
      </c>
      <c r="M53" s="21">
        <v>76.099999999999994</v>
      </c>
      <c r="N53" s="21">
        <v>14.6</v>
      </c>
      <c r="O53" s="42">
        <v>0.4</v>
      </c>
      <c r="P53" s="21">
        <v>0.25</v>
      </c>
      <c r="Q53" s="40">
        <v>850</v>
      </c>
      <c r="R53" s="40" t="s">
        <v>50</v>
      </c>
      <c r="S53" s="21">
        <v>0</v>
      </c>
      <c r="T53" s="41" t="s">
        <v>51</v>
      </c>
      <c r="U53" s="21">
        <v>17.611874169251216</v>
      </c>
      <c r="V53" s="21">
        <v>33.052724856003536</v>
      </c>
      <c r="W53" s="21">
        <v>43.154630039875933</v>
      </c>
      <c r="X53" s="21">
        <v>6.1807709348692947</v>
      </c>
      <c r="Y53" s="27">
        <f t="shared" si="4"/>
        <v>44.645994432832261</v>
      </c>
      <c r="Z53" s="21">
        <v>2.0941179821177007</v>
      </c>
      <c r="AA53" s="18" t="s">
        <v>51</v>
      </c>
      <c r="AB53" s="18" t="s">
        <v>51</v>
      </c>
      <c r="AC53" s="28">
        <f t="shared" si="5"/>
        <v>8291.8013007152331</v>
      </c>
      <c r="AD53" s="18" t="s">
        <v>51</v>
      </c>
      <c r="AF53" s="1"/>
      <c r="AK53" s="1">
        <f t="shared" si="6"/>
        <v>3.6678695436507942</v>
      </c>
      <c r="AL53" s="29">
        <f t="shared" si="7"/>
        <v>4.5475808909205</v>
      </c>
      <c r="AM53" s="29">
        <f t="shared" si="8"/>
        <v>8.2154504345712951</v>
      </c>
      <c r="AO53" s="30">
        <f t="shared" si="9"/>
        <v>9.7488778081298939</v>
      </c>
      <c r="AP53" s="30">
        <f t="shared" si="10"/>
        <v>18.296007156892831</v>
      </c>
      <c r="AQ53" s="30">
        <f t="shared" si="11"/>
        <v>23.887816314763562</v>
      </c>
      <c r="AR53" s="30">
        <f t="shared" si="12"/>
        <v>3.4213042873814348</v>
      </c>
      <c r="AS53" s="30">
        <f t="shared" si="13"/>
        <v>44.645994432832261</v>
      </c>
      <c r="AT53" s="31">
        <f t="shared" si="14"/>
        <v>99.999999999999972</v>
      </c>
      <c r="AV53" s="28">
        <f t="shared" si="15"/>
        <v>4589.8441536163964</v>
      </c>
    </row>
    <row r="54" spans="2:48" ht="15.75" customHeight="1" x14ac:dyDescent="0.25">
      <c r="B54" s="32"/>
      <c r="C54" s="16" t="s">
        <v>46</v>
      </c>
      <c r="D54" s="17"/>
      <c r="E54" s="18" t="s">
        <v>48</v>
      </c>
      <c r="F54" s="38"/>
      <c r="G54" s="42">
        <v>44.96</v>
      </c>
      <c r="H54" s="42">
        <v>5.83</v>
      </c>
      <c r="I54" s="42">
        <v>45.5</v>
      </c>
      <c r="J54" s="18">
        <v>3.1</v>
      </c>
      <c r="K54" s="21">
        <v>0.61</v>
      </c>
      <c r="L54" s="20">
        <v>8.9</v>
      </c>
      <c r="M54" s="21">
        <v>76.099999999999994</v>
      </c>
      <c r="N54" s="21">
        <v>14.6</v>
      </c>
      <c r="O54" s="42">
        <v>0.4</v>
      </c>
      <c r="P54" s="21">
        <v>0.25</v>
      </c>
      <c r="Q54" s="40">
        <v>950</v>
      </c>
      <c r="R54" s="40" t="s">
        <v>50</v>
      </c>
      <c r="S54" s="21">
        <v>0</v>
      </c>
      <c r="T54" s="41" t="s">
        <v>51</v>
      </c>
      <c r="U54" s="21">
        <v>29.600798403193615</v>
      </c>
      <c r="V54" s="21">
        <v>31.437125748502996</v>
      </c>
      <c r="W54" s="21">
        <v>33.153692614770463</v>
      </c>
      <c r="X54" s="21">
        <v>5.8083832335329344</v>
      </c>
      <c r="Y54" s="27">
        <f t="shared" si="4"/>
        <v>40.799894413306333</v>
      </c>
      <c r="Z54" s="21">
        <v>2.1529415209412317</v>
      </c>
      <c r="AA54" s="18" t="s">
        <v>51</v>
      </c>
      <c r="AB54" s="18" t="s">
        <v>51</v>
      </c>
      <c r="AC54" s="28">
        <f t="shared" si="5"/>
        <v>9248.5250926717981</v>
      </c>
      <c r="AD54" s="18" t="s">
        <v>51</v>
      </c>
      <c r="AF54" s="1"/>
      <c r="AK54" s="1">
        <f t="shared" si="6"/>
        <v>3.6678695436507942</v>
      </c>
      <c r="AL54" s="29">
        <f t="shared" si="7"/>
        <v>5.3220300538701446</v>
      </c>
      <c r="AM54" s="29">
        <f t="shared" si="8"/>
        <v>8.9898995975209388</v>
      </c>
      <c r="AO54" s="30">
        <f t="shared" si="9"/>
        <v>17.52370390919495</v>
      </c>
      <c r="AP54" s="30">
        <f t="shared" si="10"/>
        <v>18.610811636535434</v>
      </c>
      <c r="AQ54" s="30">
        <f t="shared" si="11"/>
        <v>19.627021033831973</v>
      </c>
      <c r="AR54" s="30">
        <f t="shared" si="12"/>
        <v>3.4385690071313091</v>
      </c>
      <c r="AS54" s="30">
        <f t="shared" si="13"/>
        <v>40.799894413306333</v>
      </c>
      <c r="AT54" s="31">
        <f t="shared" si="14"/>
        <v>100</v>
      </c>
      <c r="AV54" s="28">
        <f t="shared" si="15"/>
        <v>5475.1366200735638</v>
      </c>
    </row>
    <row r="55" spans="2:48" ht="15.75" customHeight="1" x14ac:dyDescent="0.25">
      <c r="B55" s="32"/>
      <c r="C55" s="16" t="s">
        <v>46</v>
      </c>
      <c r="D55" s="17"/>
      <c r="E55" s="18" t="s">
        <v>48</v>
      </c>
      <c r="F55" s="39"/>
      <c r="G55" s="42">
        <v>44.96</v>
      </c>
      <c r="H55" s="42">
        <v>5.83</v>
      </c>
      <c r="I55" s="42">
        <v>45.5</v>
      </c>
      <c r="J55" s="18">
        <v>3.1</v>
      </c>
      <c r="K55" s="21">
        <v>0.61</v>
      </c>
      <c r="L55" s="20">
        <v>8.9</v>
      </c>
      <c r="M55" s="21">
        <v>76.099999999999994</v>
      </c>
      <c r="N55" s="21">
        <v>14.6</v>
      </c>
      <c r="O55" s="42">
        <v>0.4</v>
      </c>
      <c r="P55" s="21">
        <v>0.25</v>
      </c>
      <c r="Q55" s="40">
        <v>1050</v>
      </c>
      <c r="R55" s="40" t="s">
        <v>50</v>
      </c>
      <c r="S55" s="21">
        <v>0</v>
      </c>
      <c r="T55" s="41" t="s">
        <v>51</v>
      </c>
      <c r="U55" s="21">
        <v>36.25535082821515</v>
      </c>
      <c r="V55" s="21">
        <v>33.165829145728644</v>
      </c>
      <c r="W55" s="21">
        <v>25.386190210310811</v>
      </c>
      <c r="X55" s="21">
        <v>5.1926298157453932</v>
      </c>
      <c r="Y55" s="27">
        <f t="shared" si="4"/>
        <v>38.425169086354735</v>
      </c>
      <c r="Z55" s="21">
        <v>2.3411768451765305</v>
      </c>
      <c r="AA55" s="18" t="s">
        <v>51</v>
      </c>
      <c r="AB55" s="18" t="s">
        <v>51</v>
      </c>
      <c r="AC55" s="28">
        <f t="shared" si="5"/>
        <v>9964.6906822472156</v>
      </c>
      <c r="AD55" s="18" t="s">
        <v>51</v>
      </c>
      <c r="AF55" s="1"/>
      <c r="AK55" s="1">
        <f t="shared" si="6"/>
        <v>3.6678695436507942</v>
      </c>
      <c r="AL55" s="29">
        <f t="shared" si="7"/>
        <v>5.8776175182481758</v>
      </c>
      <c r="AM55" s="29">
        <f t="shared" si="8"/>
        <v>9.5454870618989709</v>
      </c>
      <c r="AO55" s="30">
        <f t="shared" si="9"/>
        <v>22.324170969622365</v>
      </c>
      <c r="AP55" s="30">
        <f t="shared" si="10"/>
        <v>20.421803217590888</v>
      </c>
      <c r="AQ55" s="30">
        <f t="shared" si="11"/>
        <v>15.631503697415248</v>
      </c>
      <c r="AR55" s="30">
        <f t="shared" si="12"/>
        <v>3.1973530290167549</v>
      </c>
      <c r="AS55" s="30">
        <f t="shared" si="13"/>
        <v>38.425169086354735</v>
      </c>
      <c r="AT55" s="31">
        <f t="shared" si="14"/>
        <v>99.999999999999986</v>
      </c>
      <c r="AV55" s="28">
        <f t="shared" si="15"/>
        <v>6135.7414386614864</v>
      </c>
    </row>
    <row r="56" spans="2:48" ht="15.75" customHeight="1" x14ac:dyDescent="0.25">
      <c r="B56" s="32"/>
      <c r="C56" s="16" t="s">
        <v>46</v>
      </c>
      <c r="D56" s="17"/>
      <c r="E56" s="18" t="s">
        <v>48</v>
      </c>
      <c r="F56" s="19" t="s">
        <v>58</v>
      </c>
      <c r="G56" s="23">
        <f t="shared" ref="G56:G62" si="25">50.5*100/(100-O56)</f>
        <v>53.609341825902334</v>
      </c>
      <c r="H56" s="23">
        <f t="shared" ref="H56:H62" si="26">6.5*100/(100-O56)</f>
        <v>6.9002123142250529</v>
      </c>
      <c r="I56" s="23">
        <f t="shared" ref="I56:I62" si="27">36.3*100/(100-O56)</f>
        <v>38.535031847133752</v>
      </c>
      <c r="J56" s="23">
        <f t="shared" ref="J56:J62" si="28">0.8*100/(100-O56)</f>
        <v>0.84925690021231415</v>
      </c>
      <c r="K56" s="23">
        <f t="shared" ref="K56:K62" si="29">0.1*100/(100-O56)</f>
        <v>0.10615711252653927</v>
      </c>
      <c r="L56" s="35">
        <v>19.7</v>
      </c>
      <c r="M56" s="42">
        <v>66.900000000000006</v>
      </c>
      <c r="N56" s="21">
        <v>7.6</v>
      </c>
      <c r="O56" s="42">
        <v>5.8</v>
      </c>
      <c r="P56" s="21">
        <v>0.17</v>
      </c>
      <c r="Q56" s="40">
        <v>700</v>
      </c>
      <c r="R56" s="40" t="s">
        <v>59</v>
      </c>
      <c r="S56" s="21">
        <v>0</v>
      </c>
      <c r="T56" s="41" t="s">
        <v>51</v>
      </c>
      <c r="U56" s="21">
        <v>24</v>
      </c>
      <c r="V56" s="21">
        <v>28</v>
      </c>
      <c r="W56" s="21">
        <v>36</v>
      </c>
      <c r="X56" s="21">
        <v>12</v>
      </c>
      <c r="Y56" s="27">
        <f t="shared" si="4"/>
        <v>35.394768591234381</v>
      </c>
      <c r="Z56" s="21">
        <v>1.4916221655053796</v>
      </c>
      <c r="AA56" s="18" t="s">
        <v>51</v>
      </c>
      <c r="AB56" s="18" t="s">
        <v>51</v>
      </c>
      <c r="AC56" s="28">
        <f t="shared" si="5"/>
        <v>10428.178571428571</v>
      </c>
      <c r="AD56" s="18" t="s">
        <v>51</v>
      </c>
      <c r="AF56" s="1"/>
      <c r="AK56" s="1">
        <f t="shared" si="6"/>
        <v>3.2204534635864266</v>
      </c>
      <c r="AL56" s="29">
        <f t="shared" si="7"/>
        <v>5.8782173054717477</v>
      </c>
      <c r="AM56" s="29">
        <f t="shared" si="8"/>
        <v>9.0986707690581738</v>
      </c>
      <c r="AO56" s="30">
        <f t="shared" si="9"/>
        <v>15.505255538103748</v>
      </c>
      <c r="AP56" s="30">
        <f t="shared" si="10"/>
        <v>18.089464794454376</v>
      </c>
      <c r="AQ56" s="30">
        <f t="shared" si="11"/>
        <v>23.257883307155623</v>
      </c>
      <c r="AR56" s="30">
        <f t="shared" si="12"/>
        <v>7.7526277690518741</v>
      </c>
      <c r="AS56" s="30">
        <f t="shared" si="13"/>
        <v>35.394768591234381</v>
      </c>
      <c r="AT56" s="31">
        <f t="shared" si="14"/>
        <v>100</v>
      </c>
      <c r="AV56" s="28">
        <f t="shared" si="15"/>
        <v>6737.1488977907375</v>
      </c>
    </row>
    <row r="57" spans="2:48" ht="15.75" customHeight="1" x14ac:dyDescent="0.25">
      <c r="B57" s="32"/>
      <c r="C57" s="16" t="s">
        <v>46</v>
      </c>
      <c r="D57" s="17"/>
      <c r="E57" s="18" t="s">
        <v>48</v>
      </c>
      <c r="F57" s="38"/>
      <c r="G57" s="23">
        <f t="shared" si="25"/>
        <v>53.609341825902334</v>
      </c>
      <c r="H57" s="23">
        <f t="shared" si="26"/>
        <v>6.9002123142250529</v>
      </c>
      <c r="I57" s="23">
        <f t="shared" si="27"/>
        <v>38.535031847133752</v>
      </c>
      <c r="J57" s="23">
        <f t="shared" si="28"/>
        <v>0.84925690021231415</v>
      </c>
      <c r="K57" s="23">
        <f t="shared" si="29"/>
        <v>0.10615711252653927</v>
      </c>
      <c r="L57" s="35">
        <v>19.7</v>
      </c>
      <c r="M57" s="42">
        <v>66.900000000000006</v>
      </c>
      <c r="N57" s="21">
        <v>7.6</v>
      </c>
      <c r="O57" s="42">
        <v>5.8</v>
      </c>
      <c r="P57" s="21">
        <v>0.2</v>
      </c>
      <c r="Q57" s="40">
        <v>740</v>
      </c>
      <c r="R57" s="40" t="s">
        <v>59</v>
      </c>
      <c r="S57" s="21">
        <v>0</v>
      </c>
      <c r="T57" s="41" t="s">
        <v>51</v>
      </c>
      <c r="U57" s="21">
        <v>23.913043478260871</v>
      </c>
      <c r="V57" s="21">
        <v>26.086956521739129</v>
      </c>
      <c r="W57" s="21">
        <v>36.956521739130437</v>
      </c>
      <c r="X57" s="21">
        <v>13.043478260869565</v>
      </c>
      <c r="Y57" s="27">
        <f t="shared" si="4"/>
        <v>39.186425369967793</v>
      </c>
      <c r="Z57" s="21">
        <v>1.5742456155120685</v>
      </c>
      <c r="AA57" s="18" t="s">
        <v>51</v>
      </c>
      <c r="AB57" s="18" t="s">
        <v>51</v>
      </c>
      <c r="AC57" s="28">
        <f t="shared" si="5"/>
        <v>10550.989906832297</v>
      </c>
      <c r="AD57" s="18" t="s">
        <v>51</v>
      </c>
      <c r="AF57" s="1"/>
      <c r="AK57" s="1">
        <f t="shared" si="6"/>
        <v>3.7834163212347933</v>
      </c>
      <c r="AL57" s="29">
        <f t="shared" si="7"/>
        <v>5.8714993428369233</v>
      </c>
      <c r="AM57" s="29">
        <f t="shared" si="8"/>
        <v>9.6549156640717158</v>
      </c>
      <c r="AO57" s="30">
        <f t="shared" si="9"/>
        <v>14.542376541964225</v>
      </c>
      <c r="AP57" s="30">
        <f t="shared" si="10"/>
        <v>15.864410773051882</v>
      </c>
      <c r="AQ57" s="30">
        <f t="shared" si="11"/>
        <v>22.474581928490171</v>
      </c>
      <c r="AR57" s="30">
        <f t="shared" si="12"/>
        <v>7.9322053865259408</v>
      </c>
      <c r="AS57" s="30">
        <f t="shared" si="13"/>
        <v>39.186425369967793</v>
      </c>
      <c r="AT57" s="31">
        <f t="shared" si="14"/>
        <v>100.00000000000001</v>
      </c>
      <c r="AV57" s="28">
        <f t="shared" si="15"/>
        <v>6416.4341211986266</v>
      </c>
    </row>
    <row r="58" spans="2:48" ht="15.75" customHeight="1" x14ac:dyDescent="0.25">
      <c r="B58" s="32"/>
      <c r="C58" s="16" t="s">
        <v>46</v>
      </c>
      <c r="D58" s="17"/>
      <c r="E58" s="18" t="s">
        <v>48</v>
      </c>
      <c r="F58" s="38"/>
      <c r="G58" s="23">
        <f t="shared" si="25"/>
        <v>53.609341825902334</v>
      </c>
      <c r="H58" s="23">
        <f t="shared" si="26"/>
        <v>6.9002123142250529</v>
      </c>
      <c r="I58" s="23">
        <f t="shared" si="27"/>
        <v>38.535031847133752</v>
      </c>
      <c r="J58" s="23">
        <f t="shared" si="28"/>
        <v>0.84925690021231415</v>
      </c>
      <c r="K58" s="23">
        <f t="shared" si="29"/>
        <v>0.10615711252653927</v>
      </c>
      <c r="L58" s="35">
        <v>19.7</v>
      </c>
      <c r="M58" s="42">
        <v>66.900000000000006</v>
      </c>
      <c r="N58" s="21">
        <v>7.6</v>
      </c>
      <c r="O58" s="42">
        <v>5.8</v>
      </c>
      <c r="P58" s="21">
        <v>0.22</v>
      </c>
      <c r="Q58" s="40">
        <v>750</v>
      </c>
      <c r="R58" s="40" t="s">
        <v>59</v>
      </c>
      <c r="S58" s="21">
        <v>0</v>
      </c>
      <c r="T58" s="41" t="s">
        <v>51</v>
      </c>
      <c r="U58" s="21">
        <v>23.529411764705884</v>
      </c>
      <c r="V58" s="21">
        <v>23.529411764705884</v>
      </c>
      <c r="W58" s="21">
        <v>39.215686274509807</v>
      </c>
      <c r="X58" s="21">
        <v>13.725490196078431</v>
      </c>
      <c r="Y58" s="27">
        <f t="shared" si="4"/>
        <v>41.584052972994137</v>
      </c>
      <c r="Z58" s="21">
        <v>1.6614477660368803</v>
      </c>
      <c r="AA58" s="18" t="s">
        <v>51</v>
      </c>
      <c r="AB58" s="18" t="s">
        <v>51</v>
      </c>
      <c r="AC58" s="28">
        <f t="shared" si="5"/>
        <v>10430.829831932773</v>
      </c>
      <c r="AD58" s="18" t="s">
        <v>51</v>
      </c>
      <c r="AF58" s="1"/>
      <c r="AK58" s="1">
        <f t="shared" si="6"/>
        <v>4.1587248930003717</v>
      </c>
      <c r="AL58" s="29">
        <f t="shared" si="7"/>
        <v>5.8420436605149986</v>
      </c>
      <c r="AM58" s="29">
        <f t="shared" si="8"/>
        <v>10.000768553515371</v>
      </c>
      <c r="AO58" s="30">
        <f t="shared" si="9"/>
        <v>13.744928712236673</v>
      </c>
      <c r="AP58" s="30">
        <f t="shared" si="10"/>
        <v>13.744928712236673</v>
      </c>
      <c r="AQ58" s="30">
        <f t="shared" si="11"/>
        <v>22.908214520394456</v>
      </c>
      <c r="AR58" s="30">
        <f t="shared" si="12"/>
        <v>8.0178750821380564</v>
      </c>
      <c r="AS58" s="30">
        <f t="shared" si="13"/>
        <v>41.584052972994137</v>
      </c>
      <c r="AT58" s="31">
        <f t="shared" si="14"/>
        <v>100</v>
      </c>
      <c r="AV58" s="28">
        <f t="shared" si="15"/>
        <v>6093.268029098972</v>
      </c>
    </row>
    <row r="59" spans="2:48" ht="15.75" customHeight="1" x14ac:dyDescent="0.25">
      <c r="B59" s="32"/>
      <c r="C59" s="16" t="s">
        <v>46</v>
      </c>
      <c r="D59" s="17"/>
      <c r="E59" s="18" t="s">
        <v>48</v>
      </c>
      <c r="F59" s="38"/>
      <c r="G59" s="23">
        <f t="shared" si="25"/>
        <v>53.609341825902334</v>
      </c>
      <c r="H59" s="23">
        <f t="shared" si="26"/>
        <v>6.9002123142250529</v>
      </c>
      <c r="I59" s="23">
        <f t="shared" si="27"/>
        <v>38.535031847133752</v>
      </c>
      <c r="J59" s="23">
        <f t="shared" si="28"/>
        <v>0.84925690021231415</v>
      </c>
      <c r="K59" s="23">
        <f t="shared" si="29"/>
        <v>0.10615711252653927</v>
      </c>
      <c r="L59" s="35">
        <v>19.7</v>
      </c>
      <c r="M59" s="42">
        <v>66.900000000000006</v>
      </c>
      <c r="N59" s="21">
        <v>7.6</v>
      </c>
      <c r="O59" s="42">
        <v>5.8</v>
      </c>
      <c r="P59" s="21">
        <v>0.23</v>
      </c>
      <c r="Q59" s="40">
        <v>760</v>
      </c>
      <c r="R59" s="40" t="s">
        <v>59</v>
      </c>
      <c r="S59" s="21">
        <v>0</v>
      </c>
      <c r="T59" s="41" t="s">
        <v>51</v>
      </c>
      <c r="U59" s="21">
        <v>26.666666666666668</v>
      </c>
      <c r="V59" s="21">
        <v>20</v>
      </c>
      <c r="W59" s="21">
        <v>37.777777777777779</v>
      </c>
      <c r="X59" s="21">
        <v>15.555555555555555</v>
      </c>
      <c r="Y59" s="27">
        <f t="shared" si="4"/>
        <v>41.63856591437176</v>
      </c>
      <c r="Z59" s="21">
        <v>1.59777374291782</v>
      </c>
      <c r="AA59" s="18" t="s">
        <v>51</v>
      </c>
      <c r="AB59" s="18" t="s">
        <v>51</v>
      </c>
      <c r="AC59" s="28">
        <f t="shared" si="5"/>
        <v>10979.345238095239</v>
      </c>
      <c r="AD59" s="18" t="s">
        <v>51</v>
      </c>
      <c r="AF59" s="1"/>
      <c r="AK59" s="1">
        <f t="shared" si="6"/>
        <v>4.3463791788831605</v>
      </c>
      <c r="AL59" s="29">
        <f t="shared" si="7"/>
        <v>6.091970662034357</v>
      </c>
      <c r="AM59" s="29">
        <f t="shared" si="8"/>
        <v>10.438349840917517</v>
      </c>
      <c r="AO59" s="30">
        <f t="shared" si="9"/>
        <v>15.563049089500863</v>
      </c>
      <c r="AP59" s="30">
        <f t="shared" si="10"/>
        <v>11.672286817125647</v>
      </c>
      <c r="AQ59" s="30">
        <f t="shared" si="11"/>
        <v>22.047652876792888</v>
      </c>
      <c r="AR59" s="30">
        <f t="shared" si="12"/>
        <v>9.0784453022088378</v>
      </c>
      <c r="AS59" s="30">
        <f t="shared" si="13"/>
        <v>41.63856591437176</v>
      </c>
      <c r="AT59" s="31">
        <f t="shared" si="14"/>
        <v>100</v>
      </c>
      <c r="AV59" s="28">
        <f t="shared" si="15"/>
        <v>6407.7033341645147</v>
      </c>
    </row>
    <row r="60" spans="2:48" ht="15.75" customHeight="1" x14ac:dyDescent="0.25">
      <c r="B60" s="32"/>
      <c r="C60" s="16" t="s">
        <v>46</v>
      </c>
      <c r="D60" s="17"/>
      <c r="E60" s="18" t="s">
        <v>48</v>
      </c>
      <c r="F60" s="38"/>
      <c r="G60" s="23">
        <f t="shared" si="25"/>
        <v>53.609341825902334</v>
      </c>
      <c r="H60" s="23">
        <f t="shared" si="26"/>
        <v>6.9002123142250529</v>
      </c>
      <c r="I60" s="23">
        <f t="shared" si="27"/>
        <v>38.535031847133752</v>
      </c>
      <c r="J60" s="23">
        <f t="shared" si="28"/>
        <v>0.84925690021231415</v>
      </c>
      <c r="K60" s="23">
        <f t="shared" si="29"/>
        <v>0.10615711252653927</v>
      </c>
      <c r="L60" s="35">
        <v>19.7</v>
      </c>
      <c r="M60" s="42">
        <v>66.900000000000006</v>
      </c>
      <c r="N60" s="21">
        <v>7.6</v>
      </c>
      <c r="O60" s="42">
        <v>5.8</v>
      </c>
      <c r="P60" s="21">
        <v>0.4</v>
      </c>
      <c r="Q60" s="40">
        <v>785</v>
      </c>
      <c r="R60" s="40" t="s">
        <v>59</v>
      </c>
      <c r="S60" s="21">
        <v>0</v>
      </c>
      <c r="T60" s="41" t="s">
        <v>51</v>
      </c>
      <c r="U60" s="21">
        <v>19.047619047619047</v>
      </c>
      <c r="V60" s="21">
        <v>23.80952380952381</v>
      </c>
      <c r="W60" s="21">
        <v>40.476190476190474</v>
      </c>
      <c r="X60" s="21">
        <v>16.666666666666668</v>
      </c>
      <c r="Y60" s="27">
        <f t="shared" si="4"/>
        <v>57.728365385756078</v>
      </c>
      <c r="Z60" s="21">
        <v>1.8110669124543193</v>
      </c>
      <c r="AA60" s="18" t="s">
        <v>51</v>
      </c>
      <c r="AB60" s="18" t="s">
        <v>51</v>
      </c>
      <c r="AC60" s="28">
        <f t="shared" si="5"/>
        <v>11036.245748299321</v>
      </c>
      <c r="AD60" s="18" t="s">
        <v>51</v>
      </c>
      <c r="AF60" s="1"/>
      <c r="AK60" s="1">
        <f t="shared" si="6"/>
        <v>7.5365020388905748</v>
      </c>
      <c r="AL60" s="29">
        <f t="shared" si="7"/>
        <v>5.5186087173722997</v>
      </c>
      <c r="AM60" s="29">
        <f t="shared" si="8"/>
        <v>13.055110756262874</v>
      </c>
      <c r="AO60" s="30">
        <f t="shared" si="9"/>
        <v>8.0517399265226537</v>
      </c>
      <c r="AP60" s="30">
        <f t="shared" si="10"/>
        <v>10.064674908153318</v>
      </c>
      <c r="AQ60" s="30">
        <f t="shared" si="11"/>
        <v>17.109947343860636</v>
      </c>
      <c r="AR60" s="30">
        <f t="shared" si="12"/>
        <v>7.0452724357073224</v>
      </c>
      <c r="AS60" s="30">
        <f t="shared" si="13"/>
        <v>57.728365385756078</v>
      </c>
      <c r="AT60" s="31">
        <f t="shared" si="14"/>
        <v>100</v>
      </c>
      <c r="AV60" s="28">
        <f t="shared" si="15"/>
        <v>4665.2014778511202</v>
      </c>
    </row>
    <row r="61" spans="2:48" ht="15.75" customHeight="1" x14ac:dyDescent="0.25">
      <c r="B61" s="32"/>
      <c r="C61" s="16" t="s">
        <v>46</v>
      </c>
      <c r="D61" s="17"/>
      <c r="E61" s="18" t="s">
        <v>48</v>
      </c>
      <c r="F61" s="38"/>
      <c r="G61" s="23">
        <f t="shared" si="25"/>
        <v>53.609341825902334</v>
      </c>
      <c r="H61" s="23">
        <f t="shared" si="26"/>
        <v>6.9002123142250529</v>
      </c>
      <c r="I61" s="23">
        <f t="shared" si="27"/>
        <v>38.535031847133752</v>
      </c>
      <c r="J61" s="23">
        <f t="shared" si="28"/>
        <v>0.84925690021231415</v>
      </c>
      <c r="K61" s="23">
        <f t="shared" si="29"/>
        <v>0.10615711252653927</v>
      </c>
      <c r="L61" s="35">
        <v>19.7</v>
      </c>
      <c r="M61" s="42">
        <v>66.900000000000006</v>
      </c>
      <c r="N61" s="21">
        <v>7.6</v>
      </c>
      <c r="O61" s="42">
        <v>5.8</v>
      </c>
      <c r="P61" s="21">
        <v>0.28999999999999998</v>
      </c>
      <c r="Q61" s="40">
        <v>780</v>
      </c>
      <c r="R61" s="40" t="s">
        <v>59</v>
      </c>
      <c r="S61" s="21">
        <v>0</v>
      </c>
      <c r="T61" s="41" t="s">
        <v>51</v>
      </c>
      <c r="U61" s="21">
        <v>22.727272727272727</v>
      </c>
      <c r="V61" s="21">
        <v>29.545454545454547</v>
      </c>
      <c r="W61" s="21">
        <v>36.363636363636367</v>
      </c>
      <c r="X61" s="21">
        <v>11.363636363636363</v>
      </c>
      <c r="Y61" s="27">
        <f t="shared" si="4"/>
        <v>48.626697926814167</v>
      </c>
      <c r="Z61" s="21">
        <v>2.0084465121818376</v>
      </c>
      <c r="AA61" s="18" t="s">
        <v>51</v>
      </c>
      <c r="AB61" s="18" t="s">
        <v>51</v>
      </c>
      <c r="AC61" s="28">
        <f t="shared" si="5"/>
        <v>10258.015422077922</v>
      </c>
      <c r="AD61" s="18" t="s">
        <v>51</v>
      </c>
      <c r="AF61" s="1"/>
      <c r="AK61" s="1">
        <f t="shared" si="6"/>
        <v>5.4723048941798949</v>
      </c>
      <c r="AL61" s="29">
        <f t="shared" si="7"/>
        <v>5.7813996086757422</v>
      </c>
      <c r="AM61" s="29">
        <f t="shared" si="8"/>
        <v>11.253704502855637</v>
      </c>
      <c r="AO61" s="30">
        <f t="shared" si="9"/>
        <v>11.675750471178597</v>
      </c>
      <c r="AP61" s="30">
        <f t="shared" si="10"/>
        <v>15.178475612532177</v>
      </c>
      <c r="AQ61" s="30">
        <f t="shared" si="11"/>
        <v>18.681200753885758</v>
      </c>
      <c r="AR61" s="30">
        <f t="shared" si="12"/>
        <v>5.8378752355892987</v>
      </c>
      <c r="AS61" s="30">
        <f t="shared" si="13"/>
        <v>48.626697926814167</v>
      </c>
      <c r="AT61" s="31">
        <f t="shared" si="14"/>
        <v>100</v>
      </c>
      <c r="AV61" s="28">
        <f t="shared" si="15"/>
        <v>5269.8812494980793</v>
      </c>
    </row>
    <row r="62" spans="2:48" ht="15.75" customHeight="1" x14ac:dyDescent="0.25">
      <c r="B62" s="32"/>
      <c r="C62" s="16" t="s">
        <v>46</v>
      </c>
      <c r="D62" s="17"/>
      <c r="E62" s="18" t="s">
        <v>48</v>
      </c>
      <c r="F62" s="39"/>
      <c r="G62" s="23">
        <f t="shared" si="25"/>
        <v>53.609341825902334</v>
      </c>
      <c r="H62" s="23">
        <f t="shared" si="26"/>
        <v>6.9002123142250529</v>
      </c>
      <c r="I62" s="23">
        <f t="shared" si="27"/>
        <v>38.535031847133752</v>
      </c>
      <c r="J62" s="23">
        <f t="shared" si="28"/>
        <v>0.84925690021231415</v>
      </c>
      <c r="K62" s="23">
        <f t="shared" si="29"/>
        <v>0.10615711252653927</v>
      </c>
      <c r="L62" s="35">
        <v>19.7</v>
      </c>
      <c r="M62" s="42">
        <v>66.900000000000006</v>
      </c>
      <c r="N62" s="21">
        <v>7.6</v>
      </c>
      <c r="O62" s="42">
        <v>5.8</v>
      </c>
      <c r="P62" s="21">
        <v>0.31</v>
      </c>
      <c r="Q62" s="40">
        <v>820</v>
      </c>
      <c r="R62" s="40" t="s">
        <v>59</v>
      </c>
      <c r="S62" s="21">
        <v>0</v>
      </c>
      <c r="T62" s="41" t="s">
        <v>51</v>
      </c>
      <c r="U62" s="21">
        <v>20.454545454545453</v>
      </c>
      <c r="V62" s="21">
        <v>31.818181818181817</v>
      </c>
      <c r="W62" s="21">
        <v>36.363636363636367</v>
      </c>
      <c r="X62" s="21">
        <v>11.363636363636363</v>
      </c>
      <c r="Y62" s="27">
        <f t="shared" si="4"/>
        <v>51.009246903593422</v>
      </c>
      <c r="Z62" s="21">
        <v>1.9571124160238353</v>
      </c>
      <c r="AA62" s="18" t="s">
        <v>51</v>
      </c>
      <c r="AB62" s="18" t="s">
        <v>51</v>
      </c>
      <c r="AC62" s="28">
        <f t="shared" si="5"/>
        <v>10299.797077922078</v>
      </c>
      <c r="AD62" s="18" t="s">
        <v>51</v>
      </c>
      <c r="AF62" s="1"/>
      <c r="AK62" s="1">
        <f t="shared" si="6"/>
        <v>5.8476134659454742</v>
      </c>
      <c r="AL62" s="29">
        <f t="shared" si="7"/>
        <v>5.6162167627135782</v>
      </c>
      <c r="AM62" s="29">
        <f t="shared" si="8"/>
        <v>11.463830228659052</v>
      </c>
      <c r="AO62" s="30">
        <f t="shared" si="9"/>
        <v>10.020835860628619</v>
      </c>
      <c r="AP62" s="30">
        <f t="shared" si="10"/>
        <v>15.587966894311183</v>
      </c>
      <c r="AQ62" s="30">
        <f t="shared" si="11"/>
        <v>17.814819307784212</v>
      </c>
      <c r="AR62" s="30">
        <f t="shared" si="12"/>
        <v>5.567131033682565</v>
      </c>
      <c r="AS62" s="30">
        <f t="shared" si="13"/>
        <v>51.009246903593422</v>
      </c>
      <c r="AT62" s="31">
        <f t="shared" si="14"/>
        <v>100</v>
      </c>
      <c r="AV62" s="28">
        <f t="shared" si="15"/>
        <v>5045.9481558757043</v>
      </c>
    </row>
    <row r="63" spans="2:48" ht="15.75" customHeight="1" x14ac:dyDescent="0.25">
      <c r="B63" s="32"/>
      <c r="C63" s="16" t="s">
        <v>46</v>
      </c>
      <c r="D63" s="17"/>
      <c r="E63" s="18" t="s">
        <v>48</v>
      </c>
      <c r="F63" s="19" t="s">
        <v>55</v>
      </c>
      <c r="G63" s="23">
        <f t="shared" ref="G63:G71" si="30">37.6*100/(100-20)</f>
        <v>47</v>
      </c>
      <c r="H63" s="23">
        <f t="shared" ref="H63:H71" si="31">5.42*100/(100-20)</f>
        <v>6.7750000000000004</v>
      </c>
      <c r="I63" s="23">
        <f t="shared" ref="I63:I71" si="32">36.56*100/(100-20)</f>
        <v>45.7</v>
      </c>
      <c r="J63" s="23">
        <f t="shared" ref="J63:J71" si="33">0.38*100/(100-20)</f>
        <v>0.47499999999999998</v>
      </c>
      <c r="K63" s="23">
        <f t="shared" ref="K63:K71" si="34">0.04*100/(100-20)</f>
        <v>0.05</v>
      </c>
      <c r="L63" s="23">
        <f t="shared" ref="L63:L71" si="35">13.6*(100-N63)/100</f>
        <v>12.365119999999999</v>
      </c>
      <c r="M63" s="23">
        <f t="shared" ref="M63:M71" si="36">66.4*(100-N63)/100</f>
        <v>60.370880000000007</v>
      </c>
      <c r="N63" s="21">
        <v>9.08</v>
      </c>
      <c r="O63" s="23">
        <f t="shared" ref="O63:O71" si="37">20*(100-N63)/100</f>
        <v>18.184000000000001</v>
      </c>
      <c r="P63" s="21">
        <v>0.25</v>
      </c>
      <c r="Q63" s="40">
        <v>665</v>
      </c>
      <c r="R63" s="40" t="s">
        <v>60</v>
      </c>
      <c r="S63" s="21">
        <v>0</v>
      </c>
      <c r="T63" s="41" t="s">
        <v>51</v>
      </c>
      <c r="U63" s="21">
        <v>9.2102233479161875</v>
      </c>
      <c r="V63" s="21">
        <v>45.820861155883023</v>
      </c>
      <c r="W63" s="21">
        <v>33.271931844347229</v>
      </c>
      <c r="X63" s="21">
        <v>6.6774119272392358</v>
      </c>
      <c r="Y63" s="27">
        <f t="shared" si="4"/>
        <v>46.382696034355057</v>
      </c>
      <c r="Z63" s="21">
        <v>2.1537885427639023</v>
      </c>
      <c r="AA63" s="18" t="s">
        <v>51</v>
      </c>
      <c r="AB63" s="18" t="s">
        <v>51</v>
      </c>
      <c r="AC63" s="28">
        <f t="shared" si="5"/>
        <v>9175.8679813164017</v>
      </c>
      <c r="AD63" s="18" t="s">
        <v>51</v>
      </c>
      <c r="AF63" s="1"/>
      <c r="AK63" s="1">
        <f t="shared" si="6"/>
        <v>3.9503100198412695</v>
      </c>
      <c r="AL63" s="29">
        <f t="shared" si="7"/>
        <v>4.5664653243847884</v>
      </c>
      <c r="AM63" s="29">
        <f t="shared" si="8"/>
        <v>8.5167753442260583</v>
      </c>
      <c r="AO63" s="30">
        <f t="shared" si="9"/>
        <v>4.9382734483670214</v>
      </c>
      <c r="AP63" s="30">
        <f t="shared" si="10"/>
        <v>24.567910405625927</v>
      </c>
      <c r="AQ63" s="30">
        <f t="shared" si="11"/>
        <v>17.839512832225868</v>
      </c>
      <c r="AR63" s="30">
        <f t="shared" si="12"/>
        <v>3.5802482500660897</v>
      </c>
      <c r="AS63" s="30">
        <f t="shared" si="13"/>
        <v>46.382696034355057</v>
      </c>
      <c r="AT63" s="31">
        <f t="shared" si="14"/>
        <v>97.308640970639971</v>
      </c>
      <c r="AV63" s="28">
        <f t="shared" si="15"/>
        <v>4919.8530270287038</v>
      </c>
    </row>
    <row r="64" spans="2:48" ht="15.75" customHeight="1" x14ac:dyDescent="0.25">
      <c r="B64" s="32"/>
      <c r="C64" s="16" t="s">
        <v>46</v>
      </c>
      <c r="D64" s="17"/>
      <c r="E64" s="18" t="s">
        <v>48</v>
      </c>
      <c r="F64" s="38"/>
      <c r="G64" s="23">
        <f t="shared" si="30"/>
        <v>47</v>
      </c>
      <c r="H64" s="23">
        <f t="shared" si="31"/>
        <v>6.7750000000000004</v>
      </c>
      <c r="I64" s="23">
        <f t="shared" si="32"/>
        <v>45.7</v>
      </c>
      <c r="J64" s="23">
        <f t="shared" si="33"/>
        <v>0.47499999999999998</v>
      </c>
      <c r="K64" s="23">
        <f t="shared" si="34"/>
        <v>0.05</v>
      </c>
      <c r="L64" s="23">
        <f t="shared" si="35"/>
        <v>12.365119999999999</v>
      </c>
      <c r="M64" s="23">
        <f t="shared" si="36"/>
        <v>60.370880000000007</v>
      </c>
      <c r="N64" s="21">
        <v>9.08</v>
      </c>
      <c r="O64" s="23">
        <f t="shared" si="37"/>
        <v>18.184000000000001</v>
      </c>
      <c r="P64" s="21">
        <v>0.3</v>
      </c>
      <c r="Q64" s="40">
        <v>744</v>
      </c>
      <c r="R64" s="40" t="s">
        <v>60</v>
      </c>
      <c r="S64" s="21">
        <v>0</v>
      </c>
      <c r="T64" s="41" t="s">
        <v>51</v>
      </c>
      <c r="U64" s="21">
        <v>9.7674418604651159</v>
      </c>
      <c r="V64" s="21">
        <v>38.63049095607235</v>
      </c>
      <c r="W64" s="21">
        <v>41.937984496124031</v>
      </c>
      <c r="X64" s="21">
        <v>6.1240310077519373</v>
      </c>
      <c r="Y64" s="27">
        <f t="shared" si="4"/>
        <v>51.18367723497628</v>
      </c>
      <c r="Z64" s="21">
        <v>2.4840361193210336</v>
      </c>
      <c r="AA64" s="18" t="s">
        <v>51</v>
      </c>
      <c r="AB64" s="18" t="s">
        <v>51</v>
      </c>
      <c r="AC64" s="28">
        <f t="shared" si="5"/>
        <v>8129.3131690660757</v>
      </c>
      <c r="AD64" s="18" t="s">
        <v>51</v>
      </c>
      <c r="AF64" s="1"/>
      <c r="AK64" s="1">
        <f t="shared" si="6"/>
        <v>4.7369791666666661</v>
      </c>
      <c r="AL64" s="29">
        <f t="shared" si="7"/>
        <v>4.5178837555886737</v>
      </c>
      <c r="AM64" s="29">
        <f t="shared" si="8"/>
        <v>9.2548629222553398</v>
      </c>
      <c r="AO64" s="30">
        <f t="shared" si="9"/>
        <v>4.7681059444906904</v>
      </c>
      <c r="AP64" s="30">
        <f t="shared" si="10"/>
        <v>18.857985150829577</v>
      </c>
      <c r="AQ64" s="30">
        <f t="shared" si="11"/>
        <v>20.472581872773517</v>
      </c>
      <c r="AR64" s="30">
        <f t="shared" si="12"/>
        <v>2.9895267429743209</v>
      </c>
      <c r="AS64" s="30">
        <f t="shared" si="13"/>
        <v>51.18367723497628</v>
      </c>
      <c r="AT64" s="31">
        <f t="shared" si="14"/>
        <v>98.271876946044387</v>
      </c>
      <c r="AV64" s="28">
        <f t="shared" si="15"/>
        <v>3968.4317551908744</v>
      </c>
    </row>
    <row r="65" spans="2:48" ht="15.75" customHeight="1" x14ac:dyDescent="0.25">
      <c r="B65" s="32"/>
      <c r="C65" s="16" t="s">
        <v>46</v>
      </c>
      <c r="D65" s="17"/>
      <c r="E65" s="18" t="s">
        <v>48</v>
      </c>
      <c r="F65" s="38"/>
      <c r="G65" s="23">
        <f t="shared" si="30"/>
        <v>47</v>
      </c>
      <c r="H65" s="23">
        <f t="shared" si="31"/>
        <v>6.7750000000000004</v>
      </c>
      <c r="I65" s="23">
        <f t="shared" si="32"/>
        <v>45.7</v>
      </c>
      <c r="J65" s="23">
        <f t="shared" si="33"/>
        <v>0.47499999999999998</v>
      </c>
      <c r="K65" s="23">
        <f t="shared" si="34"/>
        <v>0.05</v>
      </c>
      <c r="L65" s="23">
        <f t="shared" si="35"/>
        <v>12.365119999999999</v>
      </c>
      <c r="M65" s="23">
        <f t="shared" si="36"/>
        <v>60.370880000000007</v>
      </c>
      <c r="N65" s="21">
        <v>9.08</v>
      </c>
      <c r="O65" s="23">
        <f t="shared" si="37"/>
        <v>18.184000000000001</v>
      </c>
      <c r="P65" s="21">
        <v>0.35</v>
      </c>
      <c r="Q65" s="40">
        <v>811</v>
      </c>
      <c r="R65" s="40" t="s">
        <v>60</v>
      </c>
      <c r="S65" s="21">
        <v>0</v>
      </c>
      <c r="T65" s="41" t="s">
        <v>51</v>
      </c>
      <c r="U65" s="21">
        <v>9.3106289480911855</v>
      </c>
      <c r="V65" s="21">
        <v>35.017852238396046</v>
      </c>
      <c r="W65" s="21">
        <v>47.074979401263391</v>
      </c>
      <c r="X65" s="21">
        <v>5.4380664652567985</v>
      </c>
      <c r="Y65" s="27">
        <f t="shared" si="4"/>
        <v>55.246103084189556</v>
      </c>
      <c r="Z65" s="21">
        <v>2.8430008764483508</v>
      </c>
      <c r="AA65" s="18" t="s">
        <v>51</v>
      </c>
      <c r="AB65" s="18" t="s">
        <v>51</v>
      </c>
      <c r="AC65" s="28">
        <f t="shared" si="5"/>
        <v>7377.7899026954929</v>
      </c>
      <c r="AD65" s="18" t="s">
        <v>51</v>
      </c>
      <c r="AF65" s="1"/>
      <c r="AK65" s="1">
        <f t="shared" si="6"/>
        <v>5.5236483134920631</v>
      </c>
      <c r="AL65" s="29">
        <f t="shared" si="7"/>
        <v>4.47461039640205</v>
      </c>
      <c r="AM65" s="29">
        <f t="shared" si="8"/>
        <v>9.9982587098941131</v>
      </c>
      <c r="AO65" s="30">
        <f t="shared" si="9"/>
        <v>4.1668692816423354</v>
      </c>
      <c r="AP65" s="30">
        <f t="shared" si="10"/>
        <v>15.671853492902585</v>
      </c>
      <c r="AQ65" s="30">
        <f t="shared" si="11"/>
        <v>21.067887754380418</v>
      </c>
      <c r="AR65" s="30">
        <f t="shared" si="12"/>
        <v>2.4337466600742839</v>
      </c>
      <c r="AS65" s="30">
        <f t="shared" si="13"/>
        <v>55.246103084189556</v>
      </c>
      <c r="AT65" s="31">
        <f t="shared" si="14"/>
        <v>98.586460273189175</v>
      </c>
      <c r="AV65" s="28">
        <f t="shared" si="15"/>
        <v>3301.8484877174119</v>
      </c>
    </row>
    <row r="66" spans="2:48" ht="15.75" customHeight="1" x14ac:dyDescent="0.25">
      <c r="B66" s="32"/>
      <c r="C66" s="16" t="s">
        <v>46</v>
      </c>
      <c r="D66" s="17"/>
      <c r="E66" s="18" t="s">
        <v>48</v>
      </c>
      <c r="F66" s="38"/>
      <c r="G66" s="23">
        <f t="shared" si="30"/>
        <v>47</v>
      </c>
      <c r="H66" s="23">
        <f t="shared" si="31"/>
        <v>6.7750000000000004</v>
      </c>
      <c r="I66" s="23">
        <f t="shared" si="32"/>
        <v>45.7</v>
      </c>
      <c r="J66" s="23">
        <f t="shared" si="33"/>
        <v>0.47499999999999998</v>
      </c>
      <c r="K66" s="23">
        <f t="shared" si="34"/>
        <v>0.05</v>
      </c>
      <c r="L66" s="23">
        <f t="shared" si="35"/>
        <v>12.365119999999999</v>
      </c>
      <c r="M66" s="23">
        <f t="shared" si="36"/>
        <v>60.370880000000007</v>
      </c>
      <c r="N66" s="21">
        <v>9.08</v>
      </c>
      <c r="O66" s="23">
        <f t="shared" si="37"/>
        <v>18.184000000000001</v>
      </c>
      <c r="P66" s="21">
        <v>0.35</v>
      </c>
      <c r="Q66" s="40">
        <v>670</v>
      </c>
      <c r="R66" s="40" t="s">
        <v>60</v>
      </c>
      <c r="S66" s="21">
        <v>0</v>
      </c>
      <c r="T66" s="41" t="s">
        <v>51</v>
      </c>
      <c r="U66" s="21">
        <v>9.2994573260976807</v>
      </c>
      <c r="V66" s="21">
        <v>45.115934879131721</v>
      </c>
      <c r="W66" s="21">
        <v>35.76714356191416</v>
      </c>
      <c r="X66" s="21">
        <v>5.8214109521460289</v>
      </c>
      <c r="Y66" s="27">
        <f t="shared" si="4"/>
        <v>55.011444090145858</v>
      </c>
      <c r="Z66" s="21">
        <v>2.1394299524788094</v>
      </c>
      <c r="AA66" s="18" t="s">
        <v>51</v>
      </c>
      <c r="AB66" s="18" t="s">
        <v>51</v>
      </c>
      <c r="AC66" s="28">
        <f t="shared" si="5"/>
        <v>8789.7255356261885</v>
      </c>
      <c r="AD66" s="18" t="s">
        <v>51</v>
      </c>
      <c r="AF66" s="1"/>
      <c r="AK66" s="1">
        <f t="shared" si="6"/>
        <v>5.5236483134920631</v>
      </c>
      <c r="AL66" s="29">
        <f t="shared" si="7"/>
        <v>4.5172593646277859</v>
      </c>
      <c r="AM66" s="29">
        <f t="shared" si="8"/>
        <v>10.040907678119849</v>
      </c>
      <c r="AO66" s="30">
        <f t="shared" si="9"/>
        <v>4.1836915584644823</v>
      </c>
      <c r="AP66" s="30">
        <f t="shared" si="10"/>
        <v>20.297007587351558</v>
      </c>
      <c r="AQ66" s="30">
        <f t="shared" si="11"/>
        <v>16.091121378709548</v>
      </c>
      <c r="AR66" s="30">
        <f t="shared" si="12"/>
        <v>2.6189687209485886</v>
      </c>
      <c r="AS66" s="30">
        <f t="shared" si="13"/>
        <v>55.011444090145858</v>
      </c>
      <c r="AT66" s="31">
        <f t="shared" si="14"/>
        <v>98.202233335620036</v>
      </c>
      <c r="AV66" s="28">
        <f t="shared" si="15"/>
        <v>3954.3705869179144</v>
      </c>
    </row>
    <row r="67" spans="2:48" ht="15.75" customHeight="1" x14ac:dyDescent="0.25">
      <c r="B67" s="32"/>
      <c r="C67" s="16" t="s">
        <v>46</v>
      </c>
      <c r="D67" s="17"/>
      <c r="E67" s="18" t="s">
        <v>48</v>
      </c>
      <c r="F67" s="38"/>
      <c r="G67" s="23">
        <f t="shared" si="30"/>
        <v>47</v>
      </c>
      <c r="H67" s="23">
        <f t="shared" si="31"/>
        <v>6.7750000000000004</v>
      </c>
      <c r="I67" s="23">
        <f t="shared" si="32"/>
        <v>45.7</v>
      </c>
      <c r="J67" s="23">
        <f t="shared" si="33"/>
        <v>0.47499999999999998</v>
      </c>
      <c r="K67" s="23">
        <f t="shared" si="34"/>
        <v>0.05</v>
      </c>
      <c r="L67" s="23">
        <f t="shared" si="35"/>
        <v>12.365119999999999</v>
      </c>
      <c r="M67" s="23">
        <f t="shared" si="36"/>
        <v>60.370880000000007</v>
      </c>
      <c r="N67" s="21">
        <v>9.08</v>
      </c>
      <c r="O67" s="23">
        <f t="shared" si="37"/>
        <v>18.184000000000001</v>
      </c>
      <c r="P67" s="21">
        <v>0.3</v>
      </c>
      <c r="Q67" s="40">
        <v>750</v>
      </c>
      <c r="R67" s="40" t="s">
        <v>60</v>
      </c>
      <c r="S67" s="21">
        <v>0</v>
      </c>
      <c r="T67" s="41" t="s">
        <v>51</v>
      </c>
      <c r="U67" s="21">
        <v>9.0473656200106447</v>
      </c>
      <c r="V67" s="21">
        <v>38.398084087280473</v>
      </c>
      <c r="W67" s="21">
        <v>43.79989356040447</v>
      </c>
      <c r="X67" s="21">
        <v>5.3219797764768497</v>
      </c>
      <c r="Y67" s="27">
        <f t="shared" si="4"/>
        <v>51.421000740627868</v>
      </c>
      <c r="Z67" s="21">
        <v>2.4553189387508483</v>
      </c>
      <c r="AA67" s="18" t="s">
        <v>51</v>
      </c>
      <c r="AB67" s="18" t="s">
        <v>51</v>
      </c>
      <c r="AC67" s="28">
        <f t="shared" si="5"/>
        <v>7734.8299817532143</v>
      </c>
      <c r="AD67" s="18" t="s">
        <v>51</v>
      </c>
      <c r="AF67" s="1"/>
      <c r="AK67" s="1">
        <f t="shared" si="6"/>
        <v>4.7369791666666661</v>
      </c>
      <c r="AL67" s="29">
        <f t="shared" si="7"/>
        <v>4.4751697577784526</v>
      </c>
      <c r="AM67" s="29">
        <f t="shared" si="8"/>
        <v>9.2121489244451187</v>
      </c>
      <c r="AO67" s="30">
        <f t="shared" si="9"/>
        <v>4.39511967753766</v>
      </c>
      <c r="AP67" s="30">
        <f t="shared" si="10"/>
        <v>18.653404984373072</v>
      </c>
      <c r="AQ67" s="30">
        <f t="shared" si="11"/>
        <v>21.27754996831467</v>
      </c>
      <c r="AR67" s="30">
        <f t="shared" si="12"/>
        <v>2.5853645161986236</v>
      </c>
      <c r="AS67" s="30">
        <f t="shared" si="13"/>
        <v>51.421000740627868</v>
      </c>
      <c r="AT67" s="31">
        <f t="shared" si="14"/>
        <v>98.332439887051891</v>
      </c>
      <c r="AV67" s="28">
        <f t="shared" si="15"/>
        <v>3757.5029995495875</v>
      </c>
    </row>
    <row r="68" spans="2:48" ht="15.75" customHeight="1" x14ac:dyDescent="0.25">
      <c r="B68" s="32"/>
      <c r="C68" s="16" t="s">
        <v>46</v>
      </c>
      <c r="D68" s="17"/>
      <c r="E68" s="18" t="s">
        <v>48</v>
      </c>
      <c r="F68" s="38"/>
      <c r="G68" s="23">
        <f t="shared" si="30"/>
        <v>47</v>
      </c>
      <c r="H68" s="23">
        <f t="shared" si="31"/>
        <v>6.7750000000000004</v>
      </c>
      <c r="I68" s="23">
        <f t="shared" si="32"/>
        <v>45.7</v>
      </c>
      <c r="J68" s="23">
        <f t="shared" si="33"/>
        <v>0.47499999999999998</v>
      </c>
      <c r="K68" s="23">
        <f t="shared" si="34"/>
        <v>0.05</v>
      </c>
      <c r="L68" s="23">
        <f t="shared" si="35"/>
        <v>12.365119999999999</v>
      </c>
      <c r="M68" s="23">
        <f t="shared" si="36"/>
        <v>60.370880000000007</v>
      </c>
      <c r="N68" s="21">
        <v>9.08</v>
      </c>
      <c r="O68" s="23">
        <f t="shared" si="37"/>
        <v>18.184000000000001</v>
      </c>
      <c r="P68" s="21">
        <v>0.35</v>
      </c>
      <c r="Q68" s="40">
        <v>822</v>
      </c>
      <c r="R68" s="40" t="s">
        <v>60</v>
      </c>
      <c r="S68" s="21">
        <v>0</v>
      </c>
      <c r="T68" s="41" t="s">
        <v>51</v>
      </c>
      <c r="U68" s="21">
        <v>9.0833101142379498</v>
      </c>
      <c r="V68" s="21">
        <v>34.828643076065752</v>
      </c>
      <c r="W68" s="21">
        <v>48.007801616049036</v>
      </c>
      <c r="X68" s="21">
        <v>5.1546391752577323</v>
      </c>
      <c r="Y68" s="27">
        <f t="shared" si="4"/>
        <v>55.375714935583389</v>
      </c>
      <c r="Z68" s="21">
        <v>2.8286422861632583</v>
      </c>
      <c r="AA68" s="18" t="s">
        <v>51</v>
      </c>
      <c r="AB68" s="18" t="s">
        <v>51</v>
      </c>
      <c r="AC68" s="28">
        <f t="shared" si="5"/>
        <v>7227.789525534371</v>
      </c>
      <c r="AD68" s="18" t="s">
        <v>51</v>
      </c>
      <c r="AF68" s="1"/>
      <c r="AK68" s="1">
        <f t="shared" si="6"/>
        <v>5.5236483134920631</v>
      </c>
      <c r="AL68" s="29">
        <f t="shared" si="7"/>
        <v>4.4512085708254174</v>
      </c>
      <c r="AM68" s="29">
        <f t="shared" si="8"/>
        <v>9.9748568843174805</v>
      </c>
      <c r="AO68" s="30">
        <f t="shared" si="9"/>
        <v>4.053362198662529</v>
      </c>
      <c r="AP68" s="30">
        <f t="shared" si="10"/>
        <v>15.542032970331778</v>
      </c>
      <c r="AQ68" s="30">
        <f t="shared" si="11"/>
        <v>21.423138246305324</v>
      </c>
      <c r="AR68" s="30">
        <f t="shared" si="12"/>
        <v>2.3002208796091037</v>
      </c>
      <c r="AS68" s="30">
        <f t="shared" si="13"/>
        <v>55.375714935583389</v>
      </c>
      <c r="AT68" s="31">
        <f t="shared" si="14"/>
        <v>98.694469230492132</v>
      </c>
      <c r="AV68" s="28">
        <f t="shared" si="15"/>
        <v>3225.3494017305015</v>
      </c>
    </row>
    <row r="69" spans="2:48" ht="15.75" customHeight="1" x14ac:dyDescent="0.25">
      <c r="B69" s="32"/>
      <c r="C69" s="16" t="s">
        <v>46</v>
      </c>
      <c r="D69" s="17"/>
      <c r="E69" s="18" t="s">
        <v>48</v>
      </c>
      <c r="F69" s="38"/>
      <c r="G69" s="23">
        <f t="shared" si="30"/>
        <v>47</v>
      </c>
      <c r="H69" s="23">
        <f t="shared" si="31"/>
        <v>6.7750000000000004</v>
      </c>
      <c r="I69" s="23">
        <f t="shared" si="32"/>
        <v>45.7</v>
      </c>
      <c r="J69" s="23">
        <f t="shared" si="33"/>
        <v>0.47499999999999998</v>
      </c>
      <c r="K69" s="23">
        <f t="shared" si="34"/>
        <v>0.05</v>
      </c>
      <c r="L69" s="23">
        <f t="shared" si="35"/>
        <v>12.365119999999999</v>
      </c>
      <c r="M69" s="23">
        <f t="shared" si="36"/>
        <v>60.370880000000007</v>
      </c>
      <c r="N69" s="21">
        <v>9.08</v>
      </c>
      <c r="O69" s="23">
        <f t="shared" si="37"/>
        <v>18.184000000000001</v>
      </c>
      <c r="P69" s="21">
        <v>0.35</v>
      </c>
      <c r="Q69" s="40">
        <v>700</v>
      </c>
      <c r="R69" s="40" t="s">
        <v>60</v>
      </c>
      <c r="S69" s="21">
        <v>0</v>
      </c>
      <c r="T69" s="41" t="s">
        <v>51</v>
      </c>
      <c r="U69" s="21">
        <v>9.2487116897206416</v>
      </c>
      <c r="V69" s="21">
        <v>41.036072687822077</v>
      </c>
      <c r="W69" s="21">
        <v>40.195280716029295</v>
      </c>
      <c r="X69" s="21">
        <v>5.4244643341470038</v>
      </c>
      <c r="Y69" s="27">
        <f t="shared" si="4"/>
        <v>54.997547003562808</v>
      </c>
      <c r="Z69" s="21">
        <v>1.8666167370620486</v>
      </c>
      <c r="AA69" s="18" t="s">
        <v>51</v>
      </c>
      <c r="AB69" s="18" t="s">
        <v>51</v>
      </c>
      <c r="AC69" s="28">
        <f t="shared" si="5"/>
        <v>8126.5694622031087</v>
      </c>
      <c r="AD69" s="18" t="s">
        <v>51</v>
      </c>
      <c r="AF69" s="1"/>
      <c r="AK69" s="1">
        <f t="shared" si="6"/>
        <v>5.5236483134920631</v>
      </c>
      <c r="AL69" s="29">
        <f t="shared" si="7"/>
        <v>4.5197965571205012</v>
      </c>
      <c r="AM69" s="29">
        <f t="shared" si="8"/>
        <v>10.043444870612564</v>
      </c>
      <c r="AO69" s="30">
        <f t="shared" si="9"/>
        <v>4.1621471309425235</v>
      </c>
      <c r="AP69" s="30">
        <f t="shared" si="10"/>
        <v>18.467239322920932</v>
      </c>
      <c r="AQ69" s="30">
        <f t="shared" si="11"/>
        <v>18.088862311017067</v>
      </c>
      <c r="AR69" s="30">
        <f t="shared" si="12"/>
        <v>2.441142012283005</v>
      </c>
      <c r="AS69" s="30">
        <f t="shared" si="13"/>
        <v>54.997547003562808</v>
      </c>
      <c r="AT69" s="31">
        <f t="shared" si="14"/>
        <v>98.156937780726338</v>
      </c>
      <c r="AV69" s="28">
        <f t="shared" si="15"/>
        <v>3657.1556024507718</v>
      </c>
    </row>
    <row r="70" spans="2:48" ht="15.75" customHeight="1" x14ac:dyDescent="0.25">
      <c r="B70" s="32"/>
      <c r="C70" s="16" t="s">
        <v>46</v>
      </c>
      <c r="D70" s="17"/>
      <c r="E70" s="18" t="s">
        <v>48</v>
      </c>
      <c r="F70" s="38"/>
      <c r="G70" s="23">
        <f t="shared" si="30"/>
        <v>47</v>
      </c>
      <c r="H70" s="23">
        <f t="shared" si="31"/>
        <v>6.7750000000000004</v>
      </c>
      <c r="I70" s="23">
        <f t="shared" si="32"/>
        <v>45.7</v>
      </c>
      <c r="J70" s="23">
        <f t="shared" si="33"/>
        <v>0.47499999999999998</v>
      </c>
      <c r="K70" s="23">
        <f t="shared" si="34"/>
        <v>0.05</v>
      </c>
      <c r="L70" s="23">
        <f t="shared" si="35"/>
        <v>12.365119999999999</v>
      </c>
      <c r="M70" s="23">
        <f t="shared" si="36"/>
        <v>60.370880000000007</v>
      </c>
      <c r="N70" s="21">
        <v>9.08</v>
      </c>
      <c r="O70" s="23">
        <f t="shared" si="37"/>
        <v>18.184000000000001</v>
      </c>
      <c r="P70" s="21">
        <v>0.3</v>
      </c>
      <c r="Q70" s="40">
        <v>766</v>
      </c>
      <c r="R70" s="40" t="s">
        <v>60</v>
      </c>
      <c r="S70" s="21">
        <v>0</v>
      </c>
      <c r="T70" s="41" t="s">
        <v>51</v>
      </c>
      <c r="U70" s="21">
        <v>9.2171016102165453</v>
      </c>
      <c r="V70" s="21">
        <v>36.091060521932256</v>
      </c>
      <c r="W70" s="21">
        <v>46.14103275957801</v>
      </c>
      <c r="X70" s="21">
        <v>5.3026096612992779</v>
      </c>
      <c r="Y70" s="27">
        <f t="shared" si="4"/>
        <v>51.425209018611149</v>
      </c>
      <c r="Z70" s="21">
        <v>2.1537885427639023</v>
      </c>
      <c r="AA70" s="18" t="s">
        <v>51</v>
      </c>
      <c r="AB70" s="18" t="s">
        <v>51</v>
      </c>
      <c r="AC70" s="28">
        <f t="shared" si="5"/>
        <v>7454.7456274292044</v>
      </c>
      <c r="AD70" s="18" t="s">
        <v>51</v>
      </c>
      <c r="AF70" s="1"/>
      <c r="AK70" s="1">
        <f t="shared" si="6"/>
        <v>4.7369791666666661</v>
      </c>
      <c r="AL70" s="29">
        <f t="shared" si="7"/>
        <v>4.4744159002008681</v>
      </c>
      <c r="AM70" s="29">
        <f t="shared" si="8"/>
        <v>9.2113950668675351</v>
      </c>
      <c r="AO70" s="30">
        <f t="shared" si="9"/>
        <v>4.4771878417049118</v>
      </c>
      <c r="AP70" s="30">
        <f t="shared" si="10"/>
        <v>17.531157211495138</v>
      </c>
      <c r="AQ70" s="30">
        <f t="shared" si="11"/>
        <v>22.412910219619171</v>
      </c>
      <c r="AR70" s="30">
        <f t="shared" si="12"/>
        <v>2.5757315595350549</v>
      </c>
      <c r="AS70" s="30">
        <f t="shared" si="13"/>
        <v>51.425209018611149</v>
      </c>
      <c r="AT70" s="31">
        <f t="shared" si="14"/>
        <v>98.422195850965437</v>
      </c>
      <c r="AV70" s="28">
        <f t="shared" si="15"/>
        <v>3621.12710671796</v>
      </c>
    </row>
    <row r="71" spans="2:48" ht="15.75" customHeight="1" x14ac:dyDescent="0.25">
      <c r="B71" s="32"/>
      <c r="C71" s="16" t="s">
        <v>46</v>
      </c>
      <c r="D71" s="17"/>
      <c r="E71" s="18" t="s">
        <v>48</v>
      </c>
      <c r="F71" s="39"/>
      <c r="G71" s="23">
        <f t="shared" si="30"/>
        <v>47</v>
      </c>
      <c r="H71" s="23">
        <f t="shared" si="31"/>
        <v>6.7750000000000004</v>
      </c>
      <c r="I71" s="23">
        <f t="shared" si="32"/>
        <v>45.7</v>
      </c>
      <c r="J71" s="23">
        <f t="shared" si="33"/>
        <v>0.47499999999999998</v>
      </c>
      <c r="K71" s="23">
        <f t="shared" si="34"/>
        <v>0.05</v>
      </c>
      <c r="L71" s="23">
        <f t="shared" si="35"/>
        <v>12.365119999999999</v>
      </c>
      <c r="M71" s="23">
        <f t="shared" si="36"/>
        <v>60.370880000000007</v>
      </c>
      <c r="N71" s="21">
        <v>9.08</v>
      </c>
      <c r="O71" s="23">
        <f t="shared" si="37"/>
        <v>18.184000000000001</v>
      </c>
      <c r="P71" s="21">
        <v>0.35</v>
      </c>
      <c r="Q71" s="40">
        <v>828</v>
      </c>
      <c r="R71" s="40" t="s">
        <v>60</v>
      </c>
      <c r="S71" s="21">
        <v>0</v>
      </c>
      <c r="T71" s="41" t="s">
        <v>51</v>
      </c>
      <c r="U71" s="21">
        <v>9.0807488125174611</v>
      </c>
      <c r="V71" s="21">
        <v>34.339200894104493</v>
      </c>
      <c r="W71" s="21">
        <v>48.672813635093597</v>
      </c>
      <c r="X71" s="21">
        <v>5.1411008661637316</v>
      </c>
      <c r="Y71" s="27">
        <f t="shared" si="4"/>
        <v>55.421172780776388</v>
      </c>
      <c r="Z71" s="21">
        <v>2.4409603484657558</v>
      </c>
      <c r="AA71" s="18" t="s">
        <v>51</v>
      </c>
      <c r="AB71" s="18" t="s">
        <v>51</v>
      </c>
      <c r="AC71" s="28">
        <f t="shared" si="5"/>
        <v>7160.8262982477136</v>
      </c>
      <c r="AD71" s="18" t="s">
        <v>51</v>
      </c>
      <c r="AF71" s="1"/>
      <c r="AK71" s="1">
        <f t="shared" si="6"/>
        <v>5.5236483134920631</v>
      </c>
      <c r="AL71" s="29">
        <f t="shared" si="7"/>
        <v>4.4430269413629171</v>
      </c>
      <c r="AM71" s="29">
        <f t="shared" si="8"/>
        <v>9.9666752548549802</v>
      </c>
      <c r="AO71" s="30">
        <f t="shared" si="9"/>
        <v>4.0480913233438605</v>
      </c>
      <c r="AP71" s="30">
        <f t="shared" si="10"/>
        <v>15.308013035044935</v>
      </c>
      <c r="AQ71" s="30">
        <f t="shared" si="11"/>
        <v>21.697769493123094</v>
      </c>
      <c r="AR71" s="30">
        <f t="shared" si="12"/>
        <v>2.2918424722931388</v>
      </c>
      <c r="AS71" s="30">
        <f t="shared" si="13"/>
        <v>55.421172780776388</v>
      </c>
      <c r="AT71" s="31">
        <f t="shared" si="14"/>
        <v>98.766889104581423</v>
      </c>
      <c r="AV71" s="28">
        <f t="shared" si="15"/>
        <v>3192.2123829645752</v>
      </c>
    </row>
    <row r="72" spans="2:48" ht="15.75" customHeight="1" x14ac:dyDescent="0.25">
      <c r="B72" s="32"/>
      <c r="C72" s="16" t="s">
        <v>46</v>
      </c>
      <c r="D72" s="17"/>
      <c r="E72" s="18" t="s">
        <v>48</v>
      </c>
      <c r="F72" s="43" t="s">
        <v>61</v>
      </c>
      <c r="G72" s="23">
        <f t="shared" ref="G72:G73" si="38">48.11*100/(100-O72)</f>
        <v>51.001802183822754</v>
      </c>
      <c r="H72" s="23">
        <f t="shared" ref="H72:H73" si="39">5.58*100/(100-O72)</f>
        <v>5.9154033711438565</v>
      </c>
      <c r="I72" s="23">
        <f t="shared" ref="I72:I73" si="40">39.84*100/(100-O72)</f>
        <v>42.234707940209908</v>
      </c>
      <c r="J72" s="23">
        <f t="shared" ref="J72:J73" si="41">0.8*100/(100-O72)</f>
        <v>0.84808650482349202</v>
      </c>
      <c r="K72" s="23">
        <v>0</v>
      </c>
      <c r="L72" s="20">
        <v>15.01</v>
      </c>
      <c r="M72" s="21">
        <v>72.290000000000006</v>
      </c>
      <c r="N72" s="21">
        <v>7.03</v>
      </c>
      <c r="O72" s="42">
        <v>5.67</v>
      </c>
      <c r="P72" s="21">
        <v>0.3</v>
      </c>
      <c r="Q72" s="40">
        <v>826</v>
      </c>
      <c r="R72" s="40" t="s">
        <v>50</v>
      </c>
      <c r="S72" s="21">
        <v>0</v>
      </c>
      <c r="T72" s="41" t="s">
        <v>51</v>
      </c>
      <c r="U72" s="21">
        <v>19.547511312217193</v>
      </c>
      <c r="V72" s="21">
        <v>42.782805429864254</v>
      </c>
      <c r="W72" s="21">
        <v>28.303167420814479</v>
      </c>
      <c r="X72" s="21">
        <v>6.6063348416289589</v>
      </c>
      <c r="Y72" s="27">
        <f t="shared" si="4"/>
        <v>47.784912352500314</v>
      </c>
      <c r="Z72" s="21">
        <v>2.17</v>
      </c>
      <c r="AA72" s="18" t="s">
        <v>51</v>
      </c>
      <c r="AB72" s="18" t="s">
        <v>51</v>
      </c>
      <c r="AC72" s="28">
        <f t="shared" si="5"/>
        <v>9882.5399967679386</v>
      </c>
      <c r="AD72" s="18" t="s">
        <v>51</v>
      </c>
      <c r="AF72" s="1"/>
      <c r="AK72" s="1">
        <f t="shared" si="6"/>
        <v>5.0063480284512831</v>
      </c>
      <c r="AL72" s="29">
        <f t="shared" si="7"/>
        <v>5.470490333248315</v>
      </c>
      <c r="AM72" s="29">
        <f t="shared" si="8"/>
        <v>10.476838361699599</v>
      </c>
      <c r="AO72" s="30">
        <f t="shared" si="9"/>
        <v>10.206750164579121</v>
      </c>
      <c r="AP72" s="30">
        <f t="shared" si="10"/>
        <v>22.339079353262875</v>
      </c>
      <c r="AQ72" s="30">
        <f t="shared" si="11"/>
        <v>14.778523675796853</v>
      </c>
      <c r="AR72" s="30">
        <f t="shared" si="12"/>
        <v>3.4495035278438704</v>
      </c>
      <c r="AS72" s="30">
        <f t="shared" si="13"/>
        <v>47.784912352500314</v>
      </c>
      <c r="AT72" s="31">
        <f t="shared" si="14"/>
        <v>98.558769073983029</v>
      </c>
      <c r="AV72" s="28">
        <f t="shared" si="15"/>
        <v>5160.1769211115907</v>
      </c>
    </row>
    <row r="73" spans="2:48" ht="15.75" customHeight="1" x14ac:dyDescent="0.25">
      <c r="B73" s="32"/>
      <c r="C73" s="16" t="s">
        <v>46</v>
      </c>
      <c r="D73" s="17"/>
      <c r="E73" s="18" t="s">
        <v>48</v>
      </c>
      <c r="F73" s="44"/>
      <c r="G73" s="23">
        <f t="shared" si="38"/>
        <v>51.001802183822754</v>
      </c>
      <c r="H73" s="23">
        <f t="shared" si="39"/>
        <v>5.9154033711438565</v>
      </c>
      <c r="I73" s="23">
        <f t="shared" si="40"/>
        <v>42.234707940209908</v>
      </c>
      <c r="J73" s="23">
        <f t="shared" si="41"/>
        <v>0.84808650482349202</v>
      </c>
      <c r="K73" s="23">
        <v>0</v>
      </c>
      <c r="L73" s="20">
        <v>15.01</v>
      </c>
      <c r="M73" s="21">
        <v>72.290000000000006</v>
      </c>
      <c r="N73" s="21">
        <v>7.03</v>
      </c>
      <c r="O73" s="42">
        <v>5.67</v>
      </c>
      <c r="P73" s="21">
        <v>0.28999999999999998</v>
      </c>
      <c r="Q73" s="40">
        <v>874</v>
      </c>
      <c r="R73" s="40" t="s">
        <v>50</v>
      </c>
      <c r="S73" s="21">
        <v>0</v>
      </c>
      <c r="T73" s="41" t="s">
        <v>51</v>
      </c>
      <c r="U73" s="21">
        <v>23.475283543762039</v>
      </c>
      <c r="V73" s="21">
        <v>41.343890434410447</v>
      </c>
      <c r="W73" s="21">
        <v>26.621014337684574</v>
      </c>
      <c r="X73" s="21">
        <v>6.1416648833725658</v>
      </c>
      <c r="Y73" s="27">
        <f t="shared" si="4"/>
        <v>45.76997149285107</v>
      </c>
      <c r="Z73" s="21">
        <v>2.17</v>
      </c>
      <c r="AA73" s="18" t="s">
        <v>51</v>
      </c>
      <c r="AB73" s="18" t="s">
        <v>51</v>
      </c>
      <c r="AC73" s="28">
        <f t="shared" si="5"/>
        <v>9958.2755036532071</v>
      </c>
      <c r="AD73" s="18" t="s">
        <v>51</v>
      </c>
      <c r="AF73" s="1"/>
      <c r="AK73" s="1">
        <f t="shared" si="6"/>
        <v>4.8404793876276964</v>
      </c>
      <c r="AL73" s="29">
        <f t="shared" si="7"/>
        <v>5.7351867745934086</v>
      </c>
      <c r="AM73" s="29">
        <f t="shared" si="8"/>
        <v>10.575666162221104</v>
      </c>
      <c r="AO73" s="30">
        <f t="shared" si="9"/>
        <v>12.730652957916197</v>
      </c>
      <c r="AP73" s="30">
        <f t="shared" si="10"/>
        <v>22.420803568545207</v>
      </c>
      <c r="AQ73" s="30">
        <f t="shared" si="11"/>
        <v>14.436583664218549</v>
      </c>
      <c r="AR73" s="30">
        <f t="shared" si="12"/>
        <v>3.3306266170664975</v>
      </c>
      <c r="AS73" s="30">
        <f t="shared" si="13"/>
        <v>45.76997149285107</v>
      </c>
      <c r="AT73" s="31">
        <f t="shared" si="14"/>
        <v>98.688638300597518</v>
      </c>
      <c r="AV73" s="28">
        <f t="shared" si="15"/>
        <v>5400.375644451562</v>
      </c>
    </row>
    <row r="74" spans="2:48" ht="15.75" customHeight="1" x14ac:dyDescent="0.25">
      <c r="B74" s="32"/>
      <c r="C74" s="16" t="s">
        <v>46</v>
      </c>
      <c r="D74" s="17"/>
      <c r="E74" s="18" t="s">
        <v>48</v>
      </c>
      <c r="F74" s="44"/>
      <c r="G74" s="23">
        <f t="shared" ref="G74:G76" si="42">48.9*100/(100-O74)</f>
        <v>54.496823804747571</v>
      </c>
      <c r="H74" s="23">
        <f t="shared" ref="H74:H76" si="43">5.9*100/(100-O74)</f>
        <v>6.5752813997548198</v>
      </c>
      <c r="I74" s="23">
        <f t="shared" ref="I74:I76" si="44">34.31*100/(100-O74)</f>
        <v>38.236933021286077</v>
      </c>
      <c r="J74" s="23">
        <f t="shared" ref="J74:J76" si="45">0.57*100/(100-O74)</f>
        <v>0.63523905048478757</v>
      </c>
      <c r="K74" s="23">
        <f t="shared" ref="K74:K76" si="46">0.05*100/(100-O74)</f>
        <v>5.5722723726735764E-2</v>
      </c>
      <c r="L74" s="20">
        <v>10.210000000000001</v>
      </c>
      <c r="M74" s="21">
        <v>69.83</v>
      </c>
      <c r="N74" s="21">
        <v>9.69</v>
      </c>
      <c r="O74" s="42">
        <v>10.27</v>
      </c>
      <c r="P74" s="21">
        <v>0.2</v>
      </c>
      <c r="Q74" s="40">
        <v>700</v>
      </c>
      <c r="R74" s="40" t="s">
        <v>62</v>
      </c>
      <c r="S74" s="21">
        <v>0</v>
      </c>
      <c r="T74" s="41" t="s">
        <v>51</v>
      </c>
      <c r="U74" s="21">
        <v>26.574015582227837</v>
      </c>
      <c r="V74" s="21">
        <v>22.488945041061275</v>
      </c>
      <c r="W74" s="21">
        <v>35.754895767530002</v>
      </c>
      <c r="X74" s="21">
        <v>10.275847546851969</v>
      </c>
      <c r="Y74" s="27">
        <f t="shared" si="4"/>
        <v>36.302160431633482</v>
      </c>
      <c r="Z74" s="21">
        <v>1.82</v>
      </c>
      <c r="AA74" s="18" t="s">
        <v>51</v>
      </c>
      <c r="AB74" s="18" t="s">
        <v>51</v>
      </c>
      <c r="AC74" s="28">
        <f t="shared" si="5"/>
        <v>9392.0092199861629</v>
      </c>
      <c r="AD74" s="18" t="s">
        <v>51</v>
      </c>
      <c r="AF74" s="1"/>
      <c r="AK74" s="1">
        <f t="shared" si="6"/>
        <v>3.7773074514548939</v>
      </c>
      <c r="AL74" s="29">
        <f t="shared" si="7"/>
        <v>6.6278789246247252</v>
      </c>
      <c r="AM74" s="29">
        <f t="shared" si="8"/>
        <v>10.405186376079619</v>
      </c>
      <c r="AO74" s="30">
        <f t="shared" si="9"/>
        <v>16.927073812440206</v>
      </c>
      <c r="AP74" s="30">
        <f t="shared" si="10"/>
        <v>14.324972132873329</v>
      </c>
      <c r="AQ74" s="30">
        <f t="shared" si="11"/>
        <v>22.775096143837931</v>
      </c>
      <c r="AR74" s="30">
        <f t="shared" si="12"/>
        <v>6.5454928846836928</v>
      </c>
      <c r="AS74" s="30">
        <f t="shared" si="13"/>
        <v>36.302160431633482</v>
      </c>
      <c r="AT74" s="31">
        <f t="shared" si="14"/>
        <v>96.874795405468646</v>
      </c>
      <c r="AV74" s="28">
        <f t="shared" si="15"/>
        <v>5982.5069651929771</v>
      </c>
    </row>
    <row r="75" spans="2:48" ht="15.75" customHeight="1" x14ac:dyDescent="0.25">
      <c r="B75" s="32"/>
      <c r="C75" s="16" t="s">
        <v>46</v>
      </c>
      <c r="D75" s="17"/>
      <c r="E75" s="18" t="s">
        <v>48</v>
      </c>
      <c r="F75" s="44"/>
      <c r="G75" s="23">
        <f t="shared" si="42"/>
        <v>54.496823804747571</v>
      </c>
      <c r="H75" s="23">
        <f t="shared" si="43"/>
        <v>6.5752813997548198</v>
      </c>
      <c r="I75" s="23">
        <f t="shared" si="44"/>
        <v>38.236933021286077</v>
      </c>
      <c r="J75" s="23">
        <f t="shared" si="45"/>
        <v>0.63523905048478757</v>
      </c>
      <c r="K75" s="23">
        <f t="shared" si="46"/>
        <v>5.5722723726735764E-2</v>
      </c>
      <c r="L75" s="20">
        <v>10.210000000000001</v>
      </c>
      <c r="M75" s="21">
        <v>69.83</v>
      </c>
      <c r="N75" s="21">
        <v>9.69</v>
      </c>
      <c r="O75" s="42">
        <v>10.27</v>
      </c>
      <c r="P75" s="21">
        <v>0.2</v>
      </c>
      <c r="Q75" s="40">
        <v>760</v>
      </c>
      <c r="R75" s="40" t="s">
        <v>62</v>
      </c>
      <c r="S75" s="21">
        <v>0</v>
      </c>
      <c r="T75" s="41" t="s">
        <v>51</v>
      </c>
      <c r="U75" s="21">
        <v>26.311728395061728</v>
      </c>
      <c r="V75" s="21">
        <v>26.793981481481481</v>
      </c>
      <c r="W75" s="21">
        <v>32.465277777777771</v>
      </c>
      <c r="X75" s="21">
        <v>10.204475308641975</v>
      </c>
      <c r="Y75" s="27">
        <f t="shared" si="4"/>
        <v>36.619167020881719</v>
      </c>
      <c r="Z75" s="21">
        <v>1.9</v>
      </c>
      <c r="AA75" s="18" t="s">
        <v>51</v>
      </c>
      <c r="AB75" s="18" t="s">
        <v>51</v>
      </c>
      <c r="AC75" s="28">
        <f t="shared" si="5"/>
        <v>9882.0155767746892</v>
      </c>
      <c r="AD75" s="18" t="s">
        <v>51</v>
      </c>
      <c r="AF75" s="1"/>
      <c r="AK75" s="1">
        <f t="shared" si="6"/>
        <v>3.7773074514548939</v>
      </c>
      <c r="AL75" s="29">
        <f t="shared" si="7"/>
        <v>6.5378028002363102</v>
      </c>
      <c r="AM75" s="29">
        <f t="shared" si="8"/>
        <v>10.315110251691204</v>
      </c>
      <c r="AO75" s="30">
        <f t="shared" si="9"/>
        <v>16.676592627993315</v>
      </c>
      <c r="AP75" s="30">
        <f t="shared" si="10"/>
        <v>16.982248651233665</v>
      </c>
      <c r="AQ75" s="30">
        <f t="shared" si="11"/>
        <v>20.576763484540137</v>
      </c>
      <c r="AR75" s="30">
        <f t="shared" si="12"/>
        <v>6.4676814517657357</v>
      </c>
      <c r="AS75" s="30">
        <f t="shared" si="13"/>
        <v>36.619167020881719</v>
      </c>
      <c r="AT75" s="31">
        <f t="shared" si="14"/>
        <v>97.32245323641456</v>
      </c>
      <c r="AV75" s="28">
        <f t="shared" si="15"/>
        <v>6263.3037876860208</v>
      </c>
    </row>
    <row r="76" spans="2:48" ht="15.75" customHeight="1" x14ac:dyDescent="0.25">
      <c r="B76" s="32"/>
      <c r="C76" s="16" t="s">
        <v>46</v>
      </c>
      <c r="D76" s="17"/>
      <c r="E76" s="18" t="s">
        <v>48</v>
      </c>
      <c r="F76" s="45"/>
      <c r="G76" s="23">
        <f t="shared" si="42"/>
        <v>54.496823804747571</v>
      </c>
      <c r="H76" s="23">
        <f t="shared" si="43"/>
        <v>6.5752813997548198</v>
      </c>
      <c r="I76" s="23">
        <f t="shared" si="44"/>
        <v>38.236933021286077</v>
      </c>
      <c r="J76" s="23">
        <f t="shared" si="45"/>
        <v>0.63523905048478757</v>
      </c>
      <c r="K76" s="23">
        <f t="shared" si="46"/>
        <v>5.5722723726735764E-2</v>
      </c>
      <c r="L76" s="20">
        <v>10.210000000000001</v>
      </c>
      <c r="M76" s="21">
        <v>69.83</v>
      </c>
      <c r="N76" s="21">
        <v>9.69</v>
      </c>
      <c r="O76" s="42">
        <v>10.27</v>
      </c>
      <c r="P76" s="21">
        <v>0.2</v>
      </c>
      <c r="Q76" s="40">
        <v>800</v>
      </c>
      <c r="R76" s="40" t="s">
        <v>62</v>
      </c>
      <c r="S76" s="21">
        <v>0</v>
      </c>
      <c r="T76" s="41" t="s">
        <v>51</v>
      </c>
      <c r="U76" s="21">
        <v>28.707627118644073</v>
      </c>
      <c r="V76" s="21">
        <v>29.502118644067796</v>
      </c>
      <c r="W76" s="21">
        <v>29.237288135593214</v>
      </c>
      <c r="X76" s="21">
        <v>8.59816384180791</v>
      </c>
      <c r="Y76" s="27">
        <f t="shared" si="4"/>
        <v>35.900710823045024</v>
      </c>
      <c r="Z76" s="21">
        <v>2.04</v>
      </c>
      <c r="AA76" s="18" t="s">
        <v>51</v>
      </c>
      <c r="AB76" s="18" t="s">
        <v>51</v>
      </c>
      <c r="AC76" s="28">
        <f t="shared" si="5"/>
        <v>9907.2483164346249</v>
      </c>
      <c r="AD76" s="18" t="s">
        <v>51</v>
      </c>
      <c r="AF76" s="1"/>
      <c r="AK76" s="1">
        <f t="shared" si="6"/>
        <v>3.7773074514548939</v>
      </c>
      <c r="AL76" s="29">
        <f t="shared" si="7"/>
        <v>6.7442319968119699</v>
      </c>
      <c r="AM76" s="29">
        <f t="shared" si="8"/>
        <v>10.521539448266864</v>
      </c>
      <c r="AO76" s="30">
        <f t="shared" si="9"/>
        <v>18.401384922621613</v>
      </c>
      <c r="AP76" s="30">
        <f t="shared" si="10"/>
        <v>18.910648342989365</v>
      </c>
      <c r="AQ76" s="30">
        <f t="shared" si="11"/>
        <v>18.740893869533444</v>
      </c>
      <c r="AR76" s="30">
        <f t="shared" si="12"/>
        <v>5.5113619048688332</v>
      </c>
      <c r="AS76" s="30">
        <f t="shared" si="13"/>
        <v>35.900710823045024</v>
      </c>
      <c r="AT76" s="31">
        <f t="shared" si="14"/>
        <v>97.464999863058281</v>
      </c>
      <c r="AV76" s="28">
        <f t="shared" si="15"/>
        <v>6350.4757478304336</v>
      </c>
    </row>
    <row r="77" spans="2:48" ht="15.75" customHeight="1" x14ac:dyDescent="0.25">
      <c r="B77" s="32"/>
      <c r="C77" s="16" t="s">
        <v>46</v>
      </c>
      <c r="D77" s="17"/>
      <c r="E77" s="18" t="s">
        <v>48</v>
      </c>
      <c r="F77" s="43" t="s">
        <v>63</v>
      </c>
      <c r="G77" s="42">
        <v>46.4</v>
      </c>
      <c r="H77" s="42">
        <v>5.7</v>
      </c>
      <c r="I77" s="42">
        <v>47.7</v>
      </c>
      <c r="J77" s="36">
        <v>0.2</v>
      </c>
      <c r="K77" s="21">
        <v>0</v>
      </c>
      <c r="L77" s="22">
        <f t="shared" ref="L77:L92" si="47">10*(100-N77)/100</f>
        <v>9.15</v>
      </c>
      <c r="M77" s="23">
        <f t="shared" ref="M77:M92" si="48">88.9*(100-N77)/100</f>
        <v>81.343500000000006</v>
      </c>
      <c r="N77" s="42">
        <v>8.5</v>
      </c>
      <c r="O77" s="23">
        <f t="shared" ref="O77:O92" si="49">1.1*(100-N77)/100</f>
        <v>1.0065</v>
      </c>
      <c r="P77" s="21">
        <v>0.38</v>
      </c>
      <c r="Q77" s="40">
        <v>761</v>
      </c>
      <c r="R77" s="40" t="s">
        <v>50</v>
      </c>
      <c r="S77" s="21">
        <v>0</v>
      </c>
      <c r="T77" s="41" t="s">
        <v>51</v>
      </c>
      <c r="U77" s="21">
        <v>15.5</v>
      </c>
      <c r="V77" s="21">
        <v>31.6</v>
      </c>
      <c r="W77" s="21">
        <v>38.1</v>
      </c>
      <c r="X77" s="21">
        <v>8.4</v>
      </c>
      <c r="Y77" s="27">
        <f t="shared" si="4"/>
        <v>52.35718364497427</v>
      </c>
      <c r="Z77" s="21">
        <v>2.0985507246376813</v>
      </c>
      <c r="AA77" s="18" t="s">
        <v>51</v>
      </c>
      <c r="AB77" s="18" t="s">
        <v>51</v>
      </c>
      <c r="AC77" s="28">
        <f t="shared" si="5"/>
        <v>8675.4544642857145</v>
      </c>
      <c r="AD77" s="18" t="s">
        <v>51</v>
      </c>
      <c r="AF77" s="1"/>
      <c r="AK77" s="1">
        <f t="shared" si="6"/>
        <v>5.4408224206349214</v>
      </c>
      <c r="AL77" s="29">
        <f t="shared" si="7"/>
        <v>4.9509176269739648</v>
      </c>
      <c r="AM77" s="29">
        <f t="shared" si="8"/>
        <v>10.391740047608886</v>
      </c>
      <c r="AO77" s="30">
        <f t="shared" si="9"/>
        <v>7.3846365350289878</v>
      </c>
      <c r="AP77" s="30">
        <f t="shared" si="10"/>
        <v>15.05512996818813</v>
      </c>
      <c r="AQ77" s="30">
        <f t="shared" si="11"/>
        <v>18.151913031264801</v>
      </c>
      <c r="AR77" s="30">
        <f t="shared" si="12"/>
        <v>4.0019965738221615</v>
      </c>
      <c r="AS77" s="30">
        <f t="shared" si="13"/>
        <v>52.35718364497427</v>
      </c>
      <c r="AT77" s="31">
        <f t="shared" si="14"/>
        <v>96.950859753278351</v>
      </c>
      <c r="AV77" s="28">
        <f t="shared" si="15"/>
        <v>4133.2308383835234</v>
      </c>
    </row>
    <row r="78" spans="2:48" ht="15.75" customHeight="1" x14ac:dyDescent="0.25">
      <c r="B78" s="32"/>
      <c r="C78" s="16" t="s">
        <v>46</v>
      </c>
      <c r="D78" s="17"/>
      <c r="E78" s="18" t="s">
        <v>48</v>
      </c>
      <c r="F78" s="44"/>
      <c r="G78" s="42">
        <v>46.4</v>
      </c>
      <c r="H78" s="42">
        <v>5.7</v>
      </c>
      <c r="I78" s="42">
        <v>47.7</v>
      </c>
      <c r="J78" s="36">
        <v>0.2</v>
      </c>
      <c r="K78" s="21">
        <v>0</v>
      </c>
      <c r="L78" s="22">
        <f t="shared" si="47"/>
        <v>9.15</v>
      </c>
      <c r="M78" s="23">
        <f t="shared" si="48"/>
        <v>81.343500000000006</v>
      </c>
      <c r="N78" s="42">
        <v>8.5</v>
      </c>
      <c r="O78" s="23">
        <f t="shared" si="49"/>
        <v>1.0065</v>
      </c>
      <c r="P78" s="21">
        <v>0.38</v>
      </c>
      <c r="Q78" s="40">
        <v>730</v>
      </c>
      <c r="R78" s="40" t="s">
        <v>50</v>
      </c>
      <c r="S78" s="21">
        <v>0</v>
      </c>
      <c r="T78" s="41" t="s">
        <v>51</v>
      </c>
      <c r="U78" s="21">
        <v>13.9</v>
      </c>
      <c r="V78" s="21">
        <v>28.7</v>
      </c>
      <c r="W78" s="21">
        <v>43.8</v>
      </c>
      <c r="X78" s="21">
        <v>8.6999999999999993</v>
      </c>
      <c r="Y78" s="27">
        <f t="shared" si="4"/>
        <v>53.32713815915816</v>
      </c>
      <c r="Z78" s="21">
        <v>2.0399260172626388</v>
      </c>
      <c r="AA78" s="18" t="s">
        <v>51</v>
      </c>
      <c r="AB78" s="18" t="s">
        <v>51</v>
      </c>
      <c r="AC78" s="28">
        <f t="shared" si="5"/>
        <v>8243.8357142857149</v>
      </c>
      <c r="AD78" s="18" t="s">
        <v>51</v>
      </c>
      <c r="AF78" s="1"/>
      <c r="AK78" s="1">
        <f t="shared" si="6"/>
        <v>5.4408224206349214</v>
      </c>
      <c r="AL78" s="29">
        <f t="shared" si="7"/>
        <v>4.7619047619047619</v>
      </c>
      <c r="AM78" s="29">
        <f t="shared" si="8"/>
        <v>10.202727182539682</v>
      </c>
      <c r="AO78" s="30">
        <f t="shared" si="9"/>
        <v>6.4875277958770168</v>
      </c>
      <c r="AP78" s="30">
        <f t="shared" si="10"/>
        <v>13.39511134832161</v>
      </c>
      <c r="AQ78" s="30">
        <f t="shared" si="11"/>
        <v>20.442713486288728</v>
      </c>
      <c r="AR78" s="30">
        <f t="shared" si="12"/>
        <v>4.0605389801532406</v>
      </c>
      <c r="AS78" s="30">
        <f t="shared" si="13"/>
        <v>53.32713815915816</v>
      </c>
      <c r="AT78" s="31">
        <f t="shared" si="14"/>
        <v>97.713029769798766</v>
      </c>
      <c r="AV78" s="28">
        <f t="shared" si="15"/>
        <v>3847.6340533145485</v>
      </c>
    </row>
    <row r="79" spans="2:48" ht="15.75" customHeight="1" x14ac:dyDescent="0.25">
      <c r="B79" s="32"/>
      <c r="C79" s="16" t="s">
        <v>46</v>
      </c>
      <c r="D79" s="17"/>
      <c r="E79" s="18" t="s">
        <v>48</v>
      </c>
      <c r="F79" s="44"/>
      <c r="G79" s="42">
        <v>46.4</v>
      </c>
      <c r="H79" s="42">
        <v>5.7</v>
      </c>
      <c r="I79" s="42">
        <v>47.7</v>
      </c>
      <c r="J79" s="36">
        <v>0.2</v>
      </c>
      <c r="K79" s="21">
        <v>0</v>
      </c>
      <c r="L79" s="22">
        <f t="shared" si="47"/>
        <v>9.15</v>
      </c>
      <c r="M79" s="23">
        <f t="shared" si="48"/>
        <v>81.343500000000006</v>
      </c>
      <c r="N79" s="42">
        <v>8.5</v>
      </c>
      <c r="O79" s="23">
        <f t="shared" si="49"/>
        <v>1.0065</v>
      </c>
      <c r="P79" s="21">
        <v>0.38</v>
      </c>
      <c r="Q79" s="40">
        <v>699</v>
      </c>
      <c r="R79" s="40" t="s">
        <v>50</v>
      </c>
      <c r="S79" s="21">
        <v>0</v>
      </c>
      <c r="T79" s="41" t="s">
        <v>51</v>
      </c>
      <c r="U79" s="21">
        <v>14.1</v>
      </c>
      <c r="V79" s="21">
        <v>27</v>
      </c>
      <c r="W79" s="21">
        <v>45.8</v>
      </c>
      <c r="X79" s="21">
        <v>8.3000000000000007</v>
      </c>
      <c r="Y79" s="27">
        <f t="shared" si="4"/>
        <v>53.296466166531829</v>
      </c>
      <c r="Z79" s="21">
        <v>2.0217096336499321</v>
      </c>
      <c r="AA79" s="18" t="s">
        <v>51</v>
      </c>
      <c r="AB79" s="18" t="s">
        <v>51</v>
      </c>
      <c r="AC79" s="28">
        <f t="shared" si="5"/>
        <v>7907.3249999999998</v>
      </c>
      <c r="AD79" s="18" t="s">
        <v>51</v>
      </c>
      <c r="AF79" s="1"/>
      <c r="AK79" s="1">
        <f t="shared" si="6"/>
        <v>5.4408224206349214</v>
      </c>
      <c r="AL79" s="29">
        <f t="shared" si="7"/>
        <v>4.7677764077270863</v>
      </c>
      <c r="AM79" s="29">
        <f t="shared" si="8"/>
        <v>10.208598828362007</v>
      </c>
      <c r="AO79" s="30">
        <f t="shared" si="9"/>
        <v>6.5851982705190135</v>
      </c>
      <c r="AP79" s="30">
        <f t="shared" si="10"/>
        <v>12.609954135036409</v>
      </c>
      <c r="AQ79" s="30">
        <f t="shared" si="11"/>
        <v>21.390218495728426</v>
      </c>
      <c r="AR79" s="30">
        <f t="shared" si="12"/>
        <v>3.876393308177859</v>
      </c>
      <c r="AS79" s="30">
        <f t="shared" si="13"/>
        <v>53.296466166531829</v>
      </c>
      <c r="AT79" s="31">
        <f t="shared" si="14"/>
        <v>97.758230375993548</v>
      </c>
      <c r="AV79" s="28">
        <f t="shared" si="15"/>
        <v>3693.0002066972875</v>
      </c>
    </row>
    <row r="80" spans="2:48" ht="15.75" customHeight="1" x14ac:dyDescent="0.25">
      <c r="B80" s="32"/>
      <c r="C80" s="16" t="s">
        <v>46</v>
      </c>
      <c r="D80" s="17"/>
      <c r="E80" s="18" t="s">
        <v>48</v>
      </c>
      <c r="F80" s="44"/>
      <c r="G80" s="42">
        <v>46.4</v>
      </c>
      <c r="H80" s="42">
        <v>5.7</v>
      </c>
      <c r="I80" s="42">
        <v>47.7</v>
      </c>
      <c r="J80" s="36">
        <v>0.2</v>
      </c>
      <c r="K80" s="21">
        <v>0</v>
      </c>
      <c r="L80" s="22">
        <f t="shared" si="47"/>
        <v>9.15</v>
      </c>
      <c r="M80" s="23">
        <f t="shared" si="48"/>
        <v>81.343500000000006</v>
      </c>
      <c r="N80" s="42">
        <v>8.5</v>
      </c>
      <c r="O80" s="23">
        <f t="shared" si="49"/>
        <v>1.0065</v>
      </c>
      <c r="P80" s="21">
        <v>0.36</v>
      </c>
      <c r="Q80" s="40">
        <v>703.5</v>
      </c>
      <c r="R80" s="40" t="s">
        <v>50</v>
      </c>
      <c r="S80" s="21">
        <v>0</v>
      </c>
      <c r="T80" s="41" t="s">
        <v>51</v>
      </c>
      <c r="U80" s="21">
        <v>13.57</v>
      </c>
      <c r="V80" s="21">
        <v>27.57</v>
      </c>
      <c r="W80" s="21">
        <v>45.46</v>
      </c>
      <c r="X80" s="21">
        <v>8.26</v>
      </c>
      <c r="Y80" s="27">
        <f t="shared" si="4"/>
        <v>52.008816938969936</v>
      </c>
      <c r="Z80" s="21">
        <v>1.9</v>
      </c>
      <c r="AA80" s="18" t="s">
        <v>51</v>
      </c>
      <c r="AB80" s="18" t="s">
        <v>51</v>
      </c>
      <c r="AC80" s="28">
        <f t="shared" si="5"/>
        <v>7907.7895535714288</v>
      </c>
      <c r="AD80" s="18" t="s">
        <v>51</v>
      </c>
      <c r="AF80" s="1"/>
      <c r="AK80" s="1">
        <f t="shared" si="6"/>
        <v>5.1548392857142868</v>
      </c>
      <c r="AL80" s="29">
        <f t="shared" si="7"/>
        <v>4.7566326321400743</v>
      </c>
      <c r="AM80" s="29">
        <f t="shared" si="8"/>
        <v>9.9114719178543602</v>
      </c>
      <c r="AO80" s="30">
        <f t="shared" si="9"/>
        <v>6.5124035413817811</v>
      </c>
      <c r="AP80" s="30">
        <f t="shared" si="10"/>
        <v>13.231169169925991</v>
      </c>
      <c r="AQ80" s="30">
        <f t="shared" si="11"/>
        <v>21.816791819544274</v>
      </c>
      <c r="AR80" s="30">
        <f t="shared" si="12"/>
        <v>3.9640717208410843</v>
      </c>
      <c r="AS80" s="30">
        <f t="shared" si="13"/>
        <v>52.008816938969936</v>
      </c>
      <c r="AT80" s="31">
        <f t="shared" si="14"/>
        <v>97.533253190663061</v>
      </c>
      <c r="AV80" s="28">
        <f t="shared" si="15"/>
        <v>3795.0417607354771</v>
      </c>
    </row>
    <row r="81" spans="2:48" ht="15.75" customHeight="1" x14ac:dyDescent="0.25">
      <c r="B81" s="32"/>
      <c r="C81" s="16" t="s">
        <v>46</v>
      </c>
      <c r="D81" s="17"/>
      <c r="E81" s="18" t="s">
        <v>48</v>
      </c>
      <c r="F81" s="44"/>
      <c r="G81" s="42">
        <v>46.4</v>
      </c>
      <c r="H81" s="42">
        <v>5.7</v>
      </c>
      <c r="I81" s="42">
        <v>47.7</v>
      </c>
      <c r="J81" s="36">
        <v>0.2</v>
      </c>
      <c r="K81" s="21">
        <v>0</v>
      </c>
      <c r="L81" s="22">
        <f t="shared" si="47"/>
        <v>9.15</v>
      </c>
      <c r="M81" s="23">
        <f t="shared" si="48"/>
        <v>81.343500000000006</v>
      </c>
      <c r="N81" s="42">
        <v>8.5</v>
      </c>
      <c r="O81" s="23">
        <f t="shared" si="49"/>
        <v>1.0065</v>
      </c>
      <c r="P81" s="21">
        <v>0.39</v>
      </c>
      <c r="Q81" s="40">
        <v>729.9</v>
      </c>
      <c r="R81" s="40" t="s">
        <v>50</v>
      </c>
      <c r="S81" s="21">
        <v>0</v>
      </c>
      <c r="T81" s="41" t="s">
        <v>51</v>
      </c>
      <c r="U81" s="21">
        <v>13.9</v>
      </c>
      <c r="V81" s="21">
        <v>27.64</v>
      </c>
      <c r="W81" s="21">
        <v>45.79</v>
      </c>
      <c r="X81" s="21">
        <v>8.07</v>
      </c>
      <c r="Y81" s="27">
        <f t="shared" si="4"/>
        <v>54.063817998796196</v>
      </c>
      <c r="Z81" s="21">
        <v>2</v>
      </c>
      <c r="AA81" s="18" t="s">
        <v>51</v>
      </c>
      <c r="AB81" s="18" t="s">
        <v>51</v>
      </c>
      <c r="AC81" s="28">
        <f t="shared" si="5"/>
        <v>7884.1791964285712</v>
      </c>
      <c r="AD81" s="18" t="s">
        <v>51</v>
      </c>
      <c r="AF81" s="1"/>
      <c r="AK81" s="1">
        <f t="shared" si="6"/>
        <v>5.5838139880952387</v>
      </c>
      <c r="AL81" s="29">
        <f t="shared" si="7"/>
        <v>4.7443762781186098</v>
      </c>
      <c r="AM81" s="29">
        <f t="shared" si="8"/>
        <v>10.328190266213849</v>
      </c>
      <c r="AO81" s="30">
        <f t="shared" si="9"/>
        <v>6.38512929816733</v>
      </c>
      <c r="AP81" s="30">
        <f t="shared" si="10"/>
        <v>12.696760705132732</v>
      </c>
      <c r="AQ81" s="30">
        <f t="shared" si="11"/>
        <v>21.034177738351222</v>
      </c>
      <c r="AR81" s="30">
        <f t="shared" si="12"/>
        <v>3.7070498874971478</v>
      </c>
      <c r="AS81" s="30">
        <f t="shared" si="13"/>
        <v>54.063817998796196</v>
      </c>
      <c r="AT81" s="31">
        <f t="shared" si="14"/>
        <v>97.886935627944624</v>
      </c>
      <c r="AV81" s="28">
        <f t="shared" si="15"/>
        <v>3621.6909049724759</v>
      </c>
    </row>
    <row r="82" spans="2:48" ht="15.75" customHeight="1" x14ac:dyDescent="0.25">
      <c r="B82" s="32"/>
      <c r="C82" s="16" t="s">
        <v>46</v>
      </c>
      <c r="D82" s="17"/>
      <c r="E82" s="18" t="s">
        <v>48</v>
      </c>
      <c r="F82" s="44"/>
      <c r="G82" s="42">
        <v>46.4</v>
      </c>
      <c r="H82" s="42">
        <v>5.7</v>
      </c>
      <c r="I82" s="42">
        <v>47.7</v>
      </c>
      <c r="J82" s="36">
        <v>0.2</v>
      </c>
      <c r="K82" s="21">
        <v>0</v>
      </c>
      <c r="L82" s="22">
        <f t="shared" si="47"/>
        <v>9.15</v>
      </c>
      <c r="M82" s="23">
        <f t="shared" si="48"/>
        <v>81.343500000000006</v>
      </c>
      <c r="N82" s="42">
        <v>8.5</v>
      </c>
      <c r="O82" s="23">
        <f t="shared" si="49"/>
        <v>1.0065</v>
      </c>
      <c r="P82" s="21">
        <v>0.45</v>
      </c>
      <c r="Q82" s="40">
        <v>738.2</v>
      </c>
      <c r="R82" s="40" t="s">
        <v>50</v>
      </c>
      <c r="S82" s="21">
        <v>0</v>
      </c>
      <c r="T82" s="41" t="s">
        <v>51</v>
      </c>
      <c r="U82" s="21">
        <v>14.29</v>
      </c>
      <c r="V82" s="21">
        <v>27.34</v>
      </c>
      <c r="W82" s="21">
        <v>46.03</v>
      </c>
      <c r="X82" s="21">
        <v>7.93</v>
      </c>
      <c r="Y82" s="27">
        <f t="shared" si="4"/>
        <v>57.526988263182943</v>
      </c>
      <c r="Z82" s="21">
        <v>2.1800000000000002</v>
      </c>
      <c r="AA82" s="18" t="s">
        <v>51</v>
      </c>
      <c r="AB82" s="18" t="s">
        <v>51</v>
      </c>
      <c r="AC82" s="28">
        <f t="shared" si="5"/>
        <v>7838.2162499999995</v>
      </c>
      <c r="AD82" s="18" t="s">
        <v>51</v>
      </c>
      <c r="AF82" s="1"/>
      <c r="AK82" s="1">
        <f t="shared" si="6"/>
        <v>6.4417633928571441</v>
      </c>
      <c r="AL82" s="29">
        <f t="shared" si="7"/>
        <v>4.7560475604756043</v>
      </c>
      <c r="AM82" s="29">
        <f t="shared" si="8"/>
        <v>11.197810953332748</v>
      </c>
      <c r="AO82" s="30">
        <f t="shared" si="9"/>
        <v>6.0693933771911563</v>
      </c>
      <c r="AP82" s="30">
        <f t="shared" si="10"/>
        <v>11.612121408845782</v>
      </c>
      <c r="AQ82" s="30">
        <f t="shared" si="11"/>
        <v>19.550327302456889</v>
      </c>
      <c r="AR82" s="30">
        <f t="shared" si="12"/>
        <v>3.3681098307295922</v>
      </c>
      <c r="AS82" s="30">
        <f t="shared" si="13"/>
        <v>57.526988263182943</v>
      </c>
      <c r="AT82" s="31">
        <f t="shared" si="14"/>
        <v>98.126940182406372</v>
      </c>
      <c r="AV82" s="28">
        <f t="shared" si="15"/>
        <v>3329.1265078196011</v>
      </c>
    </row>
    <row r="83" spans="2:48" ht="15.75" customHeight="1" x14ac:dyDescent="0.25">
      <c r="B83" s="32"/>
      <c r="C83" s="16" t="s">
        <v>46</v>
      </c>
      <c r="D83" s="17"/>
      <c r="E83" s="18" t="s">
        <v>48</v>
      </c>
      <c r="F83" s="44"/>
      <c r="G83" s="42">
        <v>46.4</v>
      </c>
      <c r="H83" s="42">
        <v>5.7</v>
      </c>
      <c r="I83" s="42">
        <v>47.7</v>
      </c>
      <c r="J83" s="36">
        <v>0.2</v>
      </c>
      <c r="K83" s="21">
        <v>0</v>
      </c>
      <c r="L83" s="22">
        <f t="shared" si="47"/>
        <v>9.15</v>
      </c>
      <c r="M83" s="23">
        <f t="shared" si="48"/>
        <v>81.343500000000006</v>
      </c>
      <c r="N83" s="42">
        <v>8.5</v>
      </c>
      <c r="O83" s="23">
        <f t="shared" si="49"/>
        <v>1.0065</v>
      </c>
      <c r="P83" s="21">
        <v>0.49</v>
      </c>
      <c r="Q83" s="40">
        <v>765.4</v>
      </c>
      <c r="R83" s="40" t="s">
        <v>50</v>
      </c>
      <c r="S83" s="21">
        <v>0</v>
      </c>
      <c r="T83" s="41" t="s">
        <v>51</v>
      </c>
      <c r="U83" s="21">
        <v>14.06</v>
      </c>
      <c r="V83" s="21">
        <v>26.8</v>
      </c>
      <c r="W83" s="21">
        <v>47.16</v>
      </c>
      <c r="X83" s="21">
        <v>7.82</v>
      </c>
      <c r="Y83" s="27">
        <f t="shared" si="4"/>
        <v>59.732686626618438</v>
      </c>
      <c r="Z83" s="21">
        <v>2.4500000000000002</v>
      </c>
      <c r="AA83" s="18" t="s">
        <v>51</v>
      </c>
      <c r="AB83" s="18" t="s">
        <v>51</v>
      </c>
      <c r="AC83" s="28">
        <f t="shared" si="5"/>
        <v>7705.7489285714291</v>
      </c>
      <c r="AD83" s="18" t="s">
        <v>51</v>
      </c>
      <c r="AF83" s="1"/>
      <c r="AK83" s="1">
        <f t="shared" si="6"/>
        <v>7.0137296626984131</v>
      </c>
      <c r="AL83" s="29">
        <f t="shared" si="7"/>
        <v>4.7281323877068555</v>
      </c>
      <c r="AM83" s="29">
        <f t="shared" si="8"/>
        <v>11.741862050405269</v>
      </c>
      <c r="AO83" s="30">
        <f t="shared" si="9"/>
        <v>5.661584260297448</v>
      </c>
      <c r="AP83" s="30">
        <f t="shared" si="10"/>
        <v>10.791639984066261</v>
      </c>
      <c r="AQ83" s="30">
        <f t="shared" si="11"/>
        <v>18.990064986886743</v>
      </c>
      <c r="AR83" s="30">
        <f t="shared" si="12"/>
        <v>3.1489039057984383</v>
      </c>
      <c r="AS83" s="30">
        <f t="shared" si="13"/>
        <v>59.732686626618438</v>
      </c>
      <c r="AT83" s="31">
        <f t="shared" si="14"/>
        <v>98.324879763667326</v>
      </c>
      <c r="AV83" s="28">
        <f t="shared" si="15"/>
        <v>3102.8980688338497</v>
      </c>
    </row>
    <row r="84" spans="2:48" ht="15.75" customHeight="1" x14ac:dyDescent="0.25">
      <c r="B84" s="32"/>
      <c r="C84" s="16" t="s">
        <v>46</v>
      </c>
      <c r="D84" s="17"/>
      <c r="E84" s="18" t="s">
        <v>48</v>
      </c>
      <c r="F84" s="44"/>
      <c r="G84" s="42">
        <v>46.4</v>
      </c>
      <c r="H84" s="42">
        <v>5.7</v>
      </c>
      <c r="I84" s="42">
        <v>47.7</v>
      </c>
      <c r="J84" s="36">
        <v>0.2</v>
      </c>
      <c r="K84" s="21">
        <v>0</v>
      </c>
      <c r="L84" s="22">
        <f t="shared" si="47"/>
        <v>9.15</v>
      </c>
      <c r="M84" s="23">
        <f t="shared" si="48"/>
        <v>81.343500000000006</v>
      </c>
      <c r="N84" s="42">
        <v>8.5</v>
      </c>
      <c r="O84" s="23">
        <f t="shared" si="49"/>
        <v>1.0065</v>
      </c>
      <c r="P84" s="21">
        <v>0.3</v>
      </c>
      <c r="Q84" s="40">
        <v>726.3</v>
      </c>
      <c r="R84" s="40" t="s">
        <v>50</v>
      </c>
      <c r="S84" s="21">
        <v>0</v>
      </c>
      <c r="T84" s="41" t="s">
        <v>51</v>
      </c>
      <c r="U84" s="21">
        <v>14.06</v>
      </c>
      <c r="V84" s="21">
        <v>33.25</v>
      </c>
      <c r="W84" s="21">
        <v>40.99</v>
      </c>
      <c r="X84" s="21">
        <v>7.85</v>
      </c>
      <c r="Y84" s="27">
        <f t="shared" si="4"/>
        <v>47.705230474324757</v>
      </c>
      <c r="Z84" s="21">
        <v>1.86</v>
      </c>
      <c r="AA84" s="18" t="s">
        <v>51</v>
      </c>
      <c r="AB84" s="18" t="s">
        <v>51</v>
      </c>
      <c r="AC84" s="28">
        <f t="shared" si="5"/>
        <v>8531.3866964285717</v>
      </c>
      <c r="AD84" s="18" t="s">
        <v>51</v>
      </c>
      <c r="AF84" s="1"/>
      <c r="AK84" s="1">
        <f t="shared" si="6"/>
        <v>4.2968898809523814</v>
      </c>
      <c r="AL84" s="29">
        <f t="shared" si="7"/>
        <v>4.7102773378811875</v>
      </c>
      <c r="AM84" s="29">
        <f t="shared" si="8"/>
        <v>9.007167218833569</v>
      </c>
      <c r="AO84" s="30">
        <f t="shared" si="9"/>
        <v>7.3526445953099389</v>
      </c>
      <c r="AP84" s="30">
        <f t="shared" si="10"/>
        <v>17.388010867287022</v>
      </c>
      <c r="AQ84" s="30">
        <f t="shared" si="11"/>
        <v>21.435626028574283</v>
      </c>
      <c r="AR84" s="30">
        <f t="shared" si="12"/>
        <v>4.105139407765507</v>
      </c>
      <c r="AS84" s="30">
        <f t="shared" si="13"/>
        <v>47.705230474324757</v>
      </c>
      <c r="AT84" s="31">
        <f t="shared" si="14"/>
        <v>97.986651373261509</v>
      </c>
      <c r="AV84" s="28">
        <f t="shared" si="15"/>
        <v>4461.4690102414406</v>
      </c>
    </row>
    <row r="85" spans="2:48" ht="15.75" customHeight="1" x14ac:dyDescent="0.25">
      <c r="B85" s="32"/>
      <c r="C85" s="16" t="s">
        <v>46</v>
      </c>
      <c r="D85" s="17"/>
      <c r="E85" s="18" t="s">
        <v>48</v>
      </c>
      <c r="F85" s="44"/>
      <c r="G85" s="42">
        <v>46.4</v>
      </c>
      <c r="H85" s="42">
        <v>5.7</v>
      </c>
      <c r="I85" s="42">
        <v>47.7</v>
      </c>
      <c r="J85" s="36">
        <v>0.2</v>
      </c>
      <c r="K85" s="21">
        <v>0</v>
      </c>
      <c r="L85" s="22">
        <f t="shared" si="47"/>
        <v>9.15</v>
      </c>
      <c r="M85" s="23">
        <f t="shared" si="48"/>
        <v>81.343500000000006</v>
      </c>
      <c r="N85" s="42">
        <v>8.5</v>
      </c>
      <c r="O85" s="23">
        <f t="shared" si="49"/>
        <v>1.0065</v>
      </c>
      <c r="P85" s="21">
        <v>0.38</v>
      </c>
      <c r="Q85" s="40">
        <v>767.2</v>
      </c>
      <c r="R85" s="40" t="s">
        <v>50</v>
      </c>
      <c r="S85" s="21">
        <v>0</v>
      </c>
      <c r="T85" s="41" t="s">
        <v>51</v>
      </c>
      <c r="U85" s="21">
        <v>14.58</v>
      </c>
      <c r="V85" s="21">
        <v>32.44</v>
      </c>
      <c r="W85" s="21">
        <v>41.26</v>
      </c>
      <c r="X85" s="21">
        <v>8.01</v>
      </c>
      <c r="Y85" s="27">
        <f t="shared" si="4"/>
        <v>53.48294075018525</v>
      </c>
      <c r="Z85" s="21">
        <v>2.2999999999999998</v>
      </c>
      <c r="AA85" s="18" t="s">
        <v>51</v>
      </c>
      <c r="AB85" s="18" t="s">
        <v>51</v>
      </c>
      <c r="AC85" s="28">
        <f t="shared" si="5"/>
        <v>8542.5186607142859</v>
      </c>
      <c r="AD85" s="18" t="s">
        <v>51</v>
      </c>
      <c r="AF85" s="1"/>
      <c r="AK85" s="1">
        <f t="shared" si="6"/>
        <v>5.4408224206349214</v>
      </c>
      <c r="AL85" s="29">
        <f t="shared" si="7"/>
        <v>4.7321829233467954</v>
      </c>
      <c r="AM85" s="29">
        <f t="shared" si="8"/>
        <v>10.173005343981718</v>
      </c>
      <c r="AO85" s="30">
        <f t="shared" si="9"/>
        <v>6.7821872386229884</v>
      </c>
      <c r="AP85" s="30">
        <f t="shared" si="10"/>
        <v>15.090134020639901</v>
      </c>
      <c r="AQ85" s="30">
        <f t="shared" si="11"/>
        <v>19.192938646473561</v>
      </c>
      <c r="AR85" s="30">
        <f t="shared" si="12"/>
        <v>3.7260164459101608</v>
      </c>
      <c r="AS85" s="30">
        <f t="shared" si="13"/>
        <v>53.48294075018525</v>
      </c>
      <c r="AT85" s="31">
        <f t="shared" si="14"/>
        <v>98.274217101831866</v>
      </c>
      <c r="AV85" s="28">
        <f t="shared" si="15"/>
        <v>3973.7284668309439</v>
      </c>
    </row>
    <row r="86" spans="2:48" ht="15.75" customHeight="1" x14ac:dyDescent="0.25">
      <c r="B86" s="32"/>
      <c r="C86" s="16" t="s">
        <v>46</v>
      </c>
      <c r="D86" s="17"/>
      <c r="E86" s="18" t="s">
        <v>48</v>
      </c>
      <c r="F86" s="44"/>
      <c r="G86" s="42">
        <v>46.4</v>
      </c>
      <c r="H86" s="42">
        <v>5.7</v>
      </c>
      <c r="I86" s="42">
        <v>47.7</v>
      </c>
      <c r="J86" s="36">
        <v>0.2</v>
      </c>
      <c r="K86" s="21">
        <v>0</v>
      </c>
      <c r="L86" s="22">
        <f t="shared" si="47"/>
        <v>9.15</v>
      </c>
      <c r="M86" s="23">
        <f t="shared" si="48"/>
        <v>81.343500000000006</v>
      </c>
      <c r="N86" s="42">
        <v>8.5</v>
      </c>
      <c r="O86" s="23">
        <f t="shared" si="49"/>
        <v>1.0065</v>
      </c>
      <c r="P86" s="21">
        <v>0.43</v>
      </c>
      <c r="Q86" s="40">
        <v>783.1</v>
      </c>
      <c r="R86" s="40" t="s">
        <v>50</v>
      </c>
      <c r="S86" s="21">
        <v>0</v>
      </c>
      <c r="T86" s="41" t="s">
        <v>51</v>
      </c>
      <c r="U86" s="21">
        <v>15.48</v>
      </c>
      <c r="V86" s="21">
        <v>32.14</v>
      </c>
      <c r="W86" s="21">
        <v>41.19</v>
      </c>
      <c r="X86" s="21">
        <v>7.93</v>
      </c>
      <c r="Y86" s="27">
        <f t="shared" si="4"/>
        <v>56.401731321751093</v>
      </c>
      <c r="Z86" s="21">
        <v>2.58</v>
      </c>
      <c r="AA86" s="18" t="s">
        <v>51</v>
      </c>
      <c r="AB86" s="18" t="s">
        <v>51</v>
      </c>
      <c r="AC86" s="28">
        <f t="shared" si="5"/>
        <v>8573.1116964285702</v>
      </c>
      <c r="AD86" s="18" t="s">
        <v>51</v>
      </c>
      <c r="AF86" s="1"/>
      <c r="AK86" s="1">
        <f t="shared" si="6"/>
        <v>6.1557802579365086</v>
      </c>
      <c r="AL86" s="29">
        <f t="shared" si="7"/>
        <v>4.758388711132989</v>
      </c>
      <c r="AM86" s="29">
        <f t="shared" si="8"/>
        <v>10.914168969069497</v>
      </c>
      <c r="AO86" s="30">
        <f t="shared" si="9"/>
        <v>6.7490119913929325</v>
      </c>
      <c r="AP86" s="30">
        <f t="shared" si="10"/>
        <v>14.012483553189202</v>
      </c>
      <c r="AQ86" s="30">
        <f t="shared" si="11"/>
        <v>17.95812686857073</v>
      </c>
      <c r="AR86" s="30">
        <f t="shared" si="12"/>
        <v>3.4573427061851389</v>
      </c>
      <c r="AS86" s="30">
        <f t="shared" si="13"/>
        <v>56.401731321751093</v>
      </c>
      <c r="AT86" s="31">
        <f t="shared" si="14"/>
        <v>98.578696441089093</v>
      </c>
      <c r="AV86" s="28">
        <f t="shared" si="15"/>
        <v>3737.7282714953126</v>
      </c>
    </row>
    <row r="87" spans="2:48" ht="15.75" customHeight="1" x14ac:dyDescent="0.25">
      <c r="B87" s="32"/>
      <c r="C87" s="16" t="s">
        <v>46</v>
      </c>
      <c r="D87" s="17"/>
      <c r="E87" s="18" t="s">
        <v>48</v>
      </c>
      <c r="F87" s="44"/>
      <c r="G87" s="42">
        <v>46.4</v>
      </c>
      <c r="H87" s="42">
        <v>5.7</v>
      </c>
      <c r="I87" s="42">
        <v>47.7</v>
      </c>
      <c r="J87" s="36">
        <v>0.2</v>
      </c>
      <c r="K87" s="21">
        <v>0</v>
      </c>
      <c r="L87" s="22">
        <f t="shared" si="47"/>
        <v>9.15</v>
      </c>
      <c r="M87" s="23">
        <f t="shared" si="48"/>
        <v>81.343500000000006</v>
      </c>
      <c r="N87" s="42">
        <v>8.5</v>
      </c>
      <c r="O87" s="23">
        <f t="shared" si="49"/>
        <v>1.0065</v>
      </c>
      <c r="P87" s="21">
        <v>0.46</v>
      </c>
      <c r="Q87" s="40">
        <v>806.6</v>
      </c>
      <c r="R87" s="40" t="s">
        <v>50</v>
      </c>
      <c r="S87" s="21">
        <v>0</v>
      </c>
      <c r="T87" s="41" t="s">
        <v>51</v>
      </c>
      <c r="U87" s="21">
        <v>14.66</v>
      </c>
      <c r="V87" s="21">
        <v>32.68</v>
      </c>
      <c r="W87" s="21">
        <v>41.72</v>
      </c>
      <c r="X87" s="21">
        <v>8.07</v>
      </c>
      <c r="Y87" s="27">
        <f t="shared" si="4"/>
        <v>58.410033130929676</v>
      </c>
      <c r="Z87" s="21">
        <v>2.74</v>
      </c>
      <c r="AA87" s="18" t="s">
        <v>51</v>
      </c>
      <c r="AB87" s="18" t="s">
        <v>51</v>
      </c>
      <c r="AC87" s="28">
        <f t="shared" si="5"/>
        <v>8602.975267857144</v>
      </c>
      <c r="AD87" s="18" t="s">
        <v>51</v>
      </c>
      <c r="AF87" s="1"/>
      <c r="AK87" s="1">
        <f t="shared" si="6"/>
        <v>6.5847549603174613</v>
      </c>
      <c r="AL87" s="29">
        <f t="shared" si="7"/>
        <v>4.6885736227314982</v>
      </c>
      <c r="AM87" s="29">
        <f t="shared" si="8"/>
        <v>11.27332858304896</v>
      </c>
      <c r="AO87" s="30">
        <f t="shared" si="9"/>
        <v>6.0970891430057108</v>
      </c>
      <c r="AP87" s="30">
        <f t="shared" si="10"/>
        <v>13.591601172812185</v>
      </c>
      <c r="AQ87" s="30">
        <f t="shared" si="11"/>
        <v>17.351334177776142</v>
      </c>
      <c r="AR87" s="30">
        <f t="shared" si="12"/>
        <v>3.3563103263339764</v>
      </c>
      <c r="AS87" s="30">
        <f t="shared" si="13"/>
        <v>58.410033130929676</v>
      </c>
      <c r="AT87" s="31">
        <f t="shared" si="14"/>
        <v>98.806367950857691</v>
      </c>
      <c r="AV87" s="28">
        <f t="shared" si="15"/>
        <v>3577.9745636561011</v>
      </c>
    </row>
    <row r="88" spans="2:48" ht="15.75" customHeight="1" x14ac:dyDescent="0.25">
      <c r="B88" s="32"/>
      <c r="C88" s="16" t="s">
        <v>46</v>
      </c>
      <c r="D88" s="17"/>
      <c r="E88" s="18" t="s">
        <v>48</v>
      </c>
      <c r="F88" s="44"/>
      <c r="G88" s="42">
        <v>46.4</v>
      </c>
      <c r="H88" s="42">
        <v>5.7</v>
      </c>
      <c r="I88" s="42">
        <v>47.7</v>
      </c>
      <c r="J88" s="36">
        <v>0.2</v>
      </c>
      <c r="K88" s="21">
        <v>0</v>
      </c>
      <c r="L88" s="22">
        <f t="shared" si="47"/>
        <v>9.15</v>
      </c>
      <c r="M88" s="23">
        <f t="shared" si="48"/>
        <v>81.343500000000006</v>
      </c>
      <c r="N88" s="42">
        <v>8.5</v>
      </c>
      <c r="O88" s="23">
        <f t="shared" si="49"/>
        <v>1.0065</v>
      </c>
      <c r="P88" s="21">
        <v>0.3</v>
      </c>
      <c r="Q88" s="40">
        <v>747.3</v>
      </c>
      <c r="R88" s="40" t="s">
        <v>50</v>
      </c>
      <c r="S88" s="21">
        <v>0</v>
      </c>
      <c r="T88" s="41" t="s">
        <v>51</v>
      </c>
      <c r="U88" s="21">
        <v>13.43</v>
      </c>
      <c r="V88" s="21">
        <v>34.65</v>
      </c>
      <c r="W88" s="21">
        <v>38.49</v>
      </c>
      <c r="X88" s="21">
        <v>8.83</v>
      </c>
      <c r="Y88" s="27">
        <f t="shared" si="4"/>
        <v>47.668736748300624</v>
      </c>
      <c r="Z88" s="21">
        <v>2.14</v>
      </c>
      <c r="AA88" s="18" t="s">
        <v>51</v>
      </c>
      <c r="AB88" s="18" t="s">
        <v>51</v>
      </c>
      <c r="AC88" s="28">
        <f t="shared" si="5"/>
        <v>8991.3960714285713</v>
      </c>
      <c r="AD88" s="18" t="s">
        <v>51</v>
      </c>
      <c r="AF88" s="1"/>
      <c r="AK88" s="1">
        <f t="shared" si="6"/>
        <v>4.2968898809523814</v>
      </c>
      <c r="AL88" s="29">
        <f t="shared" si="7"/>
        <v>4.7171729494530519</v>
      </c>
      <c r="AM88" s="29">
        <f t="shared" si="8"/>
        <v>9.0140628304054324</v>
      </c>
      <c r="AO88" s="30">
        <f t="shared" si="9"/>
        <v>7.028088654703228</v>
      </c>
      <c r="AP88" s="30">
        <f t="shared" si="10"/>
        <v>18.132782716713837</v>
      </c>
      <c r="AQ88" s="30">
        <f t="shared" si="11"/>
        <v>20.142303225579099</v>
      </c>
      <c r="AR88" s="30">
        <f t="shared" si="12"/>
        <v>4.6208505451250561</v>
      </c>
      <c r="AS88" s="30">
        <f t="shared" si="13"/>
        <v>47.668736748300624</v>
      </c>
      <c r="AT88" s="31">
        <f t="shared" si="14"/>
        <v>97.592761890421855</v>
      </c>
      <c r="AV88" s="28">
        <f t="shared" si="15"/>
        <v>4705.311148142242</v>
      </c>
    </row>
    <row r="89" spans="2:48" ht="15.75" customHeight="1" x14ac:dyDescent="0.25">
      <c r="B89" s="32"/>
      <c r="C89" s="16" t="s">
        <v>46</v>
      </c>
      <c r="D89" s="17"/>
      <c r="E89" s="18" t="s">
        <v>48</v>
      </c>
      <c r="F89" s="44"/>
      <c r="G89" s="42">
        <v>46.4</v>
      </c>
      <c r="H89" s="42">
        <v>5.7</v>
      </c>
      <c r="I89" s="42">
        <v>47.7</v>
      </c>
      <c r="J89" s="36">
        <v>0.2</v>
      </c>
      <c r="K89" s="21">
        <v>0</v>
      </c>
      <c r="L89" s="22">
        <f t="shared" si="47"/>
        <v>9.15</v>
      </c>
      <c r="M89" s="23">
        <f t="shared" si="48"/>
        <v>81.343500000000006</v>
      </c>
      <c r="N89" s="42">
        <v>8.5</v>
      </c>
      <c r="O89" s="23">
        <f t="shared" si="49"/>
        <v>1.0065</v>
      </c>
      <c r="P89" s="21">
        <v>0.34</v>
      </c>
      <c r="Q89" s="40">
        <v>769</v>
      </c>
      <c r="R89" s="40" t="s">
        <v>50</v>
      </c>
      <c r="S89" s="21">
        <v>0</v>
      </c>
      <c r="T89" s="41" t="s">
        <v>51</v>
      </c>
      <c r="U89" s="21">
        <v>14.96</v>
      </c>
      <c r="V89" s="21">
        <v>33.61</v>
      </c>
      <c r="W89" s="21">
        <v>38.18</v>
      </c>
      <c r="X89" s="21">
        <v>8.4700000000000006</v>
      </c>
      <c r="Y89" s="27">
        <f t="shared" si="4"/>
        <v>50.264182598550178</v>
      </c>
      <c r="Z89" s="21">
        <v>2.35</v>
      </c>
      <c r="AA89" s="18" t="s">
        <v>51</v>
      </c>
      <c r="AB89" s="18" t="s">
        <v>51</v>
      </c>
      <c r="AC89" s="28">
        <f t="shared" si="5"/>
        <v>8896.1824107142857</v>
      </c>
      <c r="AD89" s="18" t="s">
        <v>51</v>
      </c>
      <c r="AF89" s="1"/>
      <c r="AK89" s="1">
        <f t="shared" si="6"/>
        <v>4.8688561507936523</v>
      </c>
      <c r="AL89" s="29">
        <f t="shared" si="7"/>
        <v>4.8176758867015534</v>
      </c>
      <c r="AM89" s="29">
        <f t="shared" si="8"/>
        <v>9.6865320374952049</v>
      </c>
      <c r="AO89" s="30">
        <f t="shared" si="9"/>
        <v>7.4404782832568959</v>
      </c>
      <c r="AP89" s="30">
        <f t="shared" si="10"/>
        <v>16.716208228627291</v>
      </c>
      <c r="AQ89" s="30">
        <f t="shared" si="11"/>
        <v>18.989135083873546</v>
      </c>
      <c r="AR89" s="30">
        <f t="shared" si="12"/>
        <v>4.2126237339028014</v>
      </c>
      <c r="AS89" s="30">
        <f t="shared" si="13"/>
        <v>50.264182598550178</v>
      </c>
      <c r="AT89" s="31">
        <f t="shared" si="14"/>
        <v>97.622627928210719</v>
      </c>
      <c r="AV89" s="28">
        <f t="shared" si="15"/>
        <v>4424.5890394927565</v>
      </c>
    </row>
    <row r="90" spans="2:48" ht="15.75" customHeight="1" x14ac:dyDescent="0.25">
      <c r="B90" s="32"/>
      <c r="C90" s="16" t="s">
        <v>46</v>
      </c>
      <c r="D90" s="17"/>
      <c r="E90" s="18" t="s">
        <v>48</v>
      </c>
      <c r="F90" s="44"/>
      <c r="G90" s="42">
        <v>46.4</v>
      </c>
      <c r="H90" s="42">
        <v>5.7</v>
      </c>
      <c r="I90" s="42">
        <v>47.7</v>
      </c>
      <c r="J90" s="36">
        <v>0.2</v>
      </c>
      <c r="K90" s="21">
        <v>0</v>
      </c>
      <c r="L90" s="22">
        <f t="shared" si="47"/>
        <v>9.15</v>
      </c>
      <c r="M90" s="23">
        <f t="shared" si="48"/>
        <v>81.343500000000006</v>
      </c>
      <c r="N90" s="42">
        <v>8.5</v>
      </c>
      <c r="O90" s="23">
        <f t="shared" si="49"/>
        <v>1.0065</v>
      </c>
      <c r="P90" s="21">
        <v>0.38</v>
      </c>
      <c r="Q90" s="40">
        <v>779.5</v>
      </c>
      <c r="R90" s="40" t="s">
        <v>50</v>
      </c>
      <c r="S90" s="21">
        <v>0</v>
      </c>
      <c r="T90" s="41" t="s">
        <v>51</v>
      </c>
      <c r="U90" s="21">
        <v>15.97</v>
      </c>
      <c r="V90" s="21">
        <v>33.21</v>
      </c>
      <c r="W90" s="21">
        <v>38.49</v>
      </c>
      <c r="X90" s="21">
        <v>8.61</v>
      </c>
      <c r="Y90" s="27">
        <f t="shared" si="4"/>
        <v>53.052732810734362</v>
      </c>
      <c r="Z90" s="21">
        <v>2.66</v>
      </c>
      <c r="AA90" s="18" t="s">
        <v>51</v>
      </c>
      <c r="AB90" s="18" t="s">
        <v>51</v>
      </c>
      <c r="AC90" s="28">
        <f t="shared" si="5"/>
        <v>9004.8453571428581</v>
      </c>
      <c r="AD90" s="18" t="s">
        <v>51</v>
      </c>
      <c r="AF90" s="1"/>
      <c r="AK90" s="1">
        <f t="shared" si="6"/>
        <v>5.4408224206349214</v>
      </c>
      <c r="AL90" s="29">
        <f t="shared" si="7"/>
        <v>4.8146764620429172</v>
      </c>
      <c r="AM90" s="29">
        <f t="shared" si="8"/>
        <v>10.255498882677838</v>
      </c>
      <c r="AO90" s="30">
        <f t="shared" si="9"/>
        <v>7.4974785701257236</v>
      </c>
      <c r="AP90" s="30">
        <f t="shared" si="10"/>
        <v>15.59118743355512</v>
      </c>
      <c r="AQ90" s="30">
        <f t="shared" si="11"/>
        <v>18.070003141148348</v>
      </c>
      <c r="AR90" s="30">
        <f t="shared" si="12"/>
        <v>4.0421597049957718</v>
      </c>
      <c r="AS90" s="30">
        <f t="shared" si="13"/>
        <v>53.052732810734362</v>
      </c>
      <c r="AT90" s="31">
        <f t="shared" si="14"/>
        <v>98.253561660559313</v>
      </c>
      <c r="AV90" s="28">
        <f t="shared" si="15"/>
        <v>4227.5288097980392</v>
      </c>
    </row>
    <row r="91" spans="2:48" ht="15.75" customHeight="1" x14ac:dyDescent="0.25">
      <c r="B91" s="32"/>
      <c r="C91" s="16" t="s">
        <v>46</v>
      </c>
      <c r="D91" s="17"/>
      <c r="E91" s="18" t="s">
        <v>48</v>
      </c>
      <c r="F91" s="44"/>
      <c r="G91" s="42">
        <v>46.4</v>
      </c>
      <c r="H91" s="42">
        <v>5.7</v>
      </c>
      <c r="I91" s="42">
        <v>47.7</v>
      </c>
      <c r="J91" s="36">
        <v>0.2</v>
      </c>
      <c r="K91" s="21">
        <v>0</v>
      </c>
      <c r="L91" s="22">
        <f t="shared" si="47"/>
        <v>9.15</v>
      </c>
      <c r="M91" s="23">
        <f t="shared" si="48"/>
        <v>81.343500000000006</v>
      </c>
      <c r="N91" s="42">
        <v>8.5</v>
      </c>
      <c r="O91" s="23">
        <f t="shared" si="49"/>
        <v>1.0065</v>
      </c>
      <c r="P91" s="21">
        <v>0.4</v>
      </c>
      <c r="Q91" s="40">
        <v>791.8</v>
      </c>
      <c r="R91" s="40" t="s">
        <v>50</v>
      </c>
      <c r="S91" s="21">
        <v>0</v>
      </c>
      <c r="T91" s="41" t="s">
        <v>51</v>
      </c>
      <c r="U91" s="21">
        <v>15.45</v>
      </c>
      <c r="V91" s="21">
        <v>33.08</v>
      </c>
      <c r="W91" s="21">
        <v>38.82</v>
      </c>
      <c r="X91" s="21">
        <v>8.64</v>
      </c>
      <c r="Y91" s="27">
        <f t="shared" si="4"/>
        <v>54.397330899365123</v>
      </c>
      <c r="Z91" s="21">
        <v>2.77</v>
      </c>
      <c r="AA91" s="18" t="s">
        <v>51</v>
      </c>
      <c r="AB91" s="18" t="s">
        <v>51</v>
      </c>
      <c r="AC91" s="28">
        <f t="shared" si="5"/>
        <v>8943.0338392857138</v>
      </c>
      <c r="AD91" s="18" t="s">
        <v>51</v>
      </c>
      <c r="AF91" s="1"/>
      <c r="AK91" s="1">
        <f t="shared" si="6"/>
        <v>5.7268055555555559</v>
      </c>
      <c r="AL91" s="29">
        <f t="shared" si="7"/>
        <v>4.8009270755732141</v>
      </c>
      <c r="AM91" s="29">
        <f t="shared" si="8"/>
        <v>10.527732631128771</v>
      </c>
      <c r="AO91" s="30">
        <f t="shared" si="9"/>
        <v>7.0456123760480871</v>
      </c>
      <c r="AP91" s="30">
        <f t="shared" si="10"/>
        <v>15.085362938490013</v>
      </c>
      <c r="AQ91" s="30">
        <f t="shared" si="11"/>
        <v>17.702956144866455</v>
      </c>
      <c r="AR91" s="30">
        <f t="shared" si="12"/>
        <v>3.9400706102948524</v>
      </c>
      <c r="AS91" s="30">
        <f t="shared" si="13"/>
        <v>54.397330899365123</v>
      </c>
      <c r="AT91" s="31">
        <f t="shared" si="14"/>
        <v>98.171332969064537</v>
      </c>
      <c r="AV91" s="28">
        <f t="shared" si="15"/>
        <v>4078.2621292872659</v>
      </c>
    </row>
    <row r="92" spans="2:48" ht="15.75" customHeight="1" x14ac:dyDescent="0.25">
      <c r="B92" s="32"/>
      <c r="C92" s="16" t="s">
        <v>46</v>
      </c>
      <c r="D92" s="17"/>
      <c r="E92" s="18" t="s">
        <v>48</v>
      </c>
      <c r="F92" s="45"/>
      <c r="G92" s="42">
        <v>46.4</v>
      </c>
      <c r="H92" s="42">
        <v>5.7</v>
      </c>
      <c r="I92" s="42">
        <v>47.7</v>
      </c>
      <c r="J92" s="36">
        <v>0.2</v>
      </c>
      <c r="K92" s="21">
        <v>0</v>
      </c>
      <c r="L92" s="22">
        <f t="shared" si="47"/>
        <v>9.15</v>
      </c>
      <c r="M92" s="23">
        <f t="shared" si="48"/>
        <v>81.343500000000006</v>
      </c>
      <c r="N92" s="42">
        <v>8.5</v>
      </c>
      <c r="O92" s="23">
        <f t="shared" si="49"/>
        <v>1.0065</v>
      </c>
      <c r="P92" s="21">
        <v>0.45</v>
      </c>
      <c r="Q92" s="40">
        <v>829.1</v>
      </c>
      <c r="R92" s="40" t="s">
        <v>50</v>
      </c>
      <c r="S92" s="21">
        <v>0</v>
      </c>
      <c r="T92" s="41" t="s">
        <v>51</v>
      </c>
      <c r="U92" s="21">
        <v>14.39</v>
      </c>
      <c r="V92" s="21">
        <v>33.28</v>
      </c>
      <c r="W92" s="21">
        <v>39.92</v>
      </c>
      <c r="X92" s="21">
        <v>8.69</v>
      </c>
      <c r="Y92" s="27">
        <f t="shared" si="4"/>
        <v>57.703566368992121</v>
      </c>
      <c r="Z92" s="21">
        <v>3</v>
      </c>
      <c r="AA92" s="18" t="s">
        <v>51</v>
      </c>
      <c r="AB92" s="18" t="s">
        <v>51</v>
      </c>
      <c r="AC92" s="28">
        <f t="shared" si="5"/>
        <v>8871.7846428571429</v>
      </c>
      <c r="AD92" s="18" t="s">
        <v>51</v>
      </c>
      <c r="AF92" s="1"/>
      <c r="AK92" s="1">
        <f t="shared" si="6"/>
        <v>6.4417633928571441</v>
      </c>
      <c r="AL92" s="29">
        <f t="shared" si="7"/>
        <v>4.7217812512720316</v>
      </c>
      <c r="AM92" s="29">
        <f t="shared" si="8"/>
        <v>11.163544644129175</v>
      </c>
      <c r="AO92" s="30">
        <f t="shared" si="9"/>
        <v>6.0864567995020336</v>
      </c>
      <c r="AP92" s="30">
        <f t="shared" si="10"/>
        <v>14.076253112399423</v>
      </c>
      <c r="AQ92" s="30">
        <f t="shared" si="11"/>
        <v>16.884736305498347</v>
      </c>
      <c r="AR92" s="30">
        <f t="shared" si="12"/>
        <v>3.6755600825345844</v>
      </c>
      <c r="AS92" s="30">
        <f t="shared" si="13"/>
        <v>57.703566368992121</v>
      </c>
      <c r="AT92" s="31">
        <f t="shared" si="14"/>
        <v>98.426572668926497</v>
      </c>
      <c r="AV92" s="28">
        <f t="shared" si="15"/>
        <v>3752.4485033520209</v>
      </c>
    </row>
    <row r="93" spans="2:48" ht="15.75" customHeight="1" x14ac:dyDescent="0.25">
      <c r="B93" s="32"/>
      <c r="C93" s="16" t="s">
        <v>46</v>
      </c>
      <c r="D93" s="17"/>
      <c r="E93" s="18" t="s">
        <v>48</v>
      </c>
      <c r="F93" s="18" t="s">
        <v>64</v>
      </c>
      <c r="G93" s="21">
        <v>47.52</v>
      </c>
      <c r="H93" s="21">
        <v>6.5</v>
      </c>
      <c r="I93" s="21">
        <v>45.92</v>
      </c>
      <c r="J93" s="18">
        <v>0.05</v>
      </c>
      <c r="K93" s="21">
        <v>0.01</v>
      </c>
      <c r="L93" s="20">
        <v>16.66</v>
      </c>
      <c r="M93" s="21">
        <v>74</v>
      </c>
      <c r="N93" s="21">
        <v>8.9</v>
      </c>
      <c r="O93" s="21">
        <v>0.44</v>
      </c>
      <c r="P93" s="21">
        <v>0.19</v>
      </c>
      <c r="Q93" s="40">
        <v>800</v>
      </c>
      <c r="R93" s="40" t="s">
        <v>50</v>
      </c>
      <c r="S93" s="21">
        <v>0</v>
      </c>
      <c r="T93" s="41" t="s">
        <v>51</v>
      </c>
      <c r="U93" s="21">
        <v>15.281587865096018</v>
      </c>
      <c r="V93" s="21">
        <v>25.964176214297243</v>
      </c>
      <c r="W93" s="21">
        <v>21.123124092302731</v>
      </c>
      <c r="X93" s="21">
        <v>8.875262223656609</v>
      </c>
      <c r="Y93" s="27">
        <f t="shared" si="4"/>
        <v>29.549845811786295</v>
      </c>
      <c r="Z93" s="21" t="s">
        <v>51</v>
      </c>
      <c r="AA93" s="18" t="s">
        <v>51</v>
      </c>
      <c r="AB93" s="18" t="s">
        <v>51</v>
      </c>
      <c r="AC93" s="28">
        <f t="shared" si="5"/>
        <v>8110.1421482745118</v>
      </c>
      <c r="AD93" s="18" t="s">
        <v>51</v>
      </c>
      <c r="AF93" s="1"/>
      <c r="AK93" s="1">
        <f t="shared" si="6"/>
        <v>2.9680476190476197</v>
      </c>
      <c r="AL93" s="29">
        <f t="shared" si="7"/>
        <v>7.0761591695501727</v>
      </c>
      <c r="AM93" s="29">
        <f t="shared" si="8"/>
        <v>10.044206788597792</v>
      </c>
      <c r="AO93" s="30">
        <f t="shared" si="9"/>
        <v>10.7659022133675</v>
      </c>
      <c r="AP93" s="30">
        <f t="shared" si="10"/>
        <v>18.291802176671911</v>
      </c>
      <c r="AQ93" s="30">
        <f t="shared" si="11"/>
        <v>14.881273492394989</v>
      </c>
      <c r="AR93" s="30">
        <f t="shared" si="12"/>
        <v>6.252635921174365</v>
      </c>
      <c r="AS93" s="30">
        <f t="shared" si="13"/>
        <v>29.549845811786295</v>
      </c>
      <c r="AT93" s="31">
        <f t="shared" si="14"/>
        <v>79.741459615395058</v>
      </c>
      <c r="AV93" s="28">
        <f t="shared" si="15"/>
        <v>5713.6076483427005</v>
      </c>
    </row>
    <row r="94" spans="2:48" ht="15.75" customHeight="1" x14ac:dyDescent="0.25">
      <c r="B94" s="32"/>
      <c r="C94" s="16" t="s">
        <v>46</v>
      </c>
      <c r="D94" s="17"/>
      <c r="E94" s="18" t="s">
        <v>48</v>
      </c>
      <c r="F94" s="18" t="s">
        <v>65</v>
      </c>
      <c r="G94" s="21">
        <v>47.47</v>
      </c>
      <c r="H94" s="21">
        <v>6.24</v>
      </c>
      <c r="I94" s="21">
        <v>46.13</v>
      </c>
      <c r="J94" s="18">
        <v>0.14000000000000001</v>
      </c>
      <c r="K94" s="21">
        <v>0.02</v>
      </c>
      <c r="L94" s="20">
        <v>16.809999999999999</v>
      </c>
      <c r="M94" s="21">
        <v>75.11</v>
      </c>
      <c r="N94" s="21">
        <v>6.25</v>
      </c>
      <c r="O94" s="21">
        <v>1.83</v>
      </c>
      <c r="P94" s="21">
        <v>0.2</v>
      </c>
      <c r="Q94" s="40">
        <v>800</v>
      </c>
      <c r="R94" s="40" t="s">
        <v>50</v>
      </c>
      <c r="S94" s="21">
        <v>0</v>
      </c>
      <c r="T94" s="41" t="s">
        <v>51</v>
      </c>
      <c r="U94" s="21">
        <v>18.579862249918008</v>
      </c>
      <c r="V94" s="21">
        <v>27.730403410954416</v>
      </c>
      <c r="W94" s="21">
        <v>22.236798950475571</v>
      </c>
      <c r="X94" s="21">
        <v>8.642177763201051</v>
      </c>
      <c r="Y94" s="27">
        <f t="shared" si="4"/>
        <v>31.267184056558001</v>
      </c>
      <c r="Z94" s="21" t="s">
        <v>51</v>
      </c>
      <c r="AA94" s="18" t="s">
        <v>51</v>
      </c>
      <c r="AB94" s="18" t="s">
        <v>51</v>
      </c>
      <c r="AC94" s="28">
        <f t="shared" si="5"/>
        <v>8605.8353441409381</v>
      </c>
      <c r="AD94" s="18" t="s">
        <v>51</v>
      </c>
      <c r="AF94" s="1"/>
      <c r="AK94" s="1">
        <f t="shared" si="6"/>
        <v>3.0704037698412701</v>
      </c>
      <c r="AL94" s="29">
        <f t="shared" si="7"/>
        <v>6.749488434993471</v>
      </c>
      <c r="AM94" s="29">
        <f t="shared" si="8"/>
        <v>9.8198922048347406</v>
      </c>
      <c r="AO94" s="30">
        <f t="shared" si="9"/>
        <v>12.770462522781207</v>
      </c>
      <c r="AP94" s="30">
        <f t="shared" si="10"/>
        <v>19.059887136825264</v>
      </c>
      <c r="AQ94" s="30">
        <f t="shared" si="11"/>
        <v>15.283978094343617</v>
      </c>
      <c r="AR94" s="30">
        <f t="shared" si="12"/>
        <v>5.9400121354860511</v>
      </c>
      <c r="AS94" s="30">
        <f t="shared" si="13"/>
        <v>31.267184056558001</v>
      </c>
      <c r="AT94" s="31">
        <f t="shared" si="14"/>
        <v>84.32152394599413</v>
      </c>
      <c r="AV94" s="28">
        <f t="shared" si="15"/>
        <v>5915.0329674840705</v>
      </c>
    </row>
    <row r="95" spans="2:48" ht="15.75" customHeight="1" x14ac:dyDescent="0.25">
      <c r="B95" s="32"/>
      <c r="C95" s="16" t="s">
        <v>46</v>
      </c>
      <c r="D95" s="17"/>
      <c r="E95" s="18" t="s">
        <v>48</v>
      </c>
      <c r="F95" s="18" t="s">
        <v>66</v>
      </c>
      <c r="G95" s="21">
        <v>40.83</v>
      </c>
      <c r="H95" s="21">
        <v>7.1</v>
      </c>
      <c r="I95" s="21">
        <v>50.5</v>
      </c>
      <c r="J95" s="18">
        <v>1.4</v>
      </c>
      <c r="K95" s="21">
        <v>0.17</v>
      </c>
      <c r="L95" s="20">
        <v>17.149999999999999</v>
      </c>
      <c r="M95" s="21">
        <v>66.430000000000007</v>
      </c>
      <c r="N95" s="21">
        <v>15.02</v>
      </c>
      <c r="O95" s="21">
        <v>1.4</v>
      </c>
      <c r="P95" s="21">
        <v>0.22</v>
      </c>
      <c r="Q95" s="40">
        <v>800</v>
      </c>
      <c r="R95" s="40" t="s">
        <v>50</v>
      </c>
      <c r="S95" s="21">
        <v>0</v>
      </c>
      <c r="T95" s="41" t="s">
        <v>51</v>
      </c>
      <c r="U95" s="21">
        <v>7.5856164383561646</v>
      </c>
      <c r="V95" s="21">
        <v>21.267123287671232</v>
      </c>
      <c r="W95" s="21">
        <v>18.68150684931507</v>
      </c>
      <c r="X95" s="21">
        <v>6.147260273972603</v>
      </c>
      <c r="Y95" s="27">
        <f t="shared" si="4"/>
        <v>29.095433751335342</v>
      </c>
      <c r="Z95" s="21" t="s">
        <v>51</v>
      </c>
      <c r="AA95" s="18" t="s">
        <v>51</v>
      </c>
      <c r="AB95" s="18" t="s">
        <v>51</v>
      </c>
      <c r="AC95" s="28">
        <f t="shared" si="5"/>
        <v>5708.4212940313109</v>
      </c>
      <c r="AD95" s="18" t="s">
        <v>51</v>
      </c>
      <c r="AF95" s="1"/>
      <c r="AK95" s="1">
        <f t="shared" si="6"/>
        <v>3.0289113095238096</v>
      </c>
      <c r="AL95" s="29">
        <f t="shared" si="7"/>
        <v>7.3813521545319452</v>
      </c>
      <c r="AM95" s="29">
        <f t="shared" si="8"/>
        <v>10.410263464055754</v>
      </c>
      <c r="AO95" s="30">
        <f t="shared" si="9"/>
        <v>5.3785484329038438</v>
      </c>
      <c r="AP95" s="30">
        <f t="shared" si="10"/>
        <v>15.079361520692041</v>
      </c>
      <c r="AQ95" s="30">
        <f t="shared" si="11"/>
        <v>13.246041400221431</v>
      </c>
      <c r="AR95" s="30">
        <f t="shared" si="12"/>
        <v>4.3586882334367489</v>
      </c>
      <c r="AS95" s="30">
        <f t="shared" si="13"/>
        <v>29.095433751335342</v>
      </c>
      <c r="AT95" s="31">
        <f t="shared" si="14"/>
        <v>67.158073338589418</v>
      </c>
      <c r="AV95" s="28">
        <f t="shared" si="15"/>
        <v>4047.5313581793121</v>
      </c>
    </row>
    <row r="96" spans="2:48" ht="15.75" customHeight="1" x14ac:dyDescent="0.25">
      <c r="B96" s="32"/>
      <c r="C96" s="16" t="s">
        <v>46</v>
      </c>
      <c r="D96" s="17"/>
      <c r="E96" s="18" t="s">
        <v>48</v>
      </c>
      <c r="F96" s="19" t="s">
        <v>67</v>
      </c>
      <c r="G96" s="23">
        <v>50.9</v>
      </c>
      <c r="H96" s="23">
        <v>6.64</v>
      </c>
      <c r="I96" s="23">
        <v>41.5</v>
      </c>
      <c r="J96" s="23">
        <v>0.96270999999999995</v>
      </c>
      <c r="K96" s="21">
        <v>0</v>
      </c>
      <c r="L96" s="23">
        <f t="shared" ref="L96:L99" si="50">11.42*(100-N96)/100</f>
        <v>10.49498</v>
      </c>
      <c r="M96" s="23">
        <f t="shared" ref="M96:M99" si="51">78.95*(100-N96)/100</f>
        <v>72.555050000000008</v>
      </c>
      <c r="N96" s="21">
        <v>8.1</v>
      </c>
      <c r="O96" s="23">
        <f t="shared" ref="O96:O99" si="52">9.63*(100-N96)/100</f>
        <v>8.8499700000000008</v>
      </c>
      <c r="P96" s="21">
        <v>0.3</v>
      </c>
      <c r="Q96" s="40">
        <v>750</v>
      </c>
      <c r="R96" s="40" t="s">
        <v>62</v>
      </c>
      <c r="S96" s="21">
        <v>0</v>
      </c>
      <c r="T96" s="41" t="s">
        <v>51</v>
      </c>
      <c r="U96" s="21">
        <v>26.8</v>
      </c>
      <c r="V96" s="21">
        <v>29.4</v>
      </c>
      <c r="W96" s="21">
        <v>35.1</v>
      </c>
      <c r="X96" s="21">
        <v>8.6</v>
      </c>
      <c r="Y96" s="27">
        <f t="shared" si="4"/>
        <v>47.4109726487914</v>
      </c>
      <c r="Z96" s="21">
        <v>2.3795000000000002</v>
      </c>
      <c r="AA96" s="18" t="s">
        <v>51</v>
      </c>
      <c r="AB96" s="18" t="s">
        <v>51</v>
      </c>
      <c r="AC96" s="28">
        <f t="shared" si="5"/>
        <v>9689.0660714285714</v>
      </c>
      <c r="AD96" s="18" t="s">
        <v>51</v>
      </c>
      <c r="AF96" s="1"/>
      <c r="AK96" s="1">
        <f t="shared" si="6"/>
        <v>5.2312188095238099</v>
      </c>
      <c r="AL96" s="29">
        <f t="shared" si="7"/>
        <v>5.8025535795713639</v>
      </c>
      <c r="AM96" s="29">
        <f t="shared" si="8"/>
        <v>11.033772389095173</v>
      </c>
      <c r="AO96" s="30">
        <f t="shared" si="9"/>
        <v>14.093859330123907</v>
      </c>
      <c r="AP96" s="30">
        <f t="shared" si="10"/>
        <v>15.46117404125533</v>
      </c>
      <c r="AQ96" s="30">
        <f t="shared" si="11"/>
        <v>18.458748600274223</v>
      </c>
      <c r="AR96" s="30">
        <f t="shared" si="12"/>
        <v>4.5226563522039402</v>
      </c>
      <c r="AS96" s="30">
        <f t="shared" si="13"/>
        <v>47.4109726487914</v>
      </c>
      <c r="AT96" s="31">
        <f t="shared" si="14"/>
        <v>99.947410972648797</v>
      </c>
      <c r="AV96" s="28">
        <f t="shared" si="15"/>
        <v>5095.3856063802441</v>
      </c>
    </row>
    <row r="97" spans="2:48" ht="15.75" customHeight="1" x14ac:dyDescent="0.25">
      <c r="B97" s="32"/>
      <c r="C97" s="16" t="s">
        <v>46</v>
      </c>
      <c r="D97" s="17"/>
      <c r="E97" s="18" t="s">
        <v>48</v>
      </c>
      <c r="F97" s="38"/>
      <c r="G97" s="23">
        <v>50.9</v>
      </c>
      <c r="H97" s="23">
        <v>6.64</v>
      </c>
      <c r="I97" s="23">
        <v>41.5</v>
      </c>
      <c r="J97" s="23">
        <v>0.96270999999999995</v>
      </c>
      <c r="K97" s="21">
        <v>0</v>
      </c>
      <c r="L97" s="23">
        <f t="shared" si="50"/>
        <v>10.49498</v>
      </c>
      <c r="M97" s="23">
        <f t="shared" si="51"/>
        <v>72.555050000000008</v>
      </c>
      <c r="N97" s="21">
        <v>8.1</v>
      </c>
      <c r="O97" s="23">
        <f t="shared" si="52"/>
        <v>8.8499700000000008</v>
      </c>
      <c r="P97" s="21">
        <v>0.3</v>
      </c>
      <c r="Q97" s="40">
        <v>800</v>
      </c>
      <c r="R97" s="40" t="s">
        <v>62</v>
      </c>
      <c r="S97" s="21">
        <v>0</v>
      </c>
      <c r="T97" s="41" t="s">
        <v>51</v>
      </c>
      <c r="U97" s="21">
        <v>28.6</v>
      </c>
      <c r="V97" s="21">
        <v>33.1</v>
      </c>
      <c r="W97" s="21">
        <v>29.9</v>
      </c>
      <c r="X97" s="21">
        <v>8.1999999999999993</v>
      </c>
      <c r="Y97" s="27">
        <f t="shared" si="4"/>
        <v>46.754834528502187</v>
      </c>
      <c r="Z97" s="21">
        <v>2.4979</v>
      </c>
      <c r="AA97" s="18" t="s">
        <v>51</v>
      </c>
      <c r="AB97" s="18" t="s">
        <v>51</v>
      </c>
      <c r="AC97" s="28">
        <f t="shared" si="5"/>
        <v>10207.516071428572</v>
      </c>
      <c r="AD97" s="18" t="s">
        <v>51</v>
      </c>
      <c r="AF97" s="1"/>
      <c r="AK97" s="1">
        <f t="shared" si="6"/>
        <v>5.2312188095238099</v>
      </c>
      <c r="AL97" s="29">
        <f t="shared" si="7"/>
        <v>5.9573970037453181</v>
      </c>
      <c r="AM97" s="29">
        <f t="shared" si="8"/>
        <v>11.188615813269127</v>
      </c>
      <c r="AO97" s="30">
        <f t="shared" si="9"/>
        <v>15.228117324848379</v>
      </c>
      <c r="AP97" s="30">
        <f t="shared" si="10"/>
        <v>17.624149771065778</v>
      </c>
      <c r="AQ97" s="30">
        <f t="shared" si="11"/>
        <v>15.920304475977845</v>
      </c>
      <c r="AR97" s="30">
        <f t="shared" si="12"/>
        <v>4.3661035686628207</v>
      </c>
      <c r="AS97" s="30">
        <f t="shared" si="13"/>
        <v>46.754834528502187</v>
      </c>
      <c r="AT97" s="31">
        <f t="shared" si="14"/>
        <v>99.893509669057011</v>
      </c>
      <c r="AV97" s="28">
        <f t="shared" si="15"/>
        <v>5435.0088227618762</v>
      </c>
    </row>
    <row r="98" spans="2:48" ht="15.75" customHeight="1" x14ac:dyDescent="0.25">
      <c r="B98" s="32"/>
      <c r="C98" s="16" t="s">
        <v>46</v>
      </c>
      <c r="D98" s="17"/>
      <c r="E98" s="18" t="s">
        <v>48</v>
      </c>
      <c r="F98" s="38"/>
      <c r="G98" s="23">
        <v>50.9</v>
      </c>
      <c r="H98" s="23">
        <v>6.64</v>
      </c>
      <c r="I98" s="23">
        <v>41.5</v>
      </c>
      <c r="J98" s="23">
        <v>0.96270999999999995</v>
      </c>
      <c r="K98" s="21">
        <v>0</v>
      </c>
      <c r="L98" s="23">
        <f t="shared" si="50"/>
        <v>10.49498</v>
      </c>
      <c r="M98" s="23">
        <f t="shared" si="51"/>
        <v>72.555050000000008</v>
      </c>
      <c r="N98" s="21">
        <v>8.1</v>
      </c>
      <c r="O98" s="23">
        <f t="shared" si="52"/>
        <v>8.8499700000000008</v>
      </c>
      <c r="P98" s="21">
        <v>0.3</v>
      </c>
      <c r="Q98" s="40">
        <v>750</v>
      </c>
      <c r="R98" s="40" t="s">
        <v>50</v>
      </c>
      <c r="S98" s="21">
        <v>0</v>
      </c>
      <c r="T98" s="41" t="s">
        <v>51</v>
      </c>
      <c r="U98" s="21">
        <v>25</v>
      </c>
      <c r="V98" s="21">
        <v>31.4</v>
      </c>
      <c r="W98" s="21">
        <v>34.200000000000003</v>
      </c>
      <c r="X98" s="21">
        <v>9.4</v>
      </c>
      <c r="Y98" s="27">
        <f t="shared" si="4"/>
        <v>48.051136490010961</v>
      </c>
      <c r="Z98" s="21">
        <v>2.2179000000000002</v>
      </c>
      <c r="AA98" s="18" t="s">
        <v>51</v>
      </c>
      <c r="AB98" s="18" t="s">
        <v>51</v>
      </c>
      <c r="AC98" s="28">
        <f t="shared" si="5"/>
        <v>10034.074999999999</v>
      </c>
      <c r="AD98" s="18" t="s">
        <v>51</v>
      </c>
      <c r="AF98" s="1"/>
      <c r="AK98" s="1">
        <f t="shared" si="6"/>
        <v>5.2312188095238099</v>
      </c>
      <c r="AL98" s="29">
        <f t="shared" si="7"/>
        <v>5.6555555555555559</v>
      </c>
      <c r="AM98" s="29">
        <f t="shared" si="8"/>
        <v>10.886774365079365</v>
      </c>
      <c r="AO98" s="30">
        <f t="shared" si="9"/>
        <v>12.987215877497263</v>
      </c>
      <c r="AP98" s="30">
        <f t="shared" si="10"/>
        <v>16.311943142136563</v>
      </c>
      <c r="AQ98" s="30">
        <f t="shared" si="11"/>
        <v>17.766511320416257</v>
      </c>
      <c r="AR98" s="30">
        <f t="shared" si="12"/>
        <v>4.8831931699389699</v>
      </c>
      <c r="AS98" s="30">
        <f t="shared" si="13"/>
        <v>48.051136490010961</v>
      </c>
      <c r="AT98" s="31">
        <f t="shared" si="14"/>
        <v>100.00000000000001</v>
      </c>
      <c r="AV98" s="28">
        <f t="shared" si="15"/>
        <v>5212.5879262399339</v>
      </c>
    </row>
    <row r="99" spans="2:48" ht="15.75" customHeight="1" x14ac:dyDescent="0.25">
      <c r="B99" s="32"/>
      <c r="C99" s="16" t="s">
        <v>46</v>
      </c>
      <c r="D99" s="17"/>
      <c r="E99" s="18" t="s">
        <v>48</v>
      </c>
      <c r="F99" s="39"/>
      <c r="G99" s="23">
        <v>50.9</v>
      </c>
      <c r="H99" s="23">
        <v>6.64</v>
      </c>
      <c r="I99" s="23">
        <v>41.5</v>
      </c>
      <c r="J99" s="23">
        <v>0.96270999999999995</v>
      </c>
      <c r="K99" s="21">
        <v>0</v>
      </c>
      <c r="L99" s="23">
        <f t="shared" si="50"/>
        <v>10.49498</v>
      </c>
      <c r="M99" s="23">
        <f t="shared" si="51"/>
        <v>72.555050000000008</v>
      </c>
      <c r="N99" s="21">
        <v>8.1</v>
      </c>
      <c r="O99" s="23">
        <f t="shared" si="52"/>
        <v>8.8499700000000008</v>
      </c>
      <c r="P99" s="21">
        <v>0.3</v>
      </c>
      <c r="Q99" s="40">
        <v>800</v>
      </c>
      <c r="R99" s="40" t="s">
        <v>50</v>
      </c>
      <c r="S99" s="21">
        <v>0</v>
      </c>
      <c r="T99" s="41" t="s">
        <v>51</v>
      </c>
      <c r="U99" s="21">
        <v>27.1</v>
      </c>
      <c r="V99" s="21">
        <v>34</v>
      </c>
      <c r="W99" s="21">
        <v>29.8</v>
      </c>
      <c r="X99" s="21">
        <v>8.4</v>
      </c>
      <c r="Y99" s="27">
        <f t="shared" si="4"/>
        <v>47.102198008702274</v>
      </c>
      <c r="Z99" s="21">
        <v>2.2947000000000002</v>
      </c>
      <c r="AA99" s="18" t="s">
        <v>51</v>
      </c>
      <c r="AB99" s="18" t="s">
        <v>51</v>
      </c>
      <c r="AC99" s="28">
        <f t="shared" si="5"/>
        <v>10230.950892857143</v>
      </c>
      <c r="AD99" s="18" t="s">
        <v>51</v>
      </c>
      <c r="AF99" s="1"/>
      <c r="AK99" s="1">
        <f t="shared" si="6"/>
        <v>5.2312188095238099</v>
      </c>
      <c r="AL99" s="29">
        <f t="shared" si="7"/>
        <v>5.874884579870729</v>
      </c>
      <c r="AM99" s="29">
        <f t="shared" si="8"/>
        <v>11.106103389394539</v>
      </c>
      <c r="AO99" s="30">
        <f t="shared" si="9"/>
        <v>14.335304339641686</v>
      </c>
      <c r="AP99" s="30">
        <f t="shared" si="10"/>
        <v>17.985252677041231</v>
      </c>
      <c r="AQ99" s="30">
        <f t="shared" si="11"/>
        <v>15.763544993406722</v>
      </c>
      <c r="AR99" s="30">
        <f t="shared" si="12"/>
        <v>4.4434153672690098</v>
      </c>
      <c r="AS99" s="30">
        <f t="shared" si="13"/>
        <v>47.102198008702274</v>
      </c>
      <c r="AT99" s="31">
        <f t="shared" si="14"/>
        <v>99.629715386060923</v>
      </c>
      <c r="AV99" s="28">
        <f t="shared" si="15"/>
        <v>5411.9481451304791</v>
      </c>
    </row>
    <row r="100" spans="2:48" ht="15.75" customHeight="1" x14ac:dyDescent="0.25">
      <c r="B100" s="32"/>
      <c r="C100" s="16" t="s">
        <v>46</v>
      </c>
      <c r="D100" s="17"/>
      <c r="E100" s="18" t="s">
        <v>48</v>
      </c>
      <c r="F100" s="19" t="s">
        <v>68</v>
      </c>
      <c r="G100" s="23">
        <v>49.79</v>
      </c>
      <c r="H100" s="23">
        <v>6.79</v>
      </c>
      <c r="I100" s="23">
        <v>40.35</v>
      </c>
      <c r="J100" s="23">
        <v>3.07</v>
      </c>
      <c r="K100" s="21">
        <v>0</v>
      </c>
      <c r="L100" s="22">
        <f t="shared" ref="L100:L103" si="53">14.3*(100-N100)/100</f>
        <v>13.1274</v>
      </c>
      <c r="M100" s="23">
        <f t="shared" ref="M100:M103" si="54">83.31*(100-N100)/100</f>
        <v>76.478580000000008</v>
      </c>
      <c r="N100" s="21">
        <v>8.1999999999999993</v>
      </c>
      <c r="O100" s="23">
        <f t="shared" ref="O100:O103" si="55">2.39*(100-N100)/100</f>
        <v>2.1940200000000001</v>
      </c>
      <c r="P100" s="21">
        <v>0.3</v>
      </c>
      <c r="Q100" s="40">
        <v>750</v>
      </c>
      <c r="R100" s="40" t="s">
        <v>62</v>
      </c>
      <c r="S100" s="21">
        <v>0</v>
      </c>
      <c r="T100" s="41" t="s">
        <v>51</v>
      </c>
      <c r="U100" s="21">
        <v>23.6</v>
      </c>
      <c r="V100" s="21">
        <v>29.5</v>
      </c>
      <c r="W100" s="21">
        <v>34.799999999999997</v>
      </c>
      <c r="X100" s="21">
        <v>8.5</v>
      </c>
      <c r="Y100" s="27">
        <f t="shared" si="4"/>
        <v>48.113505973110875</v>
      </c>
      <c r="Z100" s="21">
        <v>2.5286</v>
      </c>
      <c r="AA100" s="18" t="s">
        <v>51</v>
      </c>
      <c r="AB100" s="18" t="s">
        <v>51</v>
      </c>
      <c r="AC100" s="28">
        <f t="shared" si="5"/>
        <v>9320.4116071428562</v>
      </c>
      <c r="AD100" s="18" t="s">
        <v>51</v>
      </c>
      <c r="AF100" s="1"/>
      <c r="AK100" s="1">
        <f t="shared" si="6"/>
        <v>5.2849657738095246</v>
      </c>
      <c r="AL100" s="29">
        <f t="shared" si="7"/>
        <v>5.6994047619047628</v>
      </c>
      <c r="AM100" s="29">
        <f t="shared" si="8"/>
        <v>10.984370535714287</v>
      </c>
      <c r="AO100" s="30">
        <f t="shared" si="9"/>
        <v>12.245212590345837</v>
      </c>
      <c r="AP100" s="30">
        <f t="shared" si="10"/>
        <v>15.30651573793229</v>
      </c>
      <c r="AQ100" s="30">
        <f t="shared" si="11"/>
        <v>18.056499921357418</v>
      </c>
      <c r="AR100" s="30">
        <f t="shared" si="12"/>
        <v>4.4103519922855758</v>
      </c>
      <c r="AS100" s="30">
        <f t="shared" si="13"/>
        <v>48.113505973110875</v>
      </c>
      <c r="AT100" s="31">
        <f t="shared" si="14"/>
        <v>98.13208621503199</v>
      </c>
      <c r="AV100" s="28">
        <f t="shared" si="15"/>
        <v>4836.0348118216598</v>
      </c>
    </row>
    <row r="101" spans="2:48" ht="15.75" customHeight="1" x14ac:dyDescent="0.25">
      <c r="B101" s="32"/>
      <c r="C101" s="16" t="s">
        <v>46</v>
      </c>
      <c r="D101" s="17"/>
      <c r="E101" s="18" t="s">
        <v>48</v>
      </c>
      <c r="F101" s="38"/>
      <c r="G101" s="23">
        <v>49.79</v>
      </c>
      <c r="H101" s="23">
        <v>6.79</v>
      </c>
      <c r="I101" s="23">
        <v>40.35</v>
      </c>
      <c r="J101" s="23">
        <v>3.07</v>
      </c>
      <c r="K101" s="21">
        <v>0</v>
      </c>
      <c r="L101" s="22">
        <f t="shared" si="53"/>
        <v>13.1274</v>
      </c>
      <c r="M101" s="23">
        <f t="shared" si="54"/>
        <v>76.478580000000008</v>
      </c>
      <c r="N101" s="21">
        <v>8.1999999999999993</v>
      </c>
      <c r="O101" s="23">
        <f t="shared" si="55"/>
        <v>2.1940200000000001</v>
      </c>
      <c r="P101" s="21">
        <v>0.3</v>
      </c>
      <c r="Q101" s="40">
        <v>800</v>
      </c>
      <c r="R101" s="40" t="s">
        <v>62</v>
      </c>
      <c r="S101" s="21">
        <v>0</v>
      </c>
      <c r="T101" s="41" t="s">
        <v>51</v>
      </c>
      <c r="U101" s="21">
        <v>25.5</v>
      </c>
      <c r="V101" s="21">
        <v>35.1</v>
      </c>
      <c r="W101" s="21">
        <v>30.3</v>
      </c>
      <c r="X101" s="21">
        <v>7.8</v>
      </c>
      <c r="Y101" s="27">
        <f t="shared" si="4"/>
        <v>48.250311409983539</v>
      </c>
      <c r="Z101" s="21">
        <v>2.6253000000000002</v>
      </c>
      <c r="AA101" s="18" t="s">
        <v>51</v>
      </c>
      <c r="AB101" s="18" t="s">
        <v>51</v>
      </c>
      <c r="AC101" s="28">
        <f t="shared" si="5"/>
        <v>9982.2080357142841</v>
      </c>
      <c r="AD101" s="18" t="s">
        <v>51</v>
      </c>
      <c r="AF101" s="1"/>
      <c r="AK101" s="1">
        <f t="shared" si="6"/>
        <v>5.2849657738095246</v>
      </c>
      <c r="AL101" s="29">
        <f t="shared" si="7"/>
        <v>5.668260473588342</v>
      </c>
      <c r="AM101" s="29">
        <f t="shared" si="8"/>
        <v>10.953226247397867</v>
      </c>
      <c r="AO101" s="30">
        <f t="shared" si="9"/>
        <v>13.196170590454198</v>
      </c>
      <c r="AP101" s="30">
        <f t="shared" si="10"/>
        <v>18.164140695095778</v>
      </c>
      <c r="AQ101" s="30">
        <f t="shared" si="11"/>
        <v>15.680155642774988</v>
      </c>
      <c r="AR101" s="30">
        <f t="shared" si="12"/>
        <v>4.0364757100212838</v>
      </c>
      <c r="AS101" s="30">
        <f t="shared" si="13"/>
        <v>48.250311409983539</v>
      </c>
      <c r="AT101" s="31">
        <f t="shared" si="14"/>
        <v>99.327254048329792</v>
      </c>
      <c r="AV101" s="28">
        <f t="shared" si="15"/>
        <v>5165.7615728897417</v>
      </c>
    </row>
    <row r="102" spans="2:48" ht="15.75" customHeight="1" x14ac:dyDescent="0.25">
      <c r="B102" s="32"/>
      <c r="C102" s="16" t="s">
        <v>46</v>
      </c>
      <c r="D102" s="17"/>
      <c r="E102" s="18" t="s">
        <v>48</v>
      </c>
      <c r="F102" s="38"/>
      <c r="G102" s="23">
        <v>49.79</v>
      </c>
      <c r="H102" s="23">
        <v>6.79</v>
      </c>
      <c r="I102" s="23">
        <v>40.35</v>
      </c>
      <c r="J102" s="23">
        <v>3.07</v>
      </c>
      <c r="K102" s="21">
        <v>0</v>
      </c>
      <c r="L102" s="22">
        <f t="shared" si="53"/>
        <v>13.1274</v>
      </c>
      <c r="M102" s="23">
        <f t="shared" si="54"/>
        <v>76.478580000000008</v>
      </c>
      <c r="N102" s="21">
        <v>8.1999999999999993</v>
      </c>
      <c r="O102" s="23">
        <f t="shared" si="55"/>
        <v>2.1940200000000001</v>
      </c>
      <c r="P102" s="21">
        <v>0.3</v>
      </c>
      <c r="Q102" s="40">
        <v>750</v>
      </c>
      <c r="R102" s="40" t="s">
        <v>50</v>
      </c>
      <c r="S102" s="21">
        <v>0</v>
      </c>
      <c r="T102" s="41" t="s">
        <v>51</v>
      </c>
      <c r="U102" s="21">
        <v>21.8</v>
      </c>
      <c r="V102" s="21">
        <v>31.7</v>
      </c>
      <c r="W102" s="21">
        <v>36</v>
      </c>
      <c r="X102" s="21">
        <v>7.8</v>
      </c>
      <c r="Y102" s="27">
        <f t="shared" si="4"/>
        <v>49.023151878843372</v>
      </c>
      <c r="Z102" s="21">
        <v>2.2589999999999999</v>
      </c>
      <c r="AA102" s="18" t="s">
        <v>51</v>
      </c>
      <c r="AB102" s="18" t="s">
        <v>51</v>
      </c>
      <c r="AC102" s="28">
        <f t="shared" si="5"/>
        <v>9153.2196428571424</v>
      </c>
      <c r="AD102" s="18" t="s">
        <v>51</v>
      </c>
      <c r="AF102" s="1"/>
      <c r="AK102" s="1">
        <f t="shared" si="6"/>
        <v>5.2849657738095246</v>
      </c>
      <c r="AL102" s="29">
        <f t="shared" si="7"/>
        <v>5.4955849889624728</v>
      </c>
      <c r="AM102" s="29">
        <f t="shared" si="8"/>
        <v>10.780550762771998</v>
      </c>
      <c r="AO102" s="30">
        <f t="shared" si="9"/>
        <v>11.112952890412142</v>
      </c>
      <c r="AP102" s="30">
        <f t="shared" si="10"/>
        <v>16.159660854406649</v>
      </c>
      <c r="AQ102" s="30">
        <f t="shared" si="11"/>
        <v>18.35166532361638</v>
      </c>
      <c r="AR102" s="30">
        <f t="shared" si="12"/>
        <v>3.9761941534502165</v>
      </c>
      <c r="AS102" s="30">
        <f t="shared" si="13"/>
        <v>49.023151878843372</v>
      </c>
      <c r="AT102" s="31">
        <f t="shared" si="14"/>
        <v>98.623625100728759</v>
      </c>
      <c r="AV102" s="28">
        <f t="shared" si="15"/>
        <v>4666.02287553516</v>
      </c>
    </row>
    <row r="103" spans="2:48" ht="15.75" customHeight="1" x14ac:dyDescent="0.25">
      <c r="B103" s="32"/>
      <c r="C103" s="16" t="s">
        <v>46</v>
      </c>
      <c r="D103" s="17"/>
      <c r="E103" s="18" t="s">
        <v>48</v>
      </c>
      <c r="F103" s="39"/>
      <c r="G103" s="23">
        <v>49.79</v>
      </c>
      <c r="H103" s="23">
        <v>6.79</v>
      </c>
      <c r="I103" s="23">
        <v>40.35</v>
      </c>
      <c r="J103" s="23">
        <v>3.07</v>
      </c>
      <c r="K103" s="21">
        <v>0</v>
      </c>
      <c r="L103" s="22">
        <f t="shared" si="53"/>
        <v>13.1274</v>
      </c>
      <c r="M103" s="23">
        <f t="shared" si="54"/>
        <v>76.478580000000008</v>
      </c>
      <c r="N103" s="21">
        <v>8.1999999999999993</v>
      </c>
      <c r="O103" s="23">
        <f t="shared" si="55"/>
        <v>2.1940200000000001</v>
      </c>
      <c r="P103" s="21">
        <v>0.3</v>
      </c>
      <c r="Q103" s="40">
        <v>800</v>
      </c>
      <c r="R103" s="40" t="s">
        <v>50</v>
      </c>
      <c r="S103" s="21">
        <v>0</v>
      </c>
      <c r="T103" s="41" t="s">
        <v>51</v>
      </c>
      <c r="U103" s="21">
        <v>23.4</v>
      </c>
      <c r="V103" s="21">
        <v>33.700000000000003</v>
      </c>
      <c r="W103" s="21">
        <v>35.200000000000003</v>
      </c>
      <c r="X103" s="21">
        <v>7.7</v>
      </c>
      <c r="Y103" s="27">
        <f t="shared" si="4"/>
        <v>49.384669144685738</v>
      </c>
      <c r="Z103" s="21">
        <v>2.2793999999999999</v>
      </c>
      <c r="AA103" s="18" t="s">
        <v>51</v>
      </c>
      <c r="AB103" s="18" t="s">
        <v>51</v>
      </c>
      <c r="AC103" s="28">
        <f t="shared" si="5"/>
        <v>9542.7955357142873</v>
      </c>
      <c r="AD103" s="18" t="s">
        <v>51</v>
      </c>
      <c r="AF103" s="1"/>
      <c r="AK103" s="1">
        <f t="shared" si="6"/>
        <v>5.2849657738095246</v>
      </c>
      <c r="AL103" s="29">
        <f t="shared" si="7"/>
        <v>5.4166666666666661</v>
      </c>
      <c r="AM103" s="29">
        <f t="shared" si="8"/>
        <v>10.701632440476191</v>
      </c>
      <c r="AO103" s="30">
        <f t="shared" si="9"/>
        <v>11.843987420143536</v>
      </c>
      <c r="AP103" s="30">
        <f t="shared" si="10"/>
        <v>17.05736649824091</v>
      </c>
      <c r="AQ103" s="30">
        <f t="shared" si="11"/>
        <v>17.81659646107062</v>
      </c>
      <c r="AR103" s="30">
        <f t="shared" si="12"/>
        <v>3.8973804758591983</v>
      </c>
      <c r="AS103" s="30">
        <f t="shared" si="13"/>
        <v>49.384669144685738</v>
      </c>
      <c r="AT103" s="31">
        <f t="shared" si="14"/>
        <v>100</v>
      </c>
      <c r="AV103" s="28">
        <f t="shared" si="15"/>
        <v>4830.1175332479452</v>
      </c>
    </row>
    <row r="104" spans="2:48" ht="15.75" customHeight="1" x14ac:dyDescent="0.25">
      <c r="B104" s="32"/>
      <c r="C104" s="16" t="s">
        <v>46</v>
      </c>
      <c r="D104" s="17"/>
      <c r="E104" s="18" t="s">
        <v>48</v>
      </c>
      <c r="F104" s="19" t="s">
        <v>69</v>
      </c>
      <c r="G104" s="23">
        <f t="shared" ref="G104:G132" si="56">44.18*100/(100-O104)</f>
        <v>46.286013619696178</v>
      </c>
      <c r="H104" s="23">
        <f t="shared" ref="H104:H132" si="57">5.34*100/(100-O104)</f>
        <v>5.5945521215295964</v>
      </c>
      <c r="I104" s="23">
        <f t="shared" ref="I104:I132" si="58">45.35*100/(100-O104)</f>
        <v>47.511786275536927</v>
      </c>
      <c r="J104" s="46">
        <f t="shared" ref="J104:J132" si="59">0.55*100/(100-O104)</f>
        <v>0.57621791513881615</v>
      </c>
      <c r="K104" s="23">
        <f t="shared" ref="K104:K132" si="60">0.03*100/(100-O104)</f>
        <v>3.1430068098480882E-2</v>
      </c>
      <c r="L104" s="20">
        <v>20.2</v>
      </c>
      <c r="M104" s="21">
        <v>69.319999999999993</v>
      </c>
      <c r="N104" s="21">
        <v>5.93</v>
      </c>
      <c r="O104" s="21">
        <v>4.55</v>
      </c>
      <c r="P104" s="21">
        <v>0.15</v>
      </c>
      <c r="Q104" s="40">
        <v>650</v>
      </c>
      <c r="R104" s="40" t="s">
        <v>50</v>
      </c>
      <c r="S104" s="21">
        <v>0</v>
      </c>
      <c r="T104" s="41" t="s">
        <v>51</v>
      </c>
      <c r="U104" s="21">
        <f>7.03*100/47.48</f>
        <v>14.806234203875317</v>
      </c>
      <c r="V104" s="21">
        <f>20.4*100/47.48</f>
        <v>42.965459140690818</v>
      </c>
      <c r="W104" s="21">
        <f>15.04*100/47.48</f>
        <v>31.676495366470096</v>
      </c>
      <c r="X104" s="21">
        <f>5.01*100/47.48</f>
        <v>10.551811288963775</v>
      </c>
      <c r="Y104" s="27">
        <f t="shared" si="4"/>
        <v>32.182695922145477</v>
      </c>
      <c r="Z104" s="47" t="s">
        <v>51</v>
      </c>
      <c r="AA104" s="18" t="s">
        <v>51</v>
      </c>
      <c r="AB104" s="18" t="s">
        <v>51</v>
      </c>
      <c r="AC104" s="28">
        <f t="shared" si="5"/>
        <v>10807.483602118185</v>
      </c>
      <c r="AD104" s="18" t="s">
        <v>51</v>
      </c>
      <c r="AF104" s="1"/>
      <c r="AK104" s="1">
        <f t="shared" si="6"/>
        <v>2.1485359138417026</v>
      </c>
      <c r="AL104" s="29">
        <f t="shared" si="7"/>
        <v>4.527523540715233</v>
      </c>
      <c r="AM104" s="29">
        <f t="shared" si="8"/>
        <v>6.6760594545569356</v>
      </c>
      <c r="AO104" s="30">
        <f t="shared" si="9"/>
        <v>10.041188872521426</v>
      </c>
      <c r="AP104" s="30">
        <f t="shared" si="10"/>
        <v>29.138016073888632</v>
      </c>
      <c r="AQ104" s="30">
        <f t="shared" si="11"/>
        <v>21.482145183886526</v>
      </c>
      <c r="AR104" s="30">
        <f t="shared" si="12"/>
        <v>7.1559539475579443</v>
      </c>
      <c r="AS104" s="30">
        <f t="shared" si="13"/>
        <v>32.182695922145477</v>
      </c>
      <c r="AT104" s="31">
        <f t="shared" si="14"/>
        <v>100</v>
      </c>
      <c r="AV104" s="28">
        <f t="shared" si="15"/>
        <v>7329.3440176127551</v>
      </c>
    </row>
    <row r="105" spans="2:48" ht="15.75" customHeight="1" x14ac:dyDescent="0.25">
      <c r="B105" s="32"/>
      <c r="C105" s="16" t="s">
        <v>46</v>
      </c>
      <c r="D105" s="17"/>
      <c r="E105" s="18" t="s">
        <v>48</v>
      </c>
      <c r="F105" s="38"/>
      <c r="G105" s="23">
        <f t="shared" si="56"/>
        <v>46.286013619696178</v>
      </c>
      <c r="H105" s="23">
        <f t="shared" si="57"/>
        <v>5.5945521215295964</v>
      </c>
      <c r="I105" s="23">
        <f t="shared" si="58"/>
        <v>47.511786275536927</v>
      </c>
      <c r="J105" s="46">
        <f t="shared" si="59"/>
        <v>0.57621791513881615</v>
      </c>
      <c r="K105" s="23">
        <f t="shared" si="60"/>
        <v>3.1430068098480882E-2</v>
      </c>
      <c r="L105" s="20">
        <v>20.2</v>
      </c>
      <c r="M105" s="21">
        <v>69.319999999999993</v>
      </c>
      <c r="N105" s="21">
        <v>5.93</v>
      </c>
      <c r="O105" s="21">
        <v>4.55</v>
      </c>
      <c r="P105" s="21">
        <v>0.15</v>
      </c>
      <c r="Q105" s="40">
        <v>700</v>
      </c>
      <c r="R105" s="40" t="s">
        <v>50</v>
      </c>
      <c r="S105" s="21">
        <v>0</v>
      </c>
      <c r="T105" s="41" t="s">
        <v>51</v>
      </c>
      <c r="U105" s="21">
        <f>7.53*100/50.75</f>
        <v>14.83743842364532</v>
      </c>
      <c r="V105" s="21">
        <f>22.05*100/50.75</f>
        <v>43.448275862068968</v>
      </c>
      <c r="W105" s="21">
        <f>14.79*100/50.75</f>
        <v>29.142857142857142</v>
      </c>
      <c r="X105" s="21">
        <f>6.38*100/50.75</f>
        <v>12.571428571428571</v>
      </c>
      <c r="Y105" s="27">
        <f t="shared" si="4"/>
        <v>32.17470090035529</v>
      </c>
      <c r="Z105" s="47" t="s">
        <v>51</v>
      </c>
      <c r="AA105" s="18" t="s">
        <v>51</v>
      </c>
      <c r="AB105" s="18" t="s">
        <v>51</v>
      </c>
      <c r="AC105" s="28">
        <f t="shared" si="5"/>
        <v>11595.505102040817</v>
      </c>
      <c r="AD105" s="18" t="s">
        <v>51</v>
      </c>
      <c r="AF105" s="1"/>
      <c r="AK105" s="1">
        <f t="shared" si="6"/>
        <v>2.1485359138417026</v>
      </c>
      <c r="AL105" s="29">
        <f t="shared" si="7"/>
        <v>4.5291824602799267</v>
      </c>
      <c r="AM105" s="29">
        <f t="shared" si="8"/>
        <v>6.6777183741216293</v>
      </c>
      <c r="AO105" s="30">
        <f t="shared" si="9"/>
        <v>10.063536989563049</v>
      </c>
      <c r="AP105" s="30">
        <f t="shared" si="10"/>
        <v>29.468923057087014</v>
      </c>
      <c r="AQ105" s="30">
        <f t="shared" si="11"/>
        <v>19.766230023325029</v>
      </c>
      <c r="AR105" s="30">
        <f t="shared" si="12"/>
        <v>8.526609029669622</v>
      </c>
      <c r="AS105" s="30">
        <f t="shared" si="13"/>
        <v>32.17470090035529</v>
      </c>
      <c r="AT105" s="31">
        <f t="shared" si="14"/>
        <v>100.00000000000001</v>
      </c>
      <c r="AV105" s="28">
        <f t="shared" si="15"/>
        <v>7864.6860175737474</v>
      </c>
    </row>
    <row r="106" spans="2:48" ht="15.75" customHeight="1" x14ac:dyDescent="0.25">
      <c r="B106" s="32"/>
      <c r="C106" s="16" t="s">
        <v>46</v>
      </c>
      <c r="D106" s="17"/>
      <c r="E106" s="18" t="s">
        <v>48</v>
      </c>
      <c r="F106" s="38"/>
      <c r="G106" s="23">
        <f t="shared" si="56"/>
        <v>46.286013619696178</v>
      </c>
      <c r="H106" s="23">
        <f t="shared" si="57"/>
        <v>5.5945521215295964</v>
      </c>
      <c r="I106" s="23">
        <f t="shared" si="58"/>
        <v>47.511786275536927</v>
      </c>
      <c r="J106" s="46">
        <f t="shared" si="59"/>
        <v>0.57621791513881615</v>
      </c>
      <c r="K106" s="23">
        <f t="shared" si="60"/>
        <v>3.1430068098480882E-2</v>
      </c>
      <c r="L106" s="20">
        <v>20.2</v>
      </c>
      <c r="M106" s="21">
        <v>69.319999999999993</v>
      </c>
      <c r="N106" s="21">
        <v>5.93</v>
      </c>
      <c r="O106" s="21">
        <v>4.55</v>
      </c>
      <c r="P106" s="21">
        <v>0.15</v>
      </c>
      <c r="Q106" s="40">
        <v>750</v>
      </c>
      <c r="R106" s="40" t="s">
        <v>50</v>
      </c>
      <c r="S106" s="21">
        <v>0</v>
      </c>
      <c r="T106" s="41" t="s">
        <v>51</v>
      </c>
      <c r="U106" s="21">
        <f>8.47*100/52.65</f>
        <v>16.087369420702757</v>
      </c>
      <c r="V106" s="21">
        <f>23.07*100/52.65</f>
        <v>43.817663817663821</v>
      </c>
      <c r="W106" s="21">
        <f>14.03*100/52.65</f>
        <v>26.647673314339983</v>
      </c>
      <c r="X106" s="21">
        <f>7.08*100/52.65</f>
        <v>13.447293447293447</v>
      </c>
      <c r="Y106" s="27">
        <f t="shared" si="4"/>
        <v>31.85289109209533</v>
      </c>
      <c r="Z106" s="47" t="s">
        <v>51</v>
      </c>
      <c r="AA106" s="18" t="s">
        <v>51</v>
      </c>
      <c r="AB106" s="18" t="s">
        <v>51</v>
      </c>
      <c r="AC106" s="28">
        <f t="shared" si="5"/>
        <v>12090.943393026728</v>
      </c>
      <c r="AD106" s="18" t="s">
        <v>51</v>
      </c>
      <c r="AF106" s="1"/>
      <c r="AK106" s="1">
        <f t="shared" si="6"/>
        <v>2.1485359138417026</v>
      </c>
      <c r="AL106" s="29">
        <f t="shared" si="7"/>
        <v>4.5966474594028286</v>
      </c>
      <c r="AM106" s="29">
        <f t="shared" si="8"/>
        <v>6.7451833732445312</v>
      </c>
      <c r="AO106" s="30">
        <f t="shared" si="9"/>
        <v>10.963077159543261</v>
      </c>
      <c r="AP106" s="30">
        <f t="shared" si="10"/>
        <v>29.860471082722906</v>
      </c>
      <c r="AQ106" s="30">
        <f t="shared" si="11"/>
        <v>18.159618954945916</v>
      </c>
      <c r="AR106" s="30">
        <f t="shared" si="12"/>
        <v>9.1639417106925922</v>
      </c>
      <c r="AS106" s="30">
        <f t="shared" si="13"/>
        <v>31.85289109209533</v>
      </c>
      <c r="AT106" s="31">
        <f t="shared" si="14"/>
        <v>100.00000000000001</v>
      </c>
      <c r="AV106" s="28">
        <f t="shared" si="15"/>
        <v>8239.6283620390277</v>
      </c>
    </row>
    <row r="107" spans="2:48" ht="15.75" customHeight="1" x14ac:dyDescent="0.25">
      <c r="B107" s="32"/>
      <c r="C107" s="16" t="s">
        <v>46</v>
      </c>
      <c r="D107" s="17"/>
      <c r="E107" s="18" t="s">
        <v>48</v>
      </c>
      <c r="F107" s="38"/>
      <c r="G107" s="23">
        <f t="shared" si="56"/>
        <v>46.286013619696178</v>
      </c>
      <c r="H107" s="23">
        <f t="shared" si="57"/>
        <v>5.5945521215295964</v>
      </c>
      <c r="I107" s="23">
        <f t="shared" si="58"/>
        <v>47.511786275536927</v>
      </c>
      <c r="J107" s="46">
        <f t="shared" si="59"/>
        <v>0.57621791513881615</v>
      </c>
      <c r="K107" s="23">
        <f t="shared" si="60"/>
        <v>3.1430068098480882E-2</v>
      </c>
      <c r="L107" s="20">
        <v>20.2</v>
      </c>
      <c r="M107" s="21">
        <v>69.319999999999993</v>
      </c>
      <c r="N107" s="21">
        <v>5.93</v>
      </c>
      <c r="O107" s="21">
        <v>4.55</v>
      </c>
      <c r="P107" s="21">
        <v>0.15</v>
      </c>
      <c r="Q107" s="40">
        <v>800</v>
      </c>
      <c r="R107" s="40" t="s">
        <v>50</v>
      </c>
      <c r="S107" s="21">
        <v>0</v>
      </c>
      <c r="T107" s="41" t="s">
        <v>51</v>
      </c>
      <c r="U107" s="21">
        <f>9.17*100/55.57</f>
        <v>16.501709555515564</v>
      </c>
      <c r="V107" s="21">
        <f>25.82*100/55.57</f>
        <v>46.463919380960952</v>
      </c>
      <c r="W107" s="21">
        <f>13.78*100/55.57</f>
        <v>24.79755263631456</v>
      </c>
      <c r="X107" s="21">
        <f>6.8*100/55.57</f>
        <v>12.236818427208926</v>
      </c>
      <c r="Y107" s="27">
        <f t="shared" si="4"/>
        <v>31.745539234535279</v>
      </c>
      <c r="Z107" s="47" t="s">
        <v>51</v>
      </c>
      <c r="AA107" s="18" t="s">
        <v>51</v>
      </c>
      <c r="AB107" s="18" t="s">
        <v>51</v>
      </c>
      <c r="AC107" s="28">
        <f t="shared" si="5"/>
        <v>12036.271337309443</v>
      </c>
      <c r="AD107" s="18" t="s">
        <v>51</v>
      </c>
      <c r="AF107" s="1"/>
      <c r="AK107" s="1">
        <f t="shared" si="6"/>
        <v>2.1485359138417026</v>
      </c>
      <c r="AL107" s="29">
        <f t="shared" si="7"/>
        <v>4.6194572141640018</v>
      </c>
      <c r="AM107" s="29">
        <f t="shared" si="8"/>
        <v>6.7679931280057044</v>
      </c>
      <c r="AO107" s="30">
        <f t="shared" si="9"/>
        <v>11.263152874200312</v>
      </c>
      <c r="AP107" s="30">
        <f t="shared" si="10"/>
        <v>31.71369762397515</v>
      </c>
      <c r="AQ107" s="30">
        <f t="shared" si="11"/>
        <v>16.925435834948782</v>
      </c>
      <c r="AR107" s="30">
        <f t="shared" si="12"/>
        <v>8.3521744323404743</v>
      </c>
      <c r="AS107" s="30">
        <f t="shared" si="13"/>
        <v>31.745539234535279</v>
      </c>
      <c r="AT107" s="31">
        <f t="shared" si="14"/>
        <v>100</v>
      </c>
      <c r="AV107" s="28">
        <f t="shared" si="15"/>
        <v>8215.2920975487486</v>
      </c>
    </row>
    <row r="108" spans="2:48" ht="15.75" customHeight="1" x14ac:dyDescent="0.25">
      <c r="B108" s="32"/>
      <c r="C108" s="16" t="s">
        <v>46</v>
      </c>
      <c r="D108" s="17"/>
      <c r="E108" s="18" t="s">
        <v>48</v>
      </c>
      <c r="F108" s="38"/>
      <c r="G108" s="23">
        <f t="shared" si="56"/>
        <v>46.286013619696178</v>
      </c>
      <c r="H108" s="23">
        <f t="shared" si="57"/>
        <v>5.5945521215295964</v>
      </c>
      <c r="I108" s="23">
        <f t="shared" si="58"/>
        <v>47.511786275536927</v>
      </c>
      <c r="J108" s="46">
        <f t="shared" si="59"/>
        <v>0.57621791513881615</v>
      </c>
      <c r="K108" s="23">
        <f t="shared" si="60"/>
        <v>3.1430068098480882E-2</v>
      </c>
      <c r="L108" s="20">
        <v>20.2</v>
      </c>
      <c r="M108" s="21">
        <v>69.319999999999993</v>
      </c>
      <c r="N108" s="21">
        <v>5.93</v>
      </c>
      <c r="O108" s="21">
        <v>4.55</v>
      </c>
      <c r="P108" s="21">
        <v>0.15</v>
      </c>
      <c r="Q108" s="40">
        <v>850</v>
      </c>
      <c r="R108" s="40" t="s">
        <v>50</v>
      </c>
      <c r="S108" s="21">
        <v>0</v>
      </c>
      <c r="T108" s="41" t="s">
        <v>51</v>
      </c>
      <c r="U108" s="21">
        <f>11.01*100/59</f>
        <v>18.661016949152543</v>
      </c>
      <c r="V108" s="21">
        <f>27.9*100/59</f>
        <v>47.288135593220339</v>
      </c>
      <c r="W108" s="21">
        <f>13.1*100/59</f>
        <v>22.203389830508474</v>
      </c>
      <c r="X108" s="21">
        <f>6.99*100/59</f>
        <v>11.847457627118644</v>
      </c>
      <c r="Y108" s="27">
        <f t="shared" si="4"/>
        <v>31.180562302033426</v>
      </c>
      <c r="Z108" s="47" t="s">
        <v>51</v>
      </c>
      <c r="AA108" s="18" t="s">
        <v>51</v>
      </c>
      <c r="AB108" s="18" t="s">
        <v>51</v>
      </c>
      <c r="AC108" s="28">
        <f t="shared" si="5"/>
        <v>12233.99818401937</v>
      </c>
      <c r="AD108" s="18" t="s">
        <v>51</v>
      </c>
      <c r="AF108" s="1"/>
      <c r="AK108" s="1">
        <f t="shared" si="6"/>
        <v>2.1485359138417026</v>
      </c>
      <c r="AL108" s="29">
        <f t="shared" si="7"/>
        <v>4.7420900249393521</v>
      </c>
      <c r="AM108" s="29">
        <f t="shared" si="8"/>
        <v>6.8906259387810547</v>
      </c>
      <c r="AO108" s="30">
        <f t="shared" si="9"/>
        <v>12.842406933129016</v>
      </c>
      <c r="AP108" s="30">
        <f t="shared" si="10"/>
        <v>32.543429013106227</v>
      </c>
      <c r="AQ108" s="30">
        <f t="shared" si="11"/>
        <v>15.280248031243424</v>
      </c>
      <c r="AR108" s="30">
        <f t="shared" si="12"/>
        <v>8.1533537204879032</v>
      </c>
      <c r="AS108" s="30">
        <f t="shared" si="13"/>
        <v>31.180562302033426</v>
      </c>
      <c r="AT108" s="31">
        <f t="shared" si="14"/>
        <v>100</v>
      </c>
      <c r="AV108" s="28">
        <f t="shared" si="15"/>
        <v>8419.3687582215716</v>
      </c>
    </row>
    <row r="109" spans="2:48" ht="15.75" customHeight="1" x14ac:dyDescent="0.25">
      <c r="B109" s="32"/>
      <c r="C109" s="16" t="s">
        <v>46</v>
      </c>
      <c r="D109" s="17"/>
      <c r="E109" s="18" t="s">
        <v>48</v>
      </c>
      <c r="F109" s="38"/>
      <c r="G109" s="23">
        <f t="shared" si="56"/>
        <v>46.286013619696178</v>
      </c>
      <c r="H109" s="23">
        <f t="shared" si="57"/>
        <v>5.5945521215295964</v>
      </c>
      <c r="I109" s="23">
        <f t="shared" si="58"/>
        <v>47.511786275536927</v>
      </c>
      <c r="J109" s="46">
        <f t="shared" si="59"/>
        <v>0.57621791513881615</v>
      </c>
      <c r="K109" s="23">
        <f t="shared" si="60"/>
        <v>3.1430068098480882E-2</v>
      </c>
      <c r="L109" s="20">
        <v>20.2</v>
      </c>
      <c r="M109" s="21">
        <v>69.319999999999993</v>
      </c>
      <c r="N109" s="21">
        <v>5.93</v>
      </c>
      <c r="O109" s="21">
        <v>4.55</v>
      </c>
      <c r="P109" s="21">
        <v>0.2</v>
      </c>
      <c r="Q109" s="40">
        <v>650</v>
      </c>
      <c r="R109" s="40" t="s">
        <v>50</v>
      </c>
      <c r="S109" s="21">
        <v>0</v>
      </c>
      <c r="T109" s="41" t="s">
        <v>51</v>
      </c>
      <c r="U109" s="21">
        <f>9.14*100/47.82</f>
        <v>19.113341698034294</v>
      </c>
      <c r="V109" s="21">
        <f>14.69*100/47.82</f>
        <v>30.719364282726893</v>
      </c>
      <c r="W109" s="21">
        <f>19*100/47.82</f>
        <v>39.732329569217903</v>
      </c>
      <c r="X109" s="21">
        <f>4.99*100/47.82</f>
        <v>10.434964450020912</v>
      </c>
      <c r="Y109" s="27">
        <f t="shared" si="4"/>
        <v>37.472873308737235</v>
      </c>
      <c r="Z109" s="47" t="s">
        <v>51</v>
      </c>
      <c r="AA109" s="18" t="s">
        <v>51</v>
      </c>
      <c r="AB109" s="18" t="s">
        <v>51</v>
      </c>
      <c r="AC109" s="28">
        <f t="shared" si="5"/>
        <v>9683.428369779529</v>
      </c>
      <c r="AD109" s="18" t="s">
        <v>51</v>
      </c>
      <c r="AF109" s="1"/>
      <c r="AK109" s="1">
        <f t="shared" si="6"/>
        <v>2.8578548147039506</v>
      </c>
      <c r="AL109" s="29">
        <f t="shared" si="7"/>
        <v>4.7686081766931041</v>
      </c>
      <c r="AM109" s="29">
        <f t="shared" si="8"/>
        <v>7.6264629913970552</v>
      </c>
      <c r="AO109" s="30">
        <f t="shared" si="9"/>
        <v>11.951023378463855</v>
      </c>
      <c r="AP109" s="30">
        <f t="shared" si="10"/>
        <v>19.207935823811166</v>
      </c>
      <c r="AQ109" s="30">
        <f t="shared" si="11"/>
        <v>24.843484047134933</v>
      </c>
      <c r="AR109" s="30">
        <f t="shared" si="12"/>
        <v>6.5246834418528046</v>
      </c>
      <c r="AS109" s="30">
        <f t="shared" si="13"/>
        <v>37.472873308737235</v>
      </c>
      <c r="AT109" s="31">
        <f t="shared" si="14"/>
        <v>99.999999999999986</v>
      </c>
      <c r="AV109" s="28">
        <f t="shared" si="15"/>
        <v>6054.7695248297259</v>
      </c>
    </row>
    <row r="110" spans="2:48" ht="15.75" customHeight="1" x14ac:dyDescent="0.25">
      <c r="B110" s="32"/>
      <c r="C110" s="16" t="s">
        <v>46</v>
      </c>
      <c r="D110" s="17"/>
      <c r="E110" s="18" t="s">
        <v>48</v>
      </c>
      <c r="F110" s="38"/>
      <c r="G110" s="23">
        <f t="shared" si="56"/>
        <v>46.286013619696178</v>
      </c>
      <c r="H110" s="23">
        <f t="shared" si="57"/>
        <v>5.5945521215295964</v>
      </c>
      <c r="I110" s="23">
        <f t="shared" si="58"/>
        <v>47.511786275536927</v>
      </c>
      <c r="J110" s="46">
        <f t="shared" si="59"/>
        <v>0.57621791513881615</v>
      </c>
      <c r="K110" s="23">
        <f t="shared" si="60"/>
        <v>3.1430068098480882E-2</v>
      </c>
      <c r="L110" s="20">
        <v>20.2</v>
      </c>
      <c r="M110" s="21">
        <v>69.319999999999993</v>
      </c>
      <c r="N110" s="21">
        <v>5.93</v>
      </c>
      <c r="O110" s="21">
        <v>4.55</v>
      </c>
      <c r="P110" s="21">
        <v>0.2</v>
      </c>
      <c r="Q110" s="40">
        <v>700</v>
      </c>
      <c r="R110" s="40" t="s">
        <v>50</v>
      </c>
      <c r="S110" s="21">
        <v>0</v>
      </c>
      <c r="T110" s="41" t="s">
        <v>51</v>
      </c>
      <c r="U110" s="21">
        <f>9.3*100/48.93</f>
        <v>19.006744328632742</v>
      </c>
      <c r="V110" s="21">
        <f>14.94*100/48.93</f>
        <v>30.533415082771306</v>
      </c>
      <c r="W110" s="21">
        <f>18.7*100/48.93</f>
        <v>38.217862252197015</v>
      </c>
      <c r="X110" s="21">
        <f>5.99*100/48.93</f>
        <v>12.241978336398937</v>
      </c>
      <c r="Y110" s="27">
        <f t="shared" si="4"/>
        <v>37.503736486574361</v>
      </c>
      <c r="Z110" s="47" t="s">
        <v>51</v>
      </c>
      <c r="AA110" s="18" t="s">
        <v>51</v>
      </c>
      <c r="AB110" s="18" t="s">
        <v>51</v>
      </c>
      <c r="AC110" s="28">
        <f t="shared" si="5"/>
        <v>10295.903586756591</v>
      </c>
      <c r="AD110" s="18" t="s">
        <v>51</v>
      </c>
      <c r="AF110" s="1"/>
      <c r="AK110" s="1">
        <f t="shared" si="6"/>
        <v>2.8578548147039506</v>
      </c>
      <c r="AL110" s="29">
        <f t="shared" si="7"/>
        <v>4.7623320851453741</v>
      </c>
      <c r="AM110" s="29">
        <f t="shared" si="8"/>
        <v>7.6201868998493243</v>
      </c>
      <c r="AO110" s="30">
        <f t="shared" si="9"/>
        <v>11.878505020945402</v>
      </c>
      <c r="AP110" s="30">
        <f t="shared" si="10"/>
        <v>19.082243549776805</v>
      </c>
      <c r="AQ110" s="30">
        <f t="shared" si="11"/>
        <v>23.884735902331077</v>
      </c>
      <c r="AR110" s="30">
        <f t="shared" si="12"/>
        <v>7.6507790403723615</v>
      </c>
      <c r="AS110" s="30">
        <f t="shared" si="13"/>
        <v>37.503736486574361</v>
      </c>
      <c r="AT110" s="31">
        <f t="shared" si="14"/>
        <v>100.00000000000001</v>
      </c>
      <c r="AV110" s="28">
        <f t="shared" si="15"/>
        <v>6434.5550366676407</v>
      </c>
    </row>
    <row r="111" spans="2:48" ht="15.75" customHeight="1" x14ac:dyDescent="0.25">
      <c r="B111" s="32"/>
      <c r="C111" s="16" t="s">
        <v>46</v>
      </c>
      <c r="D111" s="17"/>
      <c r="E111" s="18" t="s">
        <v>48</v>
      </c>
      <c r="F111" s="38"/>
      <c r="G111" s="23">
        <f t="shared" si="56"/>
        <v>46.286013619696178</v>
      </c>
      <c r="H111" s="23">
        <f t="shared" si="57"/>
        <v>5.5945521215295964</v>
      </c>
      <c r="I111" s="23">
        <f t="shared" si="58"/>
        <v>47.511786275536927</v>
      </c>
      <c r="J111" s="46">
        <f t="shared" si="59"/>
        <v>0.57621791513881615</v>
      </c>
      <c r="K111" s="23">
        <f t="shared" si="60"/>
        <v>3.1430068098480882E-2</v>
      </c>
      <c r="L111" s="20">
        <v>20.2</v>
      </c>
      <c r="M111" s="21">
        <v>69.319999999999993</v>
      </c>
      <c r="N111" s="21">
        <v>5.93</v>
      </c>
      <c r="O111" s="21">
        <v>4.55</v>
      </c>
      <c r="P111" s="21">
        <v>0.2</v>
      </c>
      <c r="Q111" s="40">
        <v>750</v>
      </c>
      <c r="R111" s="40" t="s">
        <v>50</v>
      </c>
      <c r="S111" s="21">
        <v>0</v>
      </c>
      <c r="T111" s="41" t="s">
        <v>51</v>
      </c>
      <c r="U111" s="21">
        <f>9.9*100/49.21</f>
        <v>20.117862223125382</v>
      </c>
      <c r="V111" s="21">
        <f>15.97*100/49.21</f>
        <v>32.452753505385083</v>
      </c>
      <c r="W111" s="21">
        <f>17*100/49.21</f>
        <v>34.545824019508231</v>
      </c>
      <c r="X111" s="21">
        <f>6.34*100/49.21</f>
        <v>12.883560251981304</v>
      </c>
      <c r="Y111" s="27">
        <f t="shared" si="4"/>
        <v>37.180529982319733</v>
      </c>
      <c r="Z111" s="47" t="s">
        <v>51</v>
      </c>
      <c r="AA111" s="18" t="s">
        <v>51</v>
      </c>
      <c r="AB111" s="18" t="s">
        <v>51</v>
      </c>
      <c r="AC111" s="28">
        <f t="shared" si="5"/>
        <v>10888.229381368481</v>
      </c>
      <c r="AD111" s="18" t="s">
        <v>51</v>
      </c>
      <c r="AF111" s="1"/>
      <c r="AK111" s="1">
        <f t="shared" si="6"/>
        <v>2.8578548147039506</v>
      </c>
      <c r="AL111" s="29">
        <f t="shared" si="7"/>
        <v>4.8285735822633109</v>
      </c>
      <c r="AM111" s="29">
        <f t="shared" si="8"/>
        <v>7.686428396967262</v>
      </c>
      <c r="AO111" s="30">
        <f t="shared" si="9"/>
        <v>12.637934427454473</v>
      </c>
      <c r="AP111" s="30">
        <f t="shared" si="10"/>
        <v>20.386647758227063</v>
      </c>
      <c r="AQ111" s="30">
        <f t="shared" si="11"/>
        <v>21.701503562295564</v>
      </c>
      <c r="AR111" s="30">
        <f t="shared" si="12"/>
        <v>8.0933842697031668</v>
      </c>
      <c r="AS111" s="30">
        <f t="shared" si="13"/>
        <v>37.180529982319733</v>
      </c>
      <c r="AT111" s="31">
        <f t="shared" si="14"/>
        <v>100</v>
      </c>
      <c r="AV111" s="28">
        <f t="shared" si="15"/>
        <v>6839.9279916850246</v>
      </c>
    </row>
    <row r="112" spans="2:48" ht="15.75" customHeight="1" x14ac:dyDescent="0.25">
      <c r="B112" s="32"/>
      <c r="C112" s="16" t="s">
        <v>46</v>
      </c>
      <c r="D112" s="17"/>
      <c r="E112" s="18" t="s">
        <v>48</v>
      </c>
      <c r="F112" s="38"/>
      <c r="G112" s="23">
        <f t="shared" si="56"/>
        <v>46.286013619696178</v>
      </c>
      <c r="H112" s="23">
        <f t="shared" si="57"/>
        <v>5.5945521215295964</v>
      </c>
      <c r="I112" s="23">
        <f t="shared" si="58"/>
        <v>47.511786275536927</v>
      </c>
      <c r="J112" s="46">
        <f t="shared" si="59"/>
        <v>0.57621791513881615</v>
      </c>
      <c r="K112" s="23">
        <f t="shared" si="60"/>
        <v>3.1430068098480882E-2</v>
      </c>
      <c r="L112" s="20">
        <v>20.2</v>
      </c>
      <c r="M112" s="21">
        <v>69.319999999999993</v>
      </c>
      <c r="N112" s="21">
        <v>5.93</v>
      </c>
      <c r="O112" s="21">
        <v>4.55</v>
      </c>
      <c r="P112" s="21">
        <v>0.2</v>
      </c>
      <c r="Q112" s="40">
        <v>800</v>
      </c>
      <c r="R112" s="40" t="s">
        <v>50</v>
      </c>
      <c r="S112" s="21">
        <v>0</v>
      </c>
      <c r="T112" s="41" t="s">
        <v>51</v>
      </c>
      <c r="U112" s="21">
        <f>10.64*100/51.1</f>
        <v>20.821917808219176</v>
      </c>
      <c r="V112" s="21">
        <f>17.81*100/51.1</f>
        <v>34.853228962818001</v>
      </c>
      <c r="W112" s="21">
        <f>16.09*100/51.1</f>
        <v>31.487279843444227</v>
      </c>
      <c r="X112" s="21">
        <f>6.56*100/51.1</f>
        <v>12.83757338551859</v>
      </c>
      <c r="Y112" s="27">
        <f t="shared" si="4"/>
        <v>36.973995475692377</v>
      </c>
      <c r="Z112" s="47" t="s">
        <v>51</v>
      </c>
      <c r="AA112" s="18" t="s">
        <v>51</v>
      </c>
      <c r="AB112" s="18" t="s">
        <v>51</v>
      </c>
      <c r="AC112" s="28">
        <f t="shared" si="5"/>
        <v>11251.032639083029</v>
      </c>
      <c r="AD112" s="18" t="s">
        <v>51</v>
      </c>
      <c r="AF112" s="1"/>
      <c r="AK112" s="1">
        <f t="shared" si="6"/>
        <v>2.8578548147039506</v>
      </c>
      <c r="AL112" s="29">
        <f t="shared" si="7"/>
        <v>4.871509507263295</v>
      </c>
      <c r="AM112" s="29">
        <f t="shared" si="8"/>
        <v>7.7293643219672461</v>
      </c>
      <c r="AO112" s="30">
        <f t="shared" si="9"/>
        <v>13.123222859855829</v>
      </c>
      <c r="AP112" s="30">
        <f t="shared" si="10"/>
        <v>21.966597662972966</v>
      </c>
      <c r="AQ112" s="30">
        <f t="shared" si="11"/>
        <v>19.845174418710556</v>
      </c>
      <c r="AR112" s="30">
        <f t="shared" si="12"/>
        <v>8.0910095827682582</v>
      </c>
      <c r="AS112" s="30">
        <f t="shared" si="13"/>
        <v>36.973995475692377</v>
      </c>
      <c r="AT112" s="31">
        <f t="shared" si="14"/>
        <v>99.999999999999986</v>
      </c>
      <c r="AV112" s="28">
        <f t="shared" si="15"/>
        <v>7091.0763401397971</v>
      </c>
    </row>
    <row r="113" spans="2:48" ht="15.75" customHeight="1" x14ac:dyDescent="0.25">
      <c r="B113" s="32"/>
      <c r="C113" s="16" t="s">
        <v>46</v>
      </c>
      <c r="D113" s="17"/>
      <c r="E113" s="18" t="s">
        <v>48</v>
      </c>
      <c r="F113" s="38"/>
      <c r="G113" s="23">
        <f t="shared" si="56"/>
        <v>46.286013619696178</v>
      </c>
      <c r="H113" s="23">
        <f t="shared" si="57"/>
        <v>5.5945521215295964</v>
      </c>
      <c r="I113" s="23">
        <f t="shared" si="58"/>
        <v>47.511786275536927</v>
      </c>
      <c r="J113" s="46">
        <f t="shared" si="59"/>
        <v>0.57621791513881615</v>
      </c>
      <c r="K113" s="23">
        <f t="shared" si="60"/>
        <v>3.1430068098480882E-2</v>
      </c>
      <c r="L113" s="20">
        <v>20.2</v>
      </c>
      <c r="M113" s="21">
        <v>69.319999999999993</v>
      </c>
      <c r="N113" s="21">
        <v>5.93</v>
      </c>
      <c r="O113" s="21">
        <v>4.55</v>
      </c>
      <c r="P113" s="21">
        <v>0.2</v>
      </c>
      <c r="Q113" s="40">
        <v>850</v>
      </c>
      <c r="R113" s="40" t="s">
        <v>50</v>
      </c>
      <c r="S113" s="21">
        <v>0</v>
      </c>
      <c r="T113" s="41" t="s">
        <v>51</v>
      </c>
      <c r="U113" s="21">
        <f>11.44*100/53.49</f>
        <v>21.387175172929517</v>
      </c>
      <c r="V113" s="21">
        <f>19.87*100/53.49</f>
        <v>37.147130304729856</v>
      </c>
      <c r="W113" s="21">
        <f>15.08*100/53.49</f>
        <v>28.192185455225275</v>
      </c>
      <c r="X113" s="21">
        <f>7.1*100/53.49</f>
        <v>13.273509067115349</v>
      </c>
      <c r="Y113" s="27">
        <f t="shared" si="4"/>
        <v>36.807191925698014</v>
      </c>
      <c r="Z113" s="47" t="s">
        <v>51</v>
      </c>
      <c r="AA113" s="18" t="s">
        <v>51</v>
      </c>
      <c r="AB113" s="18" t="s">
        <v>51</v>
      </c>
      <c r="AC113" s="28">
        <f t="shared" si="5"/>
        <v>11758.066260716289</v>
      </c>
      <c r="AD113" s="18" t="s">
        <v>51</v>
      </c>
      <c r="AF113" s="1"/>
      <c r="AK113" s="1">
        <f t="shared" si="6"/>
        <v>2.8578548147039506</v>
      </c>
      <c r="AL113" s="29">
        <f t="shared" si="7"/>
        <v>4.9065375911960931</v>
      </c>
      <c r="AM113" s="29">
        <f t="shared" si="8"/>
        <v>7.7643924059000433</v>
      </c>
      <c r="AO113" s="30">
        <f t="shared" si="9"/>
        <v>13.515156559544117</v>
      </c>
      <c r="AP113" s="30">
        <f t="shared" si="10"/>
        <v>23.474314758578814</v>
      </c>
      <c r="AQ113" s="30">
        <f t="shared" si="11"/>
        <v>17.815433646671792</v>
      </c>
      <c r="AR113" s="30">
        <f t="shared" si="12"/>
        <v>8.387903109507274</v>
      </c>
      <c r="AS113" s="30">
        <f t="shared" si="13"/>
        <v>36.807191925698014</v>
      </c>
      <c r="AT113" s="31">
        <f t="shared" si="14"/>
        <v>100</v>
      </c>
      <c r="AV113" s="28">
        <f t="shared" si="15"/>
        <v>7430.2522453837018</v>
      </c>
    </row>
    <row r="114" spans="2:48" ht="15.75" customHeight="1" x14ac:dyDescent="0.25">
      <c r="B114" s="32"/>
      <c r="C114" s="16" t="s">
        <v>46</v>
      </c>
      <c r="D114" s="17"/>
      <c r="E114" s="18" t="s">
        <v>48</v>
      </c>
      <c r="F114" s="38"/>
      <c r="G114" s="23">
        <f t="shared" si="56"/>
        <v>46.286013619696178</v>
      </c>
      <c r="H114" s="23">
        <f t="shared" si="57"/>
        <v>5.5945521215295964</v>
      </c>
      <c r="I114" s="23">
        <f t="shared" si="58"/>
        <v>47.511786275536927</v>
      </c>
      <c r="J114" s="46">
        <f t="shared" si="59"/>
        <v>0.57621791513881615</v>
      </c>
      <c r="K114" s="23">
        <f t="shared" si="60"/>
        <v>3.1430068098480882E-2</v>
      </c>
      <c r="L114" s="20">
        <v>20.2</v>
      </c>
      <c r="M114" s="21">
        <v>69.319999999999993</v>
      </c>
      <c r="N114" s="21">
        <v>5.93</v>
      </c>
      <c r="O114" s="21">
        <v>4.55</v>
      </c>
      <c r="P114" s="21">
        <v>0.25</v>
      </c>
      <c r="Q114" s="40">
        <v>650</v>
      </c>
      <c r="R114" s="40" t="s">
        <v>50</v>
      </c>
      <c r="S114" s="21">
        <v>0</v>
      </c>
      <c r="T114" s="41" t="s">
        <v>51</v>
      </c>
      <c r="U114" s="21">
        <f>6.96*100/44.31</f>
        <v>15.707515233581583</v>
      </c>
      <c r="V114" s="21">
        <f>13.62*100/44.31</f>
        <v>30.737982396750169</v>
      </c>
      <c r="W114" s="21">
        <f>18.8*100/44.31</f>
        <v>42.428345745881288</v>
      </c>
      <c r="X114" s="21">
        <f>4.93*100/44.31</f>
        <v>11.126156623786954</v>
      </c>
      <c r="Y114" s="27">
        <f t="shared" si="4"/>
        <v>43.806052768041383</v>
      </c>
      <c r="Z114" s="47" t="s">
        <v>51</v>
      </c>
      <c r="AA114" s="18" t="s">
        <v>51</v>
      </c>
      <c r="AB114" s="18" t="s">
        <v>51</v>
      </c>
      <c r="AC114" s="28">
        <f t="shared" si="5"/>
        <v>9565.7661524325358</v>
      </c>
      <c r="AD114" s="18" t="s">
        <v>51</v>
      </c>
      <c r="AF114" s="1"/>
      <c r="AK114" s="1">
        <f t="shared" si="6"/>
        <v>3.5671737155661982</v>
      </c>
      <c r="AL114" s="29">
        <f t="shared" si="7"/>
        <v>4.5759332072484105</v>
      </c>
      <c r="AM114" s="29">
        <f t="shared" si="8"/>
        <v>8.1431069228146082</v>
      </c>
      <c r="AO114" s="30">
        <f t="shared" si="9"/>
        <v>8.826672821810698</v>
      </c>
      <c r="AP114" s="30">
        <f t="shared" si="10"/>
        <v>17.272885608198518</v>
      </c>
      <c r="AQ114" s="30">
        <f t="shared" si="11"/>
        <v>23.84216221983349</v>
      </c>
      <c r="AR114" s="30">
        <f t="shared" si="12"/>
        <v>6.2522265821159104</v>
      </c>
      <c r="AS114" s="30">
        <f t="shared" si="13"/>
        <v>43.806052768041383</v>
      </c>
      <c r="AT114" s="31">
        <f t="shared" si="14"/>
        <v>100</v>
      </c>
      <c r="AV114" s="28">
        <f t="shared" si="15"/>
        <v>5375.3815840304987</v>
      </c>
    </row>
    <row r="115" spans="2:48" ht="15.75" customHeight="1" x14ac:dyDescent="0.25">
      <c r="B115" s="32"/>
      <c r="C115" s="16" t="s">
        <v>46</v>
      </c>
      <c r="D115" s="17"/>
      <c r="E115" s="18" t="s">
        <v>48</v>
      </c>
      <c r="F115" s="38"/>
      <c r="G115" s="23">
        <f t="shared" si="56"/>
        <v>46.286013619696178</v>
      </c>
      <c r="H115" s="23">
        <f t="shared" si="57"/>
        <v>5.5945521215295964</v>
      </c>
      <c r="I115" s="23">
        <f t="shared" si="58"/>
        <v>47.511786275536927</v>
      </c>
      <c r="J115" s="46">
        <f t="shared" si="59"/>
        <v>0.57621791513881615</v>
      </c>
      <c r="K115" s="23">
        <f t="shared" si="60"/>
        <v>3.1430068098480882E-2</v>
      </c>
      <c r="L115" s="20">
        <v>20.2</v>
      </c>
      <c r="M115" s="21">
        <v>69.319999999999993</v>
      </c>
      <c r="N115" s="21">
        <v>5.93</v>
      </c>
      <c r="O115" s="21">
        <v>4.55</v>
      </c>
      <c r="P115" s="21">
        <v>0.25</v>
      </c>
      <c r="Q115" s="40">
        <v>700</v>
      </c>
      <c r="R115" s="40" t="s">
        <v>50</v>
      </c>
      <c r="S115" s="21">
        <v>0</v>
      </c>
      <c r="T115" s="41" t="s">
        <v>51</v>
      </c>
      <c r="U115" s="21">
        <f>7.93*100/45.84</f>
        <v>17.299301919720765</v>
      </c>
      <c r="V115" s="21">
        <f>13.64*100/45.84</f>
        <v>29.755671902268759</v>
      </c>
      <c r="W115" s="21">
        <f>18.46*100/45.84</f>
        <v>40.27050610820244</v>
      </c>
      <c r="X115" s="21">
        <f>5.81*100/45.84</f>
        <v>12.674520069808027</v>
      </c>
      <c r="Y115" s="27">
        <f t="shared" si="4"/>
        <v>43.337317899231358</v>
      </c>
      <c r="Z115" s="47" t="s">
        <v>51</v>
      </c>
      <c r="AA115" s="18" t="s">
        <v>51</v>
      </c>
      <c r="AB115" s="18" t="s">
        <v>51</v>
      </c>
      <c r="AC115" s="28">
        <f t="shared" si="5"/>
        <v>10168.301623659934</v>
      </c>
      <c r="AD115" s="18" t="s">
        <v>51</v>
      </c>
      <c r="AF115" s="1"/>
      <c r="AK115" s="1">
        <f t="shared" si="6"/>
        <v>3.5671737155661982</v>
      </c>
      <c r="AL115" s="29">
        <f t="shared" si="7"/>
        <v>4.6640087583022796</v>
      </c>
      <c r="AM115" s="29">
        <f t="shared" si="8"/>
        <v>8.2311824738684773</v>
      </c>
      <c r="AO115" s="30">
        <f t="shared" si="9"/>
        <v>9.8022484524235445</v>
      </c>
      <c r="AP115" s="30">
        <f t="shared" si="10"/>
        <v>16.860361776930286</v>
      </c>
      <c r="AQ115" s="30">
        <f t="shared" si="11"/>
        <v>22.81834885646137</v>
      </c>
      <c r="AR115" s="30">
        <f t="shared" si="12"/>
        <v>7.1817230149534419</v>
      </c>
      <c r="AS115" s="30">
        <f t="shared" si="13"/>
        <v>43.337317899231358</v>
      </c>
      <c r="AT115" s="31">
        <f t="shared" si="14"/>
        <v>100</v>
      </c>
      <c r="AV115" s="28">
        <f t="shared" si="15"/>
        <v>5761.632424061725</v>
      </c>
    </row>
    <row r="116" spans="2:48" ht="15.75" customHeight="1" x14ac:dyDescent="0.25">
      <c r="B116" s="32"/>
      <c r="C116" s="16" t="s">
        <v>46</v>
      </c>
      <c r="D116" s="17"/>
      <c r="E116" s="18" t="s">
        <v>48</v>
      </c>
      <c r="F116" s="38"/>
      <c r="G116" s="23">
        <f t="shared" si="56"/>
        <v>46.286013619696178</v>
      </c>
      <c r="H116" s="23">
        <f t="shared" si="57"/>
        <v>5.5945521215295964</v>
      </c>
      <c r="I116" s="23">
        <f t="shared" si="58"/>
        <v>47.511786275536927</v>
      </c>
      <c r="J116" s="46">
        <f t="shared" si="59"/>
        <v>0.57621791513881615</v>
      </c>
      <c r="K116" s="23">
        <f t="shared" si="60"/>
        <v>3.1430068098480882E-2</v>
      </c>
      <c r="L116" s="20">
        <v>20.2</v>
      </c>
      <c r="M116" s="21">
        <v>69.319999999999993</v>
      </c>
      <c r="N116" s="21">
        <v>5.93</v>
      </c>
      <c r="O116" s="21">
        <v>4.55</v>
      </c>
      <c r="P116" s="21">
        <v>0.25</v>
      </c>
      <c r="Q116" s="40">
        <v>750</v>
      </c>
      <c r="R116" s="40" t="s">
        <v>50</v>
      </c>
      <c r="S116" s="21">
        <v>0</v>
      </c>
      <c r="T116" s="41" t="s">
        <v>51</v>
      </c>
      <c r="U116" s="21">
        <f>8.42*100/46.89</f>
        <v>17.956920452121988</v>
      </c>
      <c r="V116" s="21">
        <f>15.72*100/46.89</f>
        <v>33.52527191298784</v>
      </c>
      <c r="W116" s="21">
        <f>16.86*100/46.89</f>
        <v>35.956493921944976</v>
      </c>
      <c r="X116" s="21">
        <f>5.89*100/46.89</f>
        <v>12.561313712945191</v>
      </c>
      <c r="Y116" s="27">
        <f t="shared" si="4"/>
        <v>43.141377842600562</v>
      </c>
      <c r="Z116" s="47" t="s">
        <v>51</v>
      </c>
      <c r="AA116" s="18" t="s">
        <v>51</v>
      </c>
      <c r="AB116" s="18" t="s">
        <v>51</v>
      </c>
      <c r="AC116" s="28">
        <f t="shared" si="5"/>
        <v>10674.980387228466</v>
      </c>
      <c r="AD116" s="18" t="s">
        <v>51</v>
      </c>
      <c r="AF116" s="1"/>
      <c r="AK116" s="1">
        <f t="shared" si="6"/>
        <v>3.5671737155661982</v>
      </c>
      <c r="AL116" s="29">
        <f t="shared" si="7"/>
        <v>4.7013932471786539</v>
      </c>
      <c r="AM116" s="29">
        <f t="shared" si="8"/>
        <v>8.2685669627448526</v>
      </c>
      <c r="AO116" s="30">
        <f t="shared" si="9"/>
        <v>10.210057550976822</v>
      </c>
      <c r="AP116" s="30">
        <f t="shared" si="10"/>
        <v>19.062007684246513</v>
      </c>
      <c r="AQ116" s="30">
        <f t="shared" si="11"/>
        <v>20.444367020126986</v>
      </c>
      <c r="AR116" s="30">
        <f t="shared" si="12"/>
        <v>7.1421899020491075</v>
      </c>
      <c r="AS116" s="30">
        <f t="shared" si="13"/>
        <v>43.141377842600562</v>
      </c>
      <c r="AT116" s="31">
        <f t="shared" si="14"/>
        <v>100</v>
      </c>
      <c r="AV116" s="28">
        <f t="shared" si="15"/>
        <v>6069.6467637507294</v>
      </c>
    </row>
    <row r="117" spans="2:48" ht="15.75" customHeight="1" x14ac:dyDescent="0.25">
      <c r="B117" s="32"/>
      <c r="C117" s="16" t="s">
        <v>46</v>
      </c>
      <c r="D117" s="17"/>
      <c r="E117" s="18" t="s">
        <v>48</v>
      </c>
      <c r="F117" s="38"/>
      <c r="G117" s="23">
        <f t="shared" si="56"/>
        <v>46.286013619696178</v>
      </c>
      <c r="H117" s="23">
        <f t="shared" si="57"/>
        <v>5.5945521215295964</v>
      </c>
      <c r="I117" s="23">
        <f t="shared" si="58"/>
        <v>47.511786275536927</v>
      </c>
      <c r="J117" s="46">
        <f t="shared" si="59"/>
        <v>0.57621791513881615</v>
      </c>
      <c r="K117" s="23">
        <f t="shared" si="60"/>
        <v>3.1430068098480882E-2</v>
      </c>
      <c r="L117" s="20">
        <v>20.2</v>
      </c>
      <c r="M117" s="21">
        <v>69.319999999999993</v>
      </c>
      <c r="N117" s="21">
        <v>5.93</v>
      </c>
      <c r="O117" s="21">
        <v>4.55</v>
      </c>
      <c r="P117" s="21">
        <v>0.25</v>
      </c>
      <c r="Q117" s="40">
        <v>800</v>
      </c>
      <c r="R117" s="40" t="s">
        <v>50</v>
      </c>
      <c r="S117" s="21">
        <v>0</v>
      </c>
      <c r="T117" s="41" t="s">
        <v>51</v>
      </c>
      <c r="U117" s="21">
        <f>10.03*100/48.46</f>
        <v>20.697482459760625</v>
      </c>
      <c r="V117" s="21">
        <f>17*100/48.46</f>
        <v>35.080478745356992</v>
      </c>
      <c r="W117" s="21">
        <f>15.1*100/48.46</f>
        <v>31.159719356170037</v>
      </c>
      <c r="X117" s="21">
        <f>6.33*100/48.46</f>
        <v>13.06231943871234</v>
      </c>
      <c r="Y117" s="27">
        <f t="shared" si="4"/>
        <v>42.310012073569297</v>
      </c>
      <c r="Z117" s="47" t="s">
        <v>51</v>
      </c>
      <c r="AA117" s="18" t="s">
        <v>51</v>
      </c>
      <c r="AB117" s="18" t="s">
        <v>51</v>
      </c>
      <c r="AC117" s="28">
        <f t="shared" si="5"/>
        <v>11346.839071988679</v>
      </c>
      <c r="AD117" s="18" t="s">
        <v>51</v>
      </c>
      <c r="AF117" s="1"/>
      <c r="AK117" s="1">
        <f t="shared" si="6"/>
        <v>3.5671737155661982</v>
      </c>
      <c r="AL117" s="29">
        <f t="shared" si="7"/>
        <v>4.8638655130767567</v>
      </c>
      <c r="AM117" s="29">
        <f t="shared" si="8"/>
        <v>8.4310392286429554</v>
      </c>
      <c r="AO117" s="30">
        <f t="shared" si="9"/>
        <v>11.940375132111015</v>
      </c>
      <c r="AP117" s="30">
        <f t="shared" si="10"/>
        <v>20.237923952730537</v>
      </c>
      <c r="AQ117" s="30">
        <f t="shared" si="11"/>
        <v>17.976038334484183</v>
      </c>
      <c r="AR117" s="30">
        <f t="shared" si="12"/>
        <v>7.5356505071049584</v>
      </c>
      <c r="AS117" s="30">
        <f t="shared" si="13"/>
        <v>42.310012073569297</v>
      </c>
      <c r="AT117" s="31">
        <f t="shared" si="14"/>
        <v>100</v>
      </c>
      <c r="AV117" s="28">
        <f t="shared" si="15"/>
        <v>6545.9900906617895</v>
      </c>
    </row>
    <row r="118" spans="2:48" ht="15.75" customHeight="1" x14ac:dyDescent="0.25">
      <c r="B118" s="32"/>
      <c r="C118" s="16" t="s">
        <v>46</v>
      </c>
      <c r="D118" s="17"/>
      <c r="E118" s="18" t="s">
        <v>48</v>
      </c>
      <c r="F118" s="38"/>
      <c r="G118" s="23">
        <f t="shared" si="56"/>
        <v>46.286013619696178</v>
      </c>
      <c r="H118" s="23">
        <f t="shared" si="57"/>
        <v>5.5945521215295964</v>
      </c>
      <c r="I118" s="23">
        <f t="shared" si="58"/>
        <v>47.511786275536927</v>
      </c>
      <c r="J118" s="46">
        <f t="shared" si="59"/>
        <v>0.57621791513881615</v>
      </c>
      <c r="K118" s="23">
        <f t="shared" si="60"/>
        <v>3.1430068098480882E-2</v>
      </c>
      <c r="L118" s="20">
        <v>20.2</v>
      </c>
      <c r="M118" s="21">
        <v>69.319999999999993</v>
      </c>
      <c r="N118" s="21">
        <v>5.93</v>
      </c>
      <c r="O118" s="21">
        <v>4.55</v>
      </c>
      <c r="P118" s="21">
        <v>0.25</v>
      </c>
      <c r="Q118" s="40">
        <v>850</v>
      </c>
      <c r="R118" s="40" t="s">
        <v>50</v>
      </c>
      <c r="S118" s="21">
        <v>0</v>
      </c>
      <c r="T118" s="41" t="s">
        <v>51</v>
      </c>
      <c r="U118" s="21">
        <f>11.34*100/51.1</f>
        <v>22.191780821917806</v>
      </c>
      <c r="V118" s="21">
        <f>18.91*100/51.1</f>
        <v>37.00587084148728</v>
      </c>
      <c r="W118" s="21">
        <f>13.92*100/51.1</f>
        <v>27.240704500978474</v>
      </c>
      <c r="X118" s="21">
        <f>6.93*100/51.1</f>
        <v>13.561643835616438</v>
      </c>
      <c r="Y118" s="27">
        <f t="shared" si="4"/>
        <v>41.846383468415127</v>
      </c>
      <c r="Z118" s="47" t="s">
        <v>51</v>
      </c>
      <c r="AA118" s="18" t="s">
        <v>51</v>
      </c>
      <c r="AB118" s="18" t="s">
        <v>51</v>
      </c>
      <c r="AC118" s="28">
        <f t="shared" si="5"/>
        <v>11930.323420464076</v>
      </c>
      <c r="AD118" s="18" t="s">
        <v>51</v>
      </c>
      <c r="AF118" s="1"/>
      <c r="AK118" s="1">
        <f t="shared" si="6"/>
        <v>3.5671737155661982</v>
      </c>
      <c r="AL118" s="29">
        <f t="shared" si="7"/>
        <v>4.9572755197151137</v>
      </c>
      <c r="AM118" s="29">
        <f t="shared" si="8"/>
        <v>8.5244492352813115</v>
      </c>
      <c r="AO118" s="30">
        <f t="shared" si="9"/>
        <v>12.905323120707877</v>
      </c>
      <c r="AP118" s="30">
        <f t="shared" si="10"/>
        <v>21.520252223332097</v>
      </c>
      <c r="AQ118" s="30">
        <f t="shared" si="11"/>
        <v>15.841454836001207</v>
      </c>
      <c r="AR118" s="30">
        <f t="shared" si="12"/>
        <v>7.8865863515437038</v>
      </c>
      <c r="AS118" s="30">
        <f t="shared" si="13"/>
        <v>41.846383468415127</v>
      </c>
      <c r="AT118" s="31">
        <f t="shared" si="14"/>
        <v>100</v>
      </c>
      <c r="AV118" s="28">
        <f t="shared" si="15"/>
        <v>6937.9145329145404</v>
      </c>
    </row>
    <row r="119" spans="2:48" ht="15.75" customHeight="1" x14ac:dyDescent="0.25">
      <c r="B119" s="32"/>
      <c r="C119" s="16" t="s">
        <v>46</v>
      </c>
      <c r="D119" s="17"/>
      <c r="E119" s="18" t="s">
        <v>48</v>
      </c>
      <c r="F119" s="38"/>
      <c r="G119" s="23">
        <f t="shared" si="56"/>
        <v>46.286013619696178</v>
      </c>
      <c r="H119" s="23">
        <f t="shared" si="57"/>
        <v>5.5945521215295964</v>
      </c>
      <c r="I119" s="23">
        <f t="shared" si="58"/>
        <v>47.511786275536927</v>
      </c>
      <c r="J119" s="46">
        <f t="shared" si="59"/>
        <v>0.57621791513881615</v>
      </c>
      <c r="K119" s="23">
        <f t="shared" si="60"/>
        <v>3.1430068098480882E-2</v>
      </c>
      <c r="L119" s="20">
        <v>20.2</v>
      </c>
      <c r="M119" s="21">
        <v>69.319999999999993</v>
      </c>
      <c r="N119" s="21">
        <v>5.93</v>
      </c>
      <c r="O119" s="21">
        <v>4.55</v>
      </c>
      <c r="P119" s="21">
        <v>0.15</v>
      </c>
      <c r="Q119" s="40">
        <v>700</v>
      </c>
      <c r="R119" s="40" t="s">
        <v>50</v>
      </c>
      <c r="S119" s="21">
        <v>0</v>
      </c>
      <c r="T119" s="41" t="s">
        <v>51</v>
      </c>
      <c r="U119" s="21">
        <f>10.65*100/51.07</f>
        <v>20.853730174270609</v>
      </c>
      <c r="V119" s="21">
        <f>18.93*100/51.07</f>
        <v>37.066771098492268</v>
      </c>
      <c r="W119" s="21">
        <f>15.39*100/51.07</f>
        <v>30.135108674368514</v>
      </c>
      <c r="X119" s="21">
        <f>6.1*100/51.07</f>
        <v>11.944390052868611</v>
      </c>
      <c r="Y119" s="27">
        <f t="shared" si="4"/>
        <v>30.597192316638182</v>
      </c>
      <c r="Z119" s="47" t="s">
        <v>51</v>
      </c>
      <c r="AA119" s="18" t="s">
        <v>51</v>
      </c>
      <c r="AB119" s="18" t="s">
        <v>51</v>
      </c>
      <c r="AC119" s="28">
        <f t="shared" si="5"/>
        <v>11214.085533861087</v>
      </c>
      <c r="AD119" s="18" t="s">
        <v>51</v>
      </c>
      <c r="AF119" s="1"/>
      <c r="AK119" s="1">
        <f t="shared" si="6"/>
        <v>2.1485359138417026</v>
      </c>
      <c r="AL119" s="29">
        <f t="shared" si="7"/>
        <v>4.8734675811435837</v>
      </c>
      <c r="AM119" s="29">
        <f t="shared" si="8"/>
        <v>7.0220034949852863</v>
      </c>
      <c r="AO119" s="30">
        <f t="shared" si="9"/>
        <v>14.473074247656223</v>
      </c>
      <c r="AP119" s="30">
        <f t="shared" si="10"/>
        <v>25.725379859918529</v>
      </c>
      <c r="AQ119" s="30">
        <f t="shared" si="11"/>
        <v>20.914611518444065</v>
      </c>
      <c r="AR119" s="30">
        <f t="shared" si="12"/>
        <v>8.2897420573430018</v>
      </c>
      <c r="AS119" s="30">
        <f t="shared" si="13"/>
        <v>30.597192316638182</v>
      </c>
      <c r="AT119" s="31">
        <f t="shared" si="14"/>
        <v>100.00000000000001</v>
      </c>
      <c r="AV119" s="28">
        <f t="shared" si="15"/>
        <v>7782.8902165133086</v>
      </c>
    </row>
    <row r="120" spans="2:48" ht="15.75" customHeight="1" x14ac:dyDescent="0.25">
      <c r="B120" s="32"/>
      <c r="C120" s="16" t="s">
        <v>46</v>
      </c>
      <c r="D120" s="17"/>
      <c r="E120" s="18" t="s">
        <v>48</v>
      </c>
      <c r="F120" s="38"/>
      <c r="G120" s="23">
        <f t="shared" si="56"/>
        <v>46.286013619696178</v>
      </c>
      <c r="H120" s="23">
        <f t="shared" si="57"/>
        <v>5.5945521215295964</v>
      </c>
      <c r="I120" s="23">
        <f t="shared" si="58"/>
        <v>47.511786275536927</v>
      </c>
      <c r="J120" s="46">
        <f t="shared" si="59"/>
        <v>0.57621791513881615</v>
      </c>
      <c r="K120" s="23">
        <f t="shared" si="60"/>
        <v>3.1430068098480882E-2</v>
      </c>
      <c r="L120" s="20">
        <v>20.2</v>
      </c>
      <c r="M120" s="21">
        <v>69.319999999999993</v>
      </c>
      <c r="N120" s="21">
        <v>5.93</v>
      </c>
      <c r="O120" s="21">
        <v>4.55</v>
      </c>
      <c r="P120" s="21">
        <v>0.18</v>
      </c>
      <c r="Q120" s="40">
        <v>700</v>
      </c>
      <c r="R120" s="40" t="s">
        <v>50</v>
      </c>
      <c r="S120" s="21">
        <v>0</v>
      </c>
      <c r="T120" s="41" t="s">
        <v>51</v>
      </c>
      <c r="U120" s="21">
        <f>10.11*100/47.75</f>
        <v>21.172774869109947</v>
      </c>
      <c r="V120" s="21">
        <f>15.8*100/47.75</f>
        <v>33.089005235602095</v>
      </c>
      <c r="W120" s="21">
        <f>16.78*100/47.75</f>
        <v>35.141361256544499</v>
      </c>
      <c r="X120" s="21">
        <f>5.06*100/47.75</f>
        <v>10.596858638743454</v>
      </c>
      <c r="Y120" s="27">
        <f t="shared" si="4"/>
        <v>34.471903816669361</v>
      </c>
      <c r="Z120" s="47" t="s">
        <v>51</v>
      </c>
      <c r="AA120" s="18" t="s">
        <v>51</v>
      </c>
      <c r="AB120" s="18" t="s">
        <v>51</v>
      </c>
      <c r="AC120" s="28">
        <f t="shared" si="5"/>
        <v>10263.142670157067</v>
      </c>
      <c r="AD120" s="18" t="s">
        <v>51</v>
      </c>
      <c r="AF120" s="1"/>
      <c r="AK120" s="1">
        <f t="shared" si="6"/>
        <v>2.5741272543590514</v>
      </c>
      <c r="AL120" s="29">
        <f t="shared" si="7"/>
        <v>4.8931924157378948</v>
      </c>
      <c r="AM120" s="29">
        <f t="shared" si="8"/>
        <v>7.4673196700969466</v>
      </c>
      <c r="AO120" s="30">
        <f t="shared" si="9"/>
        <v>13.874116280910423</v>
      </c>
      <c r="AP120" s="30">
        <f t="shared" si="10"/>
        <v>21.682595176892647</v>
      </c>
      <c r="AQ120" s="30">
        <f t="shared" si="11"/>
        <v>23.027465004320167</v>
      </c>
      <c r="AR120" s="30">
        <f t="shared" si="12"/>
        <v>6.9439197212073909</v>
      </c>
      <c r="AS120" s="30">
        <f t="shared" si="13"/>
        <v>34.471903816669361</v>
      </c>
      <c r="AT120" s="31">
        <f t="shared" si="14"/>
        <v>100</v>
      </c>
      <c r="AV120" s="28">
        <f t="shared" si="15"/>
        <v>6725.2420003329698</v>
      </c>
    </row>
    <row r="121" spans="2:48" ht="15.75" customHeight="1" x14ac:dyDescent="0.25">
      <c r="B121" s="32"/>
      <c r="C121" s="16" t="s">
        <v>46</v>
      </c>
      <c r="D121" s="17"/>
      <c r="E121" s="18" t="s">
        <v>48</v>
      </c>
      <c r="F121" s="38"/>
      <c r="G121" s="23">
        <f t="shared" si="56"/>
        <v>46.286013619696178</v>
      </c>
      <c r="H121" s="23">
        <f t="shared" si="57"/>
        <v>5.5945521215295964</v>
      </c>
      <c r="I121" s="23">
        <f t="shared" si="58"/>
        <v>47.511786275536927</v>
      </c>
      <c r="J121" s="46">
        <f t="shared" si="59"/>
        <v>0.57621791513881615</v>
      </c>
      <c r="K121" s="23">
        <f t="shared" si="60"/>
        <v>3.1430068098480882E-2</v>
      </c>
      <c r="L121" s="20">
        <v>20.2</v>
      </c>
      <c r="M121" s="21">
        <v>69.319999999999993</v>
      </c>
      <c r="N121" s="21">
        <v>5.93</v>
      </c>
      <c r="O121" s="21">
        <v>4.55</v>
      </c>
      <c r="P121" s="21">
        <v>0.21</v>
      </c>
      <c r="Q121" s="40">
        <v>700</v>
      </c>
      <c r="R121" s="40" t="s">
        <v>50</v>
      </c>
      <c r="S121" s="21">
        <v>0</v>
      </c>
      <c r="T121" s="41" t="s">
        <v>51</v>
      </c>
      <c r="U121" s="21">
        <f>9.23*100/45.77</f>
        <v>20.166047629451604</v>
      </c>
      <c r="V121" s="21">
        <f>14.92*100/45.77</f>
        <v>32.597771466025776</v>
      </c>
      <c r="W121" s="21">
        <f>18.74*100/45.77</f>
        <v>40.943849683198593</v>
      </c>
      <c r="X121" s="21">
        <f>2.88*100/45.77</f>
        <v>6.2923312213240106</v>
      </c>
      <c r="Y121" s="27">
        <f t="shared" si="4"/>
        <v>38.30467976449556</v>
      </c>
      <c r="Z121" s="47" t="s">
        <v>51</v>
      </c>
      <c r="AA121" s="18" t="s">
        <v>51</v>
      </c>
      <c r="AB121" s="18" t="s">
        <v>51</v>
      </c>
      <c r="AC121" s="28">
        <f t="shared" si="5"/>
        <v>8550.0329676331949</v>
      </c>
      <c r="AD121" s="18" t="s">
        <v>51</v>
      </c>
      <c r="AF121" s="1"/>
      <c r="AK121" s="1">
        <f t="shared" si="6"/>
        <v>2.9997185948763998</v>
      </c>
      <c r="AL121" s="29">
        <f t="shared" si="7"/>
        <v>4.8314879660953629</v>
      </c>
      <c r="AM121" s="29">
        <f t="shared" si="8"/>
        <v>7.8312065609717632</v>
      </c>
      <c r="AO121" s="30">
        <f t="shared" si="9"/>
        <v>12.441507663834518</v>
      </c>
      <c r="AP121" s="30">
        <f t="shared" si="10"/>
        <v>20.111299495602491</v>
      </c>
      <c r="AQ121" s="30">
        <f t="shared" si="11"/>
        <v>25.260439178792936</v>
      </c>
      <c r="AR121" s="30">
        <f t="shared" si="12"/>
        <v>3.8820738972744748</v>
      </c>
      <c r="AS121" s="30">
        <f t="shared" si="13"/>
        <v>38.30467976449556</v>
      </c>
      <c r="AT121" s="31">
        <f t="shared" si="14"/>
        <v>99.999999999999972</v>
      </c>
      <c r="AV121" s="28">
        <f t="shared" si="15"/>
        <v>5274.9702196225035</v>
      </c>
    </row>
    <row r="122" spans="2:48" ht="15.75" customHeight="1" x14ac:dyDescent="0.25">
      <c r="B122" s="32"/>
      <c r="C122" s="16" t="s">
        <v>46</v>
      </c>
      <c r="D122" s="17"/>
      <c r="E122" s="18" t="s">
        <v>48</v>
      </c>
      <c r="F122" s="38"/>
      <c r="G122" s="23">
        <f t="shared" si="56"/>
        <v>46.286013619696178</v>
      </c>
      <c r="H122" s="23">
        <f t="shared" si="57"/>
        <v>5.5945521215295964</v>
      </c>
      <c r="I122" s="23">
        <f t="shared" si="58"/>
        <v>47.511786275536927</v>
      </c>
      <c r="J122" s="46">
        <f t="shared" si="59"/>
        <v>0.57621791513881615</v>
      </c>
      <c r="K122" s="23">
        <f t="shared" si="60"/>
        <v>3.1430068098480882E-2</v>
      </c>
      <c r="L122" s="20">
        <v>20.2</v>
      </c>
      <c r="M122" s="21">
        <v>69.319999999999993</v>
      </c>
      <c r="N122" s="21">
        <v>5.93</v>
      </c>
      <c r="O122" s="21">
        <v>4.55</v>
      </c>
      <c r="P122" s="21">
        <v>0.24</v>
      </c>
      <c r="Q122" s="40">
        <v>700</v>
      </c>
      <c r="R122" s="40" t="s">
        <v>50</v>
      </c>
      <c r="S122" s="21">
        <v>0</v>
      </c>
      <c r="T122" s="41" t="s">
        <v>51</v>
      </c>
      <c r="U122" s="21">
        <f>9.23*100/43.64</f>
        <v>21.150320806599449</v>
      </c>
      <c r="V122" s="21">
        <f>13.43*100/43.64</f>
        <v>30.774518790100824</v>
      </c>
      <c r="W122" s="21">
        <f>19.97*100/43.64</f>
        <v>45.760769935838681</v>
      </c>
      <c r="X122" s="21">
        <f>1.01*100/43.64</f>
        <v>2.3143904674610449</v>
      </c>
      <c r="Y122" s="27">
        <f t="shared" si="4"/>
        <v>41.183901409669673</v>
      </c>
      <c r="Z122" s="47" t="s">
        <v>51</v>
      </c>
      <c r="AA122" s="18" t="s">
        <v>51</v>
      </c>
      <c r="AB122" s="18" t="s">
        <v>51</v>
      </c>
      <c r="AC122" s="28">
        <f t="shared" si="5"/>
        <v>7000.5961928767829</v>
      </c>
      <c r="AD122" s="18" t="s">
        <v>51</v>
      </c>
      <c r="AF122" s="1"/>
      <c r="AK122" s="1">
        <f t="shared" si="6"/>
        <v>3.4253099353937486</v>
      </c>
      <c r="AL122" s="29">
        <f t="shared" si="7"/>
        <v>4.8917989788906846</v>
      </c>
      <c r="AM122" s="29">
        <f t="shared" si="8"/>
        <v>8.3171089142844323</v>
      </c>
      <c r="AO122" s="30">
        <f t="shared" si="9"/>
        <v>12.43979353778068</v>
      </c>
      <c r="AP122" s="30">
        <f t="shared" si="10"/>
        <v>18.100371312285436</v>
      </c>
      <c r="AQ122" s="30">
        <f t="shared" si="11"/>
        <v>26.914699561157125</v>
      </c>
      <c r="AR122" s="30">
        <f t="shared" si="12"/>
        <v>1.3612341791070954</v>
      </c>
      <c r="AS122" s="30">
        <f t="shared" si="13"/>
        <v>41.183901409669673</v>
      </c>
      <c r="AT122" s="31">
        <f t="shared" si="14"/>
        <v>100</v>
      </c>
      <c r="AV122" s="28">
        <f t="shared" si="15"/>
        <v>4117.4775587133217</v>
      </c>
    </row>
    <row r="123" spans="2:48" ht="15.75" customHeight="1" x14ac:dyDescent="0.25">
      <c r="B123" s="32"/>
      <c r="C123" s="16" t="s">
        <v>46</v>
      </c>
      <c r="D123" s="17"/>
      <c r="E123" s="18" t="s">
        <v>48</v>
      </c>
      <c r="F123" s="38"/>
      <c r="G123" s="23">
        <f t="shared" si="56"/>
        <v>46.286013619696178</v>
      </c>
      <c r="H123" s="23">
        <f t="shared" si="57"/>
        <v>5.5945521215295964</v>
      </c>
      <c r="I123" s="23">
        <f t="shared" si="58"/>
        <v>47.511786275536927</v>
      </c>
      <c r="J123" s="46">
        <f t="shared" si="59"/>
        <v>0.57621791513881615</v>
      </c>
      <c r="K123" s="23">
        <f t="shared" si="60"/>
        <v>3.1430068098480882E-2</v>
      </c>
      <c r="L123" s="20">
        <v>20.2</v>
      </c>
      <c r="M123" s="21">
        <v>69.319999999999993</v>
      </c>
      <c r="N123" s="21">
        <v>5.93</v>
      </c>
      <c r="O123" s="21">
        <v>4.55</v>
      </c>
      <c r="P123" s="21">
        <v>0.15</v>
      </c>
      <c r="Q123" s="40">
        <v>750</v>
      </c>
      <c r="R123" s="40" t="s">
        <v>50</v>
      </c>
      <c r="S123" s="21">
        <v>0</v>
      </c>
      <c r="T123" s="41" t="s">
        <v>51</v>
      </c>
      <c r="U123" s="21">
        <f>11.72*100/54.85</f>
        <v>21.367365542388331</v>
      </c>
      <c r="V123" s="21">
        <f>22.02*100/54.85</f>
        <v>40.145852324521421</v>
      </c>
      <c r="W123" s="21">
        <f>15.17*100/54.85</f>
        <v>27.657247037374656</v>
      </c>
      <c r="X123" s="21">
        <f>5.94*100/54.85</f>
        <v>10.829535095715588</v>
      </c>
      <c r="Y123" s="27">
        <f t="shared" si="4"/>
        <v>30.459107379430939</v>
      </c>
      <c r="Z123" s="47" t="s">
        <v>51</v>
      </c>
      <c r="AA123" s="18" t="s">
        <v>51</v>
      </c>
      <c r="AB123" s="18" t="s">
        <v>51</v>
      </c>
      <c r="AC123" s="28">
        <f t="shared" si="5"/>
        <v>11259.077679385337</v>
      </c>
      <c r="AD123" s="18" t="s">
        <v>51</v>
      </c>
      <c r="AF123" s="1"/>
      <c r="AK123" s="1">
        <f t="shared" si="6"/>
        <v>2.1485359138417026</v>
      </c>
      <c r="AL123" s="29">
        <f t="shared" si="7"/>
        <v>4.9053015052174347</v>
      </c>
      <c r="AM123" s="29">
        <f t="shared" si="8"/>
        <v>7.0538374190591373</v>
      </c>
      <c r="AO123" s="30">
        <f t="shared" si="9"/>
        <v>14.859056727676743</v>
      </c>
      <c r="AP123" s="30">
        <f t="shared" si="10"/>
        <v>27.917784056607669</v>
      </c>
      <c r="AQ123" s="30">
        <f t="shared" si="11"/>
        <v>19.233096464066225</v>
      </c>
      <c r="AR123" s="30">
        <f t="shared" si="12"/>
        <v>7.5309553722184175</v>
      </c>
      <c r="AS123" s="30">
        <f t="shared" si="13"/>
        <v>30.459107379430939</v>
      </c>
      <c r="AT123" s="31">
        <f t="shared" si="14"/>
        <v>100</v>
      </c>
      <c r="AV123" s="28">
        <f t="shared" si="15"/>
        <v>7829.6631190878152</v>
      </c>
    </row>
    <row r="124" spans="2:48" ht="15.75" customHeight="1" x14ac:dyDescent="0.25">
      <c r="B124" s="32"/>
      <c r="C124" s="16" t="s">
        <v>46</v>
      </c>
      <c r="D124" s="17"/>
      <c r="E124" s="18" t="s">
        <v>48</v>
      </c>
      <c r="F124" s="38"/>
      <c r="G124" s="23">
        <f t="shared" si="56"/>
        <v>46.286013619696178</v>
      </c>
      <c r="H124" s="23">
        <f t="shared" si="57"/>
        <v>5.5945521215295964</v>
      </c>
      <c r="I124" s="23">
        <f t="shared" si="58"/>
        <v>47.511786275536927</v>
      </c>
      <c r="J124" s="46">
        <f t="shared" si="59"/>
        <v>0.57621791513881615</v>
      </c>
      <c r="K124" s="23">
        <f t="shared" si="60"/>
        <v>3.1430068098480882E-2</v>
      </c>
      <c r="L124" s="20">
        <v>20.2</v>
      </c>
      <c r="M124" s="21">
        <v>69.319999999999993</v>
      </c>
      <c r="N124" s="21">
        <v>5.93</v>
      </c>
      <c r="O124" s="21">
        <v>4.55</v>
      </c>
      <c r="P124" s="21">
        <v>0.18</v>
      </c>
      <c r="Q124" s="40">
        <v>750</v>
      </c>
      <c r="R124" s="40" t="s">
        <v>50</v>
      </c>
      <c r="S124" s="21">
        <v>0</v>
      </c>
      <c r="T124" s="41" t="s">
        <v>51</v>
      </c>
      <c r="U124" s="21">
        <f>10.16*100/49.89</f>
        <v>20.364802565644418</v>
      </c>
      <c r="V124" s="21">
        <f>17.93*100/49.89</f>
        <v>35.939065945079172</v>
      </c>
      <c r="W124" s="21">
        <f>16.51*100/49.89</f>
        <v>33.092804169172183</v>
      </c>
      <c r="X124" s="21">
        <f>5.29*100/49.89</f>
        <v>10.60332732010423</v>
      </c>
      <c r="Y124" s="27">
        <f t="shared" si="4"/>
        <v>34.702621694819783</v>
      </c>
      <c r="Z124" s="47" t="s">
        <v>51</v>
      </c>
      <c r="AA124" s="18" t="s">
        <v>51</v>
      </c>
      <c r="AB124" s="18" t="s">
        <v>51</v>
      </c>
      <c r="AC124" s="28">
        <f t="shared" si="5"/>
        <v>10538.310175242676</v>
      </c>
      <c r="AD124" s="18" t="s">
        <v>51</v>
      </c>
      <c r="AF124" s="1"/>
      <c r="AK124" s="1">
        <f t="shared" si="6"/>
        <v>2.5741272543590514</v>
      </c>
      <c r="AL124" s="29">
        <f t="shared" si="7"/>
        <v>4.8435464793326677</v>
      </c>
      <c r="AM124" s="29">
        <f t="shared" si="8"/>
        <v>7.4176737336917196</v>
      </c>
      <c r="AO124" s="30">
        <f t="shared" si="9"/>
        <v>13.29768217239188</v>
      </c>
      <c r="AP124" s="30">
        <f t="shared" si="10"/>
        <v>23.467267849506538</v>
      </c>
      <c r="AQ124" s="30">
        <f t="shared" si="11"/>
        <v>21.60873353013681</v>
      </c>
      <c r="AR124" s="30">
        <f t="shared" si="12"/>
        <v>6.9236947531449848</v>
      </c>
      <c r="AS124" s="30">
        <f t="shared" si="13"/>
        <v>34.702621694819783</v>
      </c>
      <c r="AT124" s="31">
        <f t="shared" si="14"/>
        <v>99.999999999999986</v>
      </c>
      <c r="AV124" s="28">
        <f t="shared" si="15"/>
        <v>6881.2402621015099</v>
      </c>
    </row>
    <row r="125" spans="2:48" ht="15.75" customHeight="1" x14ac:dyDescent="0.25">
      <c r="B125" s="32"/>
      <c r="C125" s="16" t="s">
        <v>46</v>
      </c>
      <c r="D125" s="17"/>
      <c r="E125" s="18" t="s">
        <v>48</v>
      </c>
      <c r="F125" s="38"/>
      <c r="G125" s="23">
        <f t="shared" si="56"/>
        <v>46.286013619696178</v>
      </c>
      <c r="H125" s="23">
        <f t="shared" si="57"/>
        <v>5.5945521215295964</v>
      </c>
      <c r="I125" s="23">
        <f t="shared" si="58"/>
        <v>47.511786275536927</v>
      </c>
      <c r="J125" s="46">
        <f t="shared" si="59"/>
        <v>0.57621791513881615</v>
      </c>
      <c r="K125" s="23">
        <f t="shared" si="60"/>
        <v>3.1430068098480882E-2</v>
      </c>
      <c r="L125" s="20">
        <v>20.2</v>
      </c>
      <c r="M125" s="21">
        <v>69.319999999999993</v>
      </c>
      <c r="N125" s="21">
        <v>5.93</v>
      </c>
      <c r="O125" s="21">
        <v>4.55</v>
      </c>
      <c r="P125" s="21">
        <v>0.21</v>
      </c>
      <c r="Q125" s="40">
        <v>750</v>
      </c>
      <c r="R125" s="40" t="s">
        <v>50</v>
      </c>
      <c r="S125" s="21">
        <v>0</v>
      </c>
      <c r="T125" s="41" t="s">
        <v>51</v>
      </c>
      <c r="U125" s="21">
        <f>9.44*100/46.53</f>
        <v>20.287986245433054</v>
      </c>
      <c r="V125" s="21">
        <f>15.65*100/46.53</f>
        <v>33.634214485278314</v>
      </c>
      <c r="W125" s="21">
        <f>18.63*100/46.53</f>
        <v>40.03868471953578</v>
      </c>
      <c r="X125" s="21">
        <f>2.81*100/46.53</f>
        <v>6.0391145497528473</v>
      </c>
      <c r="Y125" s="27">
        <f t="shared" si="4"/>
        <v>38.268562749026017</v>
      </c>
      <c r="Z125" s="47" t="s">
        <v>51</v>
      </c>
      <c r="AA125" s="18" t="s">
        <v>51</v>
      </c>
      <c r="AB125" s="18" t="s">
        <v>51</v>
      </c>
      <c r="AC125" s="28">
        <f t="shared" si="5"/>
        <v>8603.4096665745601</v>
      </c>
      <c r="AD125" s="18" t="s">
        <v>51</v>
      </c>
      <c r="AF125" s="1"/>
      <c r="AK125" s="1">
        <f t="shared" si="6"/>
        <v>2.9997185948763998</v>
      </c>
      <c r="AL125" s="29">
        <f t="shared" si="7"/>
        <v>4.8388788840758146</v>
      </c>
      <c r="AM125" s="29">
        <f t="shared" si="8"/>
        <v>7.8385974789522148</v>
      </c>
      <c r="AO125" s="30">
        <f t="shared" si="9"/>
        <v>12.524065498585738</v>
      </c>
      <c r="AP125" s="30">
        <f t="shared" si="10"/>
        <v>20.762884009837585</v>
      </c>
      <c r="AQ125" s="30">
        <f t="shared" si="11"/>
        <v>24.716455533755532</v>
      </c>
      <c r="AR125" s="30">
        <f t="shared" si="12"/>
        <v>3.7280322087951188</v>
      </c>
      <c r="AS125" s="30">
        <f t="shared" si="13"/>
        <v>38.268562749026017</v>
      </c>
      <c r="AT125" s="31">
        <f t="shared" si="14"/>
        <v>100</v>
      </c>
      <c r="AV125" s="28">
        <f t="shared" si="15"/>
        <v>5311.0084397657047</v>
      </c>
    </row>
    <row r="126" spans="2:48" ht="15.75" customHeight="1" x14ac:dyDescent="0.25">
      <c r="B126" s="32"/>
      <c r="C126" s="16" t="s">
        <v>46</v>
      </c>
      <c r="D126" s="17"/>
      <c r="E126" s="18" t="s">
        <v>48</v>
      </c>
      <c r="F126" s="38"/>
      <c r="G126" s="23">
        <f t="shared" si="56"/>
        <v>46.286013619696178</v>
      </c>
      <c r="H126" s="23">
        <f t="shared" si="57"/>
        <v>5.5945521215295964</v>
      </c>
      <c r="I126" s="23">
        <f t="shared" si="58"/>
        <v>47.511786275536927</v>
      </c>
      <c r="J126" s="46">
        <f t="shared" si="59"/>
        <v>0.57621791513881615</v>
      </c>
      <c r="K126" s="23">
        <f t="shared" si="60"/>
        <v>3.1430068098480882E-2</v>
      </c>
      <c r="L126" s="20">
        <v>20.2</v>
      </c>
      <c r="M126" s="21">
        <v>69.319999999999993</v>
      </c>
      <c r="N126" s="21">
        <v>5.93</v>
      </c>
      <c r="O126" s="21">
        <v>4.55</v>
      </c>
      <c r="P126" s="21">
        <v>0.24</v>
      </c>
      <c r="Q126" s="40">
        <v>750</v>
      </c>
      <c r="R126" s="40" t="s">
        <v>50</v>
      </c>
      <c r="S126" s="21">
        <v>0</v>
      </c>
      <c r="T126" s="41" t="s">
        <v>51</v>
      </c>
      <c r="U126" s="21">
        <f>9.16*100/44.43</f>
        <v>20.616700427638982</v>
      </c>
      <c r="V126" s="21">
        <f>13.65*100/44.43</f>
        <v>30.722484807562459</v>
      </c>
      <c r="W126" s="21">
        <f>19.76*100/44.43</f>
        <v>44.474454197614229</v>
      </c>
      <c r="X126" s="21">
        <f>1.86*100/44.43</f>
        <v>4.1863605671843347</v>
      </c>
      <c r="Y126" s="27">
        <f t="shared" si="4"/>
        <v>41.347374930373036</v>
      </c>
      <c r="Z126" s="47" t="s">
        <v>51</v>
      </c>
      <c r="AA126" s="18" t="s">
        <v>51</v>
      </c>
      <c r="AB126" s="18" t="s">
        <v>51</v>
      </c>
      <c r="AC126" s="28">
        <f t="shared" si="5"/>
        <v>7607.1653644577336</v>
      </c>
      <c r="AD126" s="18" t="s">
        <v>51</v>
      </c>
      <c r="AF126" s="1"/>
      <c r="AK126" s="1">
        <f t="shared" si="6"/>
        <v>3.4253099353937486</v>
      </c>
      <c r="AL126" s="29">
        <f t="shared" si="7"/>
        <v>4.8589159463262002</v>
      </c>
      <c r="AM126" s="29">
        <f t="shared" si="8"/>
        <v>8.2842258817199479</v>
      </c>
      <c r="AO126" s="30">
        <f t="shared" si="9"/>
        <v>12.092236003551273</v>
      </c>
      <c r="AP126" s="30">
        <f t="shared" si="10"/>
        <v>18.019543826252718</v>
      </c>
      <c r="AQ126" s="30">
        <f t="shared" si="11"/>
        <v>26.085434872289646</v>
      </c>
      <c r="AR126" s="30">
        <f t="shared" si="12"/>
        <v>2.4554103675333372</v>
      </c>
      <c r="AS126" s="30">
        <f t="shared" si="13"/>
        <v>41.347374930373036</v>
      </c>
      <c r="AT126" s="31">
        <f t="shared" si="14"/>
        <v>100.00000000000001</v>
      </c>
      <c r="AV126" s="28">
        <f t="shared" si="15"/>
        <v>4461.802179641918</v>
      </c>
    </row>
    <row r="127" spans="2:48" ht="15.75" customHeight="1" x14ac:dyDescent="0.25">
      <c r="B127" s="32"/>
      <c r="C127" s="16" t="s">
        <v>46</v>
      </c>
      <c r="D127" s="17"/>
      <c r="E127" s="18" t="s">
        <v>48</v>
      </c>
      <c r="F127" s="38"/>
      <c r="G127" s="23">
        <f t="shared" si="56"/>
        <v>46.286013619696178</v>
      </c>
      <c r="H127" s="23">
        <f t="shared" si="57"/>
        <v>5.5945521215295964</v>
      </c>
      <c r="I127" s="23">
        <f t="shared" si="58"/>
        <v>47.511786275536927</v>
      </c>
      <c r="J127" s="46">
        <f t="shared" si="59"/>
        <v>0.57621791513881615</v>
      </c>
      <c r="K127" s="23">
        <f t="shared" si="60"/>
        <v>3.1430068098480882E-2</v>
      </c>
      <c r="L127" s="20">
        <v>20.2</v>
      </c>
      <c r="M127" s="21">
        <v>69.319999999999993</v>
      </c>
      <c r="N127" s="21">
        <v>5.93</v>
      </c>
      <c r="O127" s="21">
        <v>4.55</v>
      </c>
      <c r="P127" s="21">
        <v>0.15</v>
      </c>
      <c r="Q127" s="40">
        <v>800</v>
      </c>
      <c r="R127" s="40" t="s">
        <v>50</v>
      </c>
      <c r="S127" s="21">
        <v>0</v>
      </c>
      <c r="T127" s="41" t="s">
        <v>51</v>
      </c>
      <c r="U127" s="21">
        <f>13.81*100/68.08</f>
        <v>20.284958871915393</v>
      </c>
      <c r="V127" s="21">
        <f>27.89*100/68.08</f>
        <v>40.966509988249122</v>
      </c>
      <c r="W127" s="21">
        <f>19.25*100/68.08</f>
        <v>28.275558166862517</v>
      </c>
      <c r="X127" s="21">
        <f>7.13*100/68.08</f>
        <v>10.472972972972974</v>
      </c>
      <c r="Y127" s="27">
        <f t="shared" si="4"/>
        <v>30.749461477941743</v>
      </c>
      <c r="Z127" s="47" t="s">
        <v>51</v>
      </c>
      <c r="AA127" s="18" t="s">
        <v>51</v>
      </c>
      <c r="AB127" s="18" t="s">
        <v>51</v>
      </c>
      <c r="AC127" s="28">
        <f t="shared" si="5"/>
        <v>11118.14671814672</v>
      </c>
      <c r="AD127" s="18" t="s">
        <v>51</v>
      </c>
      <c r="AF127" s="1"/>
      <c r="AK127" s="1">
        <f t="shared" si="6"/>
        <v>2.1485359138417026</v>
      </c>
      <c r="AL127" s="29">
        <f t="shared" si="7"/>
        <v>4.8386951158235298</v>
      </c>
      <c r="AM127" s="29">
        <f t="shared" si="8"/>
        <v>6.9872310296652325</v>
      </c>
      <c r="AO127" s="30">
        <f t="shared" si="9"/>
        <v>14.047443257779443</v>
      </c>
      <c r="AP127" s="30">
        <f t="shared" si="10"/>
        <v>28.369528780555303</v>
      </c>
      <c r="AQ127" s="30">
        <f t="shared" si="11"/>
        <v>19.58097630067012</v>
      </c>
      <c r="AR127" s="30">
        <f t="shared" si="12"/>
        <v>7.2525901830534005</v>
      </c>
      <c r="AS127" s="30">
        <f t="shared" si="13"/>
        <v>30.749461477941743</v>
      </c>
      <c r="AT127" s="31">
        <f t="shared" si="14"/>
        <v>100</v>
      </c>
      <c r="AV127" s="28">
        <f t="shared" si="15"/>
        <v>7699.376475989151</v>
      </c>
    </row>
    <row r="128" spans="2:48" ht="15.75" customHeight="1" x14ac:dyDescent="0.25">
      <c r="B128" s="32"/>
      <c r="C128" s="16" t="s">
        <v>46</v>
      </c>
      <c r="D128" s="17"/>
      <c r="E128" s="18" t="s">
        <v>48</v>
      </c>
      <c r="F128" s="38"/>
      <c r="G128" s="23">
        <f t="shared" si="56"/>
        <v>46.286013619696178</v>
      </c>
      <c r="H128" s="23">
        <f t="shared" si="57"/>
        <v>5.5945521215295964</v>
      </c>
      <c r="I128" s="23">
        <f t="shared" si="58"/>
        <v>47.511786275536927</v>
      </c>
      <c r="J128" s="46">
        <f t="shared" si="59"/>
        <v>0.57621791513881615</v>
      </c>
      <c r="K128" s="23">
        <f t="shared" si="60"/>
        <v>3.1430068098480882E-2</v>
      </c>
      <c r="L128" s="20">
        <v>20.2</v>
      </c>
      <c r="M128" s="21">
        <v>69.319999999999993</v>
      </c>
      <c r="N128" s="21">
        <v>5.93</v>
      </c>
      <c r="O128" s="21">
        <v>4.55</v>
      </c>
      <c r="P128" s="21">
        <v>0.18</v>
      </c>
      <c r="Q128" s="40">
        <v>800</v>
      </c>
      <c r="R128" s="40" t="s">
        <v>50</v>
      </c>
      <c r="S128" s="21">
        <v>0</v>
      </c>
      <c r="T128" s="41" t="s">
        <v>51</v>
      </c>
      <c r="U128" s="21">
        <f>11.99*100/55.8</f>
        <v>21.487455197132618</v>
      </c>
      <c r="V128" s="21">
        <f>19.75*100/55.8</f>
        <v>35.394265232974909</v>
      </c>
      <c r="W128" s="21">
        <f>17.94*100/55.8</f>
        <v>32.150537634408607</v>
      </c>
      <c r="X128" s="21">
        <f>6.12*100/55.8</f>
        <v>10.967741935483872</v>
      </c>
      <c r="Y128" s="27">
        <f t="shared" si="4"/>
        <v>34.381604548375947</v>
      </c>
      <c r="Z128" s="47" t="s">
        <v>51</v>
      </c>
      <c r="AA128" s="18" t="s">
        <v>51</v>
      </c>
      <c r="AB128" s="18" t="s">
        <v>51</v>
      </c>
      <c r="AC128" s="28">
        <f t="shared" si="5"/>
        <v>10721.251120071685</v>
      </c>
      <c r="AD128" s="18" t="s">
        <v>51</v>
      </c>
      <c r="AF128" s="1"/>
      <c r="AK128" s="1">
        <f t="shared" si="6"/>
        <v>2.5741272543590514</v>
      </c>
      <c r="AL128" s="29">
        <f t="shared" si="7"/>
        <v>4.9128044586073321</v>
      </c>
      <c r="AM128" s="29">
        <f t="shared" si="8"/>
        <v>7.486931712966383</v>
      </c>
      <c r="AO128" s="30">
        <f t="shared" si="9"/>
        <v>14.099723323745025</v>
      </c>
      <c r="AP128" s="30">
        <f t="shared" si="10"/>
        <v>23.22514892777016</v>
      </c>
      <c r="AQ128" s="30">
        <f t="shared" si="11"/>
        <v>21.096666924769455</v>
      </c>
      <c r="AR128" s="30">
        <f t="shared" si="12"/>
        <v>7.1968562753394121</v>
      </c>
      <c r="AS128" s="30">
        <f t="shared" si="13"/>
        <v>34.381604548375947</v>
      </c>
      <c r="AT128" s="31">
        <f t="shared" si="14"/>
        <v>100</v>
      </c>
      <c r="AV128" s="28">
        <f t="shared" si="15"/>
        <v>7035.1129573303115</v>
      </c>
    </row>
    <row r="129" spans="1:48" ht="15.75" customHeight="1" x14ac:dyDescent="0.25">
      <c r="B129" s="32"/>
      <c r="C129" s="16" t="s">
        <v>46</v>
      </c>
      <c r="D129" s="17"/>
      <c r="E129" s="18" t="s">
        <v>48</v>
      </c>
      <c r="F129" s="38"/>
      <c r="G129" s="23">
        <f t="shared" si="56"/>
        <v>46.286013619696178</v>
      </c>
      <c r="H129" s="23">
        <f t="shared" si="57"/>
        <v>5.5945521215295964</v>
      </c>
      <c r="I129" s="23">
        <f t="shared" si="58"/>
        <v>47.511786275536927</v>
      </c>
      <c r="J129" s="46">
        <f t="shared" si="59"/>
        <v>0.57621791513881615</v>
      </c>
      <c r="K129" s="23">
        <f t="shared" si="60"/>
        <v>3.1430068098480882E-2</v>
      </c>
      <c r="L129" s="20">
        <v>20.2</v>
      </c>
      <c r="M129" s="21">
        <v>69.319999999999993</v>
      </c>
      <c r="N129" s="21">
        <v>5.93</v>
      </c>
      <c r="O129" s="21">
        <v>4.55</v>
      </c>
      <c r="P129" s="21">
        <v>0.21</v>
      </c>
      <c r="Q129" s="40">
        <v>800</v>
      </c>
      <c r="R129" s="40" t="s">
        <v>50</v>
      </c>
      <c r="S129" s="21">
        <v>0</v>
      </c>
      <c r="T129" s="41" t="s">
        <v>51</v>
      </c>
      <c r="U129" s="21">
        <f>10.02*100/53.47</f>
        <v>18.739480082289134</v>
      </c>
      <c r="V129" s="21">
        <f>17.71*100/53.47</f>
        <v>33.121376472788484</v>
      </c>
      <c r="W129" s="21">
        <f>21.96*100/53.47</f>
        <v>41.069758743220497</v>
      </c>
      <c r="X129" s="21">
        <f>3.78*100/53.47</f>
        <v>7.0693847017018889</v>
      </c>
      <c r="Y129" s="27">
        <f t="shared" si="4"/>
        <v>38.724096992348322</v>
      </c>
      <c r="Z129" s="47" t="s">
        <v>51</v>
      </c>
      <c r="AA129" s="18" t="s">
        <v>51</v>
      </c>
      <c r="AB129" s="18" t="s">
        <v>51</v>
      </c>
      <c r="AC129" s="28">
        <f t="shared" si="5"/>
        <v>8740.6072163295848</v>
      </c>
      <c r="AD129" s="18" t="s">
        <v>51</v>
      </c>
      <c r="AF129" s="1"/>
      <c r="AK129" s="1">
        <f t="shared" si="6"/>
        <v>2.9997185948763998</v>
      </c>
      <c r="AL129" s="29">
        <f t="shared" si="7"/>
        <v>4.7466688689013319</v>
      </c>
      <c r="AM129" s="29">
        <f t="shared" si="8"/>
        <v>7.7463874637777312</v>
      </c>
      <c r="AO129" s="30">
        <f t="shared" si="9"/>
        <v>11.482785639361696</v>
      </c>
      <c r="AP129" s="30">
        <f t="shared" si="10"/>
        <v>20.295422522265035</v>
      </c>
      <c r="AQ129" s="30">
        <f t="shared" si="11"/>
        <v>25.165865532972337</v>
      </c>
      <c r="AR129" s="30">
        <f t="shared" si="12"/>
        <v>4.3318293130526158</v>
      </c>
      <c r="AS129" s="30">
        <f t="shared" si="13"/>
        <v>38.724096992348322</v>
      </c>
      <c r="AT129" s="31">
        <f t="shared" si="14"/>
        <v>100</v>
      </c>
      <c r="AV129" s="28">
        <f t="shared" si="15"/>
        <v>5355.8860001579205</v>
      </c>
    </row>
    <row r="130" spans="1:48" ht="15.75" customHeight="1" x14ac:dyDescent="0.25">
      <c r="B130" s="32"/>
      <c r="C130" s="16" t="s">
        <v>46</v>
      </c>
      <c r="D130" s="17"/>
      <c r="E130" s="18" t="s">
        <v>48</v>
      </c>
      <c r="F130" s="38"/>
      <c r="G130" s="23">
        <f t="shared" si="56"/>
        <v>46.286013619696178</v>
      </c>
      <c r="H130" s="23">
        <f t="shared" si="57"/>
        <v>5.5945521215295964</v>
      </c>
      <c r="I130" s="23">
        <f t="shared" si="58"/>
        <v>47.511786275536927</v>
      </c>
      <c r="J130" s="46">
        <f t="shared" si="59"/>
        <v>0.57621791513881615</v>
      </c>
      <c r="K130" s="23">
        <f t="shared" si="60"/>
        <v>3.1430068098480882E-2</v>
      </c>
      <c r="L130" s="20">
        <v>20.2</v>
      </c>
      <c r="M130" s="21">
        <v>69.319999999999993</v>
      </c>
      <c r="N130" s="21">
        <v>5.93</v>
      </c>
      <c r="O130" s="21">
        <v>4.55</v>
      </c>
      <c r="P130" s="21">
        <v>0.24</v>
      </c>
      <c r="Q130" s="40">
        <v>800</v>
      </c>
      <c r="R130" s="40" t="s">
        <v>50</v>
      </c>
      <c r="S130" s="21">
        <v>0</v>
      </c>
      <c r="T130" s="41" t="s">
        <v>51</v>
      </c>
      <c r="U130" s="21">
        <f>9.72*100/52.72</f>
        <v>18.437025796661612</v>
      </c>
      <c r="V130" s="21">
        <f>14.26*100/52.72</f>
        <v>27.04855842185129</v>
      </c>
      <c r="W130" s="21">
        <f>25.71*100/52.72</f>
        <v>48.767071320182097</v>
      </c>
      <c r="X130" s="21">
        <f>3.03*100/52.72</f>
        <v>5.7473444613050075</v>
      </c>
      <c r="Y130" s="27">
        <f t="shared" si="4"/>
        <v>42.00578301419042</v>
      </c>
      <c r="Z130" s="47" t="s">
        <v>51</v>
      </c>
      <c r="AA130" s="18" t="s">
        <v>51</v>
      </c>
      <c r="AB130" s="18" t="s">
        <v>51</v>
      </c>
      <c r="AC130" s="28">
        <f t="shared" si="5"/>
        <v>7467.0166174398446</v>
      </c>
      <c r="AD130" s="18" t="s">
        <v>51</v>
      </c>
      <c r="AF130" s="1"/>
      <c r="AK130" s="1">
        <f t="shared" si="6"/>
        <v>3.4253099353937486</v>
      </c>
      <c r="AL130" s="29">
        <f t="shared" si="7"/>
        <v>4.7290671279658572</v>
      </c>
      <c r="AM130" s="29">
        <f t="shared" si="8"/>
        <v>8.1543770633596058</v>
      </c>
      <c r="AO130" s="30">
        <f t="shared" si="9"/>
        <v>10.692408746245622</v>
      </c>
      <c r="AP130" s="30">
        <f t="shared" si="10"/>
        <v>15.686599662701909</v>
      </c>
      <c r="AQ130" s="30">
        <f t="shared" si="11"/>
        <v>28.282081159050922</v>
      </c>
      <c r="AR130" s="30">
        <f t="shared" si="12"/>
        <v>3.3331274178111348</v>
      </c>
      <c r="AS130" s="30">
        <f t="shared" si="13"/>
        <v>42.00578301419042</v>
      </c>
      <c r="AT130" s="31">
        <f t="shared" si="14"/>
        <v>100</v>
      </c>
      <c r="AV130" s="28">
        <f t="shared" si="15"/>
        <v>4330.4378194845222</v>
      </c>
    </row>
    <row r="131" spans="1:48" ht="15.75" customHeight="1" x14ac:dyDescent="0.25">
      <c r="B131" s="32"/>
      <c r="C131" s="16" t="s">
        <v>46</v>
      </c>
      <c r="D131" s="17"/>
      <c r="E131" s="18" t="s">
        <v>48</v>
      </c>
      <c r="F131" s="38"/>
      <c r="G131" s="23">
        <f t="shared" si="56"/>
        <v>46.286013619696178</v>
      </c>
      <c r="H131" s="23">
        <f t="shared" si="57"/>
        <v>5.5945521215295964</v>
      </c>
      <c r="I131" s="23">
        <f t="shared" si="58"/>
        <v>47.511786275536927</v>
      </c>
      <c r="J131" s="46">
        <f t="shared" si="59"/>
        <v>0.57621791513881615</v>
      </c>
      <c r="K131" s="23">
        <f t="shared" si="60"/>
        <v>3.1430068098480882E-2</v>
      </c>
      <c r="L131" s="20">
        <v>20.2</v>
      </c>
      <c r="M131" s="21">
        <v>69.319999999999993</v>
      </c>
      <c r="N131" s="21">
        <v>5.93</v>
      </c>
      <c r="O131" s="21">
        <v>4.55</v>
      </c>
      <c r="P131" s="21">
        <v>0.15</v>
      </c>
      <c r="Q131" s="40">
        <v>750</v>
      </c>
      <c r="R131" s="40" t="s">
        <v>50</v>
      </c>
      <c r="S131" s="21">
        <v>0</v>
      </c>
      <c r="T131" s="41" t="s">
        <v>51</v>
      </c>
      <c r="U131" s="21">
        <f>9.76*100/53.73</f>
        <v>18.164898566908619</v>
      </c>
      <c r="V131" s="21">
        <f>20.61*100/53.73</f>
        <v>38.358458961474042</v>
      </c>
      <c r="W131" s="21">
        <f>17*100/53.73</f>
        <v>31.639679880885915</v>
      </c>
      <c r="X131" s="21">
        <f>6.36*100/53.73</f>
        <v>11.836962590731435</v>
      </c>
      <c r="Y131" s="27">
        <f t="shared" si="4"/>
        <v>31.311196377391919</v>
      </c>
      <c r="Z131" s="47" t="s">
        <v>51</v>
      </c>
      <c r="AA131" s="18" t="s">
        <v>51</v>
      </c>
      <c r="AB131" s="18" t="s">
        <v>51</v>
      </c>
      <c r="AC131" s="28">
        <f t="shared" si="5"/>
        <v>11048.510076839224</v>
      </c>
      <c r="AD131" s="18" t="s">
        <v>51</v>
      </c>
      <c r="AF131" s="1"/>
      <c r="AK131" s="1">
        <f t="shared" si="6"/>
        <v>2.1485359138417026</v>
      </c>
      <c r="AL131" s="29">
        <f t="shared" si="7"/>
        <v>4.7133415051669223</v>
      </c>
      <c r="AM131" s="29">
        <f t="shared" si="8"/>
        <v>6.8618774190086249</v>
      </c>
      <c r="AO131" s="30">
        <f t="shared" si="9"/>
        <v>12.477251504869811</v>
      </c>
      <c r="AP131" s="30">
        <f t="shared" si="10"/>
        <v>26.347966548705614</v>
      </c>
      <c r="AQ131" s="30">
        <f t="shared" si="11"/>
        <v>21.732917580203562</v>
      </c>
      <c r="AR131" s="30">
        <f t="shared" si="12"/>
        <v>8.1306679888290976</v>
      </c>
      <c r="AS131" s="30">
        <f t="shared" si="13"/>
        <v>31.311196377391919</v>
      </c>
      <c r="AT131" s="31">
        <f t="shared" si="14"/>
        <v>100.00000000000001</v>
      </c>
      <c r="AV131" s="28">
        <f t="shared" si="15"/>
        <v>7589.0893899041594</v>
      </c>
    </row>
    <row r="132" spans="1:48" ht="15.75" customHeight="1" x14ac:dyDescent="0.25">
      <c r="B132" s="32"/>
      <c r="C132" s="16" t="s">
        <v>46</v>
      </c>
      <c r="D132" s="17"/>
      <c r="E132" s="18" t="s">
        <v>48</v>
      </c>
      <c r="F132" s="39"/>
      <c r="G132" s="23">
        <f t="shared" si="56"/>
        <v>46.286013619696178</v>
      </c>
      <c r="H132" s="23">
        <f t="shared" si="57"/>
        <v>5.5945521215295964</v>
      </c>
      <c r="I132" s="23">
        <f t="shared" si="58"/>
        <v>47.511786275536927</v>
      </c>
      <c r="J132" s="46">
        <f t="shared" si="59"/>
        <v>0.57621791513881615</v>
      </c>
      <c r="K132" s="23">
        <f t="shared" si="60"/>
        <v>3.1430068098480882E-2</v>
      </c>
      <c r="L132" s="20">
        <v>20.2</v>
      </c>
      <c r="M132" s="21">
        <v>69.319999999999993</v>
      </c>
      <c r="N132" s="21">
        <v>5.93</v>
      </c>
      <c r="O132" s="21">
        <v>4.55</v>
      </c>
      <c r="P132" s="21">
        <v>0.15</v>
      </c>
      <c r="Q132" s="40">
        <v>850</v>
      </c>
      <c r="R132" s="40" t="s">
        <v>50</v>
      </c>
      <c r="S132" s="21">
        <v>0</v>
      </c>
      <c r="T132" s="41" t="s">
        <v>51</v>
      </c>
      <c r="U132" s="21">
        <f>10.77*100/50.46</f>
        <v>21.343638525564803</v>
      </c>
      <c r="V132" s="21">
        <f>18.97*100/50.46</f>
        <v>37.594133967499012</v>
      </c>
      <c r="W132" s="21">
        <f>16.77*100/50.46</f>
        <v>33.234244946492268</v>
      </c>
      <c r="X132" s="21">
        <f>3.95*100/50.46</f>
        <v>7.8279825604439157</v>
      </c>
      <c r="Y132" s="27">
        <f t="shared" si="4"/>
        <v>30.465498217759464</v>
      </c>
      <c r="Z132" s="47" t="s">
        <v>51</v>
      </c>
      <c r="AA132" s="18" t="s">
        <v>51</v>
      </c>
      <c r="AB132" s="18" t="s">
        <v>51</v>
      </c>
      <c r="AC132" s="28">
        <f t="shared" si="5"/>
        <v>9858.6401534454453</v>
      </c>
      <c r="AD132" s="18" t="s">
        <v>51</v>
      </c>
      <c r="AF132" s="1"/>
      <c r="AK132" s="1">
        <f t="shared" si="6"/>
        <v>2.1485359138417026</v>
      </c>
      <c r="AL132" s="29">
        <f t="shared" si="7"/>
        <v>4.9038218007261882</v>
      </c>
      <c r="AM132" s="29">
        <f t="shared" si="8"/>
        <v>7.0523577145678908</v>
      </c>
      <c r="AO132" s="30">
        <f t="shared" si="9"/>
        <v>14.841192710953838</v>
      </c>
      <c r="AP132" s="30">
        <f t="shared" si="10"/>
        <v>26.140893753648498</v>
      </c>
      <c r="AQ132" s="30">
        <f t="shared" si="11"/>
        <v>23.109266644632854</v>
      </c>
      <c r="AR132" s="30">
        <f t="shared" si="12"/>
        <v>5.4431486730053535</v>
      </c>
      <c r="AS132" s="30">
        <f t="shared" si="13"/>
        <v>30.465498217759464</v>
      </c>
      <c r="AT132" s="31">
        <f t="shared" si="14"/>
        <v>100</v>
      </c>
      <c r="AV132" s="28">
        <f t="shared" si="15"/>
        <v>6855.1563132022047</v>
      </c>
    </row>
    <row r="133" spans="1:48" ht="15.75" customHeight="1" x14ac:dyDescent="0.25">
      <c r="B133" s="32"/>
      <c r="C133" s="16" t="s">
        <v>46</v>
      </c>
      <c r="D133" s="17"/>
      <c r="E133" s="18" t="s">
        <v>53</v>
      </c>
      <c r="F133" s="48" t="s">
        <v>51</v>
      </c>
      <c r="G133" s="23">
        <f t="shared" ref="G133:G135" si="61">49.3*100/(100-O133)</f>
        <v>49.448345035105312</v>
      </c>
      <c r="H133" s="23">
        <f t="shared" ref="H133:H135" si="62">5.93*100/(100-O133)</f>
        <v>5.9478435305917747</v>
      </c>
      <c r="I133" s="23">
        <f t="shared" ref="I133:I135" si="63">44.43*100/(100-O133)</f>
        <v>44.563691073219658</v>
      </c>
      <c r="J133" s="46">
        <f t="shared" ref="J133:J135" si="64">0.13*100/(100-O133)</f>
        <v>0.13039117352056168</v>
      </c>
      <c r="K133" s="21">
        <v>0</v>
      </c>
      <c r="L133" s="20">
        <v>17.100000000000001</v>
      </c>
      <c r="M133" s="21">
        <v>74.2</v>
      </c>
      <c r="N133" s="21">
        <v>8.4</v>
      </c>
      <c r="O133" s="21">
        <v>0.3</v>
      </c>
      <c r="P133" s="21">
        <v>0.17</v>
      </c>
      <c r="Q133" s="40">
        <v>780</v>
      </c>
      <c r="R133" s="40" t="s">
        <v>50</v>
      </c>
      <c r="S133" s="21">
        <v>0.65</v>
      </c>
      <c r="T133" s="47">
        <v>18.5</v>
      </c>
      <c r="U133" s="21">
        <v>20.2</v>
      </c>
      <c r="V133" s="21">
        <v>15.2</v>
      </c>
      <c r="W133" s="21">
        <v>16.399999999999999</v>
      </c>
      <c r="X133" s="21">
        <v>4.7</v>
      </c>
      <c r="Y133" s="49">
        <f t="shared" ref="Y133:Y135" si="65">100-SUM(U133:X133)</f>
        <v>43.5</v>
      </c>
      <c r="Z133" s="47" t="s">
        <v>51</v>
      </c>
      <c r="AA133" s="18" t="s">
        <v>51</v>
      </c>
      <c r="AB133" s="18" t="s">
        <v>51</v>
      </c>
      <c r="AC133" s="28">
        <f t="shared" si="5"/>
        <v>5785.1241071428567</v>
      </c>
      <c r="AD133" s="18" t="s">
        <v>51</v>
      </c>
      <c r="AF133" s="1"/>
      <c r="AO133" s="30">
        <f t="shared" ref="AO133:AS133" si="66">U133</f>
        <v>20.2</v>
      </c>
      <c r="AP133" s="30">
        <f t="shared" si="66"/>
        <v>15.2</v>
      </c>
      <c r="AQ133" s="30">
        <f t="shared" si="66"/>
        <v>16.399999999999999</v>
      </c>
      <c r="AR133" s="30">
        <f t="shared" si="66"/>
        <v>4.7</v>
      </c>
      <c r="AS133" s="30">
        <f t="shared" si="66"/>
        <v>43.5</v>
      </c>
      <c r="AT133" s="31">
        <f t="shared" si="14"/>
        <v>100</v>
      </c>
      <c r="AV133" s="28">
        <f t="shared" si="15"/>
        <v>5785.1241071428567</v>
      </c>
    </row>
    <row r="134" spans="1:48" ht="15.75" customHeight="1" x14ac:dyDescent="0.25">
      <c r="B134" s="32"/>
      <c r="C134" s="16" t="s">
        <v>46</v>
      </c>
      <c r="D134" s="17"/>
      <c r="E134" s="18" t="s">
        <v>53</v>
      </c>
      <c r="F134" s="33"/>
      <c r="G134" s="23">
        <f t="shared" si="61"/>
        <v>49.448345035105312</v>
      </c>
      <c r="H134" s="23">
        <f t="shared" si="62"/>
        <v>5.9478435305917747</v>
      </c>
      <c r="I134" s="23">
        <f t="shared" si="63"/>
        <v>44.563691073219658</v>
      </c>
      <c r="J134" s="46">
        <f t="shared" si="64"/>
        <v>0.13039117352056168</v>
      </c>
      <c r="K134" s="21">
        <v>0</v>
      </c>
      <c r="L134" s="20">
        <v>17.100000000000001</v>
      </c>
      <c r="M134" s="21">
        <v>74.2</v>
      </c>
      <c r="N134" s="21">
        <v>8.4</v>
      </c>
      <c r="O134" s="21">
        <v>0.3</v>
      </c>
      <c r="P134" s="21">
        <v>0.17</v>
      </c>
      <c r="Q134" s="40">
        <v>780</v>
      </c>
      <c r="R134" s="40" t="s">
        <v>50</v>
      </c>
      <c r="S134" s="21">
        <v>0.65</v>
      </c>
      <c r="T134" s="47">
        <v>18.5</v>
      </c>
      <c r="U134" s="21">
        <v>19.8</v>
      </c>
      <c r="V134" s="21">
        <v>16.399999999999999</v>
      </c>
      <c r="W134" s="21">
        <v>15.9</v>
      </c>
      <c r="X134" s="21">
        <v>4.9000000000000004</v>
      </c>
      <c r="Y134" s="49">
        <f t="shared" si="65"/>
        <v>43</v>
      </c>
      <c r="Z134" s="47" t="s">
        <v>51</v>
      </c>
      <c r="AA134" s="18" t="s">
        <v>51</v>
      </c>
      <c r="AB134" s="18" t="s">
        <v>51</v>
      </c>
      <c r="AC134" s="28">
        <f t="shared" si="5"/>
        <v>5965.2116071428572</v>
      </c>
      <c r="AD134" s="18" t="s">
        <v>51</v>
      </c>
      <c r="AF134" s="1"/>
      <c r="AO134" s="30">
        <f t="shared" ref="AO134:AS134" si="67">U134</f>
        <v>19.8</v>
      </c>
      <c r="AP134" s="30">
        <f t="shared" si="67"/>
        <v>16.399999999999999</v>
      </c>
      <c r="AQ134" s="30">
        <f t="shared" si="67"/>
        <v>15.9</v>
      </c>
      <c r="AR134" s="30">
        <f t="shared" si="67"/>
        <v>4.9000000000000004</v>
      </c>
      <c r="AS134" s="30">
        <f t="shared" si="67"/>
        <v>43</v>
      </c>
      <c r="AT134" s="31">
        <f t="shared" si="14"/>
        <v>100</v>
      </c>
      <c r="AV134" s="28">
        <f t="shared" si="15"/>
        <v>5965.2116071428572</v>
      </c>
    </row>
    <row r="135" spans="1:48" ht="15.75" customHeight="1" x14ac:dyDescent="0.25">
      <c r="B135" s="50"/>
      <c r="C135" s="16" t="s">
        <v>46</v>
      </c>
      <c r="D135" s="17"/>
      <c r="E135" s="18" t="s">
        <v>53</v>
      </c>
      <c r="F135" s="34"/>
      <c r="G135" s="23">
        <f t="shared" si="61"/>
        <v>49.448345035105312</v>
      </c>
      <c r="H135" s="23">
        <f t="shared" si="62"/>
        <v>5.9478435305917747</v>
      </c>
      <c r="I135" s="23">
        <f t="shared" si="63"/>
        <v>44.563691073219658</v>
      </c>
      <c r="J135" s="46">
        <f t="shared" si="64"/>
        <v>0.13039117352056168</v>
      </c>
      <c r="K135" s="21">
        <v>0</v>
      </c>
      <c r="L135" s="20">
        <v>17.100000000000001</v>
      </c>
      <c r="M135" s="21">
        <v>74.2</v>
      </c>
      <c r="N135" s="21">
        <v>8.4</v>
      </c>
      <c r="O135" s="21">
        <v>0.3</v>
      </c>
      <c r="P135" s="21">
        <v>0.17</v>
      </c>
      <c r="Q135" s="40">
        <v>780</v>
      </c>
      <c r="R135" s="40" t="s">
        <v>62</v>
      </c>
      <c r="S135" s="21">
        <v>0.65</v>
      </c>
      <c r="T135" s="47">
        <v>18.5</v>
      </c>
      <c r="U135" s="21">
        <v>20.3</v>
      </c>
      <c r="V135" s="21">
        <v>13.8</v>
      </c>
      <c r="W135" s="21">
        <v>16.899999999999999</v>
      </c>
      <c r="X135" s="21">
        <v>4.4000000000000004</v>
      </c>
      <c r="Y135" s="49">
        <f t="shared" si="65"/>
        <v>44.6</v>
      </c>
      <c r="Z135" s="47" t="s">
        <v>51</v>
      </c>
      <c r="AA135" s="18" t="s">
        <v>51</v>
      </c>
      <c r="AB135" s="18" t="s">
        <v>51</v>
      </c>
      <c r="AC135" s="28">
        <f t="shared" si="5"/>
        <v>5511.5508928571435</v>
      </c>
      <c r="AD135" s="18" t="s">
        <v>51</v>
      </c>
      <c r="AF135" s="1"/>
      <c r="AO135" s="30">
        <f t="shared" ref="AO135:AS135" si="68">U135</f>
        <v>20.3</v>
      </c>
      <c r="AP135" s="30">
        <f t="shared" si="68"/>
        <v>13.8</v>
      </c>
      <c r="AQ135" s="30">
        <f t="shared" si="68"/>
        <v>16.899999999999999</v>
      </c>
      <c r="AR135" s="30">
        <f t="shared" si="68"/>
        <v>4.4000000000000004</v>
      </c>
      <c r="AS135" s="30">
        <f t="shared" si="68"/>
        <v>44.6</v>
      </c>
      <c r="AT135" s="31">
        <f t="shared" si="14"/>
        <v>100</v>
      </c>
      <c r="AV135" s="28">
        <f t="shared" si="15"/>
        <v>5511.5508928571435</v>
      </c>
    </row>
    <row r="136" spans="1:48" ht="15.75" customHeight="1" x14ac:dyDescent="0.25">
      <c r="A136" s="14"/>
      <c r="B136" s="15" t="s">
        <v>70</v>
      </c>
      <c r="C136" s="18" t="s">
        <v>46</v>
      </c>
      <c r="D136" s="51" t="s">
        <v>71</v>
      </c>
      <c r="E136" s="18" t="s">
        <v>48</v>
      </c>
      <c r="F136" s="52" t="s">
        <v>72</v>
      </c>
      <c r="G136" s="23">
        <f t="shared" ref="G136:G137" si="69">46.99*100/(100-O136)</f>
        <v>49.515279241306636</v>
      </c>
      <c r="H136" s="23">
        <f t="shared" ref="H136:H137" si="70">5.74*100/(100-O136)</f>
        <v>6.048472075869336</v>
      </c>
      <c r="I136" s="23">
        <f t="shared" ref="I136:I137" si="71">41.4*100/(100-O136)</f>
        <v>43.624868282402524</v>
      </c>
      <c r="J136" s="23">
        <f t="shared" ref="J136:J137" si="72">0.66*100/(100-O136)</f>
        <v>0.69546891464699678</v>
      </c>
      <c r="K136" s="23">
        <f t="shared" ref="K136:K137" si="73">0.11*100/(100-O136)</f>
        <v>0.11591148577449947</v>
      </c>
      <c r="L136" s="22">
        <f t="shared" ref="L136:L390" si="74">100-SUM(M136,N136,O136)</f>
        <v>7.75</v>
      </c>
      <c r="M136" s="18">
        <v>72.150000000000006</v>
      </c>
      <c r="N136" s="18">
        <v>15</v>
      </c>
      <c r="O136" s="18">
        <v>5.0999999999999996</v>
      </c>
      <c r="P136" s="18">
        <v>0.25</v>
      </c>
      <c r="Q136" s="18">
        <v>750</v>
      </c>
      <c r="R136" s="18" t="s">
        <v>51</v>
      </c>
      <c r="S136" s="53">
        <v>0</v>
      </c>
      <c r="T136" s="21">
        <v>15</v>
      </c>
      <c r="U136" s="21">
        <v>36</v>
      </c>
      <c r="V136" s="21">
        <v>38.299999999999997</v>
      </c>
      <c r="W136" s="18">
        <v>23.5</v>
      </c>
      <c r="X136" s="18">
        <v>0.4</v>
      </c>
      <c r="Y136" s="27">
        <f t="shared" ref="Y136:Y137" si="75">(AK136/AM136)*100</f>
        <v>37.881304041576456</v>
      </c>
      <c r="Z136" s="18">
        <f t="shared" ref="Z136:Z390" si="76">1/AG136</f>
        <v>0.66666666666666663</v>
      </c>
      <c r="AA136" s="18">
        <v>81.400000000000006</v>
      </c>
      <c r="AB136" s="18">
        <v>52.11</v>
      </c>
      <c r="AC136" s="21">
        <f t="shared" ref="AC136:AC390" si="77">1000*AH136</f>
        <v>4000</v>
      </c>
      <c r="AD136" s="18" t="s">
        <v>51</v>
      </c>
      <c r="AF136" s="1"/>
      <c r="AG136" s="29">
        <v>1.5</v>
      </c>
      <c r="AH136" s="29">
        <v>4</v>
      </c>
      <c r="AK136" s="1">
        <f t="shared" ref="AK136:AK137" si="78">0.79*((P136*(((G136/12)+(H136/4))-((I136/16)/2)))/0.21)+(J136/14)/2</f>
        <v>4.0454812501045385</v>
      </c>
      <c r="AL136" s="29">
        <f t="shared" ref="AL136:AL137" si="79">(100*G136)/(12*(V136+W136+X136))</f>
        <v>6.6338798554805249</v>
      </c>
      <c r="AM136" s="29">
        <f t="shared" ref="AM136:AM137" si="80">AL136+AK136</f>
        <v>10.679361105585063</v>
      </c>
      <c r="AO136" s="30">
        <f t="shared" ref="AO136:AO137" si="81">((AL136*(U136/100))/AM136)*100</f>
        <v>22.36273054503248</v>
      </c>
      <c r="AP136" s="30">
        <f t="shared" ref="AP136:AP137" si="82">((AL136*(V136/100))/AM136)*100</f>
        <v>23.791460552076217</v>
      </c>
      <c r="AQ136" s="30">
        <f t="shared" ref="AQ136:AQ137" si="83">((AL136*(W136/100))/AM136)*100</f>
        <v>14.597893550229536</v>
      </c>
      <c r="AR136" s="30">
        <f t="shared" ref="AR136:AR137" si="84">((AL136*(X136/100))/AM136)*100</f>
        <v>0.24847478383369423</v>
      </c>
      <c r="AS136" s="30">
        <f t="shared" ref="AS136:AS137" si="85">Y136</f>
        <v>37.881304041576456</v>
      </c>
      <c r="AT136" s="31">
        <f t="shared" si="14"/>
        <v>98.881863472748378</v>
      </c>
      <c r="AV136" s="21">
        <f t="shared" ref="AV136:AV390" si="86">AC136</f>
        <v>4000</v>
      </c>
    </row>
    <row r="137" spans="1:48" ht="15.75" customHeight="1" x14ac:dyDescent="0.25">
      <c r="B137" s="32"/>
      <c r="C137" s="18" t="s">
        <v>46</v>
      </c>
      <c r="D137" s="51"/>
      <c r="E137" s="18" t="s">
        <v>48</v>
      </c>
      <c r="F137" s="51"/>
      <c r="G137" s="23">
        <f t="shared" si="69"/>
        <v>49.515279241306636</v>
      </c>
      <c r="H137" s="23">
        <f t="shared" si="70"/>
        <v>6.048472075869336</v>
      </c>
      <c r="I137" s="23">
        <f t="shared" si="71"/>
        <v>43.624868282402524</v>
      </c>
      <c r="J137" s="23">
        <f t="shared" si="72"/>
        <v>0.69546891464699678</v>
      </c>
      <c r="K137" s="23">
        <f t="shared" si="73"/>
        <v>0.11591148577449947</v>
      </c>
      <c r="L137" s="22">
        <f t="shared" si="74"/>
        <v>7.75</v>
      </c>
      <c r="M137" s="18">
        <v>72.150000000000006</v>
      </c>
      <c r="N137" s="18">
        <v>15</v>
      </c>
      <c r="O137" s="18">
        <v>5.0999999999999996</v>
      </c>
      <c r="P137" s="18">
        <v>0.25</v>
      </c>
      <c r="Q137" s="18">
        <v>750</v>
      </c>
      <c r="R137" s="18" t="s">
        <v>51</v>
      </c>
      <c r="S137" s="53">
        <v>0</v>
      </c>
      <c r="T137" s="21">
        <v>15</v>
      </c>
      <c r="U137" s="21">
        <v>35.799999999999997</v>
      </c>
      <c r="V137" s="21">
        <v>38.299999999999997</v>
      </c>
      <c r="W137" s="18">
        <v>23.5</v>
      </c>
      <c r="X137" s="18">
        <v>0.6</v>
      </c>
      <c r="Y137" s="27">
        <f t="shared" si="75"/>
        <v>37.956875567631499</v>
      </c>
      <c r="Z137" s="18">
        <f t="shared" si="76"/>
        <v>0.76923076923076916</v>
      </c>
      <c r="AA137" s="18">
        <v>83.1</v>
      </c>
      <c r="AB137" s="18">
        <v>31.71</v>
      </c>
      <c r="AC137" s="21">
        <f t="shared" si="77"/>
        <v>4000</v>
      </c>
      <c r="AD137" s="18" t="s">
        <v>51</v>
      </c>
      <c r="AF137" s="1"/>
      <c r="AG137" s="29">
        <v>1.3</v>
      </c>
      <c r="AH137" s="29">
        <v>4</v>
      </c>
      <c r="AK137" s="1">
        <f t="shared" si="78"/>
        <v>4.0454812501045385</v>
      </c>
      <c r="AL137" s="29">
        <f t="shared" si="79"/>
        <v>6.6126174200462922</v>
      </c>
      <c r="AM137" s="29">
        <f t="shared" si="80"/>
        <v>10.658098670150832</v>
      </c>
      <c r="AO137" s="30">
        <f t="shared" si="81"/>
        <v>22.211438546787917</v>
      </c>
      <c r="AP137" s="30">
        <f t="shared" si="82"/>
        <v>23.762516657597132</v>
      </c>
      <c r="AQ137" s="30">
        <f t="shared" si="83"/>
        <v>14.580134241606595</v>
      </c>
      <c r="AR137" s="30">
        <f t="shared" si="84"/>
        <v>0.37225874659421093</v>
      </c>
      <c r="AS137" s="30">
        <f t="shared" si="85"/>
        <v>37.956875567631499</v>
      </c>
      <c r="AT137" s="31">
        <f t="shared" si="14"/>
        <v>98.883223760217362</v>
      </c>
      <c r="AV137" s="21">
        <f t="shared" si="86"/>
        <v>4000</v>
      </c>
    </row>
    <row r="138" spans="1:48" ht="15.75" customHeight="1" x14ac:dyDescent="0.25">
      <c r="B138" s="32"/>
      <c r="C138" s="18" t="s">
        <v>46</v>
      </c>
      <c r="D138" s="51"/>
      <c r="E138" s="18" t="s">
        <v>48</v>
      </c>
      <c r="F138" s="51"/>
      <c r="G138" s="23">
        <f t="shared" ref="G138:G145" si="87">47.62*100/(100-O138)</f>
        <v>56.575977189022218</v>
      </c>
      <c r="H138" s="23">
        <f t="shared" ref="H138:H145" si="88">4.62*100/(100-O138)</f>
        <v>5.4888915290483542</v>
      </c>
      <c r="I138" s="23">
        <f t="shared" ref="I138:I145" si="89">31.28*100/(100-O138)</f>
        <v>37.16288463823215</v>
      </c>
      <c r="J138" s="23">
        <f t="shared" ref="J138:J145" si="90">0.47*100/(100-O138)</f>
        <v>0.55839372698110967</v>
      </c>
      <c r="K138" s="23">
        <f t="shared" ref="K138:K145" si="91">0.18*100/(100-O138)</f>
        <v>0.21385291671616966</v>
      </c>
      <c r="L138" s="22">
        <f t="shared" si="74"/>
        <v>11.960000000000008</v>
      </c>
      <c r="M138" s="18">
        <v>60.01</v>
      </c>
      <c r="N138" s="18">
        <v>12.2</v>
      </c>
      <c r="O138" s="18">
        <v>15.83</v>
      </c>
      <c r="P138" s="18">
        <v>0.32</v>
      </c>
      <c r="Q138" s="18">
        <v>800</v>
      </c>
      <c r="R138" s="18" t="s">
        <v>51</v>
      </c>
      <c r="S138" s="53">
        <v>0</v>
      </c>
      <c r="T138" s="18">
        <v>16.38</v>
      </c>
      <c r="U138" s="21">
        <v>6.1</v>
      </c>
      <c r="V138" s="21">
        <v>18.5</v>
      </c>
      <c r="W138" s="18">
        <v>13.7</v>
      </c>
      <c r="X138" s="18">
        <v>5.8</v>
      </c>
      <c r="Y138" s="49">
        <f t="shared" ref="Y138:Y144" si="92">100-SUM(U138:X138)</f>
        <v>55.900000000000006</v>
      </c>
      <c r="Z138" s="18">
        <f t="shared" si="76"/>
        <v>0.85470085470085477</v>
      </c>
      <c r="AA138" s="18">
        <v>34.99</v>
      </c>
      <c r="AB138" s="18">
        <v>67.239999999999995</v>
      </c>
      <c r="AC138" s="21">
        <f t="shared" si="77"/>
        <v>5100</v>
      </c>
      <c r="AD138" s="18" t="s">
        <v>51</v>
      </c>
      <c r="AF138" s="1"/>
      <c r="AG138" s="29">
        <v>1.17</v>
      </c>
      <c r="AH138" s="29">
        <v>5.0999999999999996</v>
      </c>
      <c r="AO138" s="30">
        <f t="shared" ref="AO138:AS138" si="93">U138</f>
        <v>6.1</v>
      </c>
      <c r="AP138" s="30">
        <f t="shared" si="93"/>
        <v>18.5</v>
      </c>
      <c r="AQ138" s="30">
        <f t="shared" si="93"/>
        <v>13.7</v>
      </c>
      <c r="AR138" s="30">
        <f t="shared" si="93"/>
        <v>5.8</v>
      </c>
      <c r="AS138" s="30">
        <f t="shared" si="93"/>
        <v>55.900000000000006</v>
      </c>
      <c r="AT138" s="31">
        <f t="shared" si="14"/>
        <v>100</v>
      </c>
      <c r="AV138" s="21">
        <f t="shared" si="86"/>
        <v>5100</v>
      </c>
    </row>
    <row r="139" spans="1:48" ht="15.75" customHeight="1" x14ac:dyDescent="0.25">
      <c r="B139" s="32"/>
      <c r="C139" s="18" t="s">
        <v>46</v>
      </c>
      <c r="D139" s="51"/>
      <c r="E139" s="18" t="s">
        <v>48</v>
      </c>
      <c r="F139" s="51"/>
      <c r="G139" s="23">
        <f t="shared" si="87"/>
        <v>56.575977189022218</v>
      </c>
      <c r="H139" s="23">
        <f t="shared" si="88"/>
        <v>5.4888915290483542</v>
      </c>
      <c r="I139" s="23">
        <f t="shared" si="89"/>
        <v>37.16288463823215</v>
      </c>
      <c r="J139" s="23">
        <f t="shared" si="90"/>
        <v>0.55839372698110967</v>
      </c>
      <c r="K139" s="23">
        <f t="shared" si="91"/>
        <v>0.21385291671616966</v>
      </c>
      <c r="L139" s="22">
        <f t="shared" si="74"/>
        <v>11.960000000000008</v>
      </c>
      <c r="M139" s="18">
        <v>60.01</v>
      </c>
      <c r="N139" s="18">
        <v>12.2</v>
      </c>
      <c r="O139" s="18">
        <v>15.83</v>
      </c>
      <c r="P139" s="18">
        <v>0.26</v>
      </c>
      <c r="Q139" s="18">
        <v>800</v>
      </c>
      <c r="R139" s="18" t="s">
        <v>51</v>
      </c>
      <c r="S139" s="53">
        <v>0</v>
      </c>
      <c r="T139" s="18">
        <v>16.38</v>
      </c>
      <c r="U139" s="21">
        <v>5.7</v>
      </c>
      <c r="V139" s="21">
        <v>18.899999999999999</v>
      </c>
      <c r="W139" s="18">
        <v>13.4</v>
      </c>
      <c r="X139" s="18">
        <v>6.8</v>
      </c>
      <c r="Y139" s="49">
        <f t="shared" si="92"/>
        <v>55.2</v>
      </c>
      <c r="Z139" s="18">
        <f t="shared" si="76"/>
        <v>0.77519379844961234</v>
      </c>
      <c r="AA139" s="18">
        <v>40.86</v>
      </c>
      <c r="AB139" s="18">
        <v>76.290000000000006</v>
      </c>
      <c r="AC139" s="21">
        <f t="shared" si="77"/>
        <v>5400</v>
      </c>
      <c r="AD139" s="18" t="s">
        <v>51</v>
      </c>
      <c r="AF139" s="1"/>
      <c r="AG139" s="29">
        <v>1.29</v>
      </c>
      <c r="AH139" s="29">
        <v>5.4</v>
      </c>
      <c r="AO139" s="30">
        <f t="shared" ref="AO139:AS139" si="94">U139</f>
        <v>5.7</v>
      </c>
      <c r="AP139" s="30">
        <f t="shared" si="94"/>
        <v>18.899999999999999</v>
      </c>
      <c r="AQ139" s="30">
        <f t="shared" si="94"/>
        <v>13.4</v>
      </c>
      <c r="AR139" s="30">
        <f t="shared" si="94"/>
        <v>6.8</v>
      </c>
      <c r="AS139" s="30">
        <f t="shared" si="94"/>
        <v>55.2</v>
      </c>
      <c r="AT139" s="31">
        <f t="shared" si="14"/>
        <v>100</v>
      </c>
      <c r="AV139" s="21">
        <f t="shared" si="86"/>
        <v>5400</v>
      </c>
    </row>
    <row r="140" spans="1:48" ht="15.75" customHeight="1" x14ac:dyDescent="0.25">
      <c r="B140" s="32"/>
      <c r="C140" s="18" t="s">
        <v>46</v>
      </c>
      <c r="D140" s="51"/>
      <c r="E140" s="18" t="s">
        <v>48</v>
      </c>
      <c r="F140" s="51"/>
      <c r="G140" s="23">
        <f t="shared" si="87"/>
        <v>56.575977189022218</v>
      </c>
      <c r="H140" s="23">
        <f t="shared" si="88"/>
        <v>5.4888915290483542</v>
      </c>
      <c r="I140" s="23">
        <f t="shared" si="89"/>
        <v>37.16288463823215</v>
      </c>
      <c r="J140" s="23">
        <f t="shared" si="90"/>
        <v>0.55839372698110967</v>
      </c>
      <c r="K140" s="23">
        <f t="shared" si="91"/>
        <v>0.21385291671616966</v>
      </c>
      <c r="L140" s="22">
        <f t="shared" si="74"/>
        <v>11.960000000000008</v>
      </c>
      <c r="M140" s="18">
        <v>60.01</v>
      </c>
      <c r="N140" s="18">
        <v>12.2</v>
      </c>
      <c r="O140" s="18">
        <v>15.83</v>
      </c>
      <c r="P140" s="18">
        <v>0.25</v>
      </c>
      <c r="Q140" s="18">
        <v>800</v>
      </c>
      <c r="R140" s="18" t="s">
        <v>51</v>
      </c>
      <c r="S140" s="53">
        <v>0</v>
      </c>
      <c r="T140" s="18">
        <v>16.38</v>
      </c>
      <c r="U140" s="21">
        <v>6.9</v>
      </c>
      <c r="V140" s="21">
        <v>21.7</v>
      </c>
      <c r="W140" s="18">
        <v>11.9</v>
      </c>
      <c r="X140" s="18">
        <v>5.4</v>
      </c>
      <c r="Y140" s="49">
        <f t="shared" si="92"/>
        <v>54.1</v>
      </c>
      <c r="Z140" s="18">
        <f t="shared" si="76"/>
        <v>0.69444444444444442</v>
      </c>
      <c r="AA140" s="18">
        <v>45.61</v>
      </c>
      <c r="AB140" s="18">
        <v>84.94</v>
      </c>
      <c r="AC140" s="21">
        <f t="shared" si="77"/>
        <v>5400</v>
      </c>
      <c r="AD140" s="18" t="s">
        <v>51</v>
      </c>
      <c r="AF140" s="1"/>
      <c r="AG140" s="29">
        <v>1.44</v>
      </c>
      <c r="AH140" s="29">
        <v>5.4</v>
      </c>
      <c r="AO140" s="30">
        <f t="shared" ref="AO140:AS140" si="95">U140</f>
        <v>6.9</v>
      </c>
      <c r="AP140" s="30">
        <f t="shared" si="95"/>
        <v>21.7</v>
      </c>
      <c r="AQ140" s="30">
        <f t="shared" si="95"/>
        <v>11.9</v>
      </c>
      <c r="AR140" s="30">
        <f t="shared" si="95"/>
        <v>5.4</v>
      </c>
      <c r="AS140" s="30">
        <f t="shared" si="95"/>
        <v>54.1</v>
      </c>
      <c r="AT140" s="31">
        <f t="shared" si="14"/>
        <v>100</v>
      </c>
      <c r="AV140" s="21">
        <f t="shared" si="86"/>
        <v>5400</v>
      </c>
    </row>
    <row r="141" spans="1:48" ht="15.75" customHeight="1" x14ac:dyDescent="0.25">
      <c r="B141" s="32"/>
      <c r="C141" s="18" t="s">
        <v>46</v>
      </c>
      <c r="D141" s="51"/>
      <c r="E141" s="18" t="s">
        <v>48</v>
      </c>
      <c r="F141" s="51"/>
      <c r="G141" s="23">
        <f t="shared" si="87"/>
        <v>56.575977189022218</v>
      </c>
      <c r="H141" s="23">
        <f t="shared" si="88"/>
        <v>5.4888915290483542</v>
      </c>
      <c r="I141" s="23">
        <f t="shared" si="89"/>
        <v>37.16288463823215</v>
      </c>
      <c r="J141" s="23">
        <f t="shared" si="90"/>
        <v>0.55839372698110967</v>
      </c>
      <c r="K141" s="23">
        <f t="shared" si="91"/>
        <v>0.21385291671616966</v>
      </c>
      <c r="L141" s="22">
        <f t="shared" si="74"/>
        <v>11.960000000000008</v>
      </c>
      <c r="M141" s="18">
        <v>60.01</v>
      </c>
      <c r="N141" s="18">
        <v>12.2</v>
      </c>
      <c r="O141" s="18">
        <v>15.83</v>
      </c>
      <c r="P141" s="18">
        <v>0.26</v>
      </c>
      <c r="Q141" s="18">
        <v>800</v>
      </c>
      <c r="R141" s="18" t="s">
        <v>51</v>
      </c>
      <c r="S141" s="53">
        <v>0</v>
      </c>
      <c r="T141" s="18">
        <v>16.38</v>
      </c>
      <c r="U141" s="21">
        <v>6</v>
      </c>
      <c r="V141" s="21">
        <v>16.100000000000001</v>
      </c>
      <c r="W141" s="18">
        <v>14.4</v>
      </c>
      <c r="X141" s="18">
        <v>6.3</v>
      </c>
      <c r="Y141" s="49">
        <f t="shared" si="92"/>
        <v>57.2</v>
      </c>
      <c r="Z141" s="18">
        <f t="shared" si="76"/>
        <v>0.80645161290322587</v>
      </c>
      <c r="AA141" s="18">
        <v>35.64</v>
      </c>
      <c r="AB141" s="18">
        <v>69.02</v>
      </c>
      <c r="AC141" s="21">
        <f t="shared" si="77"/>
        <v>4900</v>
      </c>
      <c r="AD141" s="18" t="s">
        <v>51</v>
      </c>
      <c r="AF141" s="1"/>
      <c r="AG141" s="29">
        <v>1.24</v>
      </c>
      <c r="AH141" s="29">
        <v>4.9000000000000004</v>
      </c>
      <c r="AO141" s="30">
        <f t="shared" ref="AO141:AS141" si="96">U141</f>
        <v>6</v>
      </c>
      <c r="AP141" s="30">
        <f t="shared" si="96"/>
        <v>16.100000000000001</v>
      </c>
      <c r="AQ141" s="30">
        <f t="shared" si="96"/>
        <v>14.4</v>
      </c>
      <c r="AR141" s="30">
        <f t="shared" si="96"/>
        <v>6.3</v>
      </c>
      <c r="AS141" s="30">
        <f t="shared" si="96"/>
        <v>57.2</v>
      </c>
      <c r="AT141" s="31">
        <f t="shared" si="14"/>
        <v>100</v>
      </c>
      <c r="AV141" s="21">
        <f t="shared" si="86"/>
        <v>4900</v>
      </c>
    </row>
    <row r="142" spans="1:48" ht="15.75" customHeight="1" x14ac:dyDescent="0.25">
      <c r="B142" s="32"/>
      <c r="C142" s="18" t="s">
        <v>46</v>
      </c>
      <c r="D142" s="51"/>
      <c r="E142" s="18" t="s">
        <v>48</v>
      </c>
      <c r="F142" s="51"/>
      <c r="G142" s="23">
        <f t="shared" si="87"/>
        <v>56.575977189022218</v>
      </c>
      <c r="H142" s="23">
        <f t="shared" si="88"/>
        <v>5.4888915290483542</v>
      </c>
      <c r="I142" s="23">
        <f t="shared" si="89"/>
        <v>37.16288463823215</v>
      </c>
      <c r="J142" s="23">
        <f t="shared" si="90"/>
        <v>0.55839372698110967</v>
      </c>
      <c r="K142" s="23">
        <f t="shared" si="91"/>
        <v>0.21385291671616966</v>
      </c>
      <c r="L142" s="22">
        <f t="shared" si="74"/>
        <v>11.960000000000008</v>
      </c>
      <c r="M142" s="18">
        <v>60.01</v>
      </c>
      <c r="N142" s="18">
        <v>12.2</v>
      </c>
      <c r="O142" s="18">
        <v>15.83</v>
      </c>
      <c r="P142" s="18">
        <v>0.32</v>
      </c>
      <c r="Q142" s="18">
        <v>850</v>
      </c>
      <c r="R142" s="18" t="s">
        <v>51</v>
      </c>
      <c r="S142" s="53">
        <v>0</v>
      </c>
      <c r="T142" s="18">
        <v>16.38</v>
      </c>
      <c r="U142" s="21">
        <v>11</v>
      </c>
      <c r="V142" s="21">
        <v>12.9</v>
      </c>
      <c r="W142" s="18">
        <v>9.1</v>
      </c>
      <c r="X142" s="18">
        <v>0.6</v>
      </c>
      <c r="Y142" s="49">
        <f t="shared" si="92"/>
        <v>66.400000000000006</v>
      </c>
      <c r="Z142" s="18">
        <f t="shared" si="76"/>
        <v>0.36363636363636365</v>
      </c>
      <c r="AA142" s="18">
        <v>48.39</v>
      </c>
      <c r="AB142" s="18">
        <v>94</v>
      </c>
      <c r="AC142" s="21">
        <f t="shared" si="77"/>
        <v>3000</v>
      </c>
      <c r="AD142" s="18" t="s">
        <v>51</v>
      </c>
      <c r="AF142" s="1"/>
      <c r="AG142" s="29">
        <v>2.75</v>
      </c>
      <c r="AH142" s="29">
        <v>3</v>
      </c>
      <c r="AO142" s="30">
        <f t="shared" ref="AO142:AS142" si="97">U142</f>
        <v>11</v>
      </c>
      <c r="AP142" s="30">
        <f t="shared" si="97"/>
        <v>12.9</v>
      </c>
      <c r="AQ142" s="30">
        <f t="shared" si="97"/>
        <v>9.1</v>
      </c>
      <c r="AR142" s="30">
        <f t="shared" si="97"/>
        <v>0.6</v>
      </c>
      <c r="AS142" s="30">
        <f t="shared" si="97"/>
        <v>66.400000000000006</v>
      </c>
      <c r="AT142" s="31">
        <f t="shared" si="14"/>
        <v>100</v>
      </c>
      <c r="AV142" s="21">
        <f t="shared" si="86"/>
        <v>3000</v>
      </c>
    </row>
    <row r="143" spans="1:48" ht="15.75" customHeight="1" x14ac:dyDescent="0.25">
      <c r="B143" s="32"/>
      <c r="C143" s="18" t="s">
        <v>46</v>
      </c>
      <c r="D143" s="51"/>
      <c r="E143" s="18" t="s">
        <v>48</v>
      </c>
      <c r="F143" s="51"/>
      <c r="G143" s="23">
        <f t="shared" si="87"/>
        <v>56.575977189022218</v>
      </c>
      <c r="H143" s="23">
        <f t="shared" si="88"/>
        <v>5.4888915290483542</v>
      </c>
      <c r="I143" s="23">
        <f t="shared" si="89"/>
        <v>37.16288463823215</v>
      </c>
      <c r="J143" s="23">
        <f t="shared" si="90"/>
        <v>0.55839372698110967</v>
      </c>
      <c r="K143" s="23">
        <f t="shared" si="91"/>
        <v>0.21385291671616966</v>
      </c>
      <c r="L143" s="22">
        <f t="shared" si="74"/>
        <v>11.960000000000008</v>
      </c>
      <c r="M143" s="18">
        <v>60.01</v>
      </c>
      <c r="N143" s="18">
        <v>12.2</v>
      </c>
      <c r="O143" s="18">
        <v>15.83</v>
      </c>
      <c r="P143" s="18">
        <v>0.26</v>
      </c>
      <c r="Q143" s="18">
        <v>850</v>
      </c>
      <c r="R143" s="18" t="s">
        <v>51</v>
      </c>
      <c r="S143" s="53">
        <v>0</v>
      </c>
      <c r="T143" s="18">
        <v>16.38</v>
      </c>
      <c r="U143" s="21">
        <v>12.3</v>
      </c>
      <c r="V143" s="21">
        <v>13.9</v>
      </c>
      <c r="W143" s="18">
        <v>8.9</v>
      </c>
      <c r="X143" s="18">
        <v>1.2</v>
      </c>
      <c r="Y143" s="49">
        <f t="shared" si="92"/>
        <v>63.699999999999996</v>
      </c>
      <c r="Z143" s="18">
        <f t="shared" si="76"/>
        <v>0.38167938931297707</v>
      </c>
      <c r="AA143" s="18">
        <v>53.78</v>
      </c>
      <c r="AB143" s="18">
        <v>95.1</v>
      </c>
      <c r="AC143" s="21">
        <f t="shared" si="77"/>
        <v>3500</v>
      </c>
      <c r="AD143" s="18" t="s">
        <v>51</v>
      </c>
      <c r="AF143" s="1"/>
      <c r="AG143" s="29">
        <v>2.62</v>
      </c>
      <c r="AH143" s="29">
        <v>3.5</v>
      </c>
      <c r="AO143" s="30">
        <f t="shared" ref="AO143:AS143" si="98">U143</f>
        <v>12.3</v>
      </c>
      <c r="AP143" s="30">
        <f t="shared" si="98"/>
        <v>13.9</v>
      </c>
      <c r="AQ143" s="30">
        <f t="shared" si="98"/>
        <v>8.9</v>
      </c>
      <c r="AR143" s="30">
        <f t="shared" si="98"/>
        <v>1.2</v>
      </c>
      <c r="AS143" s="30">
        <f t="shared" si="98"/>
        <v>63.699999999999996</v>
      </c>
      <c r="AT143" s="31">
        <f t="shared" si="14"/>
        <v>100</v>
      </c>
      <c r="AV143" s="21">
        <f t="shared" si="86"/>
        <v>3500</v>
      </c>
    </row>
    <row r="144" spans="1:48" ht="15.75" customHeight="1" x14ac:dyDescent="0.25">
      <c r="B144" s="32"/>
      <c r="C144" s="18" t="s">
        <v>46</v>
      </c>
      <c r="D144" s="51"/>
      <c r="E144" s="18" t="s">
        <v>48</v>
      </c>
      <c r="F144" s="51"/>
      <c r="G144" s="23">
        <f t="shared" si="87"/>
        <v>56.575977189022218</v>
      </c>
      <c r="H144" s="23">
        <f t="shared" si="88"/>
        <v>5.4888915290483542</v>
      </c>
      <c r="I144" s="23">
        <f t="shared" si="89"/>
        <v>37.16288463823215</v>
      </c>
      <c r="J144" s="23">
        <f t="shared" si="90"/>
        <v>0.55839372698110967</v>
      </c>
      <c r="K144" s="23">
        <f t="shared" si="91"/>
        <v>0.21385291671616966</v>
      </c>
      <c r="L144" s="22">
        <f t="shared" si="74"/>
        <v>11.960000000000008</v>
      </c>
      <c r="M144" s="18">
        <v>60.01</v>
      </c>
      <c r="N144" s="18">
        <v>12.2</v>
      </c>
      <c r="O144" s="18">
        <v>15.83</v>
      </c>
      <c r="P144" s="18">
        <v>0.25</v>
      </c>
      <c r="Q144" s="18">
        <v>850</v>
      </c>
      <c r="R144" s="18" t="s">
        <v>51</v>
      </c>
      <c r="S144" s="53">
        <v>0</v>
      </c>
      <c r="T144" s="18">
        <v>16.38</v>
      </c>
      <c r="U144" s="21">
        <v>13.7</v>
      </c>
      <c r="V144" s="21">
        <v>15.5</v>
      </c>
      <c r="W144" s="18">
        <v>8.1999999999999993</v>
      </c>
      <c r="X144" s="18">
        <v>13.7</v>
      </c>
      <c r="Y144" s="49">
        <f t="shared" si="92"/>
        <v>48.900000000000006</v>
      </c>
      <c r="Z144" s="18">
        <f t="shared" si="76"/>
        <v>0.37037037037037035</v>
      </c>
      <c r="AA144" s="18">
        <v>58.59</v>
      </c>
      <c r="AB144" s="18">
        <v>152.72999999999999</v>
      </c>
      <c r="AC144" s="21">
        <f t="shared" si="77"/>
        <v>3700</v>
      </c>
      <c r="AD144" s="18" t="s">
        <v>51</v>
      </c>
      <c r="AF144" s="1"/>
      <c r="AG144" s="29">
        <v>2.7</v>
      </c>
      <c r="AH144" s="29">
        <v>3.7</v>
      </c>
      <c r="AO144" s="30">
        <f t="shared" ref="AO144:AS144" si="99">U144</f>
        <v>13.7</v>
      </c>
      <c r="AP144" s="30">
        <f t="shared" si="99"/>
        <v>15.5</v>
      </c>
      <c r="AQ144" s="30">
        <f t="shared" si="99"/>
        <v>8.1999999999999993</v>
      </c>
      <c r="AR144" s="30">
        <f t="shared" si="99"/>
        <v>13.7</v>
      </c>
      <c r="AS144" s="30">
        <f t="shared" si="99"/>
        <v>48.900000000000006</v>
      </c>
      <c r="AT144" s="31">
        <f t="shared" si="14"/>
        <v>100</v>
      </c>
      <c r="AV144" s="21">
        <f t="shared" si="86"/>
        <v>3700</v>
      </c>
    </row>
    <row r="145" spans="2:48" ht="15.75" customHeight="1" x14ac:dyDescent="0.25">
      <c r="B145" s="32"/>
      <c r="C145" s="18" t="s">
        <v>46</v>
      </c>
      <c r="D145" s="51"/>
      <c r="E145" s="18" t="s">
        <v>48</v>
      </c>
      <c r="F145" s="51"/>
      <c r="G145" s="23">
        <f t="shared" si="87"/>
        <v>56.575977189022218</v>
      </c>
      <c r="H145" s="23">
        <f t="shared" si="88"/>
        <v>5.4888915290483542</v>
      </c>
      <c r="I145" s="23">
        <f t="shared" si="89"/>
        <v>37.16288463823215</v>
      </c>
      <c r="J145" s="23">
        <f t="shared" si="90"/>
        <v>0.55839372698110967</v>
      </c>
      <c r="K145" s="23">
        <f t="shared" si="91"/>
        <v>0.21385291671616966</v>
      </c>
      <c r="L145" s="22">
        <f t="shared" si="74"/>
        <v>11.960000000000008</v>
      </c>
      <c r="M145" s="18">
        <v>60.01</v>
      </c>
      <c r="N145" s="18">
        <v>12.2</v>
      </c>
      <c r="O145" s="18">
        <v>15.83</v>
      </c>
      <c r="P145" s="18">
        <v>0.26</v>
      </c>
      <c r="Q145" s="18">
        <v>850</v>
      </c>
      <c r="R145" s="18" t="s">
        <v>51</v>
      </c>
      <c r="S145" s="53">
        <v>0</v>
      </c>
      <c r="T145" s="18">
        <v>16.38</v>
      </c>
      <c r="U145" s="21">
        <v>19.100000000000001</v>
      </c>
      <c r="V145" s="21">
        <v>35.799999999999997</v>
      </c>
      <c r="W145" s="18">
        <v>5.8</v>
      </c>
      <c r="X145" s="18">
        <v>19.100000000000001</v>
      </c>
      <c r="Y145" s="27">
        <f>(AK145/AM145)*100</f>
        <v>38.379145063045236</v>
      </c>
      <c r="Z145" s="18">
        <f t="shared" si="76"/>
        <v>0.52631578947368418</v>
      </c>
      <c r="AA145" s="18">
        <v>74.66</v>
      </c>
      <c r="AB145" s="18">
        <v>174.43</v>
      </c>
      <c r="AC145" s="21">
        <f t="shared" si="77"/>
        <v>6700</v>
      </c>
      <c r="AD145" s="18" t="s">
        <v>51</v>
      </c>
      <c r="AF145" s="1"/>
      <c r="AG145" s="29">
        <v>1.9</v>
      </c>
      <c r="AH145" s="29">
        <v>6.7</v>
      </c>
      <c r="AK145" s="1">
        <f>0.79*((P145*(((G145/12)+(H145/4))-((I145/16)/2)))/0.21)+(J145/14)/2</f>
        <v>4.837597190870329</v>
      </c>
      <c r="AL145" s="29">
        <f>(100*G145)/(12*(V145+W145+X145))</f>
        <v>7.7671577689486844</v>
      </c>
      <c r="AM145" s="29">
        <f>AL145+AK145</f>
        <v>12.604754959819013</v>
      </c>
      <c r="AO145" s="30">
        <f>((AL145*(U145/100))/AM145)*100</f>
        <v>11.769583292958359</v>
      </c>
      <c r="AP145" s="30">
        <f>((AL145*(V145/100))/AM145)*100</f>
        <v>22.060266067429801</v>
      </c>
      <c r="AQ145" s="30">
        <f>((AL145*(W145/100))/AM145)*100</f>
        <v>3.5740095863433763</v>
      </c>
      <c r="AR145" s="30">
        <f>((AL145*(X145/100))/AM145)*100</f>
        <v>11.769583292958359</v>
      </c>
      <c r="AS145" s="30">
        <f>Y145</f>
        <v>38.379145063045236</v>
      </c>
      <c r="AT145" s="31">
        <f t="shared" si="14"/>
        <v>87.552587302735134</v>
      </c>
      <c r="AV145" s="21">
        <f t="shared" si="86"/>
        <v>6700</v>
      </c>
    </row>
    <row r="146" spans="2:48" ht="15.75" customHeight="1" x14ac:dyDescent="0.25">
      <c r="B146" s="32"/>
      <c r="C146" s="18" t="s">
        <v>46</v>
      </c>
      <c r="D146" s="51"/>
      <c r="E146" s="18" t="s">
        <v>48</v>
      </c>
      <c r="F146" s="51"/>
      <c r="G146" s="23">
        <f t="shared" ref="G146:G149" si="100">46.6*100/(100-O146)</f>
        <v>46.838878279224048</v>
      </c>
      <c r="H146" s="23">
        <f t="shared" ref="H146:H149" si="101">5.07*100/(100-O146)</f>
        <v>5.0959895466881093</v>
      </c>
      <c r="I146" s="23">
        <f t="shared" ref="I146:I149" si="102">47.76*100/(100-O146)</f>
        <v>48.00482460548799</v>
      </c>
      <c r="J146" s="23">
        <f t="shared" ref="J146:J149" si="103">0.04*100/(100-O146)</f>
        <v>4.0205045733239526E-2</v>
      </c>
      <c r="K146" s="23">
        <f t="shared" ref="K146:K149" si="104">0.02*100/(100-O146)</f>
        <v>2.0102522866619763E-2</v>
      </c>
      <c r="L146" s="22">
        <f t="shared" si="74"/>
        <v>7.0600000000000023</v>
      </c>
      <c r="M146" s="18">
        <v>78.69</v>
      </c>
      <c r="N146" s="18">
        <v>13.74</v>
      </c>
      <c r="O146" s="18">
        <v>0.51</v>
      </c>
      <c r="P146" s="18">
        <v>0.3</v>
      </c>
      <c r="Q146" s="18">
        <v>900</v>
      </c>
      <c r="R146" s="18" t="s">
        <v>51</v>
      </c>
      <c r="S146" s="53">
        <v>0</v>
      </c>
      <c r="T146" s="18">
        <v>18.73</v>
      </c>
      <c r="U146" s="21">
        <v>11.8</v>
      </c>
      <c r="V146" s="21">
        <v>12.5</v>
      </c>
      <c r="W146" s="18">
        <v>8.5</v>
      </c>
      <c r="X146" s="18">
        <v>1</v>
      </c>
      <c r="Y146" s="49">
        <f t="shared" ref="Y146:Y196" si="105">100-SUM(U146:X146)</f>
        <v>66.2</v>
      </c>
      <c r="Z146" s="18">
        <f t="shared" si="76"/>
        <v>0.4504504504504504</v>
      </c>
      <c r="AA146" s="18">
        <v>36.549999999999997</v>
      </c>
      <c r="AB146" s="18">
        <v>56.11</v>
      </c>
      <c r="AC146" s="21">
        <f t="shared" si="77"/>
        <v>3270</v>
      </c>
      <c r="AD146" s="18" t="s">
        <v>51</v>
      </c>
      <c r="AF146" s="1"/>
      <c r="AG146" s="29">
        <v>2.2200000000000002</v>
      </c>
      <c r="AH146" s="29">
        <v>3.27</v>
      </c>
      <c r="AO146" s="30">
        <f t="shared" ref="AO146:AS146" si="106">U146</f>
        <v>11.8</v>
      </c>
      <c r="AP146" s="30">
        <f t="shared" si="106"/>
        <v>12.5</v>
      </c>
      <c r="AQ146" s="30">
        <f t="shared" si="106"/>
        <v>8.5</v>
      </c>
      <c r="AR146" s="30">
        <f t="shared" si="106"/>
        <v>1</v>
      </c>
      <c r="AS146" s="30">
        <f t="shared" si="106"/>
        <v>66.2</v>
      </c>
      <c r="AT146" s="31">
        <f t="shared" si="14"/>
        <v>100</v>
      </c>
      <c r="AV146" s="21">
        <f t="shared" si="86"/>
        <v>3270</v>
      </c>
    </row>
    <row r="147" spans="2:48" ht="15.75" customHeight="1" x14ac:dyDescent="0.25">
      <c r="B147" s="32"/>
      <c r="C147" s="18" t="s">
        <v>46</v>
      </c>
      <c r="D147" s="51"/>
      <c r="E147" s="18" t="s">
        <v>48</v>
      </c>
      <c r="F147" s="51"/>
      <c r="G147" s="23">
        <f t="shared" si="100"/>
        <v>46.838878279224048</v>
      </c>
      <c r="H147" s="23">
        <f t="shared" si="101"/>
        <v>5.0959895466881093</v>
      </c>
      <c r="I147" s="23">
        <f t="shared" si="102"/>
        <v>48.00482460548799</v>
      </c>
      <c r="J147" s="23">
        <f t="shared" si="103"/>
        <v>4.0205045733239526E-2</v>
      </c>
      <c r="K147" s="23">
        <f t="shared" si="104"/>
        <v>2.0102522866619763E-2</v>
      </c>
      <c r="L147" s="22">
        <f t="shared" si="74"/>
        <v>7.0600000000000023</v>
      </c>
      <c r="M147" s="18">
        <v>78.69</v>
      </c>
      <c r="N147" s="18">
        <v>13.74</v>
      </c>
      <c r="O147" s="18">
        <v>0.51</v>
      </c>
      <c r="P147" s="18">
        <v>0.3</v>
      </c>
      <c r="Q147" s="18">
        <v>900</v>
      </c>
      <c r="R147" s="18" t="s">
        <v>51</v>
      </c>
      <c r="S147" s="53">
        <v>0</v>
      </c>
      <c r="T147" s="18">
        <v>18.73</v>
      </c>
      <c r="U147" s="21">
        <v>13.4</v>
      </c>
      <c r="V147" s="21">
        <v>14.1</v>
      </c>
      <c r="W147" s="18">
        <v>9.5</v>
      </c>
      <c r="X147" s="18">
        <v>1.2</v>
      </c>
      <c r="Y147" s="49">
        <f t="shared" si="105"/>
        <v>61.8</v>
      </c>
      <c r="Z147" s="18">
        <f t="shared" si="76"/>
        <v>0.46296296296296291</v>
      </c>
      <c r="AA147" s="18">
        <v>40.56</v>
      </c>
      <c r="AB147" s="18">
        <v>61.7</v>
      </c>
      <c r="AC147" s="21">
        <f t="shared" si="77"/>
        <v>3720</v>
      </c>
      <c r="AD147" s="18" t="s">
        <v>51</v>
      </c>
      <c r="AF147" s="1"/>
      <c r="AG147" s="29">
        <v>2.16</v>
      </c>
      <c r="AH147" s="29">
        <v>3.72</v>
      </c>
      <c r="AO147" s="30">
        <f t="shared" ref="AO147:AS147" si="107">U147</f>
        <v>13.4</v>
      </c>
      <c r="AP147" s="30">
        <f t="shared" si="107"/>
        <v>14.1</v>
      </c>
      <c r="AQ147" s="30">
        <f t="shared" si="107"/>
        <v>9.5</v>
      </c>
      <c r="AR147" s="30">
        <f t="shared" si="107"/>
        <v>1.2</v>
      </c>
      <c r="AS147" s="30">
        <f t="shared" si="107"/>
        <v>61.8</v>
      </c>
      <c r="AT147" s="31">
        <f t="shared" si="14"/>
        <v>100</v>
      </c>
      <c r="AV147" s="21">
        <f t="shared" si="86"/>
        <v>3720</v>
      </c>
    </row>
    <row r="148" spans="2:48" ht="15.75" customHeight="1" x14ac:dyDescent="0.25">
      <c r="B148" s="32"/>
      <c r="C148" s="18" t="s">
        <v>46</v>
      </c>
      <c r="D148" s="51"/>
      <c r="E148" s="18" t="s">
        <v>48</v>
      </c>
      <c r="F148" s="51"/>
      <c r="G148" s="23">
        <f t="shared" si="100"/>
        <v>46.838878279224048</v>
      </c>
      <c r="H148" s="23">
        <f t="shared" si="101"/>
        <v>5.0959895466881093</v>
      </c>
      <c r="I148" s="23">
        <f t="shared" si="102"/>
        <v>48.00482460548799</v>
      </c>
      <c r="J148" s="23">
        <f t="shared" si="103"/>
        <v>4.0205045733239526E-2</v>
      </c>
      <c r="K148" s="23">
        <f t="shared" si="104"/>
        <v>2.0102522866619763E-2</v>
      </c>
      <c r="L148" s="22">
        <f t="shared" si="74"/>
        <v>7.0600000000000023</v>
      </c>
      <c r="M148" s="18">
        <v>78.69</v>
      </c>
      <c r="N148" s="18">
        <v>13.74</v>
      </c>
      <c r="O148" s="18">
        <v>0.51</v>
      </c>
      <c r="P148" s="18">
        <v>0.3</v>
      </c>
      <c r="Q148" s="18">
        <v>900</v>
      </c>
      <c r="R148" s="18" t="s">
        <v>51</v>
      </c>
      <c r="S148" s="53">
        <v>0</v>
      </c>
      <c r="T148" s="18">
        <v>18.73</v>
      </c>
      <c r="U148" s="21">
        <v>14</v>
      </c>
      <c r="V148" s="21">
        <v>14.2</v>
      </c>
      <c r="W148" s="18">
        <v>10.4</v>
      </c>
      <c r="X148" s="18">
        <v>1.5</v>
      </c>
      <c r="Y148" s="49">
        <f t="shared" si="105"/>
        <v>59.9</v>
      </c>
      <c r="Z148" s="18">
        <f t="shared" si="76"/>
        <v>0.4366812227074236</v>
      </c>
      <c r="AA148" s="18">
        <v>45.12</v>
      </c>
      <c r="AB148" s="18">
        <v>68.73</v>
      </c>
      <c r="AC148" s="21">
        <f t="shared" si="77"/>
        <v>3910</v>
      </c>
      <c r="AD148" s="18" t="s">
        <v>51</v>
      </c>
      <c r="AF148" s="1"/>
      <c r="AG148" s="29">
        <v>2.29</v>
      </c>
      <c r="AH148" s="29">
        <v>3.91</v>
      </c>
      <c r="AO148" s="30">
        <f t="shared" ref="AO148:AS148" si="108">U148</f>
        <v>14</v>
      </c>
      <c r="AP148" s="30">
        <f t="shared" si="108"/>
        <v>14.2</v>
      </c>
      <c r="AQ148" s="30">
        <f t="shared" si="108"/>
        <v>10.4</v>
      </c>
      <c r="AR148" s="30">
        <f t="shared" si="108"/>
        <v>1.5</v>
      </c>
      <c r="AS148" s="30">
        <f t="shared" si="108"/>
        <v>59.9</v>
      </c>
      <c r="AT148" s="31">
        <f t="shared" si="14"/>
        <v>100</v>
      </c>
      <c r="AV148" s="21">
        <f t="shared" si="86"/>
        <v>3910</v>
      </c>
    </row>
    <row r="149" spans="2:48" ht="15.75" customHeight="1" x14ac:dyDescent="0.25">
      <c r="B149" s="32"/>
      <c r="C149" s="18" t="s">
        <v>46</v>
      </c>
      <c r="D149" s="51"/>
      <c r="E149" s="18" t="s">
        <v>48</v>
      </c>
      <c r="F149" s="51"/>
      <c r="G149" s="23">
        <f t="shared" si="100"/>
        <v>46.838878279224048</v>
      </c>
      <c r="H149" s="23">
        <f t="shared" si="101"/>
        <v>5.0959895466881093</v>
      </c>
      <c r="I149" s="23">
        <f t="shared" si="102"/>
        <v>48.00482460548799</v>
      </c>
      <c r="J149" s="23">
        <f t="shared" si="103"/>
        <v>4.0205045733239526E-2</v>
      </c>
      <c r="K149" s="23">
        <f t="shared" si="104"/>
        <v>2.0102522866619763E-2</v>
      </c>
      <c r="L149" s="22">
        <f t="shared" si="74"/>
        <v>7.0600000000000023</v>
      </c>
      <c r="M149" s="18">
        <v>78.69</v>
      </c>
      <c r="N149" s="18">
        <v>13.74</v>
      </c>
      <c r="O149" s="18">
        <v>0.51</v>
      </c>
      <c r="P149" s="18">
        <v>0.3</v>
      </c>
      <c r="Q149" s="18">
        <v>900</v>
      </c>
      <c r="R149" s="18" t="s">
        <v>51</v>
      </c>
      <c r="S149" s="53">
        <v>0</v>
      </c>
      <c r="T149" s="18">
        <v>18.73</v>
      </c>
      <c r="U149" s="21">
        <v>14.1</v>
      </c>
      <c r="V149" s="21">
        <v>15.1</v>
      </c>
      <c r="W149" s="18">
        <v>10.199999999999999</v>
      </c>
      <c r="X149" s="18">
        <v>1.5</v>
      </c>
      <c r="Y149" s="49">
        <f t="shared" si="105"/>
        <v>59.1</v>
      </c>
      <c r="Z149" s="18">
        <f t="shared" si="76"/>
        <v>0.47619047619047616</v>
      </c>
      <c r="AA149" s="18">
        <v>42.67</v>
      </c>
      <c r="AB149" s="18">
        <v>64.75</v>
      </c>
      <c r="AC149" s="21">
        <f t="shared" si="77"/>
        <v>4030.0000000000005</v>
      </c>
      <c r="AD149" s="18" t="s">
        <v>51</v>
      </c>
      <c r="AF149" s="1"/>
      <c r="AG149" s="29">
        <v>2.1</v>
      </c>
      <c r="AH149" s="29">
        <v>4.03</v>
      </c>
      <c r="AO149" s="30">
        <f t="shared" ref="AO149:AS149" si="109">U149</f>
        <v>14.1</v>
      </c>
      <c r="AP149" s="30">
        <f t="shared" si="109"/>
        <v>15.1</v>
      </c>
      <c r="AQ149" s="30">
        <f t="shared" si="109"/>
        <v>10.199999999999999</v>
      </c>
      <c r="AR149" s="30">
        <f t="shared" si="109"/>
        <v>1.5</v>
      </c>
      <c r="AS149" s="30">
        <f t="shared" si="109"/>
        <v>59.1</v>
      </c>
      <c r="AT149" s="31">
        <f t="shared" si="14"/>
        <v>100</v>
      </c>
      <c r="AV149" s="21">
        <f t="shared" si="86"/>
        <v>4030.0000000000005</v>
      </c>
    </row>
    <row r="150" spans="2:48" ht="15.75" customHeight="1" x14ac:dyDescent="0.25">
      <c r="B150" s="32"/>
      <c r="C150" s="18" t="s">
        <v>46</v>
      </c>
      <c r="D150" s="51"/>
      <c r="E150" s="18" t="s">
        <v>48</v>
      </c>
      <c r="F150" s="51"/>
      <c r="G150" s="23">
        <f t="shared" ref="G150:G157" si="110">38.47*100/(100-O150)</f>
        <v>60.611312431069798</v>
      </c>
      <c r="H150" s="23">
        <f t="shared" ref="H150:H157" si="111">3.86*100/(100-O150)</f>
        <v>6.0816133606428231</v>
      </c>
      <c r="I150" s="23">
        <f t="shared" ref="I150:I157" si="112">20.46*100/(100-O150)</f>
        <v>32.23570190641248</v>
      </c>
      <c r="J150" s="23">
        <f t="shared" ref="J150:J157" si="113">0.56*100/(100-O150)</f>
        <v>0.88230660154403673</v>
      </c>
      <c r="K150" s="23">
        <f t="shared" ref="K150:K157" si="114">0.12*100/(100-O150)</f>
        <v>0.18906570033086498</v>
      </c>
      <c r="L150" s="22">
        <f t="shared" si="74"/>
        <v>22.090000000000003</v>
      </c>
      <c r="M150" s="18">
        <v>30.21</v>
      </c>
      <c r="N150" s="18">
        <v>11.17</v>
      </c>
      <c r="O150" s="18">
        <v>36.53</v>
      </c>
      <c r="P150" s="18">
        <v>0.75</v>
      </c>
      <c r="Q150" s="18">
        <v>900</v>
      </c>
      <c r="R150" s="18" t="s">
        <v>51</v>
      </c>
      <c r="S150" s="53">
        <v>0</v>
      </c>
      <c r="T150" s="18">
        <v>14.42</v>
      </c>
      <c r="U150" s="21">
        <v>10.6</v>
      </c>
      <c r="V150" s="21">
        <v>21.5</v>
      </c>
      <c r="W150" s="18">
        <v>5.51</v>
      </c>
      <c r="X150" s="18">
        <v>0</v>
      </c>
      <c r="Y150" s="49">
        <f t="shared" si="105"/>
        <v>62.39</v>
      </c>
      <c r="Z150" s="18">
        <f t="shared" si="76"/>
        <v>1.5151515151515151</v>
      </c>
      <c r="AA150" s="18">
        <v>44</v>
      </c>
      <c r="AB150" s="18">
        <v>28.6</v>
      </c>
      <c r="AC150" s="21">
        <f t="shared" si="77"/>
        <v>4310</v>
      </c>
      <c r="AD150" s="18" t="s">
        <v>51</v>
      </c>
      <c r="AF150" s="1"/>
      <c r="AG150" s="29">
        <v>0.66</v>
      </c>
      <c r="AH150" s="29">
        <v>4.3099999999999996</v>
      </c>
      <c r="AO150" s="30">
        <f t="shared" ref="AO150:AS150" si="115">U150</f>
        <v>10.6</v>
      </c>
      <c r="AP150" s="30">
        <f t="shared" si="115"/>
        <v>21.5</v>
      </c>
      <c r="AQ150" s="30">
        <f t="shared" si="115"/>
        <v>5.51</v>
      </c>
      <c r="AR150" s="30">
        <f t="shared" si="115"/>
        <v>0</v>
      </c>
      <c r="AS150" s="30">
        <f t="shared" si="115"/>
        <v>62.39</v>
      </c>
      <c r="AT150" s="31">
        <f t="shared" si="14"/>
        <v>100</v>
      </c>
      <c r="AV150" s="21">
        <f t="shared" si="86"/>
        <v>4310</v>
      </c>
    </row>
    <row r="151" spans="2:48" ht="15.75" customHeight="1" x14ac:dyDescent="0.25">
      <c r="B151" s="32"/>
      <c r="C151" s="18" t="s">
        <v>46</v>
      </c>
      <c r="D151" s="51"/>
      <c r="E151" s="18" t="s">
        <v>48</v>
      </c>
      <c r="F151" s="51"/>
      <c r="G151" s="23">
        <f t="shared" si="110"/>
        <v>60.611312431069798</v>
      </c>
      <c r="H151" s="23">
        <f t="shared" si="111"/>
        <v>6.0816133606428231</v>
      </c>
      <c r="I151" s="23">
        <f t="shared" si="112"/>
        <v>32.23570190641248</v>
      </c>
      <c r="J151" s="23">
        <f t="shared" si="113"/>
        <v>0.88230660154403673</v>
      </c>
      <c r="K151" s="23">
        <f t="shared" si="114"/>
        <v>0.18906570033086498</v>
      </c>
      <c r="L151" s="22">
        <f t="shared" si="74"/>
        <v>22.090000000000003</v>
      </c>
      <c r="M151" s="18">
        <v>30.21</v>
      </c>
      <c r="N151" s="18">
        <v>11.17</v>
      </c>
      <c r="O151" s="18">
        <v>36.53</v>
      </c>
      <c r="P151" s="18">
        <v>0.75</v>
      </c>
      <c r="Q151" s="18">
        <v>1000</v>
      </c>
      <c r="R151" s="18" t="s">
        <v>51</v>
      </c>
      <c r="S151" s="53">
        <v>0</v>
      </c>
      <c r="T151" s="18">
        <v>14.42</v>
      </c>
      <c r="U151" s="21">
        <v>12.2</v>
      </c>
      <c r="V151" s="21">
        <v>23.1</v>
      </c>
      <c r="W151" s="18">
        <v>8.64</v>
      </c>
      <c r="X151" s="18">
        <v>0</v>
      </c>
      <c r="Y151" s="49">
        <f t="shared" si="105"/>
        <v>56.06</v>
      </c>
      <c r="Z151" s="18">
        <f t="shared" si="76"/>
        <v>1.0416666666666667</v>
      </c>
      <c r="AA151" s="18">
        <v>53.4</v>
      </c>
      <c r="AB151" s="18">
        <v>42.62</v>
      </c>
      <c r="AC151" s="21">
        <f t="shared" si="77"/>
        <v>6260</v>
      </c>
      <c r="AD151" s="18" t="s">
        <v>51</v>
      </c>
      <c r="AF151" s="1"/>
      <c r="AG151" s="29">
        <v>0.96</v>
      </c>
      <c r="AH151" s="29">
        <v>6.26</v>
      </c>
      <c r="AO151" s="30">
        <f t="shared" ref="AO151:AS151" si="116">U151</f>
        <v>12.2</v>
      </c>
      <c r="AP151" s="30">
        <f t="shared" si="116"/>
        <v>23.1</v>
      </c>
      <c r="AQ151" s="30">
        <f t="shared" si="116"/>
        <v>8.64</v>
      </c>
      <c r="AR151" s="30">
        <f t="shared" si="116"/>
        <v>0</v>
      </c>
      <c r="AS151" s="30">
        <f t="shared" si="116"/>
        <v>56.06</v>
      </c>
      <c r="AT151" s="31">
        <f t="shared" si="14"/>
        <v>100</v>
      </c>
      <c r="AV151" s="21">
        <f t="shared" si="86"/>
        <v>6260</v>
      </c>
    </row>
    <row r="152" spans="2:48" ht="15.75" customHeight="1" x14ac:dyDescent="0.25">
      <c r="B152" s="32"/>
      <c r="C152" s="18" t="s">
        <v>46</v>
      </c>
      <c r="D152" s="51"/>
      <c r="E152" s="18" t="s">
        <v>48</v>
      </c>
      <c r="F152" s="51"/>
      <c r="G152" s="23">
        <f t="shared" si="110"/>
        <v>60.611312431069798</v>
      </c>
      <c r="H152" s="23">
        <f t="shared" si="111"/>
        <v>6.0816133606428231</v>
      </c>
      <c r="I152" s="23">
        <f t="shared" si="112"/>
        <v>32.23570190641248</v>
      </c>
      <c r="J152" s="23">
        <f t="shared" si="113"/>
        <v>0.88230660154403673</v>
      </c>
      <c r="K152" s="23">
        <f t="shared" si="114"/>
        <v>0.18906570033086498</v>
      </c>
      <c r="L152" s="22">
        <f t="shared" si="74"/>
        <v>22.090000000000003</v>
      </c>
      <c r="M152" s="18">
        <v>30.21</v>
      </c>
      <c r="N152" s="18">
        <v>11.17</v>
      </c>
      <c r="O152" s="18">
        <v>36.53</v>
      </c>
      <c r="P152" s="18">
        <v>0.75</v>
      </c>
      <c r="Q152" s="18">
        <v>1100</v>
      </c>
      <c r="R152" s="18" t="s">
        <v>51</v>
      </c>
      <c r="S152" s="53">
        <v>0</v>
      </c>
      <c r="T152" s="18">
        <v>14.42</v>
      </c>
      <c r="U152" s="21">
        <v>13.8</v>
      </c>
      <c r="V152" s="21">
        <v>24.1</v>
      </c>
      <c r="W152" s="18">
        <v>6.03</v>
      </c>
      <c r="X152" s="18">
        <v>0</v>
      </c>
      <c r="Y152" s="49">
        <f t="shared" si="105"/>
        <v>56.069999999999993</v>
      </c>
      <c r="Z152" s="18">
        <f t="shared" si="76"/>
        <v>0.74626865671641784</v>
      </c>
      <c r="AA152" s="18">
        <v>55.9</v>
      </c>
      <c r="AB152" s="18">
        <v>44.85</v>
      </c>
      <c r="AC152" s="21">
        <f t="shared" si="77"/>
        <v>9120</v>
      </c>
      <c r="AD152" s="18" t="s">
        <v>51</v>
      </c>
      <c r="AF152" s="1"/>
      <c r="AG152" s="29">
        <v>1.34</v>
      </c>
      <c r="AH152" s="29">
        <v>9.1199999999999992</v>
      </c>
      <c r="AO152" s="30">
        <f t="shared" ref="AO152:AS152" si="117">U152</f>
        <v>13.8</v>
      </c>
      <c r="AP152" s="30">
        <f t="shared" si="117"/>
        <v>24.1</v>
      </c>
      <c r="AQ152" s="30">
        <f t="shared" si="117"/>
        <v>6.03</v>
      </c>
      <c r="AR152" s="30">
        <f t="shared" si="117"/>
        <v>0</v>
      </c>
      <c r="AS152" s="30">
        <f t="shared" si="117"/>
        <v>56.069999999999993</v>
      </c>
      <c r="AT152" s="31">
        <f t="shared" si="14"/>
        <v>100</v>
      </c>
      <c r="AV152" s="21">
        <f t="shared" si="86"/>
        <v>9120</v>
      </c>
    </row>
    <row r="153" spans="2:48" ht="15.75" customHeight="1" x14ac:dyDescent="0.25">
      <c r="B153" s="32"/>
      <c r="C153" s="18" t="s">
        <v>46</v>
      </c>
      <c r="D153" s="51"/>
      <c r="E153" s="18" t="s">
        <v>48</v>
      </c>
      <c r="F153" s="51"/>
      <c r="G153" s="23">
        <f t="shared" si="110"/>
        <v>60.611312431069798</v>
      </c>
      <c r="H153" s="23">
        <f t="shared" si="111"/>
        <v>6.0816133606428231</v>
      </c>
      <c r="I153" s="23">
        <f t="shared" si="112"/>
        <v>32.23570190641248</v>
      </c>
      <c r="J153" s="23">
        <f t="shared" si="113"/>
        <v>0.88230660154403673</v>
      </c>
      <c r="K153" s="23">
        <f t="shared" si="114"/>
        <v>0.18906570033086498</v>
      </c>
      <c r="L153" s="22">
        <f t="shared" si="74"/>
        <v>22.090000000000003</v>
      </c>
      <c r="M153" s="18">
        <v>30.21</v>
      </c>
      <c r="N153" s="18">
        <v>11.17</v>
      </c>
      <c r="O153" s="18">
        <v>36.53</v>
      </c>
      <c r="P153" s="18">
        <v>0.75</v>
      </c>
      <c r="Q153" s="18">
        <v>1200</v>
      </c>
      <c r="R153" s="18" t="s">
        <v>51</v>
      </c>
      <c r="S153" s="53">
        <v>0</v>
      </c>
      <c r="T153" s="18">
        <v>14.42</v>
      </c>
      <c r="U153" s="21">
        <v>14.6</v>
      </c>
      <c r="V153" s="21">
        <v>23.6</v>
      </c>
      <c r="W153" s="18">
        <v>6.77</v>
      </c>
      <c r="X153" s="18">
        <v>0</v>
      </c>
      <c r="Y153" s="49">
        <f t="shared" si="105"/>
        <v>55.03</v>
      </c>
      <c r="Z153" s="18">
        <f t="shared" si="76"/>
        <v>0.69444444444444442</v>
      </c>
      <c r="AA153" s="18">
        <v>66.099999999999994</v>
      </c>
      <c r="AB153" s="18">
        <v>45.53</v>
      </c>
      <c r="AC153" s="21">
        <f t="shared" si="77"/>
        <v>9370</v>
      </c>
      <c r="AD153" s="18" t="s">
        <v>51</v>
      </c>
      <c r="AF153" s="1"/>
      <c r="AG153" s="29">
        <v>1.44</v>
      </c>
      <c r="AH153" s="29">
        <v>9.3699999999999992</v>
      </c>
      <c r="AO153" s="30">
        <f t="shared" ref="AO153:AS153" si="118">U153</f>
        <v>14.6</v>
      </c>
      <c r="AP153" s="30">
        <f t="shared" si="118"/>
        <v>23.6</v>
      </c>
      <c r="AQ153" s="30">
        <f t="shared" si="118"/>
        <v>6.77</v>
      </c>
      <c r="AR153" s="30">
        <f t="shared" si="118"/>
        <v>0</v>
      </c>
      <c r="AS153" s="30">
        <f t="shared" si="118"/>
        <v>55.03</v>
      </c>
      <c r="AT153" s="31">
        <f t="shared" si="14"/>
        <v>100</v>
      </c>
      <c r="AV153" s="21">
        <f t="shared" si="86"/>
        <v>9370</v>
      </c>
    </row>
    <row r="154" spans="2:48" ht="15.75" customHeight="1" x14ac:dyDescent="0.25">
      <c r="B154" s="32"/>
      <c r="C154" s="18" t="s">
        <v>46</v>
      </c>
      <c r="D154" s="51"/>
      <c r="E154" s="18" t="s">
        <v>48</v>
      </c>
      <c r="F154" s="51"/>
      <c r="G154" s="23">
        <f t="shared" si="110"/>
        <v>60.611312431069798</v>
      </c>
      <c r="H154" s="23">
        <f t="shared" si="111"/>
        <v>6.0816133606428231</v>
      </c>
      <c r="I154" s="23">
        <f t="shared" si="112"/>
        <v>32.23570190641248</v>
      </c>
      <c r="J154" s="23">
        <f t="shared" si="113"/>
        <v>0.88230660154403673</v>
      </c>
      <c r="K154" s="23">
        <f t="shared" si="114"/>
        <v>0.18906570033086498</v>
      </c>
      <c r="L154" s="22">
        <f t="shared" si="74"/>
        <v>22.090000000000003</v>
      </c>
      <c r="M154" s="18">
        <v>30.21</v>
      </c>
      <c r="N154" s="18">
        <v>11.17</v>
      </c>
      <c r="O154" s="18">
        <v>36.53</v>
      </c>
      <c r="P154" s="18">
        <v>0.75</v>
      </c>
      <c r="Q154" s="18">
        <v>900</v>
      </c>
      <c r="R154" s="18" t="s">
        <v>51</v>
      </c>
      <c r="S154" s="53">
        <v>0</v>
      </c>
      <c r="T154" s="18">
        <v>14.42</v>
      </c>
      <c r="U154" s="21">
        <v>13.3</v>
      </c>
      <c r="V154" s="21">
        <v>28.1</v>
      </c>
      <c r="W154" s="18">
        <v>3.29</v>
      </c>
      <c r="X154" s="18">
        <v>0</v>
      </c>
      <c r="Y154" s="49">
        <f t="shared" si="105"/>
        <v>55.309999999999995</v>
      </c>
      <c r="Z154" s="18">
        <f t="shared" si="76"/>
        <v>0.56818181818181823</v>
      </c>
      <c r="AA154" s="18">
        <v>75.900000000000006</v>
      </c>
      <c r="AB154" s="18">
        <v>45.4</v>
      </c>
      <c r="AC154" s="21">
        <f t="shared" si="77"/>
        <v>13700</v>
      </c>
      <c r="AD154" s="18" t="s">
        <v>51</v>
      </c>
      <c r="AF154" s="1"/>
      <c r="AG154" s="29">
        <v>1.76</v>
      </c>
      <c r="AH154" s="29">
        <v>13.7</v>
      </c>
      <c r="AO154" s="30">
        <f t="shared" ref="AO154:AS154" si="119">U154</f>
        <v>13.3</v>
      </c>
      <c r="AP154" s="30">
        <f t="shared" si="119"/>
        <v>28.1</v>
      </c>
      <c r="AQ154" s="30">
        <f t="shared" si="119"/>
        <v>3.29</v>
      </c>
      <c r="AR154" s="30">
        <f t="shared" si="119"/>
        <v>0</v>
      </c>
      <c r="AS154" s="30">
        <f t="shared" si="119"/>
        <v>55.309999999999995</v>
      </c>
      <c r="AT154" s="31">
        <f t="shared" si="14"/>
        <v>100</v>
      </c>
      <c r="AV154" s="21">
        <f t="shared" si="86"/>
        <v>13700</v>
      </c>
    </row>
    <row r="155" spans="2:48" ht="15.75" customHeight="1" x14ac:dyDescent="0.25">
      <c r="B155" s="32"/>
      <c r="C155" s="18" t="s">
        <v>46</v>
      </c>
      <c r="D155" s="51"/>
      <c r="E155" s="18" t="s">
        <v>48</v>
      </c>
      <c r="F155" s="51"/>
      <c r="G155" s="23">
        <f t="shared" si="110"/>
        <v>60.611312431069798</v>
      </c>
      <c r="H155" s="23">
        <f t="shared" si="111"/>
        <v>6.0816133606428231</v>
      </c>
      <c r="I155" s="23">
        <f t="shared" si="112"/>
        <v>32.23570190641248</v>
      </c>
      <c r="J155" s="23">
        <f t="shared" si="113"/>
        <v>0.88230660154403673</v>
      </c>
      <c r="K155" s="23">
        <f t="shared" si="114"/>
        <v>0.18906570033086498</v>
      </c>
      <c r="L155" s="22">
        <f t="shared" si="74"/>
        <v>22.090000000000003</v>
      </c>
      <c r="M155" s="18">
        <v>30.21</v>
      </c>
      <c r="N155" s="18">
        <v>11.17</v>
      </c>
      <c r="O155" s="18">
        <v>36.53</v>
      </c>
      <c r="P155" s="18">
        <v>0.75</v>
      </c>
      <c r="Q155" s="18">
        <v>1000</v>
      </c>
      <c r="R155" s="18" t="s">
        <v>51</v>
      </c>
      <c r="S155" s="53">
        <v>0</v>
      </c>
      <c r="T155" s="18">
        <v>14.42</v>
      </c>
      <c r="U155" s="21">
        <v>14.5</v>
      </c>
      <c r="V155" s="21">
        <v>22</v>
      </c>
      <c r="W155" s="18">
        <v>8.15</v>
      </c>
      <c r="X155" s="18">
        <v>0</v>
      </c>
      <c r="Y155" s="49">
        <f t="shared" si="105"/>
        <v>55.35</v>
      </c>
      <c r="Z155" s="18">
        <f t="shared" si="76"/>
        <v>0.78740157480314954</v>
      </c>
      <c r="AA155" s="18">
        <v>60.7</v>
      </c>
      <c r="AB155" s="18">
        <v>46</v>
      </c>
      <c r="AC155" s="21">
        <f t="shared" si="77"/>
        <v>7790</v>
      </c>
      <c r="AD155" s="18" t="s">
        <v>51</v>
      </c>
      <c r="AF155" s="1"/>
      <c r="AG155" s="29">
        <v>1.27</v>
      </c>
      <c r="AH155" s="29">
        <v>7.79</v>
      </c>
      <c r="AO155" s="30">
        <f t="shared" ref="AO155:AS155" si="120">U155</f>
        <v>14.5</v>
      </c>
      <c r="AP155" s="30">
        <f t="shared" si="120"/>
        <v>22</v>
      </c>
      <c r="AQ155" s="30">
        <f t="shared" si="120"/>
        <v>8.15</v>
      </c>
      <c r="AR155" s="30">
        <f t="shared" si="120"/>
        <v>0</v>
      </c>
      <c r="AS155" s="30">
        <f t="shared" si="120"/>
        <v>55.35</v>
      </c>
      <c r="AT155" s="31">
        <f t="shared" si="14"/>
        <v>100</v>
      </c>
      <c r="AV155" s="21">
        <f t="shared" si="86"/>
        <v>7790</v>
      </c>
    </row>
    <row r="156" spans="2:48" ht="15.75" customHeight="1" x14ac:dyDescent="0.25">
      <c r="B156" s="32"/>
      <c r="C156" s="18" t="s">
        <v>46</v>
      </c>
      <c r="D156" s="51"/>
      <c r="E156" s="18" t="s">
        <v>48</v>
      </c>
      <c r="F156" s="51"/>
      <c r="G156" s="23">
        <f t="shared" si="110"/>
        <v>60.611312431069798</v>
      </c>
      <c r="H156" s="23">
        <f t="shared" si="111"/>
        <v>6.0816133606428231</v>
      </c>
      <c r="I156" s="23">
        <f t="shared" si="112"/>
        <v>32.23570190641248</v>
      </c>
      <c r="J156" s="23">
        <f t="shared" si="113"/>
        <v>0.88230660154403673</v>
      </c>
      <c r="K156" s="23">
        <f t="shared" si="114"/>
        <v>0.18906570033086498</v>
      </c>
      <c r="L156" s="22">
        <f t="shared" si="74"/>
        <v>22.090000000000003</v>
      </c>
      <c r="M156" s="18">
        <v>30.21</v>
      </c>
      <c r="N156" s="18">
        <v>11.17</v>
      </c>
      <c r="O156" s="18">
        <v>36.53</v>
      </c>
      <c r="P156" s="18">
        <v>0.75</v>
      </c>
      <c r="Q156" s="18">
        <v>1100</v>
      </c>
      <c r="R156" s="18" t="s">
        <v>51</v>
      </c>
      <c r="S156" s="53">
        <v>0</v>
      </c>
      <c r="T156" s="18">
        <v>14.42</v>
      </c>
      <c r="U156" s="21">
        <v>14.9</v>
      </c>
      <c r="V156" s="21">
        <v>21.8</v>
      </c>
      <c r="W156" s="18">
        <v>7.54</v>
      </c>
      <c r="X156" s="18">
        <v>0</v>
      </c>
      <c r="Y156" s="49">
        <f t="shared" si="105"/>
        <v>55.76</v>
      </c>
      <c r="Z156" s="18">
        <f t="shared" si="76"/>
        <v>0.75757575757575757</v>
      </c>
      <c r="AA156" s="18">
        <v>66.8</v>
      </c>
      <c r="AB156" s="18">
        <v>44.91</v>
      </c>
      <c r="AC156" s="21">
        <f t="shared" si="77"/>
        <v>8029.9999999999991</v>
      </c>
      <c r="AD156" s="18" t="s">
        <v>51</v>
      </c>
      <c r="AF156" s="1"/>
      <c r="AG156" s="29">
        <v>1.32</v>
      </c>
      <c r="AH156" s="29">
        <v>8.0299999999999994</v>
      </c>
      <c r="AO156" s="30">
        <f t="shared" ref="AO156:AS156" si="121">U156</f>
        <v>14.9</v>
      </c>
      <c r="AP156" s="30">
        <f t="shared" si="121"/>
        <v>21.8</v>
      </c>
      <c r="AQ156" s="30">
        <f t="shared" si="121"/>
        <v>7.54</v>
      </c>
      <c r="AR156" s="30">
        <f t="shared" si="121"/>
        <v>0</v>
      </c>
      <c r="AS156" s="30">
        <f t="shared" si="121"/>
        <v>55.76</v>
      </c>
      <c r="AT156" s="31">
        <f t="shared" si="14"/>
        <v>100</v>
      </c>
      <c r="AV156" s="21">
        <f t="shared" si="86"/>
        <v>8029.9999999999991</v>
      </c>
    </row>
    <row r="157" spans="2:48" ht="15.75" customHeight="1" x14ac:dyDescent="0.25">
      <c r="B157" s="32"/>
      <c r="C157" s="18" t="s">
        <v>46</v>
      </c>
      <c r="D157" s="51"/>
      <c r="E157" s="18" t="s">
        <v>48</v>
      </c>
      <c r="F157" s="51"/>
      <c r="G157" s="23">
        <f t="shared" si="110"/>
        <v>60.611312431069798</v>
      </c>
      <c r="H157" s="23">
        <f t="shared" si="111"/>
        <v>6.0816133606428231</v>
      </c>
      <c r="I157" s="23">
        <f t="shared" si="112"/>
        <v>32.23570190641248</v>
      </c>
      <c r="J157" s="23">
        <f t="shared" si="113"/>
        <v>0.88230660154403673</v>
      </c>
      <c r="K157" s="23">
        <f t="shared" si="114"/>
        <v>0.18906570033086498</v>
      </c>
      <c r="L157" s="22">
        <f t="shared" si="74"/>
        <v>22.090000000000003</v>
      </c>
      <c r="M157" s="18">
        <v>30.21</v>
      </c>
      <c r="N157" s="18">
        <v>11.17</v>
      </c>
      <c r="O157" s="18">
        <v>36.53</v>
      </c>
      <c r="P157" s="18">
        <v>0.75</v>
      </c>
      <c r="Q157" s="18">
        <v>1200</v>
      </c>
      <c r="R157" s="18" t="s">
        <v>51</v>
      </c>
      <c r="S157" s="53">
        <v>0</v>
      </c>
      <c r="T157" s="18">
        <v>14.42</v>
      </c>
      <c r="U157" s="21">
        <v>13.7</v>
      </c>
      <c r="V157" s="21">
        <v>21.5</v>
      </c>
      <c r="W157" s="18">
        <v>8.35</v>
      </c>
      <c r="X157" s="18">
        <v>0</v>
      </c>
      <c r="Y157" s="49">
        <f t="shared" si="105"/>
        <v>56.449999999999996</v>
      </c>
      <c r="Z157" s="18">
        <f t="shared" si="76"/>
        <v>0.89285714285714279</v>
      </c>
      <c r="AA157" s="18">
        <v>56.5</v>
      </c>
      <c r="AB157" s="18">
        <v>38.5</v>
      </c>
      <c r="AC157" s="21">
        <f t="shared" si="77"/>
        <v>6840</v>
      </c>
      <c r="AD157" s="18" t="s">
        <v>51</v>
      </c>
      <c r="AF157" s="1"/>
      <c r="AG157" s="29">
        <v>1.1200000000000001</v>
      </c>
      <c r="AH157" s="29">
        <v>6.84</v>
      </c>
      <c r="AO157" s="30">
        <f t="shared" ref="AO157:AS157" si="122">U157</f>
        <v>13.7</v>
      </c>
      <c r="AP157" s="30">
        <f t="shared" si="122"/>
        <v>21.5</v>
      </c>
      <c r="AQ157" s="30">
        <f t="shared" si="122"/>
        <v>8.35</v>
      </c>
      <c r="AR157" s="30">
        <f t="shared" si="122"/>
        <v>0</v>
      </c>
      <c r="AS157" s="30">
        <f t="shared" si="122"/>
        <v>56.449999999999996</v>
      </c>
      <c r="AT157" s="31">
        <f t="shared" si="14"/>
        <v>100</v>
      </c>
      <c r="AV157" s="21">
        <f t="shared" si="86"/>
        <v>6840</v>
      </c>
    </row>
    <row r="158" spans="2:48" ht="15.75" customHeight="1" x14ac:dyDescent="0.25">
      <c r="B158" s="32"/>
      <c r="C158" s="18" t="s">
        <v>46</v>
      </c>
      <c r="D158" s="51"/>
      <c r="E158" s="18" t="s">
        <v>48</v>
      </c>
      <c r="F158" s="51"/>
      <c r="G158" s="23">
        <f t="shared" ref="G158:G169" si="123">34.18*100/(100-O158)</f>
        <v>59.870380101593973</v>
      </c>
      <c r="H158" s="23">
        <f t="shared" ref="H158:H169" si="124">3.47*100/(100-O158)</f>
        <v>6.0781222630933609</v>
      </c>
      <c r="I158" s="23">
        <f t="shared" ref="I158:I169" si="125">16.68*100/(100-O158)</f>
        <v>29.217025748817655</v>
      </c>
      <c r="J158" s="23">
        <f t="shared" ref="J158:J169" si="126">0.61*100/(100-O158)</f>
        <v>1.0684883517253458</v>
      </c>
      <c r="K158" s="23">
        <f t="shared" ref="K158:K169" si="127">2.15*100/(100-O158)</f>
        <v>3.7659835347696617</v>
      </c>
      <c r="L158" s="22">
        <f t="shared" si="74"/>
        <v>25.739000000000004</v>
      </c>
      <c r="M158" s="54">
        <v>20.291</v>
      </c>
      <c r="N158" s="18">
        <v>11.06</v>
      </c>
      <c r="O158" s="55">
        <v>42.91</v>
      </c>
      <c r="P158" s="18">
        <v>0.1</v>
      </c>
      <c r="Q158" s="18">
        <v>1100</v>
      </c>
      <c r="R158" s="18" t="s">
        <v>51</v>
      </c>
      <c r="S158" s="56">
        <v>0</v>
      </c>
      <c r="T158" s="18">
        <v>12.85</v>
      </c>
      <c r="U158" s="21">
        <v>22.4</v>
      </c>
      <c r="V158" s="21">
        <v>28.1</v>
      </c>
      <c r="W158" s="18">
        <v>0.17</v>
      </c>
      <c r="X158" s="18">
        <v>0.03</v>
      </c>
      <c r="Y158" s="49">
        <f t="shared" si="105"/>
        <v>49.3</v>
      </c>
      <c r="Z158" s="18">
        <f t="shared" si="76"/>
        <v>1.6949152542372883</v>
      </c>
      <c r="AA158" s="18">
        <v>50.2</v>
      </c>
      <c r="AB158" s="18">
        <v>26.79</v>
      </c>
      <c r="AC158" s="21">
        <f t="shared" si="77"/>
        <v>3760</v>
      </c>
      <c r="AD158" s="18" t="s">
        <v>51</v>
      </c>
      <c r="AF158" s="1"/>
      <c r="AG158" s="29">
        <v>0.59</v>
      </c>
      <c r="AH158" s="29">
        <v>3.76</v>
      </c>
      <c r="AO158" s="30">
        <f t="shared" ref="AO158:AS158" si="128">U158</f>
        <v>22.4</v>
      </c>
      <c r="AP158" s="30">
        <f t="shared" si="128"/>
        <v>28.1</v>
      </c>
      <c r="AQ158" s="30">
        <f t="shared" si="128"/>
        <v>0.17</v>
      </c>
      <c r="AR158" s="30">
        <f t="shared" si="128"/>
        <v>0.03</v>
      </c>
      <c r="AS158" s="30">
        <f t="shared" si="128"/>
        <v>49.3</v>
      </c>
      <c r="AT158" s="31">
        <f t="shared" si="14"/>
        <v>100</v>
      </c>
      <c r="AV158" s="21">
        <f t="shared" si="86"/>
        <v>3760</v>
      </c>
    </row>
    <row r="159" spans="2:48" ht="15.75" customHeight="1" x14ac:dyDescent="0.25">
      <c r="B159" s="32"/>
      <c r="C159" s="18" t="s">
        <v>46</v>
      </c>
      <c r="D159" s="51"/>
      <c r="E159" s="18" t="s">
        <v>48</v>
      </c>
      <c r="F159" s="51"/>
      <c r="G159" s="23">
        <f t="shared" si="123"/>
        <v>59.870380101593973</v>
      </c>
      <c r="H159" s="23">
        <f t="shared" si="124"/>
        <v>6.0781222630933609</v>
      </c>
      <c r="I159" s="23">
        <f t="shared" si="125"/>
        <v>29.217025748817655</v>
      </c>
      <c r="J159" s="23">
        <f t="shared" si="126"/>
        <v>1.0684883517253458</v>
      </c>
      <c r="K159" s="23">
        <f t="shared" si="127"/>
        <v>3.7659835347696617</v>
      </c>
      <c r="L159" s="22">
        <f t="shared" si="74"/>
        <v>25.739000000000004</v>
      </c>
      <c r="M159" s="54">
        <v>20.291</v>
      </c>
      <c r="N159" s="18">
        <v>11.06</v>
      </c>
      <c r="O159" s="55">
        <v>42.91</v>
      </c>
      <c r="P159" s="18">
        <v>0.2</v>
      </c>
      <c r="Q159" s="18">
        <v>1100</v>
      </c>
      <c r="R159" s="18" t="s">
        <v>51</v>
      </c>
      <c r="S159" s="56">
        <v>0</v>
      </c>
      <c r="T159" s="18">
        <v>12.85</v>
      </c>
      <c r="U159" s="21">
        <v>19</v>
      </c>
      <c r="V159" s="21">
        <v>31.1</v>
      </c>
      <c r="W159" s="18">
        <v>0.39</v>
      </c>
      <c r="X159" s="18">
        <v>0.01</v>
      </c>
      <c r="Y159" s="49">
        <f t="shared" si="105"/>
        <v>49.5</v>
      </c>
      <c r="Z159" s="18">
        <f t="shared" si="76"/>
        <v>1.4705882352941175</v>
      </c>
      <c r="AA159" s="18">
        <v>58.4</v>
      </c>
      <c r="AB159" s="18">
        <v>34.369999999999997</v>
      </c>
      <c r="AC159" s="21">
        <f t="shared" si="77"/>
        <v>4850</v>
      </c>
      <c r="AD159" s="18" t="s">
        <v>51</v>
      </c>
      <c r="AF159" s="1"/>
      <c r="AG159" s="29">
        <v>0.68</v>
      </c>
      <c r="AH159" s="29">
        <v>4.8499999999999996</v>
      </c>
      <c r="AO159" s="30">
        <f t="shared" ref="AO159:AS159" si="129">U159</f>
        <v>19</v>
      </c>
      <c r="AP159" s="30">
        <f t="shared" si="129"/>
        <v>31.1</v>
      </c>
      <c r="AQ159" s="30">
        <f t="shared" si="129"/>
        <v>0.39</v>
      </c>
      <c r="AR159" s="30">
        <f t="shared" si="129"/>
        <v>0.01</v>
      </c>
      <c r="AS159" s="30">
        <f t="shared" si="129"/>
        <v>49.5</v>
      </c>
      <c r="AT159" s="31">
        <f t="shared" si="14"/>
        <v>100</v>
      </c>
      <c r="AV159" s="21">
        <f t="shared" si="86"/>
        <v>4850</v>
      </c>
    </row>
    <row r="160" spans="2:48" ht="15.75" customHeight="1" x14ac:dyDescent="0.25">
      <c r="B160" s="32"/>
      <c r="C160" s="18" t="s">
        <v>46</v>
      </c>
      <c r="D160" s="51"/>
      <c r="E160" s="18" t="s">
        <v>48</v>
      </c>
      <c r="F160" s="51"/>
      <c r="G160" s="23">
        <f t="shared" si="123"/>
        <v>59.870380101593973</v>
      </c>
      <c r="H160" s="23">
        <f t="shared" si="124"/>
        <v>6.0781222630933609</v>
      </c>
      <c r="I160" s="23">
        <f t="shared" si="125"/>
        <v>29.217025748817655</v>
      </c>
      <c r="J160" s="23">
        <f t="shared" si="126"/>
        <v>1.0684883517253458</v>
      </c>
      <c r="K160" s="23">
        <f t="shared" si="127"/>
        <v>3.7659835347696617</v>
      </c>
      <c r="L160" s="22">
        <f t="shared" si="74"/>
        <v>25.739000000000004</v>
      </c>
      <c r="M160" s="57">
        <v>20.291</v>
      </c>
      <c r="N160" s="18">
        <v>11.06</v>
      </c>
      <c r="O160" s="55">
        <v>42.91</v>
      </c>
      <c r="P160" s="18">
        <v>0.6</v>
      </c>
      <c r="Q160" s="18">
        <v>1100</v>
      </c>
      <c r="R160" s="18" t="s">
        <v>51</v>
      </c>
      <c r="S160" s="56">
        <v>0</v>
      </c>
      <c r="T160" s="18">
        <v>12.85</v>
      </c>
      <c r="U160" s="21">
        <v>4.92</v>
      </c>
      <c r="V160" s="21">
        <v>11.6</v>
      </c>
      <c r="W160" s="18">
        <v>10.5</v>
      </c>
      <c r="X160" s="18">
        <v>0</v>
      </c>
      <c r="Y160" s="49">
        <f t="shared" si="105"/>
        <v>72.98</v>
      </c>
      <c r="Z160" s="18">
        <f t="shared" si="76"/>
        <v>1.6949152542372883</v>
      </c>
      <c r="AA160" s="18">
        <v>24.9</v>
      </c>
      <c r="AB160" s="18">
        <v>20.92</v>
      </c>
      <c r="AC160" s="21">
        <f t="shared" si="77"/>
        <v>2850</v>
      </c>
      <c r="AD160" s="18" t="s">
        <v>51</v>
      </c>
      <c r="AF160" s="1"/>
      <c r="AG160" s="29">
        <v>0.59</v>
      </c>
      <c r="AH160" s="29">
        <v>2.85</v>
      </c>
      <c r="AO160" s="30">
        <f t="shared" ref="AO160:AS160" si="130">U160</f>
        <v>4.92</v>
      </c>
      <c r="AP160" s="30">
        <f t="shared" si="130"/>
        <v>11.6</v>
      </c>
      <c r="AQ160" s="30">
        <f t="shared" si="130"/>
        <v>10.5</v>
      </c>
      <c r="AR160" s="30">
        <f t="shared" si="130"/>
        <v>0</v>
      </c>
      <c r="AS160" s="30">
        <f t="shared" si="130"/>
        <v>72.98</v>
      </c>
      <c r="AT160" s="31">
        <f t="shared" si="14"/>
        <v>100</v>
      </c>
      <c r="AV160" s="21">
        <f t="shared" si="86"/>
        <v>2850</v>
      </c>
    </row>
    <row r="161" spans="2:48" ht="15.75" customHeight="1" x14ac:dyDescent="0.25">
      <c r="B161" s="32"/>
      <c r="C161" s="18" t="s">
        <v>46</v>
      </c>
      <c r="D161" s="51"/>
      <c r="E161" s="18" t="s">
        <v>48</v>
      </c>
      <c r="F161" s="51"/>
      <c r="G161" s="23">
        <f t="shared" si="123"/>
        <v>59.870380101593973</v>
      </c>
      <c r="H161" s="23">
        <f t="shared" si="124"/>
        <v>6.0781222630933609</v>
      </c>
      <c r="I161" s="23">
        <f t="shared" si="125"/>
        <v>29.217025748817655</v>
      </c>
      <c r="J161" s="23">
        <f t="shared" si="126"/>
        <v>1.0684883517253458</v>
      </c>
      <c r="K161" s="23">
        <f t="shared" si="127"/>
        <v>3.7659835347696617</v>
      </c>
      <c r="L161" s="22">
        <f t="shared" si="74"/>
        <v>25.739000000000004</v>
      </c>
      <c r="M161" s="54">
        <v>20.291</v>
      </c>
      <c r="N161" s="18">
        <v>11.06</v>
      </c>
      <c r="O161" s="55">
        <v>42.91</v>
      </c>
      <c r="P161" s="18">
        <v>0.2</v>
      </c>
      <c r="Q161" s="18">
        <v>1100</v>
      </c>
      <c r="R161" s="18" t="s">
        <v>51</v>
      </c>
      <c r="S161" s="56">
        <v>0</v>
      </c>
      <c r="T161" s="18">
        <v>12.85</v>
      </c>
      <c r="U161" s="21">
        <v>22.8</v>
      </c>
      <c r="V161" s="21">
        <v>27.7</v>
      </c>
      <c r="W161" s="18">
        <v>3.39</v>
      </c>
      <c r="X161" s="18">
        <v>0</v>
      </c>
      <c r="Y161" s="49">
        <f t="shared" si="105"/>
        <v>46.11</v>
      </c>
      <c r="Z161" s="18">
        <f t="shared" si="76"/>
        <v>1.2658227848101264</v>
      </c>
      <c r="AA161" s="18">
        <v>75.3</v>
      </c>
      <c r="AB161" s="18">
        <v>39.409999999999997</v>
      </c>
      <c r="AC161" s="21">
        <f t="shared" si="77"/>
        <v>4330</v>
      </c>
      <c r="AD161" s="18" t="s">
        <v>51</v>
      </c>
      <c r="AF161" s="1"/>
      <c r="AG161" s="29">
        <v>0.79</v>
      </c>
      <c r="AH161" s="29">
        <v>4.33</v>
      </c>
      <c r="AO161" s="30">
        <f t="shared" ref="AO161:AS161" si="131">U161</f>
        <v>22.8</v>
      </c>
      <c r="AP161" s="30">
        <f t="shared" si="131"/>
        <v>27.7</v>
      </c>
      <c r="AQ161" s="30">
        <f t="shared" si="131"/>
        <v>3.39</v>
      </c>
      <c r="AR161" s="30">
        <f t="shared" si="131"/>
        <v>0</v>
      </c>
      <c r="AS161" s="30">
        <f t="shared" si="131"/>
        <v>46.11</v>
      </c>
      <c r="AT161" s="31">
        <f t="shared" si="14"/>
        <v>100</v>
      </c>
      <c r="AV161" s="21">
        <f t="shared" si="86"/>
        <v>4330</v>
      </c>
    </row>
    <row r="162" spans="2:48" ht="15.75" customHeight="1" x14ac:dyDescent="0.25">
      <c r="B162" s="32"/>
      <c r="C162" s="18" t="s">
        <v>46</v>
      </c>
      <c r="D162" s="51"/>
      <c r="E162" s="18" t="s">
        <v>48</v>
      </c>
      <c r="F162" s="51"/>
      <c r="G162" s="23">
        <f t="shared" si="123"/>
        <v>59.870380101593973</v>
      </c>
      <c r="H162" s="23">
        <f t="shared" si="124"/>
        <v>6.0781222630933609</v>
      </c>
      <c r="I162" s="23">
        <f t="shared" si="125"/>
        <v>29.217025748817655</v>
      </c>
      <c r="J162" s="23">
        <f t="shared" si="126"/>
        <v>1.0684883517253458</v>
      </c>
      <c r="K162" s="23">
        <f t="shared" si="127"/>
        <v>3.7659835347696617</v>
      </c>
      <c r="L162" s="22">
        <f t="shared" si="74"/>
        <v>25.739000000000004</v>
      </c>
      <c r="M162" s="54">
        <v>20.291</v>
      </c>
      <c r="N162" s="18">
        <v>11.06</v>
      </c>
      <c r="O162" s="55">
        <v>42.91</v>
      </c>
      <c r="P162" s="18">
        <v>0.4</v>
      </c>
      <c r="Q162" s="18">
        <v>1100</v>
      </c>
      <c r="R162" s="18" t="s">
        <v>51</v>
      </c>
      <c r="S162" s="56">
        <v>0</v>
      </c>
      <c r="T162" s="18">
        <v>12.85</v>
      </c>
      <c r="U162" s="21">
        <v>12.3</v>
      </c>
      <c r="V162" s="21">
        <v>16.899999999999999</v>
      </c>
      <c r="W162" s="18">
        <v>7.83</v>
      </c>
      <c r="X162" s="18">
        <v>0</v>
      </c>
      <c r="Y162" s="49">
        <f t="shared" si="105"/>
        <v>62.97</v>
      </c>
      <c r="Z162" s="18">
        <f t="shared" si="76"/>
        <v>1.4285714285714286</v>
      </c>
      <c r="AA162" s="18">
        <v>48.4</v>
      </c>
      <c r="AB162" s="18">
        <v>27.77</v>
      </c>
      <c r="AC162" s="21">
        <f t="shared" si="77"/>
        <v>3340</v>
      </c>
      <c r="AD162" s="18" t="s">
        <v>51</v>
      </c>
      <c r="AF162" s="1"/>
      <c r="AG162" s="29">
        <v>0.7</v>
      </c>
      <c r="AH162" s="29">
        <v>3.34</v>
      </c>
      <c r="AO162" s="30">
        <f t="shared" ref="AO162:AS162" si="132">U162</f>
        <v>12.3</v>
      </c>
      <c r="AP162" s="30">
        <f t="shared" si="132"/>
        <v>16.899999999999999</v>
      </c>
      <c r="AQ162" s="30">
        <f t="shared" si="132"/>
        <v>7.83</v>
      </c>
      <c r="AR162" s="30">
        <f t="shared" si="132"/>
        <v>0</v>
      </c>
      <c r="AS162" s="30">
        <f t="shared" si="132"/>
        <v>62.97</v>
      </c>
      <c r="AT162" s="31">
        <f t="shared" si="14"/>
        <v>100</v>
      </c>
      <c r="AV162" s="21">
        <f t="shared" si="86"/>
        <v>3340</v>
      </c>
    </row>
    <row r="163" spans="2:48" ht="15.75" customHeight="1" x14ac:dyDescent="0.25">
      <c r="B163" s="32"/>
      <c r="C163" s="18" t="s">
        <v>46</v>
      </c>
      <c r="D163" s="51"/>
      <c r="E163" s="18" t="s">
        <v>48</v>
      </c>
      <c r="F163" s="51"/>
      <c r="G163" s="23">
        <f t="shared" si="123"/>
        <v>59.870380101593973</v>
      </c>
      <c r="H163" s="23">
        <f t="shared" si="124"/>
        <v>6.0781222630933609</v>
      </c>
      <c r="I163" s="23">
        <f t="shared" si="125"/>
        <v>29.217025748817655</v>
      </c>
      <c r="J163" s="23">
        <f t="shared" si="126"/>
        <v>1.0684883517253458</v>
      </c>
      <c r="K163" s="23">
        <f t="shared" si="127"/>
        <v>3.7659835347696617</v>
      </c>
      <c r="L163" s="22">
        <f t="shared" si="74"/>
        <v>25.739000000000004</v>
      </c>
      <c r="M163" s="54">
        <v>20.291</v>
      </c>
      <c r="N163" s="18">
        <v>11.06</v>
      </c>
      <c r="O163" s="55">
        <v>42.91</v>
      </c>
      <c r="P163" s="18">
        <v>0.6</v>
      </c>
      <c r="Q163" s="18">
        <v>1100</v>
      </c>
      <c r="R163" s="18" t="s">
        <v>51</v>
      </c>
      <c r="S163" s="56">
        <v>0</v>
      </c>
      <c r="T163" s="18">
        <v>12.85</v>
      </c>
      <c r="U163" s="21">
        <v>5.89</v>
      </c>
      <c r="V163" s="21">
        <v>9.16</v>
      </c>
      <c r="W163" s="18">
        <v>11.3</v>
      </c>
      <c r="X163" s="18">
        <v>0</v>
      </c>
      <c r="Y163" s="49">
        <f t="shared" si="105"/>
        <v>73.650000000000006</v>
      </c>
      <c r="Z163" s="18">
        <f t="shared" si="76"/>
        <v>1.6129032258064517</v>
      </c>
      <c r="AA163" s="18">
        <v>26.5</v>
      </c>
      <c r="AB163" s="18">
        <v>20.350000000000001</v>
      </c>
      <c r="AC163" s="21">
        <f t="shared" si="77"/>
        <v>2190</v>
      </c>
      <c r="AD163" s="18" t="s">
        <v>51</v>
      </c>
      <c r="AF163" s="1"/>
      <c r="AG163" s="29">
        <v>0.62</v>
      </c>
      <c r="AH163" s="29">
        <v>2.19</v>
      </c>
      <c r="AO163" s="30">
        <f t="shared" ref="AO163:AS163" si="133">U163</f>
        <v>5.89</v>
      </c>
      <c r="AP163" s="30">
        <f t="shared" si="133"/>
        <v>9.16</v>
      </c>
      <c r="AQ163" s="30">
        <f t="shared" si="133"/>
        <v>11.3</v>
      </c>
      <c r="AR163" s="30">
        <f t="shared" si="133"/>
        <v>0</v>
      </c>
      <c r="AS163" s="30">
        <f t="shared" si="133"/>
        <v>73.650000000000006</v>
      </c>
      <c r="AT163" s="31">
        <f t="shared" si="14"/>
        <v>100</v>
      </c>
      <c r="AV163" s="21">
        <f t="shared" si="86"/>
        <v>2190</v>
      </c>
    </row>
    <row r="164" spans="2:48" ht="15.75" customHeight="1" x14ac:dyDescent="0.25">
      <c r="B164" s="32"/>
      <c r="C164" s="18" t="s">
        <v>46</v>
      </c>
      <c r="D164" s="51"/>
      <c r="E164" s="18" t="s">
        <v>48</v>
      </c>
      <c r="F164" s="51"/>
      <c r="G164" s="23">
        <f t="shared" si="123"/>
        <v>59.870380101593973</v>
      </c>
      <c r="H164" s="23">
        <f t="shared" si="124"/>
        <v>6.0781222630933609</v>
      </c>
      <c r="I164" s="23">
        <f t="shared" si="125"/>
        <v>29.217025748817655</v>
      </c>
      <c r="J164" s="23">
        <f t="shared" si="126"/>
        <v>1.0684883517253458</v>
      </c>
      <c r="K164" s="23">
        <f t="shared" si="127"/>
        <v>3.7659835347696617</v>
      </c>
      <c r="L164" s="22">
        <f t="shared" si="74"/>
        <v>25.739000000000004</v>
      </c>
      <c r="M164" s="54">
        <v>20.291</v>
      </c>
      <c r="N164" s="18">
        <v>11.06</v>
      </c>
      <c r="O164" s="55">
        <v>42.91</v>
      </c>
      <c r="P164" s="18">
        <v>0.2</v>
      </c>
      <c r="Q164" s="18">
        <v>1100</v>
      </c>
      <c r="R164" s="18" t="s">
        <v>51</v>
      </c>
      <c r="S164" s="56">
        <v>0</v>
      </c>
      <c r="T164" s="18">
        <v>12.85</v>
      </c>
      <c r="U164" s="21">
        <v>23.4</v>
      </c>
      <c r="V164" s="21">
        <v>21.1</v>
      </c>
      <c r="W164" s="18">
        <v>6.47</v>
      </c>
      <c r="X164" s="18">
        <v>0</v>
      </c>
      <c r="Y164" s="49">
        <f t="shared" si="105"/>
        <v>49.03</v>
      </c>
      <c r="Z164" s="18">
        <f t="shared" si="76"/>
        <v>1.2195121951219512</v>
      </c>
      <c r="AA164" s="18">
        <v>82.9</v>
      </c>
      <c r="AB164" s="18">
        <v>36.270000000000003</v>
      </c>
      <c r="AC164" s="21">
        <f t="shared" si="77"/>
        <v>3320</v>
      </c>
      <c r="AD164" s="18" t="s">
        <v>51</v>
      </c>
      <c r="AF164" s="1"/>
      <c r="AG164" s="29">
        <v>0.82</v>
      </c>
      <c r="AH164" s="29">
        <v>3.32</v>
      </c>
      <c r="AO164" s="30">
        <f t="shared" ref="AO164:AS164" si="134">U164</f>
        <v>23.4</v>
      </c>
      <c r="AP164" s="30">
        <f t="shared" si="134"/>
        <v>21.1</v>
      </c>
      <c r="AQ164" s="30">
        <f t="shared" si="134"/>
        <v>6.47</v>
      </c>
      <c r="AR164" s="30">
        <f t="shared" si="134"/>
        <v>0</v>
      </c>
      <c r="AS164" s="30">
        <f t="shared" si="134"/>
        <v>49.03</v>
      </c>
      <c r="AT164" s="31">
        <f t="shared" si="14"/>
        <v>100</v>
      </c>
      <c r="AV164" s="21">
        <f t="shared" si="86"/>
        <v>3320</v>
      </c>
    </row>
    <row r="165" spans="2:48" ht="15.75" customHeight="1" x14ac:dyDescent="0.25">
      <c r="B165" s="32"/>
      <c r="C165" s="18" t="s">
        <v>46</v>
      </c>
      <c r="D165" s="51"/>
      <c r="E165" s="18" t="s">
        <v>48</v>
      </c>
      <c r="F165" s="51"/>
      <c r="G165" s="23">
        <f t="shared" si="123"/>
        <v>59.870380101593973</v>
      </c>
      <c r="H165" s="23">
        <f t="shared" si="124"/>
        <v>6.0781222630933609</v>
      </c>
      <c r="I165" s="23">
        <f t="shared" si="125"/>
        <v>29.217025748817655</v>
      </c>
      <c r="J165" s="23">
        <f t="shared" si="126"/>
        <v>1.0684883517253458</v>
      </c>
      <c r="K165" s="23">
        <f t="shared" si="127"/>
        <v>3.7659835347696617</v>
      </c>
      <c r="L165" s="22">
        <f t="shared" si="74"/>
        <v>25.739000000000004</v>
      </c>
      <c r="M165" s="54">
        <v>20.291</v>
      </c>
      <c r="N165" s="18">
        <v>11.06</v>
      </c>
      <c r="O165" s="55">
        <v>42.91</v>
      </c>
      <c r="P165" s="18">
        <v>0.4</v>
      </c>
      <c r="Q165" s="18">
        <v>1100</v>
      </c>
      <c r="R165" s="18" t="s">
        <v>51</v>
      </c>
      <c r="S165" s="56">
        <v>0</v>
      </c>
      <c r="T165" s="18">
        <v>12.85</v>
      </c>
      <c r="U165" s="21">
        <v>12.8</v>
      </c>
      <c r="V165" s="21">
        <v>12.8</v>
      </c>
      <c r="W165" s="18">
        <v>9.42</v>
      </c>
      <c r="X165" s="18">
        <v>0</v>
      </c>
      <c r="Y165" s="49">
        <f t="shared" si="105"/>
        <v>64.97999999999999</v>
      </c>
      <c r="Z165" s="18">
        <f t="shared" si="76"/>
        <v>1.4084507042253522</v>
      </c>
      <c r="AA165" s="18">
        <v>51.5</v>
      </c>
      <c r="AB165" s="18">
        <v>25.31</v>
      </c>
      <c r="AC165" s="21">
        <f t="shared" si="77"/>
        <v>2510</v>
      </c>
      <c r="AD165" s="18" t="s">
        <v>51</v>
      </c>
      <c r="AF165" s="1"/>
      <c r="AG165" s="29">
        <v>0.71</v>
      </c>
      <c r="AH165" s="29">
        <v>2.5099999999999998</v>
      </c>
      <c r="AO165" s="30">
        <f t="shared" ref="AO165:AS165" si="135">U165</f>
        <v>12.8</v>
      </c>
      <c r="AP165" s="30">
        <f t="shared" si="135"/>
        <v>12.8</v>
      </c>
      <c r="AQ165" s="30">
        <f t="shared" si="135"/>
        <v>9.42</v>
      </c>
      <c r="AR165" s="30">
        <f t="shared" si="135"/>
        <v>0</v>
      </c>
      <c r="AS165" s="30">
        <f t="shared" si="135"/>
        <v>64.97999999999999</v>
      </c>
      <c r="AT165" s="31">
        <f t="shared" si="14"/>
        <v>100</v>
      </c>
      <c r="AV165" s="21">
        <f t="shared" si="86"/>
        <v>2510</v>
      </c>
    </row>
    <row r="166" spans="2:48" ht="15.75" customHeight="1" x14ac:dyDescent="0.25">
      <c r="B166" s="32"/>
      <c r="C166" s="18" t="s">
        <v>46</v>
      </c>
      <c r="D166" s="51"/>
      <c r="E166" s="18" t="s">
        <v>48</v>
      </c>
      <c r="F166" s="51"/>
      <c r="G166" s="23">
        <f t="shared" si="123"/>
        <v>59.870380101593973</v>
      </c>
      <c r="H166" s="23">
        <f t="shared" si="124"/>
        <v>6.0781222630933609</v>
      </c>
      <c r="I166" s="23">
        <f t="shared" si="125"/>
        <v>29.217025748817655</v>
      </c>
      <c r="J166" s="23">
        <f t="shared" si="126"/>
        <v>1.0684883517253458</v>
      </c>
      <c r="K166" s="23">
        <f t="shared" si="127"/>
        <v>3.7659835347696617</v>
      </c>
      <c r="L166" s="22">
        <f t="shared" si="74"/>
        <v>25.739000000000004</v>
      </c>
      <c r="M166" s="54">
        <v>20.291</v>
      </c>
      <c r="N166" s="18">
        <v>11.06</v>
      </c>
      <c r="O166" s="55">
        <v>42.91</v>
      </c>
      <c r="P166" s="18">
        <v>0.6</v>
      </c>
      <c r="Q166" s="18">
        <v>1100</v>
      </c>
      <c r="R166" s="18" t="s">
        <v>51</v>
      </c>
      <c r="S166" s="56">
        <v>0</v>
      </c>
      <c r="T166" s="18">
        <v>12.85</v>
      </c>
      <c r="U166" s="21">
        <v>6.13</v>
      </c>
      <c r="V166" s="21">
        <v>6.81</v>
      </c>
      <c r="W166" s="18">
        <v>11.9</v>
      </c>
      <c r="X166" s="18">
        <v>0</v>
      </c>
      <c r="Y166" s="49">
        <f t="shared" si="105"/>
        <v>75.16</v>
      </c>
      <c r="Z166" s="18">
        <f t="shared" si="76"/>
        <v>1.639344262295082</v>
      </c>
      <c r="AA166" s="18">
        <v>36.700000000000003</v>
      </c>
      <c r="AB166" s="18">
        <v>18.309999999999999</v>
      </c>
      <c r="AC166" s="21">
        <f t="shared" si="77"/>
        <v>1590</v>
      </c>
      <c r="AD166" s="18" t="s">
        <v>51</v>
      </c>
      <c r="AF166" s="1"/>
      <c r="AG166" s="29">
        <v>0.61</v>
      </c>
      <c r="AH166" s="29">
        <v>1.59</v>
      </c>
      <c r="AO166" s="30">
        <f t="shared" ref="AO166:AS166" si="136">U166</f>
        <v>6.13</v>
      </c>
      <c r="AP166" s="30">
        <f t="shared" si="136"/>
        <v>6.81</v>
      </c>
      <c r="AQ166" s="30">
        <f t="shared" si="136"/>
        <v>11.9</v>
      </c>
      <c r="AR166" s="30">
        <f t="shared" si="136"/>
        <v>0</v>
      </c>
      <c r="AS166" s="30">
        <f t="shared" si="136"/>
        <v>75.16</v>
      </c>
      <c r="AT166" s="31">
        <f t="shared" si="14"/>
        <v>100</v>
      </c>
      <c r="AV166" s="21">
        <f t="shared" si="86"/>
        <v>1590</v>
      </c>
    </row>
    <row r="167" spans="2:48" ht="15.75" customHeight="1" x14ac:dyDescent="0.25">
      <c r="B167" s="32"/>
      <c r="C167" s="18" t="s">
        <v>46</v>
      </c>
      <c r="D167" s="51"/>
      <c r="E167" s="18" t="s">
        <v>48</v>
      </c>
      <c r="F167" s="51"/>
      <c r="G167" s="23">
        <f t="shared" si="123"/>
        <v>59.870380101593973</v>
      </c>
      <c r="H167" s="23">
        <f t="shared" si="124"/>
        <v>6.0781222630933609</v>
      </c>
      <c r="I167" s="23">
        <f t="shared" si="125"/>
        <v>29.217025748817655</v>
      </c>
      <c r="J167" s="23">
        <f t="shared" si="126"/>
        <v>1.0684883517253458</v>
      </c>
      <c r="K167" s="23">
        <f t="shared" si="127"/>
        <v>3.7659835347696617</v>
      </c>
      <c r="L167" s="22">
        <f t="shared" si="74"/>
        <v>25.739000000000004</v>
      </c>
      <c r="M167" s="54">
        <v>20.291</v>
      </c>
      <c r="N167" s="18">
        <v>11.06</v>
      </c>
      <c r="O167" s="55">
        <v>42.91</v>
      </c>
      <c r="P167" s="18">
        <v>0.2</v>
      </c>
      <c r="Q167" s="18">
        <v>1100</v>
      </c>
      <c r="R167" s="18" t="s">
        <v>51</v>
      </c>
      <c r="S167" s="56">
        <v>0</v>
      </c>
      <c r="T167" s="18">
        <v>12.85</v>
      </c>
      <c r="U167" s="21">
        <v>20.5</v>
      </c>
      <c r="V167" s="21">
        <v>10.8</v>
      </c>
      <c r="W167" s="18">
        <v>9.41</v>
      </c>
      <c r="X167" s="18">
        <v>0</v>
      </c>
      <c r="Y167" s="49">
        <f t="shared" si="105"/>
        <v>59.29</v>
      </c>
      <c r="Z167" s="18">
        <f t="shared" si="76"/>
        <v>1.2820512820512819</v>
      </c>
      <c r="AA167" s="18">
        <v>95.4</v>
      </c>
      <c r="AB167" s="18">
        <v>25.29</v>
      </c>
      <c r="AC167" s="21">
        <f t="shared" si="77"/>
        <v>1740</v>
      </c>
      <c r="AD167" s="18" t="s">
        <v>51</v>
      </c>
      <c r="AF167" s="1"/>
      <c r="AG167" s="29">
        <v>0.78</v>
      </c>
      <c r="AH167" s="29">
        <v>1.74</v>
      </c>
      <c r="AO167" s="30">
        <f t="shared" ref="AO167:AS167" si="137">U167</f>
        <v>20.5</v>
      </c>
      <c r="AP167" s="30">
        <f t="shared" si="137"/>
        <v>10.8</v>
      </c>
      <c r="AQ167" s="30">
        <f t="shared" si="137"/>
        <v>9.41</v>
      </c>
      <c r="AR167" s="30">
        <f t="shared" si="137"/>
        <v>0</v>
      </c>
      <c r="AS167" s="30">
        <f t="shared" si="137"/>
        <v>59.29</v>
      </c>
      <c r="AT167" s="31">
        <f t="shared" si="14"/>
        <v>100</v>
      </c>
      <c r="AV167" s="21">
        <f t="shared" si="86"/>
        <v>1740</v>
      </c>
    </row>
    <row r="168" spans="2:48" ht="15.75" customHeight="1" x14ac:dyDescent="0.25">
      <c r="B168" s="32"/>
      <c r="C168" s="18" t="s">
        <v>46</v>
      </c>
      <c r="D168" s="51"/>
      <c r="E168" s="18" t="s">
        <v>48</v>
      </c>
      <c r="F168" s="51"/>
      <c r="G168" s="23">
        <f t="shared" si="123"/>
        <v>59.870380101593973</v>
      </c>
      <c r="H168" s="23">
        <f t="shared" si="124"/>
        <v>6.0781222630933609</v>
      </c>
      <c r="I168" s="23">
        <f t="shared" si="125"/>
        <v>29.217025748817655</v>
      </c>
      <c r="J168" s="23">
        <f t="shared" si="126"/>
        <v>1.0684883517253458</v>
      </c>
      <c r="K168" s="23">
        <f t="shared" si="127"/>
        <v>3.7659835347696617</v>
      </c>
      <c r="L168" s="22">
        <f t="shared" si="74"/>
        <v>25.739000000000004</v>
      </c>
      <c r="M168" s="54">
        <v>20.291</v>
      </c>
      <c r="N168" s="18">
        <v>11.06</v>
      </c>
      <c r="O168" s="55">
        <v>42.91</v>
      </c>
      <c r="P168" s="18">
        <v>0.4</v>
      </c>
      <c r="Q168" s="18">
        <v>1100</v>
      </c>
      <c r="R168" s="18" t="s">
        <v>51</v>
      </c>
      <c r="S168" s="56">
        <v>0</v>
      </c>
      <c r="T168" s="18">
        <v>12.85</v>
      </c>
      <c r="U168" s="21">
        <v>10.9</v>
      </c>
      <c r="V168" s="21">
        <v>6.26</v>
      </c>
      <c r="W168" s="18">
        <v>10.6</v>
      </c>
      <c r="X168" s="18">
        <v>0</v>
      </c>
      <c r="Y168" s="49">
        <f t="shared" si="105"/>
        <v>72.240000000000009</v>
      </c>
      <c r="Z168" s="18">
        <f t="shared" si="76"/>
        <v>1.5384615384615383</v>
      </c>
      <c r="AA168" s="18">
        <v>52.7</v>
      </c>
      <c r="AB168" s="18">
        <v>17.579999999999998</v>
      </c>
      <c r="AC168" s="21">
        <f t="shared" si="77"/>
        <v>1210</v>
      </c>
      <c r="AD168" s="18" t="s">
        <v>51</v>
      </c>
      <c r="AF168" s="1"/>
      <c r="AG168" s="29">
        <v>0.65</v>
      </c>
      <c r="AH168" s="29">
        <v>1.21</v>
      </c>
      <c r="AO168" s="30">
        <f t="shared" ref="AO168:AS168" si="138">U168</f>
        <v>10.9</v>
      </c>
      <c r="AP168" s="30">
        <f t="shared" si="138"/>
        <v>6.26</v>
      </c>
      <c r="AQ168" s="30">
        <f t="shared" si="138"/>
        <v>10.6</v>
      </c>
      <c r="AR168" s="30">
        <f t="shared" si="138"/>
        <v>0</v>
      </c>
      <c r="AS168" s="30">
        <f t="shared" si="138"/>
        <v>72.240000000000009</v>
      </c>
      <c r="AT168" s="31">
        <f t="shared" si="14"/>
        <v>100</v>
      </c>
      <c r="AV168" s="21">
        <f t="shared" si="86"/>
        <v>1210</v>
      </c>
    </row>
    <row r="169" spans="2:48" ht="15.75" customHeight="1" x14ac:dyDescent="0.25">
      <c r="B169" s="32"/>
      <c r="C169" s="18" t="s">
        <v>46</v>
      </c>
      <c r="D169" s="51"/>
      <c r="E169" s="18" t="s">
        <v>48</v>
      </c>
      <c r="F169" s="51"/>
      <c r="G169" s="23">
        <f t="shared" si="123"/>
        <v>59.870380101593973</v>
      </c>
      <c r="H169" s="23">
        <f t="shared" si="124"/>
        <v>6.0781222630933609</v>
      </c>
      <c r="I169" s="23">
        <f t="shared" si="125"/>
        <v>29.217025748817655</v>
      </c>
      <c r="J169" s="23">
        <f t="shared" si="126"/>
        <v>1.0684883517253458</v>
      </c>
      <c r="K169" s="23">
        <f t="shared" si="127"/>
        <v>3.7659835347696617</v>
      </c>
      <c r="L169" s="22">
        <f t="shared" si="74"/>
        <v>25.739000000000004</v>
      </c>
      <c r="M169" s="54">
        <v>20.291</v>
      </c>
      <c r="N169" s="18">
        <v>11.06</v>
      </c>
      <c r="O169" s="55">
        <v>42.91</v>
      </c>
      <c r="P169" s="18">
        <v>0.6</v>
      </c>
      <c r="Q169" s="18">
        <v>1100</v>
      </c>
      <c r="R169" s="18" t="s">
        <v>51</v>
      </c>
      <c r="S169" s="56">
        <v>0</v>
      </c>
      <c r="T169" s="18">
        <v>12.85</v>
      </c>
      <c r="U169" s="21">
        <v>4.42</v>
      </c>
      <c r="V169" s="21">
        <v>2.74</v>
      </c>
      <c r="W169" s="18">
        <v>11.7</v>
      </c>
      <c r="X169" s="18">
        <v>0</v>
      </c>
      <c r="Y169" s="49">
        <f t="shared" si="105"/>
        <v>81.14</v>
      </c>
      <c r="Z169" s="18">
        <f t="shared" si="76"/>
        <v>1.8867924528301885</v>
      </c>
      <c r="AA169" s="18">
        <v>20.8</v>
      </c>
      <c r="AB169" s="18">
        <v>12.28</v>
      </c>
      <c r="AC169" s="21">
        <f t="shared" si="77"/>
        <v>620</v>
      </c>
      <c r="AD169" s="18" t="s">
        <v>51</v>
      </c>
      <c r="AF169" s="1"/>
      <c r="AG169" s="29">
        <v>0.53</v>
      </c>
      <c r="AH169" s="29">
        <v>0.62</v>
      </c>
      <c r="AO169" s="30">
        <f t="shared" ref="AO169:AS169" si="139">U169</f>
        <v>4.42</v>
      </c>
      <c r="AP169" s="30">
        <f t="shared" si="139"/>
        <v>2.74</v>
      </c>
      <c r="AQ169" s="30">
        <f t="shared" si="139"/>
        <v>11.7</v>
      </c>
      <c r="AR169" s="30">
        <f t="shared" si="139"/>
        <v>0</v>
      </c>
      <c r="AS169" s="30">
        <f t="shared" si="139"/>
        <v>81.14</v>
      </c>
      <c r="AT169" s="31">
        <f t="shared" si="14"/>
        <v>100</v>
      </c>
      <c r="AV169" s="21">
        <f t="shared" si="86"/>
        <v>620</v>
      </c>
    </row>
    <row r="170" spans="2:48" ht="15.75" customHeight="1" x14ac:dyDescent="0.25">
      <c r="B170" s="32"/>
      <c r="C170" s="18" t="s">
        <v>46</v>
      </c>
      <c r="D170" s="51"/>
      <c r="E170" s="18" t="s">
        <v>48</v>
      </c>
      <c r="F170" s="51"/>
      <c r="G170" s="23">
        <f t="shared" ref="G170:G181" si="140">51.43*100/(100-O170)</f>
        <v>51.610637230306068</v>
      </c>
      <c r="H170" s="23">
        <f t="shared" ref="H170:H181" si="141">6.1*100/(100-O170)</f>
        <v>6.1214249874560958</v>
      </c>
      <c r="I170" s="23">
        <f t="shared" ref="I170:I181" si="142">41.85*100/(100-O170)</f>
        <v>41.996989463120919</v>
      </c>
      <c r="J170" s="23">
        <f t="shared" ref="J170:J181" si="143">0.26*100/(100-O170)</f>
        <v>0.26091319618665326</v>
      </c>
      <c r="K170" s="23">
        <f t="shared" ref="K170:K181" si="144">0.01*100/(100-O170)</f>
        <v>1.0035122930255895E-2</v>
      </c>
      <c r="L170" s="22">
        <f t="shared" si="74"/>
        <v>1.4300000000000068</v>
      </c>
      <c r="M170" s="18">
        <v>86.44</v>
      </c>
      <c r="N170" s="18">
        <v>11.78</v>
      </c>
      <c r="O170" s="18">
        <v>0.35</v>
      </c>
      <c r="P170" s="18">
        <v>0.1</v>
      </c>
      <c r="Q170" s="18">
        <v>900</v>
      </c>
      <c r="R170" s="18" t="s">
        <v>51</v>
      </c>
      <c r="S170" s="53">
        <v>0</v>
      </c>
      <c r="T170" s="18">
        <v>19.309999999999999</v>
      </c>
      <c r="U170" s="21">
        <v>33.200000000000003</v>
      </c>
      <c r="V170" s="21">
        <v>38.700000000000003</v>
      </c>
      <c r="W170" s="18">
        <v>0.12</v>
      </c>
      <c r="X170" s="18">
        <v>0</v>
      </c>
      <c r="Y170" s="49">
        <f t="shared" si="105"/>
        <v>27.97999999999999</v>
      </c>
      <c r="Z170" s="18">
        <f t="shared" si="76"/>
        <v>0.68493150684931503</v>
      </c>
      <c r="AA170" s="18">
        <v>90.5</v>
      </c>
      <c r="AB170" s="18">
        <v>59</v>
      </c>
      <c r="AC170" s="21">
        <f t="shared" si="77"/>
        <v>9820</v>
      </c>
      <c r="AD170" s="18" t="s">
        <v>51</v>
      </c>
      <c r="AF170" s="1"/>
      <c r="AG170" s="29">
        <v>1.46</v>
      </c>
      <c r="AH170" s="29">
        <v>9.82</v>
      </c>
      <c r="AO170" s="30">
        <f t="shared" ref="AO170:AS170" si="145">U170</f>
        <v>33.200000000000003</v>
      </c>
      <c r="AP170" s="30">
        <f t="shared" si="145"/>
        <v>38.700000000000003</v>
      </c>
      <c r="AQ170" s="30">
        <f t="shared" si="145"/>
        <v>0.12</v>
      </c>
      <c r="AR170" s="30">
        <f t="shared" si="145"/>
        <v>0</v>
      </c>
      <c r="AS170" s="30">
        <f t="shared" si="145"/>
        <v>27.97999999999999</v>
      </c>
      <c r="AT170" s="31">
        <f t="shared" si="14"/>
        <v>100</v>
      </c>
      <c r="AV170" s="21">
        <f t="shared" si="86"/>
        <v>9820</v>
      </c>
    </row>
    <row r="171" spans="2:48" ht="15.75" customHeight="1" x14ac:dyDescent="0.25">
      <c r="B171" s="32"/>
      <c r="C171" s="18" t="s">
        <v>46</v>
      </c>
      <c r="D171" s="51"/>
      <c r="E171" s="18" t="s">
        <v>48</v>
      </c>
      <c r="F171" s="51"/>
      <c r="G171" s="23">
        <f t="shared" si="140"/>
        <v>51.610637230306068</v>
      </c>
      <c r="H171" s="23">
        <f t="shared" si="141"/>
        <v>6.1214249874560958</v>
      </c>
      <c r="I171" s="23">
        <f t="shared" si="142"/>
        <v>41.996989463120919</v>
      </c>
      <c r="J171" s="23">
        <f t="shared" si="143"/>
        <v>0.26091319618665326</v>
      </c>
      <c r="K171" s="23">
        <f t="shared" si="144"/>
        <v>1.0035122930255895E-2</v>
      </c>
      <c r="L171" s="22">
        <f t="shared" si="74"/>
        <v>1.4300000000000068</v>
      </c>
      <c r="M171" s="18">
        <v>86.44</v>
      </c>
      <c r="N171" s="18">
        <v>11.78</v>
      </c>
      <c r="O171" s="18">
        <v>0.35</v>
      </c>
      <c r="P171" s="18">
        <v>0.2</v>
      </c>
      <c r="Q171" s="18">
        <v>900</v>
      </c>
      <c r="R171" s="18" t="s">
        <v>51</v>
      </c>
      <c r="S171" s="53">
        <v>0</v>
      </c>
      <c r="T171" s="18">
        <v>19.309999999999999</v>
      </c>
      <c r="U171" s="21">
        <v>27.6</v>
      </c>
      <c r="V171" s="21">
        <v>39.4</v>
      </c>
      <c r="W171" s="18">
        <v>0.57999999999999996</v>
      </c>
      <c r="X171" s="18">
        <v>0</v>
      </c>
      <c r="Y171" s="49">
        <f t="shared" si="105"/>
        <v>32.42</v>
      </c>
      <c r="Z171" s="18">
        <f t="shared" si="76"/>
        <v>0.61349693251533743</v>
      </c>
      <c r="AA171" s="18">
        <v>100</v>
      </c>
      <c r="AB171" s="18">
        <v>67.84</v>
      </c>
      <c r="AC171" s="21">
        <f t="shared" si="77"/>
        <v>11900</v>
      </c>
      <c r="AD171" s="18" t="s">
        <v>51</v>
      </c>
      <c r="AF171" s="1"/>
      <c r="AG171" s="29">
        <v>1.63</v>
      </c>
      <c r="AH171" s="29">
        <v>11.9</v>
      </c>
      <c r="AO171" s="30">
        <f t="shared" ref="AO171:AS171" si="146">U171</f>
        <v>27.6</v>
      </c>
      <c r="AP171" s="30">
        <f t="shared" si="146"/>
        <v>39.4</v>
      </c>
      <c r="AQ171" s="30">
        <f t="shared" si="146"/>
        <v>0.57999999999999996</v>
      </c>
      <c r="AR171" s="30">
        <f t="shared" si="146"/>
        <v>0</v>
      </c>
      <c r="AS171" s="30">
        <f t="shared" si="146"/>
        <v>32.42</v>
      </c>
      <c r="AT171" s="31">
        <f t="shared" si="14"/>
        <v>100</v>
      </c>
      <c r="AV171" s="21">
        <f t="shared" si="86"/>
        <v>11900</v>
      </c>
    </row>
    <row r="172" spans="2:48" ht="15.75" customHeight="1" x14ac:dyDescent="0.25">
      <c r="B172" s="32"/>
      <c r="C172" s="18" t="s">
        <v>46</v>
      </c>
      <c r="D172" s="51"/>
      <c r="E172" s="18" t="s">
        <v>48</v>
      </c>
      <c r="F172" s="51"/>
      <c r="G172" s="23">
        <f t="shared" si="140"/>
        <v>51.610637230306068</v>
      </c>
      <c r="H172" s="23">
        <f t="shared" si="141"/>
        <v>6.1214249874560958</v>
      </c>
      <c r="I172" s="23">
        <f t="shared" si="142"/>
        <v>41.996989463120919</v>
      </c>
      <c r="J172" s="23">
        <f t="shared" si="143"/>
        <v>0.26091319618665326</v>
      </c>
      <c r="K172" s="23">
        <f t="shared" si="144"/>
        <v>1.0035122930255895E-2</v>
      </c>
      <c r="L172" s="22">
        <f t="shared" si="74"/>
        <v>1.4300000000000068</v>
      </c>
      <c r="M172" s="18">
        <v>86.44</v>
      </c>
      <c r="N172" s="18">
        <v>11.78</v>
      </c>
      <c r="O172" s="18">
        <v>0.35</v>
      </c>
      <c r="P172" s="18">
        <v>0.6</v>
      </c>
      <c r="Q172" s="18">
        <v>900</v>
      </c>
      <c r="R172" s="18" t="s">
        <v>51</v>
      </c>
      <c r="S172" s="53">
        <v>0</v>
      </c>
      <c r="T172" s="18">
        <v>19.309999999999999</v>
      </c>
      <c r="U172" s="21">
        <v>7.23</v>
      </c>
      <c r="V172" s="21">
        <v>13.3</v>
      </c>
      <c r="W172" s="18">
        <v>11.2</v>
      </c>
      <c r="X172" s="18">
        <v>0</v>
      </c>
      <c r="Y172" s="49">
        <f t="shared" si="105"/>
        <v>68.27</v>
      </c>
      <c r="Z172" s="18">
        <f t="shared" si="76"/>
        <v>0.78740157480314954</v>
      </c>
      <c r="AA172" s="18">
        <v>38</v>
      </c>
      <c r="AB172" s="18">
        <v>32.39</v>
      </c>
      <c r="AC172" s="21">
        <f t="shared" si="77"/>
        <v>6540</v>
      </c>
      <c r="AD172" s="18" t="s">
        <v>51</v>
      </c>
      <c r="AF172" s="1"/>
      <c r="AG172" s="29">
        <v>1.27</v>
      </c>
      <c r="AH172" s="29">
        <v>6.54</v>
      </c>
      <c r="AO172" s="30">
        <f t="shared" ref="AO172:AS172" si="147">U172</f>
        <v>7.23</v>
      </c>
      <c r="AP172" s="30">
        <f t="shared" si="147"/>
        <v>13.3</v>
      </c>
      <c r="AQ172" s="30">
        <f t="shared" si="147"/>
        <v>11.2</v>
      </c>
      <c r="AR172" s="30">
        <f t="shared" si="147"/>
        <v>0</v>
      </c>
      <c r="AS172" s="30">
        <f t="shared" si="147"/>
        <v>68.27</v>
      </c>
      <c r="AT172" s="31">
        <f t="shared" si="14"/>
        <v>100</v>
      </c>
      <c r="AV172" s="21">
        <f t="shared" si="86"/>
        <v>6540</v>
      </c>
    </row>
    <row r="173" spans="2:48" ht="15.75" customHeight="1" x14ac:dyDescent="0.25">
      <c r="B173" s="32"/>
      <c r="C173" s="18" t="s">
        <v>46</v>
      </c>
      <c r="D173" s="51"/>
      <c r="E173" s="18" t="s">
        <v>48</v>
      </c>
      <c r="F173" s="51"/>
      <c r="G173" s="23">
        <f t="shared" si="140"/>
        <v>51.610637230306068</v>
      </c>
      <c r="H173" s="23">
        <f t="shared" si="141"/>
        <v>6.1214249874560958</v>
      </c>
      <c r="I173" s="23">
        <f t="shared" si="142"/>
        <v>41.996989463120919</v>
      </c>
      <c r="J173" s="23">
        <f t="shared" si="143"/>
        <v>0.26091319618665326</v>
      </c>
      <c r="K173" s="23">
        <f t="shared" si="144"/>
        <v>1.0035122930255895E-2</v>
      </c>
      <c r="L173" s="22">
        <f t="shared" si="74"/>
        <v>1.4300000000000068</v>
      </c>
      <c r="M173" s="18">
        <v>86.44</v>
      </c>
      <c r="N173" s="18">
        <v>11.78</v>
      </c>
      <c r="O173" s="18">
        <v>0.35</v>
      </c>
      <c r="P173" s="18">
        <v>0.2</v>
      </c>
      <c r="Q173" s="18">
        <v>900</v>
      </c>
      <c r="R173" s="18" t="s">
        <v>51</v>
      </c>
      <c r="S173" s="53">
        <v>0</v>
      </c>
      <c r="T173" s="18">
        <v>19.309999999999999</v>
      </c>
      <c r="U173" s="21">
        <v>28.3</v>
      </c>
      <c r="V173" s="21">
        <v>34.799999999999997</v>
      </c>
      <c r="W173" s="18">
        <v>2.88</v>
      </c>
      <c r="X173" s="18">
        <v>0</v>
      </c>
      <c r="Y173" s="49">
        <f t="shared" si="105"/>
        <v>34.02000000000001</v>
      </c>
      <c r="Z173" s="18">
        <f t="shared" si="76"/>
        <v>0.5988023952095809</v>
      </c>
      <c r="AA173" s="18">
        <v>104.1</v>
      </c>
      <c r="AB173" s="18">
        <v>65.510000000000005</v>
      </c>
      <c r="AC173" s="21">
        <f t="shared" si="77"/>
        <v>10000</v>
      </c>
      <c r="AD173" s="18" t="s">
        <v>51</v>
      </c>
      <c r="AF173" s="1"/>
      <c r="AG173" s="29">
        <v>1.67</v>
      </c>
      <c r="AH173" s="29">
        <v>10</v>
      </c>
      <c r="AO173" s="30">
        <f t="shared" ref="AO173:AS173" si="148">U173</f>
        <v>28.3</v>
      </c>
      <c r="AP173" s="30">
        <f t="shared" si="148"/>
        <v>34.799999999999997</v>
      </c>
      <c r="AQ173" s="30">
        <f t="shared" si="148"/>
        <v>2.88</v>
      </c>
      <c r="AR173" s="30">
        <f t="shared" si="148"/>
        <v>0</v>
      </c>
      <c r="AS173" s="30">
        <f t="shared" si="148"/>
        <v>34.02000000000001</v>
      </c>
      <c r="AT173" s="31">
        <f t="shared" si="14"/>
        <v>100</v>
      </c>
      <c r="AV173" s="21">
        <f t="shared" si="86"/>
        <v>10000</v>
      </c>
    </row>
    <row r="174" spans="2:48" ht="15.75" customHeight="1" x14ac:dyDescent="0.25">
      <c r="B174" s="32"/>
      <c r="C174" s="18" t="s">
        <v>46</v>
      </c>
      <c r="D174" s="51"/>
      <c r="E174" s="18" t="s">
        <v>48</v>
      </c>
      <c r="F174" s="51"/>
      <c r="G174" s="23">
        <f t="shared" si="140"/>
        <v>51.610637230306068</v>
      </c>
      <c r="H174" s="23">
        <f t="shared" si="141"/>
        <v>6.1214249874560958</v>
      </c>
      <c r="I174" s="23">
        <f t="shared" si="142"/>
        <v>41.996989463120919</v>
      </c>
      <c r="J174" s="23">
        <f t="shared" si="143"/>
        <v>0.26091319618665326</v>
      </c>
      <c r="K174" s="23">
        <f t="shared" si="144"/>
        <v>1.0035122930255895E-2</v>
      </c>
      <c r="L174" s="22">
        <f t="shared" si="74"/>
        <v>1.4300000000000068</v>
      </c>
      <c r="M174" s="18">
        <v>86.44</v>
      </c>
      <c r="N174" s="18">
        <v>11.78</v>
      </c>
      <c r="O174" s="18">
        <v>0.35</v>
      </c>
      <c r="P174" s="18">
        <v>0.4</v>
      </c>
      <c r="Q174" s="18">
        <v>900</v>
      </c>
      <c r="R174" s="18" t="s">
        <v>51</v>
      </c>
      <c r="S174" s="53">
        <v>0</v>
      </c>
      <c r="T174" s="18">
        <v>19.309999999999999</v>
      </c>
      <c r="U174" s="21">
        <v>15.2</v>
      </c>
      <c r="V174" s="21">
        <v>21</v>
      </c>
      <c r="W174" s="18">
        <v>7.97</v>
      </c>
      <c r="X174" s="18">
        <v>0</v>
      </c>
      <c r="Y174" s="49">
        <f t="shared" si="105"/>
        <v>55.83</v>
      </c>
      <c r="Z174" s="18">
        <f t="shared" si="76"/>
        <v>6.8027210884353739E-3</v>
      </c>
      <c r="AA174" s="18">
        <v>68.2</v>
      </c>
      <c r="AB174" s="18">
        <v>44.33</v>
      </c>
      <c r="AC174" s="21">
        <f t="shared" si="77"/>
        <v>7870</v>
      </c>
      <c r="AD174" s="18" t="s">
        <v>51</v>
      </c>
      <c r="AF174" s="1"/>
      <c r="AG174" s="29">
        <v>147</v>
      </c>
      <c r="AH174" s="29">
        <v>7.87</v>
      </c>
      <c r="AO174" s="30">
        <f t="shared" ref="AO174:AS174" si="149">U174</f>
        <v>15.2</v>
      </c>
      <c r="AP174" s="30">
        <f t="shared" si="149"/>
        <v>21</v>
      </c>
      <c r="AQ174" s="30">
        <f t="shared" si="149"/>
        <v>7.97</v>
      </c>
      <c r="AR174" s="30">
        <f t="shared" si="149"/>
        <v>0</v>
      </c>
      <c r="AS174" s="30">
        <f t="shared" si="149"/>
        <v>55.83</v>
      </c>
      <c r="AT174" s="31">
        <f t="shared" si="14"/>
        <v>100</v>
      </c>
      <c r="AV174" s="21">
        <f t="shared" si="86"/>
        <v>7870</v>
      </c>
    </row>
    <row r="175" spans="2:48" ht="15.75" customHeight="1" x14ac:dyDescent="0.25">
      <c r="B175" s="32"/>
      <c r="C175" s="18" t="s">
        <v>46</v>
      </c>
      <c r="D175" s="51"/>
      <c r="E175" s="18" t="s">
        <v>48</v>
      </c>
      <c r="F175" s="51"/>
      <c r="G175" s="23">
        <f t="shared" si="140"/>
        <v>51.610637230306068</v>
      </c>
      <c r="H175" s="23">
        <f t="shared" si="141"/>
        <v>6.1214249874560958</v>
      </c>
      <c r="I175" s="23">
        <f t="shared" si="142"/>
        <v>41.996989463120919</v>
      </c>
      <c r="J175" s="23">
        <f t="shared" si="143"/>
        <v>0.26091319618665326</v>
      </c>
      <c r="K175" s="23">
        <f t="shared" si="144"/>
        <v>1.0035122930255895E-2</v>
      </c>
      <c r="L175" s="22">
        <f t="shared" si="74"/>
        <v>1.4300000000000068</v>
      </c>
      <c r="M175" s="18">
        <v>86.44</v>
      </c>
      <c r="N175" s="18">
        <v>11.78</v>
      </c>
      <c r="O175" s="18">
        <v>0.35</v>
      </c>
      <c r="P175" s="18">
        <v>0.6</v>
      </c>
      <c r="Q175" s="18">
        <v>900</v>
      </c>
      <c r="R175" s="18" t="s">
        <v>51</v>
      </c>
      <c r="S175" s="53">
        <v>0</v>
      </c>
      <c r="T175" s="18">
        <v>19.309999999999999</v>
      </c>
      <c r="U175" s="21">
        <v>7.59</v>
      </c>
      <c r="V175" s="21">
        <v>11.8</v>
      </c>
      <c r="W175" s="18">
        <v>11.7</v>
      </c>
      <c r="X175" s="18">
        <v>0</v>
      </c>
      <c r="Y175" s="49">
        <f t="shared" si="105"/>
        <v>68.91</v>
      </c>
      <c r="Z175" s="18">
        <f t="shared" si="76"/>
        <v>0.78125</v>
      </c>
      <c r="AA175" s="18">
        <v>39.4</v>
      </c>
      <c r="AB175" s="18">
        <v>31.31</v>
      </c>
      <c r="AC175" s="21">
        <f t="shared" si="77"/>
        <v>5450</v>
      </c>
      <c r="AD175" s="18" t="s">
        <v>51</v>
      </c>
      <c r="AF175" s="1"/>
      <c r="AG175" s="29">
        <v>1.28</v>
      </c>
      <c r="AH175" s="29">
        <v>5.45</v>
      </c>
      <c r="AO175" s="30">
        <f t="shared" ref="AO175:AS175" si="150">U175</f>
        <v>7.59</v>
      </c>
      <c r="AP175" s="30">
        <f t="shared" si="150"/>
        <v>11.8</v>
      </c>
      <c r="AQ175" s="30">
        <f t="shared" si="150"/>
        <v>11.7</v>
      </c>
      <c r="AR175" s="30">
        <f t="shared" si="150"/>
        <v>0</v>
      </c>
      <c r="AS175" s="30">
        <f t="shared" si="150"/>
        <v>68.91</v>
      </c>
      <c r="AT175" s="31">
        <f t="shared" si="14"/>
        <v>100</v>
      </c>
      <c r="AV175" s="21">
        <f t="shared" si="86"/>
        <v>5450</v>
      </c>
    </row>
    <row r="176" spans="2:48" ht="15.75" customHeight="1" x14ac:dyDescent="0.25">
      <c r="B176" s="32"/>
      <c r="C176" s="18" t="s">
        <v>46</v>
      </c>
      <c r="D176" s="51"/>
      <c r="E176" s="18" t="s">
        <v>48</v>
      </c>
      <c r="F176" s="51"/>
      <c r="G176" s="23">
        <f t="shared" si="140"/>
        <v>51.610637230306068</v>
      </c>
      <c r="H176" s="23">
        <f t="shared" si="141"/>
        <v>6.1214249874560958</v>
      </c>
      <c r="I176" s="23">
        <f t="shared" si="142"/>
        <v>41.996989463120919</v>
      </c>
      <c r="J176" s="23">
        <f t="shared" si="143"/>
        <v>0.26091319618665326</v>
      </c>
      <c r="K176" s="23">
        <f t="shared" si="144"/>
        <v>1.0035122930255895E-2</v>
      </c>
      <c r="L176" s="22">
        <f t="shared" si="74"/>
        <v>1.4300000000000068</v>
      </c>
      <c r="M176" s="18">
        <v>86.44</v>
      </c>
      <c r="N176" s="18">
        <v>11.78</v>
      </c>
      <c r="O176" s="18">
        <v>0.35</v>
      </c>
      <c r="P176" s="18">
        <v>0.2</v>
      </c>
      <c r="Q176" s="18">
        <v>900</v>
      </c>
      <c r="R176" s="18" t="s">
        <v>51</v>
      </c>
      <c r="S176" s="53">
        <v>0</v>
      </c>
      <c r="T176" s="18">
        <v>19.309999999999999</v>
      </c>
      <c r="U176" s="21">
        <v>28.1</v>
      </c>
      <c r="V176" s="21">
        <v>29.9</v>
      </c>
      <c r="W176" s="18">
        <v>5.09</v>
      </c>
      <c r="X176" s="18">
        <v>0</v>
      </c>
      <c r="Y176" s="49">
        <f t="shared" si="105"/>
        <v>36.909999999999997</v>
      </c>
      <c r="Z176" s="18">
        <f t="shared" si="76"/>
        <v>0.5988023952095809</v>
      </c>
      <c r="AA176" s="18">
        <v>105.4</v>
      </c>
      <c r="AB176" s="18">
        <v>60.83</v>
      </c>
      <c r="AC176" s="21">
        <f t="shared" si="77"/>
        <v>8240</v>
      </c>
      <c r="AD176" s="18" t="s">
        <v>51</v>
      </c>
      <c r="AF176" s="1"/>
      <c r="AG176" s="29">
        <v>1.67</v>
      </c>
      <c r="AH176" s="29">
        <v>8.24</v>
      </c>
      <c r="AO176" s="30">
        <f t="shared" ref="AO176:AS176" si="151">U176</f>
        <v>28.1</v>
      </c>
      <c r="AP176" s="30">
        <f t="shared" si="151"/>
        <v>29.9</v>
      </c>
      <c r="AQ176" s="30">
        <f t="shared" si="151"/>
        <v>5.09</v>
      </c>
      <c r="AR176" s="30">
        <f t="shared" si="151"/>
        <v>0</v>
      </c>
      <c r="AS176" s="30">
        <f t="shared" si="151"/>
        <v>36.909999999999997</v>
      </c>
      <c r="AT176" s="31">
        <f t="shared" si="14"/>
        <v>100</v>
      </c>
      <c r="AV176" s="21">
        <f t="shared" si="86"/>
        <v>8240</v>
      </c>
    </row>
    <row r="177" spans="2:48" ht="15.75" customHeight="1" x14ac:dyDescent="0.25">
      <c r="B177" s="32"/>
      <c r="C177" s="18" t="s">
        <v>46</v>
      </c>
      <c r="D177" s="51"/>
      <c r="E177" s="18" t="s">
        <v>48</v>
      </c>
      <c r="F177" s="51"/>
      <c r="G177" s="23">
        <f t="shared" si="140"/>
        <v>51.610637230306068</v>
      </c>
      <c r="H177" s="23">
        <f t="shared" si="141"/>
        <v>6.1214249874560958</v>
      </c>
      <c r="I177" s="23">
        <f t="shared" si="142"/>
        <v>41.996989463120919</v>
      </c>
      <c r="J177" s="23">
        <f t="shared" si="143"/>
        <v>0.26091319618665326</v>
      </c>
      <c r="K177" s="23">
        <f t="shared" si="144"/>
        <v>1.0035122930255895E-2</v>
      </c>
      <c r="L177" s="22">
        <f t="shared" si="74"/>
        <v>1.4300000000000068</v>
      </c>
      <c r="M177" s="18">
        <v>86.44</v>
      </c>
      <c r="N177" s="18">
        <v>11.78</v>
      </c>
      <c r="O177" s="18">
        <v>0.35</v>
      </c>
      <c r="P177" s="18">
        <v>0.4</v>
      </c>
      <c r="Q177" s="18">
        <v>900</v>
      </c>
      <c r="R177" s="18" t="s">
        <v>51</v>
      </c>
      <c r="S177" s="53">
        <v>0</v>
      </c>
      <c r="T177" s="18">
        <v>19.309999999999999</v>
      </c>
      <c r="U177" s="21">
        <v>15.2</v>
      </c>
      <c r="V177" s="21">
        <v>18</v>
      </c>
      <c r="W177" s="18">
        <v>9.18</v>
      </c>
      <c r="X177" s="18">
        <v>0</v>
      </c>
      <c r="Y177" s="49">
        <f t="shared" si="105"/>
        <v>57.62</v>
      </c>
      <c r="Z177" s="18">
        <f t="shared" si="76"/>
        <v>0.68965517241379315</v>
      </c>
      <c r="AA177" s="18">
        <v>67.5</v>
      </c>
      <c r="AB177" s="18">
        <v>41.03</v>
      </c>
      <c r="AC177" s="21">
        <f t="shared" si="77"/>
        <v>6390</v>
      </c>
      <c r="AD177" s="18" t="s">
        <v>51</v>
      </c>
      <c r="AF177" s="1"/>
      <c r="AG177" s="29">
        <v>1.45</v>
      </c>
      <c r="AH177" s="29">
        <v>6.39</v>
      </c>
      <c r="AO177" s="30">
        <f t="shared" ref="AO177:AS177" si="152">U177</f>
        <v>15.2</v>
      </c>
      <c r="AP177" s="30">
        <f t="shared" si="152"/>
        <v>18</v>
      </c>
      <c r="AQ177" s="30">
        <f t="shared" si="152"/>
        <v>9.18</v>
      </c>
      <c r="AR177" s="30">
        <f t="shared" si="152"/>
        <v>0</v>
      </c>
      <c r="AS177" s="30">
        <f t="shared" si="152"/>
        <v>57.62</v>
      </c>
      <c r="AT177" s="31">
        <f t="shared" si="14"/>
        <v>100</v>
      </c>
      <c r="AV177" s="21">
        <f t="shared" si="86"/>
        <v>6390</v>
      </c>
    </row>
    <row r="178" spans="2:48" ht="15.75" customHeight="1" x14ac:dyDescent="0.25">
      <c r="B178" s="32"/>
      <c r="C178" s="18" t="s">
        <v>46</v>
      </c>
      <c r="D178" s="51"/>
      <c r="E178" s="18" t="s">
        <v>48</v>
      </c>
      <c r="F178" s="51"/>
      <c r="G178" s="23">
        <f t="shared" si="140"/>
        <v>51.610637230306068</v>
      </c>
      <c r="H178" s="23">
        <f t="shared" si="141"/>
        <v>6.1214249874560958</v>
      </c>
      <c r="I178" s="23">
        <f t="shared" si="142"/>
        <v>41.996989463120919</v>
      </c>
      <c r="J178" s="23">
        <f t="shared" si="143"/>
        <v>0.26091319618665326</v>
      </c>
      <c r="K178" s="23">
        <f t="shared" si="144"/>
        <v>1.0035122930255895E-2</v>
      </c>
      <c r="L178" s="22">
        <f t="shared" si="74"/>
        <v>1.4300000000000068</v>
      </c>
      <c r="M178" s="18">
        <v>86.44</v>
      </c>
      <c r="N178" s="18">
        <v>11.78</v>
      </c>
      <c r="O178" s="18">
        <v>0.35</v>
      </c>
      <c r="P178" s="18">
        <v>0.6</v>
      </c>
      <c r="Q178" s="18">
        <v>900</v>
      </c>
      <c r="R178" s="18" t="s">
        <v>51</v>
      </c>
      <c r="S178" s="53">
        <v>0</v>
      </c>
      <c r="T178" s="18">
        <v>19.309999999999999</v>
      </c>
      <c r="U178" s="21">
        <v>7.01</v>
      </c>
      <c r="V178" s="21">
        <v>9.93</v>
      </c>
      <c r="W178" s="18">
        <v>12.3</v>
      </c>
      <c r="X178" s="18">
        <v>0</v>
      </c>
      <c r="Y178" s="49">
        <f t="shared" si="105"/>
        <v>70.760000000000005</v>
      </c>
      <c r="Z178" s="18">
        <f t="shared" si="76"/>
        <v>0.79365079365079361</v>
      </c>
      <c r="AA178" s="18">
        <v>37.6</v>
      </c>
      <c r="AB178" s="18">
        <v>29.15</v>
      </c>
      <c r="AC178" s="21">
        <f t="shared" si="77"/>
        <v>4310</v>
      </c>
      <c r="AD178" s="18" t="s">
        <v>51</v>
      </c>
      <c r="AF178" s="1"/>
      <c r="AG178" s="29">
        <v>1.26</v>
      </c>
      <c r="AH178" s="29">
        <v>4.3099999999999996</v>
      </c>
      <c r="AO178" s="30">
        <f t="shared" ref="AO178:AS178" si="153">U178</f>
        <v>7.01</v>
      </c>
      <c r="AP178" s="30">
        <f t="shared" si="153"/>
        <v>9.93</v>
      </c>
      <c r="AQ178" s="30">
        <f t="shared" si="153"/>
        <v>12.3</v>
      </c>
      <c r="AR178" s="30">
        <f t="shared" si="153"/>
        <v>0</v>
      </c>
      <c r="AS178" s="30">
        <f t="shared" si="153"/>
        <v>70.760000000000005</v>
      </c>
      <c r="AT178" s="31">
        <f t="shared" si="14"/>
        <v>100</v>
      </c>
      <c r="AV178" s="21">
        <f t="shared" si="86"/>
        <v>4310</v>
      </c>
    </row>
    <row r="179" spans="2:48" ht="15.75" customHeight="1" x14ac:dyDescent="0.25">
      <c r="B179" s="32"/>
      <c r="C179" s="18" t="s">
        <v>46</v>
      </c>
      <c r="D179" s="51"/>
      <c r="E179" s="18" t="s">
        <v>48</v>
      </c>
      <c r="F179" s="51"/>
      <c r="G179" s="23">
        <f t="shared" si="140"/>
        <v>51.610637230306068</v>
      </c>
      <c r="H179" s="23">
        <f t="shared" si="141"/>
        <v>6.1214249874560958</v>
      </c>
      <c r="I179" s="23">
        <f t="shared" si="142"/>
        <v>41.996989463120919</v>
      </c>
      <c r="J179" s="23">
        <f t="shared" si="143"/>
        <v>0.26091319618665326</v>
      </c>
      <c r="K179" s="23">
        <f t="shared" si="144"/>
        <v>1.0035122930255895E-2</v>
      </c>
      <c r="L179" s="22">
        <f t="shared" si="74"/>
        <v>1.4300000000000068</v>
      </c>
      <c r="M179" s="18">
        <v>86.44</v>
      </c>
      <c r="N179" s="18">
        <v>11.78</v>
      </c>
      <c r="O179" s="18">
        <v>0.35</v>
      </c>
      <c r="P179" s="18">
        <v>0.2</v>
      </c>
      <c r="Q179" s="18">
        <v>900</v>
      </c>
      <c r="R179" s="18" t="s">
        <v>51</v>
      </c>
      <c r="S179" s="53">
        <v>0</v>
      </c>
      <c r="T179" s="18">
        <v>19.309999999999999</v>
      </c>
      <c r="U179" s="21">
        <v>25.7</v>
      </c>
      <c r="V179" s="21">
        <v>19.7</v>
      </c>
      <c r="W179" s="18">
        <v>8.77</v>
      </c>
      <c r="X179" s="18">
        <v>0</v>
      </c>
      <c r="Y179" s="49">
        <f t="shared" si="105"/>
        <v>45.83</v>
      </c>
      <c r="Z179" s="18">
        <f t="shared" si="76"/>
        <v>0.64935064935064934</v>
      </c>
      <c r="AA179" s="18">
        <v>97.5</v>
      </c>
      <c r="AB179" s="18">
        <v>45.64</v>
      </c>
      <c r="AC179" s="21">
        <f t="shared" si="77"/>
        <v>5010</v>
      </c>
      <c r="AD179" s="18" t="s">
        <v>51</v>
      </c>
      <c r="AF179" s="1"/>
      <c r="AG179" s="29">
        <v>1.54</v>
      </c>
      <c r="AH179" s="29">
        <v>5.01</v>
      </c>
      <c r="AO179" s="30">
        <f t="shared" ref="AO179:AS179" si="154">U179</f>
        <v>25.7</v>
      </c>
      <c r="AP179" s="30">
        <f t="shared" si="154"/>
        <v>19.7</v>
      </c>
      <c r="AQ179" s="30">
        <f t="shared" si="154"/>
        <v>8.77</v>
      </c>
      <c r="AR179" s="30">
        <f t="shared" si="154"/>
        <v>0</v>
      </c>
      <c r="AS179" s="30">
        <f t="shared" si="154"/>
        <v>45.83</v>
      </c>
      <c r="AT179" s="31">
        <f t="shared" si="14"/>
        <v>100</v>
      </c>
      <c r="AV179" s="21">
        <f t="shared" si="86"/>
        <v>5010</v>
      </c>
    </row>
    <row r="180" spans="2:48" ht="15.75" customHeight="1" x14ac:dyDescent="0.25">
      <c r="B180" s="32"/>
      <c r="C180" s="18" t="s">
        <v>46</v>
      </c>
      <c r="D180" s="51"/>
      <c r="E180" s="18" t="s">
        <v>48</v>
      </c>
      <c r="F180" s="51"/>
      <c r="G180" s="23">
        <f t="shared" si="140"/>
        <v>51.610637230306068</v>
      </c>
      <c r="H180" s="23">
        <f t="shared" si="141"/>
        <v>6.1214249874560958</v>
      </c>
      <c r="I180" s="23">
        <f t="shared" si="142"/>
        <v>41.996989463120919</v>
      </c>
      <c r="J180" s="23">
        <f t="shared" si="143"/>
        <v>0.26091319618665326</v>
      </c>
      <c r="K180" s="23">
        <f t="shared" si="144"/>
        <v>1.0035122930255895E-2</v>
      </c>
      <c r="L180" s="22">
        <f t="shared" si="74"/>
        <v>1.4300000000000068</v>
      </c>
      <c r="M180" s="18">
        <v>86.44</v>
      </c>
      <c r="N180" s="18">
        <v>11.78</v>
      </c>
      <c r="O180" s="18">
        <v>0.35</v>
      </c>
      <c r="P180" s="18">
        <v>0.4</v>
      </c>
      <c r="Q180" s="18">
        <v>900</v>
      </c>
      <c r="R180" s="18" t="s">
        <v>51</v>
      </c>
      <c r="S180" s="53">
        <v>0</v>
      </c>
      <c r="T180" s="18">
        <v>19.309999999999999</v>
      </c>
      <c r="U180" s="21">
        <v>13.4</v>
      </c>
      <c r="V180" s="21">
        <v>11.3</v>
      </c>
      <c r="W180" s="18">
        <v>11.2</v>
      </c>
      <c r="X180" s="18">
        <v>0</v>
      </c>
      <c r="Y180" s="49">
        <f t="shared" si="105"/>
        <v>64.099999999999994</v>
      </c>
      <c r="Z180" s="18">
        <f t="shared" si="76"/>
        <v>0.76923076923076916</v>
      </c>
      <c r="AA180" s="18">
        <v>56.5</v>
      </c>
      <c r="AB180" s="18">
        <v>30.45</v>
      </c>
      <c r="AC180" s="21">
        <f t="shared" si="77"/>
        <v>3630</v>
      </c>
      <c r="AD180" s="18" t="s">
        <v>51</v>
      </c>
      <c r="AF180" s="1"/>
      <c r="AG180" s="29">
        <v>1.3</v>
      </c>
      <c r="AH180" s="29">
        <v>3.63</v>
      </c>
      <c r="AO180" s="30">
        <f t="shared" ref="AO180:AS180" si="155">U180</f>
        <v>13.4</v>
      </c>
      <c r="AP180" s="30">
        <f t="shared" si="155"/>
        <v>11.3</v>
      </c>
      <c r="AQ180" s="30">
        <f t="shared" si="155"/>
        <v>11.2</v>
      </c>
      <c r="AR180" s="30">
        <f t="shared" si="155"/>
        <v>0</v>
      </c>
      <c r="AS180" s="30">
        <f t="shared" si="155"/>
        <v>64.099999999999994</v>
      </c>
      <c r="AT180" s="31">
        <f t="shared" si="14"/>
        <v>100</v>
      </c>
      <c r="AV180" s="21">
        <f t="shared" si="86"/>
        <v>3630</v>
      </c>
    </row>
    <row r="181" spans="2:48" ht="15.75" customHeight="1" x14ac:dyDescent="0.25">
      <c r="B181" s="32"/>
      <c r="C181" s="18" t="s">
        <v>46</v>
      </c>
      <c r="D181" s="51"/>
      <c r="E181" s="18" t="s">
        <v>48</v>
      </c>
      <c r="F181" s="51"/>
      <c r="G181" s="23">
        <f t="shared" si="140"/>
        <v>51.610637230306068</v>
      </c>
      <c r="H181" s="23">
        <f t="shared" si="141"/>
        <v>6.1214249874560958</v>
      </c>
      <c r="I181" s="23">
        <f t="shared" si="142"/>
        <v>41.996989463120919</v>
      </c>
      <c r="J181" s="23">
        <f t="shared" si="143"/>
        <v>0.26091319618665326</v>
      </c>
      <c r="K181" s="23">
        <f t="shared" si="144"/>
        <v>1.0035122930255895E-2</v>
      </c>
      <c r="L181" s="22">
        <f t="shared" si="74"/>
        <v>1.4300000000000068</v>
      </c>
      <c r="M181" s="18">
        <v>86.44</v>
      </c>
      <c r="N181" s="18">
        <v>11.78</v>
      </c>
      <c r="O181" s="18">
        <v>0.35</v>
      </c>
      <c r="P181" s="18">
        <v>0.6</v>
      </c>
      <c r="Q181" s="18">
        <v>900</v>
      </c>
      <c r="R181" s="18" t="s">
        <v>51</v>
      </c>
      <c r="S181" s="53">
        <v>0</v>
      </c>
      <c r="T181" s="18">
        <v>19.309999999999999</v>
      </c>
      <c r="U181" s="21">
        <v>5.73</v>
      </c>
      <c r="V181" s="21">
        <v>15.36</v>
      </c>
      <c r="W181" s="18">
        <v>13.2</v>
      </c>
      <c r="X181" s="18">
        <v>0</v>
      </c>
      <c r="Y181" s="49">
        <f t="shared" si="105"/>
        <v>65.710000000000008</v>
      </c>
      <c r="Z181" s="18">
        <f t="shared" si="76"/>
        <v>0.92592592592592582</v>
      </c>
      <c r="AA181" s="18">
        <v>25.6</v>
      </c>
      <c r="AB181" s="18">
        <v>32.11</v>
      </c>
      <c r="AC181" s="21">
        <f t="shared" si="77"/>
        <v>2090</v>
      </c>
      <c r="AD181" s="18" t="s">
        <v>51</v>
      </c>
      <c r="AF181" s="1"/>
      <c r="AG181" s="29">
        <v>1.08</v>
      </c>
      <c r="AH181" s="29">
        <v>2.09</v>
      </c>
      <c r="AO181" s="30">
        <f t="shared" ref="AO181:AS181" si="156">U181</f>
        <v>5.73</v>
      </c>
      <c r="AP181" s="30">
        <f t="shared" si="156"/>
        <v>15.36</v>
      </c>
      <c r="AQ181" s="30">
        <f t="shared" si="156"/>
        <v>13.2</v>
      </c>
      <c r="AR181" s="30">
        <f t="shared" si="156"/>
        <v>0</v>
      </c>
      <c r="AS181" s="30">
        <f t="shared" si="156"/>
        <v>65.710000000000008</v>
      </c>
      <c r="AT181" s="31">
        <f t="shared" si="14"/>
        <v>100</v>
      </c>
      <c r="AV181" s="21">
        <f t="shared" si="86"/>
        <v>2090</v>
      </c>
    </row>
    <row r="182" spans="2:48" ht="15.75" customHeight="1" x14ac:dyDescent="0.25">
      <c r="B182" s="32"/>
      <c r="C182" s="18" t="s">
        <v>46</v>
      </c>
      <c r="D182" s="51"/>
      <c r="E182" s="18" t="s">
        <v>48</v>
      </c>
      <c r="F182" s="51"/>
      <c r="G182" s="18">
        <v>49</v>
      </c>
      <c r="H182" s="18">
        <v>6.3</v>
      </c>
      <c r="I182" s="18">
        <v>44.4</v>
      </c>
      <c r="J182" s="18">
        <v>0.2</v>
      </c>
      <c r="K182" s="18">
        <v>0.1</v>
      </c>
      <c r="L182" s="22">
        <f t="shared" si="74"/>
        <v>13.199999999999989</v>
      </c>
      <c r="M182" s="18">
        <v>77.86</v>
      </c>
      <c r="N182" s="18">
        <v>8.15</v>
      </c>
      <c r="O182" s="18">
        <v>0.79</v>
      </c>
      <c r="P182" s="18">
        <v>0.4</v>
      </c>
      <c r="Q182" s="18">
        <v>850</v>
      </c>
      <c r="R182" s="18" t="s">
        <v>51</v>
      </c>
      <c r="S182" s="53">
        <v>0</v>
      </c>
      <c r="T182" s="18">
        <v>18.39</v>
      </c>
      <c r="U182" s="21">
        <v>17</v>
      </c>
      <c r="V182" s="21">
        <v>17.8</v>
      </c>
      <c r="W182" s="18">
        <v>4</v>
      </c>
      <c r="X182" s="18">
        <v>1.4</v>
      </c>
      <c r="Y182" s="49">
        <f t="shared" si="105"/>
        <v>59.800000000000004</v>
      </c>
      <c r="Z182" s="18">
        <f t="shared" si="76"/>
        <v>1.2330456226880393</v>
      </c>
      <c r="AA182" s="18">
        <v>18.93</v>
      </c>
      <c r="AB182" s="18">
        <v>17.010000000000002</v>
      </c>
      <c r="AC182" s="21">
        <f t="shared" si="77"/>
        <v>4610</v>
      </c>
      <c r="AD182" s="18" t="s">
        <v>51</v>
      </c>
      <c r="AF182" s="1"/>
      <c r="AG182" s="29">
        <v>0.81100000000000005</v>
      </c>
      <c r="AH182" s="29">
        <v>4.6100000000000003</v>
      </c>
      <c r="AO182" s="30">
        <f t="shared" ref="AO182:AS182" si="157">U182</f>
        <v>17</v>
      </c>
      <c r="AP182" s="30">
        <f t="shared" si="157"/>
        <v>17.8</v>
      </c>
      <c r="AQ182" s="30">
        <f t="shared" si="157"/>
        <v>4</v>
      </c>
      <c r="AR182" s="30">
        <f t="shared" si="157"/>
        <v>1.4</v>
      </c>
      <c r="AS182" s="30">
        <f t="shared" si="157"/>
        <v>59.800000000000004</v>
      </c>
      <c r="AT182" s="31">
        <f t="shared" si="14"/>
        <v>100</v>
      </c>
      <c r="AV182" s="21">
        <f t="shared" si="86"/>
        <v>4610</v>
      </c>
    </row>
    <row r="183" spans="2:48" ht="15.75" customHeight="1" x14ac:dyDescent="0.25">
      <c r="B183" s="32"/>
      <c r="C183" s="18" t="s">
        <v>46</v>
      </c>
      <c r="D183" s="51"/>
      <c r="E183" s="18" t="s">
        <v>48</v>
      </c>
      <c r="F183" s="51"/>
      <c r="G183" s="18">
        <v>49</v>
      </c>
      <c r="H183" s="18">
        <v>6.3</v>
      </c>
      <c r="I183" s="18">
        <v>44.4</v>
      </c>
      <c r="J183" s="18">
        <v>0.2</v>
      </c>
      <c r="K183" s="18">
        <v>0.1</v>
      </c>
      <c r="L183" s="22">
        <f t="shared" si="74"/>
        <v>13.199999999999989</v>
      </c>
      <c r="M183" s="18">
        <v>77.86</v>
      </c>
      <c r="N183" s="18">
        <v>8.15</v>
      </c>
      <c r="O183" s="18">
        <v>0.79</v>
      </c>
      <c r="P183" s="18">
        <v>0.4</v>
      </c>
      <c r="Q183" s="18">
        <v>850</v>
      </c>
      <c r="R183" s="18" t="s">
        <v>51</v>
      </c>
      <c r="S183" s="53">
        <v>0</v>
      </c>
      <c r="T183" s="18">
        <v>18.39</v>
      </c>
      <c r="U183" s="21">
        <v>16.2</v>
      </c>
      <c r="V183" s="21">
        <v>15.4</v>
      </c>
      <c r="W183" s="18">
        <v>4</v>
      </c>
      <c r="X183" s="18">
        <v>1.6</v>
      </c>
      <c r="Y183" s="49">
        <f t="shared" si="105"/>
        <v>62.8</v>
      </c>
      <c r="Z183" s="18">
        <f t="shared" si="76"/>
        <v>1.0526315789473684</v>
      </c>
      <c r="AA183" s="18">
        <v>20.49</v>
      </c>
      <c r="AB183" s="18">
        <v>17.61</v>
      </c>
      <c r="AC183" s="21">
        <f t="shared" si="77"/>
        <v>4270</v>
      </c>
      <c r="AD183" s="18" t="s">
        <v>51</v>
      </c>
      <c r="AF183" s="1"/>
      <c r="AG183" s="29">
        <v>0.95</v>
      </c>
      <c r="AH183" s="29">
        <v>4.2699999999999996</v>
      </c>
      <c r="AO183" s="30">
        <f t="shared" ref="AO183:AS183" si="158">U183</f>
        <v>16.2</v>
      </c>
      <c r="AP183" s="30">
        <f t="shared" si="158"/>
        <v>15.4</v>
      </c>
      <c r="AQ183" s="30">
        <f t="shared" si="158"/>
        <v>4</v>
      </c>
      <c r="AR183" s="30">
        <f t="shared" si="158"/>
        <v>1.6</v>
      </c>
      <c r="AS183" s="30">
        <f t="shared" si="158"/>
        <v>62.8</v>
      </c>
      <c r="AT183" s="31">
        <f t="shared" si="14"/>
        <v>100</v>
      </c>
      <c r="AV183" s="21">
        <f t="shared" si="86"/>
        <v>4270</v>
      </c>
    </row>
    <row r="184" spans="2:48" ht="15.75" customHeight="1" x14ac:dyDescent="0.25">
      <c r="B184" s="32"/>
      <c r="C184" s="18" t="s">
        <v>46</v>
      </c>
      <c r="D184" s="51"/>
      <c r="E184" s="18" t="s">
        <v>48</v>
      </c>
      <c r="F184" s="51"/>
      <c r="G184" s="18">
        <v>49</v>
      </c>
      <c r="H184" s="18">
        <v>6.3</v>
      </c>
      <c r="I184" s="18">
        <v>44.4</v>
      </c>
      <c r="J184" s="18">
        <v>0.2</v>
      </c>
      <c r="K184" s="18">
        <v>0.1</v>
      </c>
      <c r="L184" s="22">
        <f t="shared" si="74"/>
        <v>13.199999999999989</v>
      </c>
      <c r="M184" s="18">
        <v>77.86</v>
      </c>
      <c r="N184" s="18">
        <v>8.15</v>
      </c>
      <c r="O184" s="18">
        <v>0.79</v>
      </c>
      <c r="P184" s="18">
        <v>0.4</v>
      </c>
      <c r="Q184" s="18">
        <v>850</v>
      </c>
      <c r="R184" s="18" t="s">
        <v>51</v>
      </c>
      <c r="S184" s="53">
        <v>0</v>
      </c>
      <c r="T184" s="18">
        <v>18.39</v>
      </c>
      <c r="U184" s="21">
        <v>16</v>
      </c>
      <c r="V184" s="21">
        <v>21</v>
      </c>
      <c r="W184" s="18">
        <v>4</v>
      </c>
      <c r="X184" s="18">
        <v>1.7</v>
      </c>
      <c r="Y184" s="49">
        <f t="shared" si="105"/>
        <v>57.3</v>
      </c>
      <c r="Z184" s="18">
        <f t="shared" si="76"/>
        <v>0.92592592592592582</v>
      </c>
      <c r="AA184" s="18">
        <v>27.44</v>
      </c>
      <c r="AB184" s="18">
        <v>26.78</v>
      </c>
      <c r="AC184" s="21">
        <f t="shared" si="77"/>
        <v>5020</v>
      </c>
      <c r="AD184" s="18" t="s">
        <v>51</v>
      </c>
      <c r="AF184" s="1"/>
      <c r="AG184" s="29">
        <v>1.08</v>
      </c>
      <c r="AH184" s="29">
        <v>5.0199999999999996</v>
      </c>
      <c r="AO184" s="30">
        <f t="shared" ref="AO184:AS184" si="159">U184</f>
        <v>16</v>
      </c>
      <c r="AP184" s="30">
        <f t="shared" si="159"/>
        <v>21</v>
      </c>
      <c r="AQ184" s="30">
        <f t="shared" si="159"/>
        <v>4</v>
      </c>
      <c r="AR184" s="30">
        <f t="shared" si="159"/>
        <v>1.7</v>
      </c>
      <c r="AS184" s="30">
        <f t="shared" si="159"/>
        <v>57.3</v>
      </c>
      <c r="AT184" s="31">
        <f t="shared" si="14"/>
        <v>100</v>
      </c>
      <c r="AV184" s="21">
        <f t="shared" si="86"/>
        <v>5020</v>
      </c>
    </row>
    <row r="185" spans="2:48" ht="15.75" customHeight="1" x14ac:dyDescent="0.25">
      <c r="B185" s="32"/>
      <c r="C185" s="18" t="s">
        <v>46</v>
      </c>
      <c r="D185" s="51"/>
      <c r="E185" s="18" t="s">
        <v>48</v>
      </c>
      <c r="F185" s="51"/>
      <c r="G185" s="18">
        <v>49</v>
      </c>
      <c r="H185" s="18">
        <v>6.3</v>
      </c>
      <c r="I185" s="18">
        <v>44.4</v>
      </c>
      <c r="J185" s="18">
        <v>0.2</v>
      </c>
      <c r="K185" s="18">
        <v>0.1</v>
      </c>
      <c r="L185" s="22">
        <f t="shared" si="74"/>
        <v>13.199999999999989</v>
      </c>
      <c r="M185" s="18">
        <v>77.86</v>
      </c>
      <c r="N185" s="18">
        <v>8.15</v>
      </c>
      <c r="O185" s="18">
        <v>0.79</v>
      </c>
      <c r="P185" s="18">
        <v>0.4</v>
      </c>
      <c r="Q185" s="18">
        <v>850</v>
      </c>
      <c r="R185" s="18" t="s">
        <v>51</v>
      </c>
      <c r="S185" s="53">
        <v>0</v>
      </c>
      <c r="T185" s="18">
        <v>18.39</v>
      </c>
      <c r="U185" s="21">
        <v>19</v>
      </c>
      <c r="V185" s="21">
        <v>12.2</v>
      </c>
      <c r="W185" s="18">
        <v>4</v>
      </c>
      <c r="X185" s="18">
        <v>1.6</v>
      </c>
      <c r="Y185" s="49">
        <f t="shared" si="105"/>
        <v>63.199999999999996</v>
      </c>
      <c r="Z185" s="18">
        <f t="shared" si="76"/>
        <v>1.2345679012345678</v>
      </c>
      <c r="AA185" s="18">
        <v>17.329999999999998</v>
      </c>
      <c r="AB185" s="18">
        <v>12.23</v>
      </c>
      <c r="AC185" s="21">
        <f t="shared" si="77"/>
        <v>4220</v>
      </c>
      <c r="AD185" s="18" t="s">
        <v>51</v>
      </c>
      <c r="AF185" s="1"/>
      <c r="AG185" s="29">
        <v>0.81</v>
      </c>
      <c r="AH185" s="29">
        <v>4.22</v>
      </c>
      <c r="AO185" s="30">
        <f t="shared" ref="AO185:AS185" si="160">U185</f>
        <v>19</v>
      </c>
      <c r="AP185" s="30">
        <f t="shared" si="160"/>
        <v>12.2</v>
      </c>
      <c r="AQ185" s="30">
        <f t="shared" si="160"/>
        <v>4</v>
      </c>
      <c r="AR185" s="30">
        <f t="shared" si="160"/>
        <v>1.6</v>
      </c>
      <c r="AS185" s="30">
        <f t="shared" si="160"/>
        <v>63.199999999999996</v>
      </c>
      <c r="AT185" s="31">
        <f t="shared" si="14"/>
        <v>100</v>
      </c>
      <c r="AV185" s="21">
        <f t="shared" si="86"/>
        <v>4220</v>
      </c>
    </row>
    <row r="186" spans="2:48" ht="15.75" customHeight="1" x14ac:dyDescent="0.25">
      <c r="B186" s="32"/>
      <c r="C186" s="18" t="s">
        <v>46</v>
      </c>
      <c r="D186" s="51"/>
      <c r="E186" s="18" t="s">
        <v>48</v>
      </c>
      <c r="F186" s="51"/>
      <c r="G186" s="18">
        <v>49</v>
      </c>
      <c r="H186" s="18">
        <v>6.3</v>
      </c>
      <c r="I186" s="18">
        <v>44.4</v>
      </c>
      <c r="J186" s="18">
        <v>0.2</v>
      </c>
      <c r="K186" s="18">
        <v>0.1</v>
      </c>
      <c r="L186" s="22">
        <f t="shared" si="74"/>
        <v>13.199999999999989</v>
      </c>
      <c r="M186" s="18">
        <v>77.86</v>
      </c>
      <c r="N186" s="18">
        <v>8.15</v>
      </c>
      <c r="O186" s="18">
        <v>0.79</v>
      </c>
      <c r="P186" s="18">
        <v>0.4</v>
      </c>
      <c r="Q186" s="18">
        <v>850</v>
      </c>
      <c r="R186" s="18" t="s">
        <v>51</v>
      </c>
      <c r="S186" s="53">
        <v>0</v>
      </c>
      <c r="T186" s="18">
        <v>18.39</v>
      </c>
      <c r="U186" s="21">
        <v>21</v>
      </c>
      <c r="V186" s="21">
        <v>8.6999999999999993</v>
      </c>
      <c r="W186" s="18">
        <v>4</v>
      </c>
      <c r="X186" s="18">
        <v>1.4</v>
      </c>
      <c r="Y186" s="49">
        <f t="shared" si="105"/>
        <v>64.900000000000006</v>
      </c>
      <c r="Z186" s="18">
        <f t="shared" si="76"/>
        <v>1.0526315789473684</v>
      </c>
      <c r="AA186" s="18">
        <v>18.670000000000002</v>
      </c>
      <c r="AB186" s="18">
        <v>10.46</v>
      </c>
      <c r="AC186" s="21">
        <f t="shared" si="77"/>
        <v>3890</v>
      </c>
      <c r="AD186" s="18" t="s">
        <v>51</v>
      </c>
      <c r="AF186" s="1"/>
      <c r="AG186" s="29">
        <v>0.95</v>
      </c>
      <c r="AH186" s="29">
        <v>3.89</v>
      </c>
      <c r="AO186" s="30">
        <f t="shared" ref="AO186:AS186" si="161">U186</f>
        <v>21</v>
      </c>
      <c r="AP186" s="30">
        <f t="shared" si="161"/>
        <v>8.6999999999999993</v>
      </c>
      <c r="AQ186" s="30">
        <f t="shared" si="161"/>
        <v>4</v>
      </c>
      <c r="AR186" s="30">
        <f t="shared" si="161"/>
        <v>1.4</v>
      </c>
      <c r="AS186" s="30">
        <f t="shared" si="161"/>
        <v>64.900000000000006</v>
      </c>
      <c r="AT186" s="31">
        <f t="shared" si="14"/>
        <v>100</v>
      </c>
      <c r="AV186" s="21">
        <f t="shared" si="86"/>
        <v>3890</v>
      </c>
    </row>
    <row r="187" spans="2:48" ht="15.75" customHeight="1" x14ac:dyDescent="0.25">
      <c r="B187" s="32"/>
      <c r="C187" s="18" t="s">
        <v>46</v>
      </c>
      <c r="D187" s="51"/>
      <c r="E187" s="18" t="s">
        <v>48</v>
      </c>
      <c r="F187" s="51"/>
      <c r="G187" s="18">
        <v>49</v>
      </c>
      <c r="H187" s="18">
        <v>6.3</v>
      </c>
      <c r="I187" s="18">
        <v>44.4</v>
      </c>
      <c r="J187" s="18">
        <v>0.2</v>
      </c>
      <c r="K187" s="18">
        <v>0.1</v>
      </c>
      <c r="L187" s="22">
        <f t="shared" si="74"/>
        <v>13.199999999999989</v>
      </c>
      <c r="M187" s="18">
        <v>77.86</v>
      </c>
      <c r="N187" s="18">
        <v>8.15</v>
      </c>
      <c r="O187" s="18">
        <v>0.79</v>
      </c>
      <c r="P187" s="18">
        <v>0.4</v>
      </c>
      <c r="Q187" s="18">
        <v>850</v>
      </c>
      <c r="R187" s="18" t="s">
        <v>51</v>
      </c>
      <c r="S187" s="53">
        <v>0</v>
      </c>
      <c r="T187" s="18">
        <v>18.39</v>
      </c>
      <c r="U187" s="21">
        <v>18</v>
      </c>
      <c r="V187" s="21">
        <v>8.3000000000000007</v>
      </c>
      <c r="W187" s="18">
        <v>4</v>
      </c>
      <c r="X187" s="18">
        <v>1.6</v>
      </c>
      <c r="Y187" s="49">
        <f t="shared" si="105"/>
        <v>68.099999999999994</v>
      </c>
      <c r="Z187" s="18">
        <f t="shared" si="76"/>
        <v>0.92592592592592582</v>
      </c>
      <c r="AA187" s="18">
        <v>19.62</v>
      </c>
      <c r="AB187" s="18">
        <v>11.68</v>
      </c>
      <c r="AC187" s="21">
        <f t="shared" si="77"/>
        <v>3590</v>
      </c>
      <c r="AD187" s="18" t="s">
        <v>51</v>
      </c>
      <c r="AF187" s="1"/>
      <c r="AG187" s="29">
        <v>1.08</v>
      </c>
      <c r="AH187" s="29">
        <v>3.59</v>
      </c>
      <c r="AO187" s="30">
        <f t="shared" ref="AO187:AS187" si="162">U187</f>
        <v>18</v>
      </c>
      <c r="AP187" s="30">
        <f t="shared" si="162"/>
        <v>8.3000000000000007</v>
      </c>
      <c r="AQ187" s="30">
        <f t="shared" si="162"/>
        <v>4</v>
      </c>
      <c r="AR187" s="30">
        <f t="shared" si="162"/>
        <v>1.6</v>
      </c>
      <c r="AS187" s="30">
        <f t="shared" si="162"/>
        <v>68.099999999999994</v>
      </c>
      <c r="AT187" s="31">
        <f t="shared" si="14"/>
        <v>100</v>
      </c>
      <c r="AV187" s="21">
        <f t="shared" si="86"/>
        <v>3590</v>
      </c>
    </row>
    <row r="188" spans="2:48" ht="15.75" customHeight="1" x14ac:dyDescent="0.25">
      <c r="B188" s="32"/>
      <c r="C188" s="18" t="s">
        <v>46</v>
      </c>
      <c r="D188" s="51"/>
      <c r="E188" s="18" t="s">
        <v>48</v>
      </c>
      <c r="F188" s="51"/>
      <c r="G188" s="18">
        <v>49</v>
      </c>
      <c r="H188" s="18">
        <v>6.3</v>
      </c>
      <c r="I188" s="18">
        <v>44.4</v>
      </c>
      <c r="J188" s="18">
        <v>0.2</v>
      </c>
      <c r="K188" s="18">
        <v>0.1</v>
      </c>
      <c r="L188" s="22">
        <f t="shared" si="74"/>
        <v>13.199999999999989</v>
      </c>
      <c r="M188" s="18">
        <v>77.86</v>
      </c>
      <c r="N188" s="18">
        <v>8.15</v>
      </c>
      <c r="O188" s="18">
        <v>0.79</v>
      </c>
      <c r="P188" s="18">
        <v>0.4</v>
      </c>
      <c r="Q188" s="18">
        <v>850</v>
      </c>
      <c r="R188" s="18" t="s">
        <v>51</v>
      </c>
      <c r="S188" s="53">
        <v>0</v>
      </c>
      <c r="T188" s="18">
        <v>18.39</v>
      </c>
      <c r="U188" s="21">
        <v>19</v>
      </c>
      <c r="V188" s="21">
        <v>7.2</v>
      </c>
      <c r="W188" s="18">
        <v>4</v>
      </c>
      <c r="X188" s="18">
        <v>1.6</v>
      </c>
      <c r="Y188" s="49">
        <f t="shared" si="105"/>
        <v>68.2</v>
      </c>
      <c r="Z188" s="18">
        <f t="shared" si="76"/>
        <v>1.2345679012345678</v>
      </c>
      <c r="AA188" s="18">
        <v>14.45</v>
      </c>
      <c r="AB188" s="18">
        <v>7.8</v>
      </c>
      <c r="AC188" s="21">
        <f t="shared" si="77"/>
        <v>3520</v>
      </c>
      <c r="AD188" s="18" t="s">
        <v>51</v>
      </c>
      <c r="AF188" s="1"/>
      <c r="AG188" s="29">
        <v>0.81</v>
      </c>
      <c r="AH188" s="29">
        <v>3.52</v>
      </c>
      <c r="AO188" s="30">
        <f t="shared" ref="AO188:AS188" si="163">U188</f>
        <v>19</v>
      </c>
      <c r="AP188" s="30">
        <f t="shared" si="163"/>
        <v>7.2</v>
      </c>
      <c r="AQ188" s="30">
        <f t="shared" si="163"/>
        <v>4</v>
      </c>
      <c r="AR188" s="30">
        <f t="shared" si="163"/>
        <v>1.6</v>
      </c>
      <c r="AS188" s="30">
        <f t="shared" si="163"/>
        <v>68.2</v>
      </c>
      <c r="AT188" s="31">
        <f t="shared" si="14"/>
        <v>100</v>
      </c>
      <c r="AV188" s="21">
        <f t="shared" si="86"/>
        <v>3520</v>
      </c>
    </row>
    <row r="189" spans="2:48" ht="15.75" customHeight="1" x14ac:dyDescent="0.25">
      <c r="B189" s="32"/>
      <c r="C189" s="18" t="s">
        <v>46</v>
      </c>
      <c r="D189" s="51"/>
      <c r="E189" s="18" t="s">
        <v>48</v>
      </c>
      <c r="F189" s="51"/>
      <c r="G189" s="18">
        <v>49</v>
      </c>
      <c r="H189" s="18">
        <v>6.3</v>
      </c>
      <c r="I189" s="18">
        <v>44.4</v>
      </c>
      <c r="J189" s="18">
        <v>0.2</v>
      </c>
      <c r="K189" s="18">
        <v>0.1</v>
      </c>
      <c r="L189" s="22">
        <f t="shared" si="74"/>
        <v>13.199999999999989</v>
      </c>
      <c r="M189" s="18">
        <v>77.86</v>
      </c>
      <c r="N189" s="18">
        <v>8.15</v>
      </c>
      <c r="O189" s="18">
        <v>0.79</v>
      </c>
      <c r="P189" s="18">
        <v>0.4</v>
      </c>
      <c r="Q189" s="18">
        <v>850</v>
      </c>
      <c r="R189" s="18" t="s">
        <v>51</v>
      </c>
      <c r="S189" s="53">
        <v>0</v>
      </c>
      <c r="T189" s="18">
        <v>18.39</v>
      </c>
      <c r="U189" s="21">
        <v>18</v>
      </c>
      <c r="V189" s="21">
        <v>12.8</v>
      </c>
      <c r="W189" s="18">
        <v>4</v>
      </c>
      <c r="X189" s="18">
        <v>1.7</v>
      </c>
      <c r="Y189" s="49">
        <f t="shared" si="105"/>
        <v>63.5</v>
      </c>
      <c r="Z189" s="18">
        <f t="shared" si="76"/>
        <v>1.0526315789473684</v>
      </c>
      <c r="AA189" s="18">
        <v>20.149999999999999</v>
      </c>
      <c r="AB189" s="18">
        <v>15.02</v>
      </c>
      <c r="AC189" s="21">
        <f t="shared" si="77"/>
        <v>4200</v>
      </c>
      <c r="AD189" s="18" t="s">
        <v>51</v>
      </c>
      <c r="AF189" s="1"/>
      <c r="AG189" s="29">
        <v>0.95</v>
      </c>
      <c r="AH189" s="29">
        <v>4.2</v>
      </c>
      <c r="AO189" s="30">
        <f t="shared" ref="AO189:AS189" si="164">U189</f>
        <v>18</v>
      </c>
      <c r="AP189" s="30">
        <f t="shared" si="164"/>
        <v>12.8</v>
      </c>
      <c r="AQ189" s="30">
        <f t="shared" si="164"/>
        <v>4</v>
      </c>
      <c r="AR189" s="30">
        <f t="shared" si="164"/>
        <v>1.7</v>
      </c>
      <c r="AS189" s="30">
        <f t="shared" si="164"/>
        <v>63.5</v>
      </c>
      <c r="AT189" s="31">
        <f t="shared" si="14"/>
        <v>100</v>
      </c>
      <c r="AV189" s="21">
        <f t="shared" si="86"/>
        <v>4200</v>
      </c>
    </row>
    <row r="190" spans="2:48" ht="15.75" customHeight="1" x14ac:dyDescent="0.25">
      <c r="B190" s="32"/>
      <c r="C190" s="18" t="s">
        <v>46</v>
      </c>
      <c r="D190" s="51"/>
      <c r="E190" s="18" t="s">
        <v>48</v>
      </c>
      <c r="F190" s="51"/>
      <c r="G190" s="18">
        <v>49</v>
      </c>
      <c r="H190" s="18">
        <v>6.3</v>
      </c>
      <c r="I190" s="18">
        <v>44.4</v>
      </c>
      <c r="J190" s="18">
        <v>0.2</v>
      </c>
      <c r="K190" s="18">
        <v>0.1</v>
      </c>
      <c r="L190" s="22">
        <f t="shared" si="74"/>
        <v>13.199999999999989</v>
      </c>
      <c r="M190" s="18">
        <v>77.86</v>
      </c>
      <c r="N190" s="18">
        <v>8.15</v>
      </c>
      <c r="O190" s="18">
        <v>0.79</v>
      </c>
      <c r="P190" s="18">
        <v>0.4</v>
      </c>
      <c r="Q190" s="18">
        <v>850</v>
      </c>
      <c r="R190" s="18" t="s">
        <v>51</v>
      </c>
      <c r="S190" s="53">
        <v>0</v>
      </c>
      <c r="T190" s="18">
        <v>18.39</v>
      </c>
      <c r="U190" s="21">
        <v>20</v>
      </c>
      <c r="V190" s="21">
        <v>11.1</v>
      </c>
      <c r="W190" s="18">
        <v>4</v>
      </c>
      <c r="X190" s="18">
        <v>1.7</v>
      </c>
      <c r="Y190" s="49">
        <f t="shared" si="105"/>
        <v>63.199999999999996</v>
      </c>
      <c r="Z190" s="18">
        <f t="shared" si="76"/>
        <v>0.92592592592592582</v>
      </c>
      <c r="AA190" s="18">
        <v>22.96</v>
      </c>
      <c r="AB190" s="18">
        <v>15.1</v>
      </c>
      <c r="AC190" s="21">
        <f t="shared" si="77"/>
        <v>4200</v>
      </c>
      <c r="AD190" s="18" t="s">
        <v>51</v>
      </c>
      <c r="AF190" s="1"/>
      <c r="AG190" s="29">
        <v>1.08</v>
      </c>
      <c r="AH190" s="29">
        <v>4.2</v>
      </c>
      <c r="AO190" s="30">
        <f t="shared" ref="AO190:AS190" si="165">U190</f>
        <v>20</v>
      </c>
      <c r="AP190" s="30">
        <f t="shared" si="165"/>
        <v>11.1</v>
      </c>
      <c r="AQ190" s="30">
        <f t="shared" si="165"/>
        <v>4</v>
      </c>
      <c r="AR190" s="30">
        <f t="shared" si="165"/>
        <v>1.7</v>
      </c>
      <c r="AS190" s="30">
        <f t="shared" si="165"/>
        <v>63.199999999999996</v>
      </c>
      <c r="AT190" s="31">
        <f t="shared" si="14"/>
        <v>100</v>
      </c>
      <c r="AV190" s="21">
        <f t="shared" si="86"/>
        <v>4200</v>
      </c>
    </row>
    <row r="191" spans="2:48" ht="15.75" customHeight="1" x14ac:dyDescent="0.25">
      <c r="B191" s="32"/>
      <c r="C191" s="18" t="s">
        <v>46</v>
      </c>
      <c r="D191" s="51"/>
      <c r="E191" s="18" t="s">
        <v>48</v>
      </c>
      <c r="F191" s="51"/>
      <c r="G191" s="18">
        <v>49</v>
      </c>
      <c r="H191" s="18">
        <v>6.3</v>
      </c>
      <c r="I191" s="18">
        <v>44.4</v>
      </c>
      <c r="J191" s="18">
        <v>0.2</v>
      </c>
      <c r="K191" s="18">
        <v>0.1</v>
      </c>
      <c r="L191" s="22">
        <f t="shared" si="74"/>
        <v>13.199999999999989</v>
      </c>
      <c r="M191" s="18">
        <v>77.86</v>
      </c>
      <c r="N191" s="18">
        <v>8.15</v>
      </c>
      <c r="O191" s="18">
        <v>0.79</v>
      </c>
      <c r="P191" s="18">
        <v>0.4</v>
      </c>
      <c r="Q191" s="18">
        <v>850</v>
      </c>
      <c r="R191" s="18" t="s">
        <v>51</v>
      </c>
      <c r="S191" s="53">
        <v>0</v>
      </c>
      <c r="T191" s="18">
        <v>18.39</v>
      </c>
      <c r="U191" s="21">
        <v>34.1</v>
      </c>
      <c r="V191" s="21">
        <v>23.2</v>
      </c>
      <c r="W191" s="18">
        <v>4</v>
      </c>
      <c r="X191" s="18">
        <v>3.5</v>
      </c>
      <c r="Y191" s="49">
        <f t="shared" si="105"/>
        <v>35.200000000000003</v>
      </c>
      <c r="Z191" s="18">
        <f t="shared" si="76"/>
        <v>5.8823529411764701</v>
      </c>
      <c r="AA191" s="18">
        <v>6.81</v>
      </c>
      <c r="AB191" s="18">
        <v>4.97</v>
      </c>
      <c r="AC191" s="21">
        <f t="shared" si="77"/>
        <v>7900</v>
      </c>
      <c r="AD191" s="18" t="s">
        <v>51</v>
      </c>
      <c r="AF191" s="1"/>
      <c r="AG191" s="29">
        <v>0.17</v>
      </c>
      <c r="AH191" s="29">
        <v>7.9</v>
      </c>
      <c r="AO191" s="30">
        <f t="shared" ref="AO191:AS191" si="166">U191</f>
        <v>34.1</v>
      </c>
      <c r="AP191" s="30">
        <f t="shared" si="166"/>
        <v>23.2</v>
      </c>
      <c r="AQ191" s="30">
        <f t="shared" si="166"/>
        <v>4</v>
      </c>
      <c r="AR191" s="30">
        <f t="shared" si="166"/>
        <v>3.5</v>
      </c>
      <c r="AS191" s="30">
        <f t="shared" si="166"/>
        <v>35.200000000000003</v>
      </c>
      <c r="AT191" s="31">
        <f t="shared" si="14"/>
        <v>100</v>
      </c>
      <c r="AV191" s="21">
        <f t="shared" si="86"/>
        <v>7900</v>
      </c>
    </row>
    <row r="192" spans="2:48" ht="15.75" customHeight="1" x14ac:dyDescent="0.25">
      <c r="B192" s="32"/>
      <c r="C192" s="18" t="s">
        <v>46</v>
      </c>
      <c r="D192" s="51"/>
      <c r="E192" s="18" t="s">
        <v>48</v>
      </c>
      <c r="F192" s="51"/>
      <c r="G192" s="18">
        <v>49</v>
      </c>
      <c r="H192" s="18">
        <v>6.3</v>
      </c>
      <c r="I192" s="18">
        <v>44.4</v>
      </c>
      <c r="J192" s="18">
        <v>0.2</v>
      </c>
      <c r="K192" s="18">
        <v>0.1</v>
      </c>
      <c r="L192" s="22">
        <f t="shared" si="74"/>
        <v>13.199999999999989</v>
      </c>
      <c r="M192" s="18">
        <v>77.86</v>
      </c>
      <c r="N192" s="18">
        <v>8.15</v>
      </c>
      <c r="O192" s="18">
        <v>0.79</v>
      </c>
      <c r="P192" s="18">
        <v>0.4</v>
      </c>
      <c r="Q192" s="18">
        <v>850</v>
      </c>
      <c r="R192" s="18" t="s">
        <v>51</v>
      </c>
      <c r="S192" s="53">
        <v>0</v>
      </c>
      <c r="T192" s="18">
        <v>18.39</v>
      </c>
      <c r="U192" s="21">
        <v>34.700000000000003</v>
      </c>
      <c r="V192" s="21">
        <v>20.8</v>
      </c>
      <c r="W192" s="18">
        <v>4</v>
      </c>
      <c r="X192" s="18">
        <v>3.2</v>
      </c>
      <c r="Y192" s="49">
        <f t="shared" si="105"/>
        <v>37.299999999999997</v>
      </c>
      <c r="Z192" s="18">
        <f t="shared" si="76"/>
        <v>5</v>
      </c>
      <c r="AA192" s="18">
        <v>7.71</v>
      </c>
      <c r="AB192" s="18">
        <v>5.21</v>
      </c>
      <c r="AC192" s="21">
        <f t="shared" si="77"/>
        <v>7660</v>
      </c>
      <c r="AD192" s="18" t="s">
        <v>51</v>
      </c>
      <c r="AF192" s="1"/>
      <c r="AG192" s="29">
        <v>0.2</v>
      </c>
      <c r="AH192" s="29">
        <v>7.66</v>
      </c>
      <c r="AO192" s="30">
        <f t="shared" ref="AO192:AS192" si="167">U192</f>
        <v>34.700000000000003</v>
      </c>
      <c r="AP192" s="30">
        <f t="shared" si="167"/>
        <v>20.8</v>
      </c>
      <c r="AQ192" s="30">
        <f t="shared" si="167"/>
        <v>4</v>
      </c>
      <c r="AR192" s="30">
        <f t="shared" si="167"/>
        <v>3.2</v>
      </c>
      <c r="AS192" s="30">
        <f t="shared" si="167"/>
        <v>37.299999999999997</v>
      </c>
      <c r="AT192" s="31">
        <f t="shared" si="14"/>
        <v>100</v>
      </c>
      <c r="AV192" s="21">
        <f t="shared" si="86"/>
        <v>7660</v>
      </c>
    </row>
    <row r="193" spans="2:48" ht="15.75" customHeight="1" x14ac:dyDescent="0.25">
      <c r="B193" s="32"/>
      <c r="C193" s="18" t="s">
        <v>46</v>
      </c>
      <c r="D193" s="51"/>
      <c r="E193" s="18" t="s">
        <v>48</v>
      </c>
      <c r="F193" s="51"/>
      <c r="G193" s="18">
        <v>49</v>
      </c>
      <c r="H193" s="18">
        <v>6.3</v>
      </c>
      <c r="I193" s="18">
        <v>44.4</v>
      </c>
      <c r="J193" s="18">
        <v>0.2</v>
      </c>
      <c r="K193" s="18">
        <v>0.1</v>
      </c>
      <c r="L193" s="22">
        <f t="shared" si="74"/>
        <v>13.199999999999989</v>
      </c>
      <c r="M193" s="18">
        <v>77.86</v>
      </c>
      <c r="N193" s="18">
        <v>8.15</v>
      </c>
      <c r="O193" s="18">
        <v>0.79</v>
      </c>
      <c r="P193" s="18">
        <v>0.4</v>
      </c>
      <c r="Q193" s="18">
        <v>850</v>
      </c>
      <c r="R193" s="18" t="s">
        <v>51</v>
      </c>
      <c r="S193" s="53">
        <v>0</v>
      </c>
      <c r="T193" s="18">
        <v>18.39</v>
      </c>
      <c r="U193" s="21">
        <v>27.4</v>
      </c>
      <c r="V193" s="21">
        <v>24.3</v>
      </c>
      <c r="W193" s="18">
        <v>4</v>
      </c>
      <c r="X193" s="18">
        <v>5.4</v>
      </c>
      <c r="Y193" s="49">
        <f t="shared" si="105"/>
        <v>38.9</v>
      </c>
      <c r="Z193" s="18">
        <f t="shared" si="76"/>
        <v>4.3478260869565215</v>
      </c>
      <c r="AA193" s="18">
        <v>9.15</v>
      </c>
      <c r="AB193" s="18">
        <v>7.37</v>
      </c>
      <c r="AC193" s="21">
        <f t="shared" si="77"/>
        <v>7960</v>
      </c>
      <c r="AD193" s="18" t="s">
        <v>51</v>
      </c>
      <c r="AF193" s="1"/>
      <c r="AG193" s="29">
        <v>0.23</v>
      </c>
      <c r="AH193" s="29">
        <v>7.96</v>
      </c>
      <c r="AO193" s="30">
        <f t="shared" ref="AO193:AS193" si="168">U193</f>
        <v>27.4</v>
      </c>
      <c r="AP193" s="30">
        <f t="shared" si="168"/>
        <v>24.3</v>
      </c>
      <c r="AQ193" s="30">
        <f t="shared" si="168"/>
        <v>4</v>
      </c>
      <c r="AR193" s="30">
        <f t="shared" si="168"/>
        <v>5.4</v>
      </c>
      <c r="AS193" s="30">
        <f t="shared" si="168"/>
        <v>38.9</v>
      </c>
      <c r="AT193" s="31">
        <f t="shared" si="14"/>
        <v>100</v>
      </c>
      <c r="AV193" s="21">
        <f t="shared" si="86"/>
        <v>7960</v>
      </c>
    </row>
    <row r="194" spans="2:48" ht="15.75" customHeight="1" x14ac:dyDescent="0.25">
      <c r="B194" s="32"/>
      <c r="C194" s="18" t="s">
        <v>46</v>
      </c>
      <c r="D194" s="51"/>
      <c r="E194" s="18" t="s">
        <v>48</v>
      </c>
      <c r="F194" s="51"/>
      <c r="G194" s="18">
        <v>49</v>
      </c>
      <c r="H194" s="18">
        <v>6.3</v>
      </c>
      <c r="I194" s="18">
        <v>44.4</v>
      </c>
      <c r="J194" s="18">
        <v>0.2</v>
      </c>
      <c r="K194" s="18">
        <v>0.1</v>
      </c>
      <c r="L194" s="22">
        <f t="shared" si="74"/>
        <v>13.199999999999989</v>
      </c>
      <c r="M194" s="18">
        <v>77.86</v>
      </c>
      <c r="N194" s="18">
        <v>8.15</v>
      </c>
      <c r="O194" s="18">
        <v>0.79</v>
      </c>
      <c r="P194" s="18">
        <v>0.4</v>
      </c>
      <c r="Q194" s="18">
        <v>850</v>
      </c>
      <c r="R194" s="18" t="s">
        <v>51</v>
      </c>
      <c r="S194" s="53">
        <v>0</v>
      </c>
      <c r="T194" s="18">
        <v>18.39</v>
      </c>
      <c r="U194" s="21">
        <v>32.6</v>
      </c>
      <c r="V194" s="21">
        <v>17.8</v>
      </c>
      <c r="W194" s="18">
        <v>4</v>
      </c>
      <c r="X194" s="18">
        <v>3.6</v>
      </c>
      <c r="Y194" s="49">
        <f t="shared" si="105"/>
        <v>41.999999999999993</v>
      </c>
      <c r="Z194" s="18">
        <f t="shared" si="76"/>
        <v>5.8823529411764701</v>
      </c>
      <c r="AA194" s="18">
        <v>6.1</v>
      </c>
      <c r="AB194" s="18">
        <v>3.98</v>
      </c>
      <c r="AC194" s="21">
        <f t="shared" si="77"/>
        <v>7070</v>
      </c>
      <c r="AD194" s="18" t="s">
        <v>51</v>
      </c>
      <c r="AF194" s="1"/>
      <c r="AG194" s="29">
        <v>0.17</v>
      </c>
      <c r="AH194" s="29">
        <v>7.07</v>
      </c>
      <c r="AO194" s="30">
        <f t="shared" ref="AO194:AS194" si="169">U194</f>
        <v>32.6</v>
      </c>
      <c r="AP194" s="30">
        <f t="shared" si="169"/>
        <v>17.8</v>
      </c>
      <c r="AQ194" s="30">
        <f t="shared" si="169"/>
        <v>4</v>
      </c>
      <c r="AR194" s="30">
        <f t="shared" si="169"/>
        <v>3.6</v>
      </c>
      <c r="AS194" s="30">
        <f t="shared" si="169"/>
        <v>41.999999999999993</v>
      </c>
      <c r="AT194" s="31">
        <f t="shared" si="14"/>
        <v>100</v>
      </c>
      <c r="AV194" s="21">
        <f t="shared" si="86"/>
        <v>7070</v>
      </c>
    </row>
    <row r="195" spans="2:48" ht="15.75" customHeight="1" x14ac:dyDescent="0.25">
      <c r="B195" s="32"/>
      <c r="C195" s="18" t="s">
        <v>46</v>
      </c>
      <c r="D195" s="51"/>
      <c r="E195" s="18" t="s">
        <v>48</v>
      </c>
      <c r="F195" s="51"/>
      <c r="G195" s="18">
        <v>49</v>
      </c>
      <c r="H195" s="18">
        <v>6.3</v>
      </c>
      <c r="I195" s="18">
        <v>44.4</v>
      </c>
      <c r="J195" s="18">
        <v>0.2</v>
      </c>
      <c r="K195" s="18">
        <v>0.1</v>
      </c>
      <c r="L195" s="22">
        <f t="shared" si="74"/>
        <v>13.199999999999989</v>
      </c>
      <c r="M195" s="18">
        <v>77.86</v>
      </c>
      <c r="N195" s="18">
        <v>8.15</v>
      </c>
      <c r="O195" s="18">
        <v>0.79</v>
      </c>
      <c r="P195" s="18">
        <v>0.4</v>
      </c>
      <c r="Q195" s="18">
        <v>850</v>
      </c>
      <c r="R195" s="18" t="s">
        <v>51</v>
      </c>
      <c r="S195" s="53">
        <v>0</v>
      </c>
      <c r="T195" s="18">
        <v>18.39</v>
      </c>
      <c r="U195" s="21">
        <v>33</v>
      </c>
      <c r="V195" s="21">
        <v>24.8</v>
      </c>
      <c r="W195" s="18">
        <v>4</v>
      </c>
      <c r="X195" s="18">
        <v>4.5</v>
      </c>
      <c r="Y195" s="49">
        <f t="shared" si="105"/>
        <v>33.700000000000003</v>
      </c>
      <c r="Z195" s="18">
        <f t="shared" si="76"/>
        <v>5</v>
      </c>
      <c r="AA195" s="18">
        <v>8.4</v>
      </c>
      <c r="AB195" s="18">
        <v>6.36</v>
      </c>
      <c r="AC195" s="21">
        <f t="shared" si="77"/>
        <v>8350</v>
      </c>
      <c r="AD195" s="18" t="s">
        <v>51</v>
      </c>
      <c r="AF195" s="1"/>
      <c r="AG195" s="29">
        <v>0.2</v>
      </c>
      <c r="AH195" s="29">
        <v>8.35</v>
      </c>
      <c r="AO195" s="30">
        <f t="shared" ref="AO195:AS195" si="170">U195</f>
        <v>33</v>
      </c>
      <c r="AP195" s="30">
        <f t="shared" si="170"/>
        <v>24.8</v>
      </c>
      <c r="AQ195" s="30">
        <f t="shared" si="170"/>
        <v>4</v>
      </c>
      <c r="AR195" s="30">
        <f t="shared" si="170"/>
        <v>4.5</v>
      </c>
      <c r="AS195" s="30">
        <f t="shared" si="170"/>
        <v>33.700000000000003</v>
      </c>
      <c r="AT195" s="31">
        <f t="shared" si="14"/>
        <v>100</v>
      </c>
      <c r="AV195" s="21">
        <f t="shared" si="86"/>
        <v>8350</v>
      </c>
    </row>
    <row r="196" spans="2:48" ht="15.75" customHeight="1" x14ac:dyDescent="0.25">
      <c r="B196" s="32"/>
      <c r="C196" s="18" t="s">
        <v>46</v>
      </c>
      <c r="D196" s="51"/>
      <c r="E196" s="18" t="s">
        <v>48</v>
      </c>
      <c r="F196" s="51"/>
      <c r="G196" s="18">
        <v>49</v>
      </c>
      <c r="H196" s="18">
        <v>6.3</v>
      </c>
      <c r="I196" s="18">
        <v>44.4</v>
      </c>
      <c r="J196" s="18">
        <v>0.2</v>
      </c>
      <c r="K196" s="18">
        <v>0.1</v>
      </c>
      <c r="L196" s="22">
        <f t="shared" si="74"/>
        <v>13.199999999999989</v>
      </c>
      <c r="M196" s="18">
        <v>77.86</v>
      </c>
      <c r="N196" s="18">
        <v>8.15</v>
      </c>
      <c r="O196" s="18">
        <v>0.79</v>
      </c>
      <c r="P196" s="18">
        <v>0.4</v>
      </c>
      <c r="Q196" s="18">
        <v>850</v>
      </c>
      <c r="R196" s="18" t="s">
        <v>51</v>
      </c>
      <c r="S196" s="53">
        <v>0</v>
      </c>
      <c r="T196" s="18">
        <v>18.39</v>
      </c>
      <c r="U196" s="21">
        <v>33.299999999999997</v>
      </c>
      <c r="V196" s="21">
        <v>18</v>
      </c>
      <c r="W196" s="18">
        <v>4</v>
      </c>
      <c r="X196" s="18">
        <v>3.4</v>
      </c>
      <c r="Y196" s="49">
        <f t="shared" si="105"/>
        <v>41.300000000000004</v>
      </c>
      <c r="Z196" s="18">
        <f t="shared" si="76"/>
        <v>4.3478260869565215</v>
      </c>
      <c r="AA196" s="18">
        <v>8.1999999999999993</v>
      </c>
      <c r="AB196" s="18">
        <v>5.31</v>
      </c>
      <c r="AC196" s="21">
        <f t="shared" si="77"/>
        <v>7130</v>
      </c>
      <c r="AD196" s="18" t="s">
        <v>51</v>
      </c>
      <c r="AF196" s="1"/>
      <c r="AG196" s="29">
        <v>0.23</v>
      </c>
      <c r="AH196" s="29">
        <v>7.13</v>
      </c>
      <c r="AO196" s="30">
        <f t="shared" ref="AO196:AS196" si="171">U196</f>
        <v>33.299999999999997</v>
      </c>
      <c r="AP196" s="30">
        <f t="shared" si="171"/>
        <v>18</v>
      </c>
      <c r="AQ196" s="30">
        <f t="shared" si="171"/>
        <v>4</v>
      </c>
      <c r="AR196" s="30">
        <f t="shared" si="171"/>
        <v>3.4</v>
      </c>
      <c r="AS196" s="30">
        <f t="shared" si="171"/>
        <v>41.300000000000004</v>
      </c>
      <c r="AT196" s="31">
        <f t="shared" si="14"/>
        <v>100</v>
      </c>
      <c r="AV196" s="21">
        <f t="shared" si="86"/>
        <v>7130</v>
      </c>
    </row>
    <row r="197" spans="2:48" ht="15.75" customHeight="1" x14ac:dyDescent="0.25">
      <c r="B197" s="32"/>
      <c r="C197" s="18" t="s">
        <v>46</v>
      </c>
      <c r="D197" s="51"/>
      <c r="E197" s="18" t="s">
        <v>48</v>
      </c>
      <c r="F197" s="51"/>
      <c r="G197" s="18">
        <v>51.81</v>
      </c>
      <c r="H197" s="18">
        <v>5.76</v>
      </c>
      <c r="I197" s="58">
        <f t="shared" ref="I197:I202" si="172">100-SUM(G197,H197,J197,K197)</f>
        <v>41.81</v>
      </c>
      <c r="J197" s="18">
        <v>0.26</v>
      </c>
      <c r="K197" s="18">
        <v>0.36</v>
      </c>
      <c r="L197" s="22">
        <f t="shared" si="74"/>
        <v>11.739999999999995</v>
      </c>
      <c r="M197" s="18">
        <v>82.28</v>
      </c>
      <c r="N197" s="59">
        <v>0</v>
      </c>
      <c r="O197" s="18">
        <v>5.98</v>
      </c>
      <c r="P197" s="18">
        <v>0.6</v>
      </c>
      <c r="Q197" s="18">
        <v>700</v>
      </c>
      <c r="R197" s="18" t="s">
        <v>51</v>
      </c>
      <c r="S197" s="56">
        <v>0</v>
      </c>
      <c r="T197" s="18">
        <v>21.31</v>
      </c>
      <c r="U197" s="21">
        <v>27.01</v>
      </c>
      <c r="V197" s="21">
        <v>9.34</v>
      </c>
      <c r="W197" s="18">
        <v>35.25</v>
      </c>
      <c r="X197" s="18">
        <v>20.3</v>
      </c>
      <c r="Y197" s="27">
        <f t="shared" ref="Y197:Y220" si="173">(AK197/AM197)*100</f>
        <v>60.180345888099254</v>
      </c>
      <c r="Z197" s="18">
        <f t="shared" si="76"/>
        <v>1.3513513513513513</v>
      </c>
      <c r="AA197" s="18">
        <v>49.58</v>
      </c>
      <c r="AB197" s="18">
        <v>62.05</v>
      </c>
      <c r="AC197" s="21">
        <f t="shared" si="77"/>
        <v>14440</v>
      </c>
      <c r="AD197" s="18" t="s">
        <v>51</v>
      </c>
      <c r="AF197" s="1"/>
      <c r="AG197" s="29">
        <v>0.74</v>
      </c>
      <c r="AH197" s="29">
        <v>14.44</v>
      </c>
      <c r="AK197" s="1">
        <f t="shared" ref="AK197:AK220" si="174">0.79*((P197*(((G197/12)+(H197/4))-((I197/16)/2)))/0.21)+(J197/14)/2</f>
        <v>10.055687500000001</v>
      </c>
      <c r="AL197" s="29">
        <f t="shared" ref="AL197:AL220" si="175">(100*G197)/(12*(V197+W197+X197))</f>
        <v>6.6535675758976724</v>
      </c>
      <c r="AM197" s="29">
        <f t="shared" ref="AM197:AM220" si="176">AL197+AK197</f>
        <v>16.709255075897673</v>
      </c>
      <c r="AO197" s="30">
        <f t="shared" ref="AO197:AO220" si="177">((AL197*(U197/100))/AM197)*100</f>
        <v>10.755288575624393</v>
      </c>
      <c r="AP197" s="30">
        <f t="shared" ref="AP197:AP220" si="178">((AL197*(V197/100))/AM197)*100</f>
        <v>3.7191556940515307</v>
      </c>
      <c r="AQ197" s="30">
        <f t="shared" ref="AQ197:AQ220" si="179">((AL197*(W197/100))/AM197)*100</f>
        <v>14.036428074445013</v>
      </c>
      <c r="AR197" s="30">
        <f t="shared" ref="AR197:AR220" si="180">((AL197*(X197/100))/AM197)*100</f>
        <v>8.0833897847158518</v>
      </c>
      <c r="AS197" s="30">
        <f t="shared" ref="AS197:AS220" si="181">Y197</f>
        <v>60.180345888099254</v>
      </c>
      <c r="AT197" s="31">
        <f t="shared" si="14"/>
        <v>96.774608016936043</v>
      </c>
      <c r="AV197" s="21">
        <f t="shared" si="86"/>
        <v>14440</v>
      </c>
    </row>
    <row r="198" spans="2:48" ht="15.75" customHeight="1" x14ac:dyDescent="0.25">
      <c r="B198" s="32"/>
      <c r="C198" s="18" t="s">
        <v>46</v>
      </c>
      <c r="D198" s="51"/>
      <c r="E198" s="18" t="s">
        <v>48</v>
      </c>
      <c r="F198" s="51"/>
      <c r="G198" s="18">
        <v>51.81</v>
      </c>
      <c r="H198" s="18">
        <v>5.76</v>
      </c>
      <c r="I198" s="58">
        <f t="shared" si="172"/>
        <v>41.81</v>
      </c>
      <c r="J198" s="18">
        <v>0.26</v>
      </c>
      <c r="K198" s="18">
        <v>0.36</v>
      </c>
      <c r="L198" s="22">
        <f t="shared" si="74"/>
        <v>11.739999999999995</v>
      </c>
      <c r="M198" s="18">
        <v>82.28</v>
      </c>
      <c r="N198" s="59">
        <v>0</v>
      </c>
      <c r="O198" s="18">
        <v>5.98</v>
      </c>
      <c r="P198" s="18">
        <v>0.6</v>
      </c>
      <c r="Q198" s="18">
        <v>950</v>
      </c>
      <c r="R198" s="18" t="s">
        <v>51</v>
      </c>
      <c r="S198" s="56">
        <v>0</v>
      </c>
      <c r="T198" s="18">
        <v>21.31</v>
      </c>
      <c r="U198" s="21">
        <v>34.700000000000003</v>
      </c>
      <c r="V198" s="21">
        <v>11.16</v>
      </c>
      <c r="W198" s="18">
        <v>30.86</v>
      </c>
      <c r="X198" s="18">
        <v>17.89</v>
      </c>
      <c r="Y198" s="27">
        <f t="shared" si="173"/>
        <v>58.25220022432601</v>
      </c>
      <c r="Z198" s="18">
        <f t="shared" si="76"/>
        <v>1.1764705882352942</v>
      </c>
      <c r="AA198" s="18">
        <v>52.58</v>
      </c>
      <c r="AB198" s="18">
        <v>62.13</v>
      </c>
      <c r="AC198" s="21">
        <f t="shared" si="77"/>
        <v>13470</v>
      </c>
      <c r="AD198" s="18" t="s">
        <v>51</v>
      </c>
      <c r="AF198" s="1"/>
      <c r="AG198" s="29">
        <v>0.85</v>
      </c>
      <c r="AH198" s="29">
        <v>13.47</v>
      </c>
      <c r="AK198" s="1">
        <f t="shared" si="174"/>
        <v>10.055687500000001</v>
      </c>
      <c r="AL198" s="29">
        <f t="shared" si="175"/>
        <v>7.2066432982807545</v>
      </c>
      <c r="AM198" s="29">
        <f t="shared" si="176"/>
        <v>17.262330798280757</v>
      </c>
      <c r="AO198" s="30">
        <f t="shared" si="177"/>
        <v>14.486486522158874</v>
      </c>
      <c r="AP198" s="30">
        <f t="shared" si="178"/>
        <v>4.659054454965216</v>
      </c>
      <c r="AQ198" s="30">
        <f t="shared" si="179"/>
        <v>12.88337101077299</v>
      </c>
      <c r="AR198" s="30">
        <f t="shared" si="180"/>
        <v>7.4686813798680749</v>
      </c>
      <c r="AS198" s="30">
        <f t="shared" si="181"/>
        <v>58.25220022432601</v>
      </c>
      <c r="AT198" s="31">
        <f t="shared" si="14"/>
        <v>97.749793592091152</v>
      </c>
      <c r="AV198" s="21">
        <f t="shared" si="86"/>
        <v>13470</v>
      </c>
    </row>
    <row r="199" spans="2:48" ht="15.75" customHeight="1" x14ac:dyDescent="0.25">
      <c r="B199" s="32"/>
      <c r="C199" s="18" t="s">
        <v>46</v>
      </c>
      <c r="D199" s="51"/>
      <c r="E199" s="18" t="s">
        <v>48</v>
      </c>
      <c r="F199" s="51"/>
      <c r="G199" s="18">
        <v>51.81</v>
      </c>
      <c r="H199" s="18">
        <v>5.76</v>
      </c>
      <c r="I199" s="58">
        <f t="shared" si="172"/>
        <v>41.81</v>
      </c>
      <c r="J199" s="18">
        <v>0.26</v>
      </c>
      <c r="K199" s="18">
        <v>0.36</v>
      </c>
      <c r="L199" s="22">
        <f t="shared" si="74"/>
        <v>11.739999999999995</v>
      </c>
      <c r="M199" s="18">
        <v>82.28</v>
      </c>
      <c r="N199" s="59">
        <v>0</v>
      </c>
      <c r="O199" s="18">
        <v>5.98</v>
      </c>
      <c r="P199" s="18">
        <v>0.6</v>
      </c>
      <c r="Q199" s="18">
        <v>950</v>
      </c>
      <c r="R199" s="18" t="s">
        <v>51</v>
      </c>
      <c r="S199" s="56">
        <v>0</v>
      </c>
      <c r="T199" s="18">
        <v>21.31</v>
      </c>
      <c r="U199" s="21">
        <v>40.64</v>
      </c>
      <c r="V199" s="21">
        <v>12.65</v>
      </c>
      <c r="W199" s="18">
        <v>26.61</v>
      </c>
      <c r="X199" s="18">
        <v>15.57</v>
      </c>
      <c r="Y199" s="27">
        <f t="shared" si="173"/>
        <v>56.082948764097793</v>
      </c>
      <c r="Z199" s="18">
        <f t="shared" si="76"/>
        <v>1.0204081632653061</v>
      </c>
      <c r="AA199" s="18">
        <v>55.49</v>
      </c>
      <c r="AB199" s="18">
        <v>64.739999999999995</v>
      </c>
      <c r="AC199" s="21">
        <f t="shared" si="77"/>
        <v>12620</v>
      </c>
      <c r="AD199" s="18" t="s">
        <v>51</v>
      </c>
      <c r="AF199" s="1"/>
      <c r="AG199" s="29">
        <v>0.98</v>
      </c>
      <c r="AH199" s="29">
        <v>12.62</v>
      </c>
      <c r="AK199" s="1">
        <f t="shared" si="174"/>
        <v>10.055687500000001</v>
      </c>
      <c r="AL199" s="29">
        <f t="shared" si="175"/>
        <v>7.8743388655845337</v>
      </c>
      <c r="AM199" s="29">
        <f t="shared" si="176"/>
        <v>17.930026365584535</v>
      </c>
      <c r="AO199" s="30">
        <f t="shared" si="177"/>
        <v>17.847889622270653</v>
      </c>
      <c r="AP199" s="30">
        <f t="shared" si="178"/>
        <v>5.5555069813416296</v>
      </c>
      <c r="AQ199" s="30">
        <f t="shared" si="179"/>
        <v>11.686327333873576</v>
      </c>
      <c r="AR199" s="30">
        <f t="shared" si="180"/>
        <v>6.8378848774299739</v>
      </c>
      <c r="AS199" s="30">
        <f t="shared" si="181"/>
        <v>56.082948764097793</v>
      </c>
      <c r="AT199" s="31">
        <f t="shared" si="14"/>
        <v>98.010557579013621</v>
      </c>
      <c r="AV199" s="21">
        <f t="shared" si="86"/>
        <v>12620</v>
      </c>
    </row>
    <row r="200" spans="2:48" ht="15.75" customHeight="1" x14ac:dyDescent="0.25">
      <c r="B200" s="32"/>
      <c r="C200" s="18" t="s">
        <v>46</v>
      </c>
      <c r="D200" s="51"/>
      <c r="E200" s="18" t="s">
        <v>48</v>
      </c>
      <c r="F200" s="51"/>
      <c r="G200" s="18">
        <v>51.81</v>
      </c>
      <c r="H200" s="18">
        <v>5.76</v>
      </c>
      <c r="I200" s="58">
        <f t="shared" si="172"/>
        <v>41.81</v>
      </c>
      <c r="J200" s="18">
        <v>0.26</v>
      </c>
      <c r="K200" s="18">
        <v>0.36</v>
      </c>
      <c r="L200" s="22">
        <f t="shared" si="74"/>
        <v>11.739999999999995</v>
      </c>
      <c r="M200" s="18">
        <v>82.28</v>
      </c>
      <c r="N200" s="59">
        <v>0</v>
      </c>
      <c r="O200" s="18">
        <v>5.98</v>
      </c>
      <c r="P200" s="18">
        <v>0.6</v>
      </c>
      <c r="Q200" s="18">
        <v>950</v>
      </c>
      <c r="R200" s="18" t="s">
        <v>51</v>
      </c>
      <c r="S200" s="56">
        <v>0</v>
      </c>
      <c r="T200" s="18">
        <v>21.31</v>
      </c>
      <c r="U200" s="21">
        <v>45.6</v>
      </c>
      <c r="V200" s="21">
        <v>13.46</v>
      </c>
      <c r="W200" s="18">
        <v>24.23</v>
      </c>
      <c r="X200" s="18">
        <v>12.24</v>
      </c>
      <c r="Y200" s="27">
        <f t="shared" si="173"/>
        <v>53.765698304812034</v>
      </c>
      <c r="Z200" s="18">
        <f t="shared" si="76"/>
        <v>0.89285714285714279</v>
      </c>
      <c r="AA200" s="18">
        <v>57.74</v>
      </c>
      <c r="AB200" s="18">
        <v>68.180000000000007</v>
      </c>
      <c r="AC200" s="21">
        <f t="shared" si="77"/>
        <v>11740</v>
      </c>
      <c r="AD200" s="18" t="s">
        <v>51</v>
      </c>
      <c r="AF200" s="1"/>
      <c r="AG200" s="29">
        <v>1.1200000000000001</v>
      </c>
      <c r="AH200" s="29">
        <v>11.74</v>
      </c>
      <c r="AK200" s="1">
        <f t="shared" si="174"/>
        <v>10.055687500000001</v>
      </c>
      <c r="AL200" s="29">
        <f t="shared" si="175"/>
        <v>8.6471059483276598</v>
      </c>
      <c r="AM200" s="29">
        <f t="shared" si="176"/>
        <v>18.702793448327661</v>
      </c>
      <c r="AO200" s="30">
        <f t="shared" si="177"/>
        <v>21.082841573005716</v>
      </c>
      <c r="AP200" s="30">
        <f t="shared" si="178"/>
        <v>6.2231370081723005</v>
      </c>
      <c r="AQ200" s="30">
        <f t="shared" si="179"/>
        <v>11.202571300744046</v>
      </c>
      <c r="AR200" s="30">
        <f t="shared" si="180"/>
        <v>5.6590785274910074</v>
      </c>
      <c r="AS200" s="30">
        <f t="shared" si="181"/>
        <v>53.765698304812034</v>
      </c>
      <c r="AT200" s="31">
        <f t="shared" si="14"/>
        <v>97.933326714225103</v>
      </c>
      <c r="AV200" s="21">
        <f t="shared" si="86"/>
        <v>11740</v>
      </c>
    </row>
    <row r="201" spans="2:48" ht="15.75" customHeight="1" x14ac:dyDescent="0.25">
      <c r="B201" s="32"/>
      <c r="C201" s="18" t="s">
        <v>46</v>
      </c>
      <c r="D201" s="51"/>
      <c r="E201" s="18" t="s">
        <v>48</v>
      </c>
      <c r="F201" s="51"/>
      <c r="G201" s="18">
        <v>51.81</v>
      </c>
      <c r="H201" s="18">
        <v>5.76</v>
      </c>
      <c r="I201" s="58">
        <f t="shared" si="172"/>
        <v>41.81</v>
      </c>
      <c r="J201" s="18">
        <v>0.26</v>
      </c>
      <c r="K201" s="18">
        <v>0.36</v>
      </c>
      <c r="L201" s="22">
        <f t="shared" si="74"/>
        <v>11.739999999999995</v>
      </c>
      <c r="M201" s="18">
        <v>82.28</v>
      </c>
      <c r="N201" s="59">
        <v>0</v>
      </c>
      <c r="O201" s="18">
        <v>5.98</v>
      </c>
      <c r="P201" s="18">
        <v>0.6</v>
      </c>
      <c r="Q201" s="18">
        <v>950</v>
      </c>
      <c r="R201" s="18" t="s">
        <v>51</v>
      </c>
      <c r="S201" s="56">
        <v>0</v>
      </c>
      <c r="T201" s="18">
        <v>21.31</v>
      </c>
      <c r="U201" s="21">
        <v>48.63</v>
      </c>
      <c r="V201" s="21">
        <v>14.85</v>
      </c>
      <c r="W201" s="18">
        <v>23.59</v>
      </c>
      <c r="X201" s="18">
        <v>9.6199999999999992</v>
      </c>
      <c r="Y201" s="27">
        <f t="shared" si="173"/>
        <v>52.815566007619566</v>
      </c>
      <c r="Z201" s="18">
        <f t="shared" si="76"/>
        <v>0.78125</v>
      </c>
      <c r="AA201" s="18">
        <v>63.52</v>
      </c>
      <c r="AB201" s="18">
        <v>72.37</v>
      </c>
      <c r="AC201" s="21">
        <f t="shared" si="77"/>
        <v>10740</v>
      </c>
      <c r="AD201" s="18" t="s">
        <v>51</v>
      </c>
      <c r="AF201" s="1"/>
      <c r="AG201" s="29">
        <v>1.28</v>
      </c>
      <c r="AH201" s="29">
        <v>10.74</v>
      </c>
      <c r="AK201" s="1">
        <f t="shared" si="174"/>
        <v>10.055687500000001</v>
      </c>
      <c r="AL201" s="29">
        <f t="shared" si="175"/>
        <v>8.9835622138992939</v>
      </c>
      <c r="AM201" s="29">
        <f t="shared" si="176"/>
        <v>19.039249713899295</v>
      </c>
      <c r="AO201" s="30">
        <f t="shared" si="177"/>
        <v>22.945790250494603</v>
      </c>
      <c r="AP201" s="30">
        <f t="shared" si="178"/>
        <v>7.0068884478684934</v>
      </c>
      <c r="AQ201" s="30">
        <f t="shared" si="179"/>
        <v>11.130807978802544</v>
      </c>
      <c r="AR201" s="30">
        <f t="shared" si="180"/>
        <v>4.5391425500669973</v>
      </c>
      <c r="AS201" s="30">
        <f t="shared" si="181"/>
        <v>52.815566007619566</v>
      </c>
      <c r="AT201" s="31">
        <f t="shared" si="14"/>
        <v>98.438195234852202</v>
      </c>
      <c r="AV201" s="21">
        <f t="shared" si="86"/>
        <v>10740</v>
      </c>
    </row>
    <row r="202" spans="2:48" ht="15.75" customHeight="1" x14ac:dyDescent="0.25">
      <c r="B202" s="32"/>
      <c r="C202" s="18" t="s">
        <v>46</v>
      </c>
      <c r="D202" s="51"/>
      <c r="E202" s="18" t="s">
        <v>48</v>
      </c>
      <c r="F202" s="51"/>
      <c r="G202" s="18">
        <v>51.81</v>
      </c>
      <c r="H202" s="18">
        <v>5.76</v>
      </c>
      <c r="I202" s="58">
        <f t="shared" si="172"/>
        <v>41.81</v>
      </c>
      <c r="J202" s="18">
        <v>0.26</v>
      </c>
      <c r="K202" s="18">
        <v>0.36</v>
      </c>
      <c r="L202" s="22">
        <f t="shared" si="74"/>
        <v>11.739999999999995</v>
      </c>
      <c r="M202" s="18">
        <v>82.28</v>
      </c>
      <c r="N202" s="59">
        <v>0</v>
      </c>
      <c r="O202" s="18">
        <v>5.98</v>
      </c>
      <c r="P202" s="18">
        <v>0.6</v>
      </c>
      <c r="Q202" s="18">
        <v>950</v>
      </c>
      <c r="R202" s="18" t="s">
        <v>51</v>
      </c>
      <c r="S202" s="56">
        <v>0</v>
      </c>
      <c r="T202" s="18">
        <v>21.31</v>
      </c>
      <c r="U202" s="21">
        <v>53.29</v>
      </c>
      <c r="V202" s="21">
        <v>16.920000000000002</v>
      </c>
      <c r="W202" s="18">
        <v>22.05</v>
      </c>
      <c r="X202" s="18">
        <v>5.76</v>
      </c>
      <c r="Y202" s="27">
        <f t="shared" si="173"/>
        <v>51.023259490094439</v>
      </c>
      <c r="Z202" s="18">
        <f t="shared" si="76"/>
        <v>0.67567567567567566</v>
      </c>
      <c r="AA202" s="18">
        <v>68.36</v>
      </c>
      <c r="AB202" s="18">
        <v>74.510000000000005</v>
      </c>
      <c r="AC202" s="21">
        <f t="shared" si="77"/>
        <v>9360</v>
      </c>
      <c r="AD202" s="18" t="s">
        <v>51</v>
      </c>
      <c r="AF202" s="1"/>
      <c r="AG202" s="29">
        <v>1.48</v>
      </c>
      <c r="AH202" s="29">
        <v>9.36</v>
      </c>
      <c r="AK202" s="1">
        <f t="shared" si="174"/>
        <v>10.055687500000001</v>
      </c>
      <c r="AL202" s="29">
        <f t="shared" si="175"/>
        <v>9.6523585960205676</v>
      </c>
      <c r="AM202" s="29">
        <f t="shared" si="176"/>
        <v>19.708046096020567</v>
      </c>
      <c r="AO202" s="30">
        <f t="shared" si="177"/>
        <v>26.099705017728681</v>
      </c>
      <c r="AP202" s="30">
        <f t="shared" si="178"/>
        <v>8.2868644942760223</v>
      </c>
      <c r="AQ202" s="30">
        <f t="shared" si="179"/>
        <v>10.799371282434178</v>
      </c>
      <c r="AR202" s="30">
        <f t="shared" si="180"/>
        <v>2.8210602533705602</v>
      </c>
      <c r="AS202" s="30">
        <f t="shared" si="181"/>
        <v>51.023259490094439</v>
      </c>
      <c r="AT202" s="31">
        <f t="shared" si="14"/>
        <v>99.030260537903885</v>
      </c>
      <c r="AV202" s="21">
        <f t="shared" si="86"/>
        <v>9360</v>
      </c>
    </row>
    <row r="203" spans="2:48" ht="15.75" customHeight="1" x14ac:dyDescent="0.25">
      <c r="B203" s="32"/>
      <c r="C203" s="18" t="s">
        <v>46</v>
      </c>
      <c r="D203" s="51"/>
      <c r="E203" s="18" t="s">
        <v>48</v>
      </c>
      <c r="F203" s="51"/>
      <c r="G203" s="23">
        <f t="shared" ref="G203:G217" si="182">50.54*100/(100-O203)</f>
        <v>50.819507290095522</v>
      </c>
      <c r="H203" s="23">
        <f t="shared" ref="H203:H217" si="183">7.08*100/(100-O203)</f>
        <v>7.1191553544494717</v>
      </c>
      <c r="I203" s="23">
        <f t="shared" ref="I203:I217" si="184">41.11*100/(100-O203)</f>
        <v>41.337355455002516</v>
      </c>
      <c r="J203" s="23">
        <f t="shared" ref="J203:J217" si="185">0.15*100/(100-O203)</f>
        <v>0.15082956259426847</v>
      </c>
      <c r="K203" s="23">
        <f t="shared" ref="K203:K217" si="186">0.57*100/(100-O203)</f>
        <v>0.57315233785822017</v>
      </c>
      <c r="L203" s="22">
        <f t="shared" si="74"/>
        <v>9.1599999999999966</v>
      </c>
      <c r="M203" s="18">
        <v>82.29</v>
      </c>
      <c r="N203" s="18">
        <v>8</v>
      </c>
      <c r="O203" s="18">
        <v>0.55000000000000004</v>
      </c>
      <c r="P203" s="18">
        <v>0.22</v>
      </c>
      <c r="Q203" s="18">
        <v>900</v>
      </c>
      <c r="R203" s="18" t="s">
        <v>51</v>
      </c>
      <c r="S203" s="53">
        <v>0</v>
      </c>
      <c r="T203" s="18">
        <v>19.149999999999999</v>
      </c>
      <c r="U203" s="21">
        <v>31.4</v>
      </c>
      <c r="V203" s="21">
        <v>29.56</v>
      </c>
      <c r="W203" s="18">
        <v>30.02</v>
      </c>
      <c r="X203" s="18">
        <v>6.23</v>
      </c>
      <c r="Y203" s="27">
        <f t="shared" si="173"/>
        <v>37.820774198792968</v>
      </c>
      <c r="Z203" s="18">
        <f t="shared" si="76"/>
        <v>1.0989010989010988</v>
      </c>
      <c r="AA203" s="18">
        <v>24.1</v>
      </c>
      <c r="AB203" s="18">
        <v>63.48</v>
      </c>
      <c r="AC203" s="21">
        <f t="shared" si="77"/>
        <v>5440</v>
      </c>
      <c r="AD203" s="18" t="s">
        <v>51</v>
      </c>
      <c r="AF203" s="1"/>
      <c r="AG203" s="29">
        <v>0.91</v>
      </c>
      <c r="AH203" s="29">
        <v>5.44</v>
      </c>
      <c r="AK203" s="1">
        <f t="shared" si="174"/>
        <v>3.9141946379691475</v>
      </c>
      <c r="AL203" s="29">
        <f t="shared" si="175"/>
        <v>6.4351298295719399</v>
      </c>
      <c r="AM203" s="29">
        <f t="shared" si="176"/>
        <v>10.349324467541088</v>
      </c>
      <c r="AO203" s="30">
        <f t="shared" si="177"/>
        <v>19.524276901579004</v>
      </c>
      <c r="AP203" s="30">
        <f t="shared" si="178"/>
        <v>18.380179146836799</v>
      </c>
      <c r="AQ203" s="30">
        <f t="shared" si="179"/>
        <v>18.66620358552235</v>
      </c>
      <c r="AR203" s="30">
        <f t="shared" si="180"/>
        <v>3.8737657674151977</v>
      </c>
      <c r="AS203" s="30">
        <f t="shared" si="181"/>
        <v>37.820774198792968</v>
      </c>
      <c r="AT203" s="31">
        <f t="shared" si="14"/>
        <v>98.265199600146317</v>
      </c>
      <c r="AV203" s="21">
        <f t="shared" si="86"/>
        <v>5440</v>
      </c>
    </row>
    <row r="204" spans="2:48" ht="15.75" customHeight="1" x14ac:dyDescent="0.25">
      <c r="B204" s="32"/>
      <c r="C204" s="18" t="s">
        <v>46</v>
      </c>
      <c r="D204" s="51"/>
      <c r="E204" s="18" t="s">
        <v>48</v>
      </c>
      <c r="F204" s="51"/>
      <c r="G204" s="23">
        <f t="shared" si="182"/>
        <v>50.819507290095522</v>
      </c>
      <c r="H204" s="23">
        <f t="shared" si="183"/>
        <v>7.1191553544494717</v>
      </c>
      <c r="I204" s="23">
        <f t="shared" si="184"/>
        <v>41.337355455002516</v>
      </c>
      <c r="J204" s="23">
        <f t="shared" si="185"/>
        <v>0.15082956259426847</v>
      </c>
      <c r="K204" s="23">
        <f t="shared" si="186"/>
        <v>0.57315233785822017</v>
      </c>
      <c r="L204" s="22">
        <f t="shared" si="74"/>
        <v>9.1599999999999966</v>
      </c>
      <c r="M204" s="18">
        <v>82.29</v>
      </c>
      <c r="N204" s="18">
        <v>8</v>
      </c>
      <c r="O204" s="18">
        <v>0.55000000000000004</v>
      </c>
      <c r="P204" s="18">
        <v>0.25</v>
      </c>
      <c r="Q204" s="18">
        <v>900</v>
      </c>
      <c r="R204" s="18" t="s">
        <v>51</v>
      </c>
      <c r="S204" s="53">
        <v>0</v>
      </c>
      <c r="T204" s="18">
        <v>19.149999999999999</v>
      </c>
      <c r="U204" s="21">
        <v>28.44</v>
      </c>
      <c r="V204" s="21">
        <v>24.59</v>
      </c>
      <c r="W204" s="18">
        <v>36.409999999999997</v>
      </c>
      <c r="X204" s="18">
        <v>6.5</v>
      </c>
      <c r="Y204" s="27">
        <f t="shared" si="173"/>
        <v>41.480455877698631</v>
      </c>
      <c r="Z204" s="18">
        <f t="shared" si="76"/>
        <v>1.1363636363636365</v>
      </c>
      <c r="AA204" s="18">
        <v>21.59</v>
      </c>
      <c r="AB204" s="18">
        <v>62.96</v>
      </c>
      <c r="AC204" s="21">
        <f t="shared" si="77"/>
        <v>5040</v>
      </c>
      <c r="AD204" s="18" t="s">
        <v>51</v>
      </c>
      <c r="AF204" s="1"/>
      <c r="AG204" s="29">
        <v>0.88</v>
      </c>
      <c r="AH204" s="29">
        <v>5.04</v>
      </c>
      <c r="AK204" s="1">
        <f t="shared" si="174"/>
        <v>4.4472138926795788</v>
      </c>
      <c r="AL204" s="29">
        <f t="shared" si="175"/>
        <v>6.2740132456908055</v>
      </c>
      <c r="AM204" s="29">
        <f t="shared" si="176"/>
        <v>10.721227138370384</v>
      </c>
      <c r="AO204" s="30">
        <f t="shared" si="177"/>
        <v>16.642958348382507</v>
      </c>
      <c r="AP204" s="30">
        <f t="shared" si="178"/>
        <v>14.389955899673906</v>
      </c>
      <c r="AQ204" s="30">
        <f t="shared" si="179"/>
        <v>21.30696601492993</v>
      </c>
      <c r="AR204" s="30">
        <f t="shared" si="180"/>
        <v>3.8037703679495891</v>
      </c>
      <c r="AS204" s="30">
        <f t="shared" si="181"/>
        <v>41.480455877698631</v>
      </c>
      <c r="AT204" s="31">
        <f t="shared" si="14"/>
        <v>97.624106508634554</v>
      </c>
      <c r="AV204" s="21">
        <f t="shared" si="86"/>
        <v>5040</v>
      </c>
    </row>
    <row r="205" spans="2:48" ht="15.75" customHeight="1" x14ac:dyDescent="0.25">
      <c r="B205" s="32"/>
      <c r="C205" s="18" t="s">
        <v>46</v>
      </c>
      <c r="D205" s="51"/>
      <c r="E205" s="18" t="s">
        <v>48</v>
      </c>
      <c r="F205" s="51"/>
      <c r="G205" s="23">
        <f t="shared" si="182"/>
        <v>50.819507290095522</v>
      </c>
      <c r="H205" s="23">
        <f t="shared" si="183"/>
        <v>7.1191553544494717</v>
      </c>
      <c r="I205" s="23">
        <f t="shared" si="184"/>
        <v>41.337355455002516</v>
      </c>
      <c r="J205" s="23">
        <f t="shared" si="185"/>
        <v>0.15082956259426847</v>
      </c>
      <c r="K205" s="23">
        <f t="shared" si="186"/>
        <v>0.57315233785822017</v>
      </c>
      <c r="L205" s="22">
        <f t="shared" si="74"/>
        <v>9.1599999999999966</v>
      </c>
      <c r="M205" s="18">
        <v>82.29</v>
      </c>
      <c r="N205" s="18">
        <v>8</v>
      </c>
      <c r="O205" s="18">
        <v>0.55000000000000004</v>
      </c>
      <c r="P205" s="18">
        <v>0.24</v>
      </c>
      <c r="Q205" s="18">
        <v>900</v>
      </c>
      <c r="R205" s="18" t="s">
        <v>51</v>
      </c>
      <c r="S205" s="53">
        <v>0</v>
      </c>
      <c r="T205" s="18">
        <v>19.149999999999999</v>
      </c>
      <c r="U205" s="21">
        <v>28.93</v>
      </c>
      <c r="V205" s="21">
        <v>25.53</v>
      </c>
      <c r="W205" s="18">
        <v>34.880000000000003</v>
      </c>
      <c r="X205" s="18">
        <v>6.82</v>
      </c>
      <c r="Y205" s="27">
        <f t="shared" si="173"/>
        <v>40.397780690207213</v>
      </c>
      <c r="Z205" s="18">
        <f t="shared" si="76"/>
        <v>1.2195121951219512</v>
      </c>
      <c r="AA205" s="18">
        <v>19</v>
      </c>
      <c r="AB205" s="18">
        <v>58.44</v>
      </c>
      <c r="AC205" s="21">
        <f t="shared" si="77"/>
        <v>4760</v>
      </c>
      <c r="AD205" s="18" t="s">
        <v>51</v>
      </c>
      <c r="AF205" s="1"/>
      <c r="AG205" s="29">
        <v>0.82</v>
      </c>
      <c r="AH205" s="29">
        <v>4.76</v>
      </c>
      <c r="AK205" s="1">
        <f t="shared" si="174"/>
        <v>4.2695408077761012</v>
      </c>
      <c r="AL205" s="29">
        <f t="shared" si="175"/>
        <v>6.2992100860349458</v>
      </c>
      <c r="AM205" s="29">
        <f t="shared" si="176"/>
        <v>10.568750893811046</v>
      </c>
      <c r="AO205" s="30">
        <f t="shared" si="177"/>
        <v>17.242922046323056</v>
      </c>
      <c r="AP205" s="30">
        <f t="shared" si="178"/>
        <v>15.216446589790102</v>
      </c>
      <c r="AQ205" s="30">
        <f t="shared" si="179"/>
        <v>20.789254095255728</v>
      </c>
      <c r="AR205" s="30">
        <f t="shared" si="180"/>
        <v>4.0648713569278687</v>
      </c>
      <c r="AS205" s="30">
        <f t="shared" si="181"/>
        <v>40.397780690207213</v>
      </c>
      <c r="AT205" s="31">
        <f t="shared" si="14"/>
        <v>97.711274778503963</v>
      </c>
      <c r="AV205" s="21">
        <f t="shared" si="86"/>
        <v>4760</v>
      </c>
    </row>
    <row r="206" spans="2:48" ht="15.75" customHeight="1" x14ac:dyDescent="0.25">
      <c r="B206" s="32"/>
      <c r="C206" s="18" t="s">
        <v>46</v>
      </c>
      <c r="D206" s="51"/>
      <c r="E206" s="18" t="s">
        <v>48</v>
      </c>
      <c r="F206" s="51"/>
      <c r="G206" s="23">
        <f t="shared" si="182"/>
        <v>50.819507290095522</v>
      </c>
      <c r="H206" s="23">
        <f t="shared" si="183"/>
        <v>7.1191553544494717</v>
      </c>
      <c r="I206" s="23">
        <f t="shared" si="184"/>
        <v>41.337355455002516</v>
      </c>
      <c r="J206" s="23">
        <f t="shared" si="185"/>
        <v>0.15082956259426847</v>
      </c>
      <c r="K206" s="23">
        <f t="shared" si="186"/>
        <v>0.57315233785822017</v>
      </c>
      <c r="L206" s="22">
        <f t="shared" si="74"/>
        <v>9.1599999999999966</v>
      </c>
      <c r="M206" s="18">
        <v>82.29</v>
      </c>
      <c r="N206" s="18">
        <v>8</v>
      </c>
      <c r="O206" s="18">
        <v>0.55000000000000004</v>
      </c>
      <c r="P206" s="18">
        <v>0.26</v>
      </c>
      <c r="Q206" s="18">
        <v>900</v>
      </c>
      <c r="R206" s="18" t="s">
        <v>51</v>
      </c>
      <c r="S206" s="53">
        <v>0</v>
      </c>
      <c r="T206" s="18">
        <v>19.149999999999999</v>
      </c>
      <c r="U206" s="21">
        <v>29.16</v>
      </c>
      <c r="V206" s="21">
        <v>25.2</v>
      </c>
      <c r="W206" s="18">
        <v>34.36</v>
      </c>
      <c r="X206" s="18">
        <v>8.2100000000000009</v>
      </c>
      <c r="Y206" s="27">
        <f t="shared" si="173"/>
        <v>42.531982182692644</v>
      </c>
      <c r="Z206" s="18">
        <f t="shared" si="76"/>
        <v>1.1764705882352942</v>
      </c>
      <c r="AA206" s="18">
        <v>20.9</v>
      </c>
      <c r="AB206" s="18">
        <v>61.06</v>
      </c>
      <c r="AC206" s="21">
        <f t="shared" si="77"/>
        <v>5050</v>
      </c>
      <c r="AD206" s="18" t="s">
        <v>51</v>
      </c>
      <c r="AF206" s="1"/>
      <c r="AG206" s="29">
        <v>0.85</v>
      </c>
      <c r="AH206" s="29">
        <v>5.05</v>
      </c>
      <c r="AK206" s="1">
        <f t="shared" si="174"/>
        <v>4.6248869775830563</v>
      </c>
      <c r="AL206" s="29">
        <f t="shared" si="175"/>
        <v>6.2490171769828731</v>
      </c>
      <c r="AM206" s="29">
        <f t="shared" si="176"/>
        <v>10.873904154565929</v>
      </c>
      <c r="AO206" s="30">
        <f t="shared" si="177"/>
        <v>16.757673995526829</v>
      </c>
      <c r="AP206" s="30">
        <f t="shared" si="178"/>
        <v>14.481940489961453</v>
      </c>
      <c r="AQ206" s="30">
        <f t="shared" si="179"/>
        <v>19.746010922026809</v>
      </c>
      <c r="AR206" s="30">
        <f t="shared" si="180"/>
        <v>4.7181242628009343</v>
      </c>
      <c r="AS206" s="30">
        <f t="shared" si="181"/>
        <v>42.531982182692644</v>
      </c>
      <c r="AT206" s="31">
        <f t="shared" si="14"/>
        <v>98.235731853008673</v>
      </c>
      <c r="AV206" s="21">
        <f t="shared" si="86"/>
        <v>5050</v>
      </c>
    </row>
    <row r="207" spans="2:48" ht="15.75" customHeight="1" x14ac:dyDescent="0.25">
      <c r="B207" s="32"/>
      <c r="C207" s="18" t="s">
        <v>46</v>
      </c>
      <c r="D207" s="51"/>
      <c r="E207" s="18" t="s">
        <v>48</v>
      </c>
      <c r="F207" s="51"/>
      <c r="G207" s="23">
        <f t="shared" si="182"/>
        <v>50.819507290095522</v>
      </c>
      <c r="H207" s="23">
        <f t="shared" si="183"/>
        <v>7.1191553544494717</v>
      </c>
      <c r="I207" s="23">
        <f t="shared" si="184"/>
        <v>41.337355455002516</v>
      </c>
      <c r="J207" s="23">
        <f t="shared" si="185"/>
        <v>0.15082956259426847</v>
      </c>
      <c r="K207" s="23">
        <f t="shared" si="186"/>
        <v>0.57315233785822017</v>
      </c>
      <c r="L207" s="22">
        <f t="shared" si="74"/>
        <v>9.1599999999999966</v>
      </c>
      <c r="M207" s="18">
        <v>82.29</v>
      </c>
      <c r="N207" s="18">
        <v>8</v>
      </c>
      <c r="O207" s="18">
        <v>0.55000000000000004</v>
      </c>
      <c r="P207" s="18">
        <v>0.25</v>
      </c>
      <c r="Q207" s="18">
        <v>900</v>
      </c>
      <c r="R207" s="18" t="s">
        <v>51</v>
      </c>
      <c r="S207" s="53">
        <v>0</v>
      </c>
      <c r="T207" s="18">
        <v>19.149999999999999</v>
      </c>
      <c r="U207" s="21">
        <v>35.39</v>
      </c>
      <c r="V207" s="21">
        <v>27.92</v>
      </c>
      <c r="W207" s="18">
        <v>30.11</v>
      </c>
      <c r="X207" s="18">
        <v>4.3600000000000003</v>
      </c>
      <c r="Y207" s="27">
        <f t="shared" si="173"/>
        <v>39.583234006605586</v>
      </c>
      <c r="Z207" s="18">
        <f t="shared" si="76"/>
        <v>1.0638297872340425</v>
      </c>
      <c r="AA207" s="18">
        <v>23.66</v>
      </c>
      <c r="AB207" s="18">
        <v>62.16</v>
      </c>
      <c r="AC207" s="21">
        <f t="shared" si="77"/>
        <v>5170</v>
      </c>
      <c r="AD207" s="18" t="s">
        <v>51</v>
      </c>
      <c r="AF207" s="1"/>
      <c r="AG207" s="29">
        <v>0.94</v>
      </c>
      <c r="AH207" s="29">
        <v>5.17</v>
      </c>
      <c r="AK207" s="1">
        <f t="shared" si="174"/>
        <v>4.4472138926795788</v>
      </c>
      <c r="AL207" s="29">
        <f t="shared" si="175"/>
        <v>6.7878809758635894</v>
      </c>
      <c r="AM207" s="29">
        <f t="shared" si="176"/>
        <v>11.235094868543168</v>
      </c>
      <c r="AO207" s="30">
        <f t="shared" si="177"/>
        <v>21.381493485062283</v>
      </c>
      <c r="AP207" s="30">
        <f t="shared" si="178"/>
        <v>16.868361065355721</v>
      </c>
      <c r="AQ207" s="30">
        <f t="shared" si="179"/>
        <v>18.191488240611058</v>
      </c>
      <c r="AR207" s="30">
        <f t="shared" si="180"/>
        <v>2.6341709973119967</v>
      </c>
      <c r="AS207" s="30">
        <f t="shared" si="181"/>
        <v>39.583234006605586</v>
      </c>
      <c r="AT207" s="31">
        <f t="shared" si="14"/>
        <v>98.658747794946649</v>
      </c>
      <c r="AV207" s="21">
        <f t="shared" si="86"/>
        <v>5170</v>
      </c>
    </row>
    <row r="208" spans="2:48" ht="15.75" customHeight="1" x14ac:dyDescent="0.25">
      <c r="B208" s="32"/>
      <c r="C208" s="18" t="s">
        <v>46</v>
      </c>
      <c r="D208" s="51"/>
      <c r="E208" s="18" t="s">
        <v>48</v>
      </c>
      <c r="F208" s="51"/>
      <c r="G208" s="23">
        <f t="shared" si="182"/>
        <v>50.819507290095522</v>
      </c>
      <c r="H208" s="23">
        <f t="shared" si="183"/>
        <v>7.1191553544494717</v>
      </c>
      <c r="I208" s="23">
        <f t="shared" si="184"/>
        <v>41.337355455002516</v>
      </c>
      <c r="J208" s="23">
        <f t="shared" si="185"/>
        <v>0.15082956259426847</v>
      </c>
      <c r="K208" s="23">
        <f t="shared" si="186"/>
        <v>0.57315233785822017</v>
      </c>
      <c r="L208" s="22">
        <f t="shared" si="74"/>
        <v>9.1599999999999966</v>
      </c>
      <c r="M208" s="18">
        <v>82.29</v>
      </c>
      <c r="N208" s="18">
        <v>8</v>
      </c>
      <c r="O208" s="18">
        <v>0.55000000000000004</v>
      </c>
      <c r="P208" s="18">
        <v>0.25</v>
      </c>
      <c r="Q208" s="18">
        <v>900</v>
      </c>
      <c r="R208" s="18" t="s">
        <v>51</v>
      </c>
      <c r="S208" s="53">
        <v>0</v>
      </c>
      <c r="T208" s="18">
        <v>19.149999999999999</v>
      </c>
      <c r="U208" s="21">
        <v>31.88</v>
      </c>
      <c r="V208" s="21">
        <v>28.77</v>
      </c>
      <c r="W208" s="18">
        <v>31.76</v>
      </c>
      <c r="X208" s="18">
        <v>5.54</v>
      </c>
      <c r="Y208" s="27">
        <f t="shared" si="173"/>
        <v>40.961643842650062</v>
      </c>
      <c r="Z208" s="18">
        <f t="shared" si="76"/>
        <v>1.0989010989010988</v>
      </c>
      <c r="AA208" s="18">
        <v>21.18</v>
      </c>
      <c r="AB208" s="18">
        <v>63.73</v>
      </c>
      <c r="AC208" s="21">
        <f t="shared" si="77"/>
        <v>4780</v>
      </c>
      <c r="AD208" s="18" t="s">
        <v>51</v>
      </c>
      <c r="AF208" s="1"/>
      <c r="AG208" s="29">
        <v>0.91</v>
      </c>
      <c r="AH208" s="29">
        <v>4.78</v>
      </c>
      <c r="AK208" s="1">
        <f t="shared" si="174"/>
        <v>4.4472138926795788</v>
      </c>
      <c r="AL208" s="29">
        <f t="shared" si="175"/>
        <v>6.4098061765419905</v>
      </c>
      <c r="AM208" s="29">
        <f t="shared" si="176"/>
        <v>10.857020069221569</v>
      </c>
      <c r="AO208" s="30">
        <f t="shared" si="177"/>
        <v>18.821427942963158</v>
      </c>
      <c r="AP208" s="30">
        <f t="shared" si="178"/>
        <v>16.985335066469574</v>
      </c>
      <c r="AQ208" s="30">
        <f t="shared" si="179"/>
        <v>18.750581915574337</v>
      </c>
      <c r="AR208" s="30">
        <f t="shared" si="180"/>
        <v>3.270724931117186</v>
      </c>
      <c r="AS208" s="30">
        <f t="shared" si="181"/>
        <v>40.961643842650062</v>
      </c>
      <c r="AT208" s="31">
        <f t="shared" si="14"/>
        <v>98.789713698774307</v>
      </c>
      <c r="AV208" s="21">
        <f t="shared" si="86"/>
        <v>4780</v>
      </c>
    </row>
    <row r="209" spans="2:48" ht="15.75" customHeight="1" x14ac:dyDescent="0.25">
      <c r="B209" s="32"/>
      <c r="C209" s="18" t="s">
        <v>46</v>
      </c>
      <c r="D209" s="51"/>
      <c r="E209" s="18" t="s">
        <v>48</v>
      </c>
      <c r="F209" s="51"/>
      <c r="G209" s="23">
        <f t="shared" si="182"/>
        <v>50.819507290095522</v>
      </c>
      <c r="H209" s="23">
        <f t="shared" si="183"/>
        <v>7.1191553544494717</v>
      </c>
      <c r="I209" s="23">
        <f t="shared" si="184"/>
        <v>41.337355455002516</v>
      </c>
      <c r="J209" s="23">
        <f t="shared" si="185"/>
        <v>0.15082956259426847</v>
      </c>
      <c r="K209" s="23">
        <f t="shared" si="186"/>
        <v>0.57315233785822017</v>
      </c>
      <c r="L209" s="22">
        <f t="shared" si="74"/>
        <v>9.1599999999999966</v>
      </c>
      <c r="M209" s="18">
        <v>82.29</v>
      </c>
      <c r="N209" s="18">
        <v>8</v>
      </c>
      <c r="O209" s="18">
        <v>0.55000000000000004</v>
      </c>
      <c r="P209" s="18">
        <v>0.25</v>
      </c>
      <c r="Q209" s="18">
        <v>900</v>
      </c>
      <c r="R209" s="18" t="s">
        <v>51</v>
      </c>
      <c r="S209" s="53">
        <v>0</v>
      </c>
      <c r="T209" s="18">
        <v>19.149999999999999</v>
      </c>
      <c r="U209" s="21">
        <v>31.47</v>
      </c>
      <c r="V209" s="21">
        <v>27.52</v>
      </c>
      <c r="W209" s="18">
        <v>33.39</v>
      </c>
      <c r="X209" s="18">
        <v>5.7</v>
      </c>
      <c r="Y209" s="27">
        <f t="shared" si="173"/>
        <v>41.158636282676483</v>
      </c>
      <c r="Z209" s="18">
        <f t="shared" si="76"/>
        <v>1.1363636363636365</v>
      </c>
      <c r="AA209" s="18">
        <v>19.71</v>
      </c>
      <c r="AB209" s="18">
        <v>62.13</v>
      </c>
      <c r="AC209" s="21">
        <f t="shared" si="77"/>
        <v>4600</v>
      </c>
      <c r="AD209" s="18" t="s">
        <v>51</v>
      </c>
      <c r="AF209" s="1"/>
      <c r="AG209" s="29">
        <v>0.88</v>
      </c>
      <c r="AH209" s="29">
        <v>4.5999999999999996</v>
      </c>
      <c r="AK209" s="1">
        <f t="shared" si="174"/>
        <v>4.4472138926795788</v>
      </c>
      <c r="AL209" s="29">
        <f t="shared" si="175"/>
        <v>6.357842577452776</v>
      </c>
      <c r="AM209" s="29">
        <f t="shared" si="176"/>
        <v>10.805056470132355</v>
      </c>
      <c r="AO209" s="30">
        <f t="shared" si="177"/>
        <v>18.517377161841708</v>
      </c>
      <c r="AP209" s="30">
        <f t="shared" si="178"/>
        <v>16.193143295007431</v>
      </c>
      <c r="AQ209" s="30">
        <f t="shared" si="179"/>
        <v>19.647131345214323</v>
      </c>
      <c r="AR209" s="30">
        <f t="shared" si="180"/>
        <v>3.3539577318874398</v>
      </c>
      <c r="AS209" s="30">
        <f t="shared" si="181"/>
        <v>41.158636282676483</v>
      </c>
      <c r="AT209" s="31">
        <f t="shared" si="14"/>
        <v>98.870245816627374</v>
      </c>
      <c r="AV209" s="21">
        <f t="shared" si="86"/>
        <v>4600</v>
      </c>
    </row>
    <row r="210" spans="2:48" ht="15.75" customHeight="1" x14ac:dyDescent="0.25">
      <c r="B210" s="32"/>
      <c r="C210" s="18" t="s">
        <v>46</v>
      </c>
      <c r="D210" s="51"/>
      <c r="E210" s="18" t="s">
        <v>48</v>
      </c>
      <c r="F210" s="51"/>
      <c r="G210" s="23">
        <f t="shared" si="182"/>
        <v>50.819507290095522</v>
      </c>
      <c r="H210" s="23">
        <f t="shared" si="183"/>
        <v>7.1191553544494717</v>
      </c>
      <c r="I210" s="23">
        <f t="shared" si="184"/>
        <v>41.337355455002516</v>
      </c>
      <c r="J210" s="23">
        <f t="shared" si="185"/>
        <v>0.15082956259426847</v>
      </c>
      <c r="K210" s="23">
        <f t="shared" si="186"/>
        <v>0.57315233785822017</v>
      </c>
      <c r="L210" s="22">
        <f t="shared" si="74"/>
        <v>9.1599999999999966</v>
      </c>
      <c r="M210" s="18">
        <v>82.29</v>
      </c>
      <c r="N210" s="18">
        <v>8</v>
      </c>
      <c r="O210" s="18">
        <v>0.55000000000000004</v>
      </c>
      <c r="P210" s="18">
        <v>0.28000000000000003</v>
      </c>
      <c r="Q210" s="18">
        <v>900</v>
      </c>
      <c r="R210" s="18" t="s">
        <v>51</v>
      </c>
      <c r="S210" s="53">
        <v>0</v>
      </c>
      <c r="T210" s="18">
        <v>19.149999999999999</v>
      </c>
      <c r="U210" s="21">
        <v>31.17</v>
      </c>
      <c r="V210" s="21">
        <v>25.81</v>
      </c>
      <c r="W210" s="18">
        <v>33.32</v>
      </c>
      <c r="X210" s="18">
        <v>6.01</v>
      </c>
      <c r="Y210" s="27">
        <f t="shared" si="173"/>
        <v>43.375958701096238</v>
      </c>
      <c r="Z210" s="18">
        <f t="shared" si="76"/>
        <v>1.1627906976744187</v>
      </c>
      <c r="AA210" s="18">
        <v>20.18</v>
      </c>
      <c r="AB210" s="18">
        <v>59.38</v>
      </c>
      <c r="AC210" s="21">
        <f t="shared" si="77"/>
        <v>4820</v>
      </c>
      <c r="AD210" s="18" t="s">
        <v>51</v>
      </c>
      <c r="AF210" s="1"/>
      <c r="AG210" s="29">
        <v>0.86</v>
      </c>
      <c r="AH210" s="29">
        <v>4.82</v>
      </c>
      <c r="AK210" s="1">
        <f t="shared" si="174"/>
        <v>4.9802331473900097</v>
      </c>
      <c r="AL210" s="29">
        <f t="shared" si="175"/>
        <v>6.5013186073707301</v>
      </c>
      <c r="AM210" s="29">
        <f t="shared" si="176"/>
        <v>11.481551754760741</v>
      </c>
      <c r="AO210" s="30">
        <f t="shared" si="177"/>
        <v>17.649713672868302</v>
      </c>
      <c r="AP210" s="30">
        <f t="shared" si="178"/>
        <v>14.614665059247059</v>
      </c>
      <c r="AQ210" s="30">
        <f t="shared" si="179"/>
        <v>18.867130560794731</v>
      </c>
      <c r="AR210" s="30">
        <f t="shared" si="180"/>
        <v>3.4031048820641154</v>
      </c>
      <c r="AS210" s="30">
        <f t="shared" si="181"/>
        <v>43.375958701096238</v>
      </c>
      <c r="AT210" s="31">
        <f t="shared" si="14"/>
        <v>97.910572876070447</v>
      </c>
      <c r="AV210" s="21">
        <f t="shared" si="86"/>
        <v>4820</v>
      </c>
    </row>
    <row r="211" spans="2:48" ht="15.75" customHeight="1" x14ac:dyDescent="0.25">
      <c r="B211" s="32"/>
      <c r="C211" s="18" t="s">
        <v>46</v>
      </c>
      <c r="D211" s="51"/>
      <c r="E211" s="18" t="s">
        <v>48</v>
      </c>
      <c r="F211" s="51"/>
      <c r="G211" s="23">
        <f t="shared" si="182"/>
        <v>50.819507290095522</v>
      </c>
      <c r="H211" s="23">
        <f t="shared" si="183"/>
        <v>7.1191553544494717</v>
      </c>
      <c r="I211" s="23">
        <f t="shared" si="184"/>
        <v>41.337355455002516</v>
      </c>
      <c r="J211" s="23">
        <f t="shared" si="185"/>
        <v>0.15082956259426847</v>
      </c>
      <c r="K211" s="23">
        <f t="shared" si="186"/>
        <v>0.57315233785822017</v>
      </c>
      <c r="L211" s="22">
        <f t="shared" si="74"/>
        <v>9.1599999999999966</v>
      </c>
      <c r="M211" s="18">
        <v>82.29</v>
      </c>
      <c r="N211" s="18">
        <v>8</v>
      </c>
      <c r="O211" s="18">
        <v>0.55000000000000004</v>
      </c>
      <c r="P211" s="18">
        <v>0.27</v>
      </c>
      <c r="Q211" s="18">
        <v>900</v>
      </c>
      <c r="R211" s="18" t="s">
        <v>51</v>
      </c>
      <c r="S211" s="53">
        <v>0</v>
      </c>
      <c r="T211" s="18">
        <v>19.149999999999999</v>
      </c>
      <c r="U211" s="21">
        <v>29.16</v>
      </c>
      <c r="V211" s="21">
        <v>25.2</v>
      </c>
      <c r="W211" s="18">
        <v>34.36</v>
      </c>
      <c r="X211" s="18">
        <v>8.2100000000000009</v>
      </c>
      <c r="Y211" s="27">
        <f t="shared" si="173"/>
        <v>43.455879268840974</v>
      </c>
      <c r="Z211" s="18">
        <f t="shared" si="76"/>
        <v>1.1764705882352942</v>
      </c>
      <c r="AA211" s="18">
        <v>20.9</v>
      </c>
      <c r="AB211" s="18">
        <v>61.06</v>
      </c>
      <c r="AC211" s="21">
        <f t="shared" si="77"/>
        <v>5050</v>
      </c>
      <c r="AD211" s="18" t="s">
        <v>51</v>
      </c>
      <c r="AF211" s="1"/>
      <c r="AG211" s="29">
        <v>0.85</v>
      </c>
      <c r="AH211" s="29">
        <v>5.05</v>
      </c>
      <c r="AK211" s="1">
        <f t="shared" si="174"/>
        <v>4.802560062486533</v>
      </c>
      <c r="AL211" s="29">
        <f t="shared" si="175"/>
        <v>6.2490171769828731</v>
      </c>
      <c r="AM211" s="29">
        <f t="shared" si="176"/>
        <v>11.051577239469406</v>
      </c>
      <c r="AO211" s="30">
        <f t="shared" si="177"/>
        <v>16.488265605205974</v>
      </c>
      <c r="AP211" s="30">
        <f t="shared" si="178"/>
        <v>14.249118424252075</v>
      </c>
      <c r="AQ211" s="30">
        <f t="shared" si="179"/>
        <v>19.428559883226242</v>
      </c>
      <c r="AR211" s="30">
        <f t="shared" si="180"/>
        <v>4.6422723120281573</v>
      </c>
      <c r="AS211" s="30">
        <f t="shared" si="181"/>
        <v>43.455879268840974</v>
      </c>
      <c r="AT211" s="31">
        <f t="shared" si="14"/>
        <v>98.264095493553413</v>
      </c>
      <c r="AV211" s="21">
        <f t="shared" si="86"/>
        <v>5050</v>
      </c>
    </row>
    <row r="212" spans="2:48" ht="15.75" customHeight="1" x14ac:dyDescent="0.25">
      <c r="B212" s="32"/>
      <c r="C212" s="18" t="s">
        <v>46</v>
      </c>
      <c r="D212" s="51"/>
      <c r="E212" s="18" t="s">
        <v>48</v>
      </c>
      <c r="F212" s="51"/>
      <c r="G212" s="23">
        <f t="shared" si="182"/>
        <v>50.819507290095522</v>
      </c>
      <c r="H212" s="23">
        <f t="shared" si="183"/>
        <v>7.1191553544494717</v>
      </c>
      <c r="I212" s="23">
        <f t="shared" si="184"/>
        <v>41.337355455002516</v>
      </c>
      <c r="J212" s="23">
        <f t="shared" si="185"/>
        <v>0.15082956259426847</v>
      </c>
      <c r="K212" s="23">
        <f t="shared" si="186"/>
        <v>0.57315233785822017</v>
      </c>
      <c r="L212" s="22">
        <f t="shared" si="74"/>
        <v>9.1599999999999966</v>
      </c>
      <c r="M212" s="18">
        <v>82.29</v>
      </c>
      <c r="N212" s="18">
        <v>8</v>
      </c>
      <c r="O212" s="18">
        <v>0.55000000000000004</v>
      </c>
      <c r="P212" s="18">
        <v>0.24</v>
      </c>
      <c r="Q212" s="18">
        <v>900</v>
      </c>
      <c r="R212" s="18" t="s">
        <v>51</v>
      </c>
      <c r="S212" s="53">
        <v>0</v>
      </c>
      <c r="T212" s="18">
        <v>19.149999999999999</v>
      </c>
      <c r="U212" s="21">
        <v>27.12</v>
      </c>
      <c r="V212" s="21">
        <v>25.07</v>
      </c>
      <c r="W212" s="18">
        <v>35.619999999999997</v>
      </c>
      <c r="X212" s="18">
        <v>9.02</v>
      </c>
      <c r="Y212" s="27">
        <f t="shared" si="173"/>
        <v>41.272934478914713</v>
      </c>
      <c r="Z212" s="18">
        <f t="shared" si="76"/>
        <v>1.2820512820512819</v>
      </c>
      <c r="AA212" s="18">
        <v>19.97</v>
      </c>
      <c r="AB212" s="18">
        <v>57.64</v>
      </c>
      <c r="AC212" s="21">
        <f t="shared" si="77"/>
        <v>5260</v>
      </c>
      <c r="AD212" s="18" t="s">
        <v>51</v>
      </c>
      <c r="AF212" s="1"/>
      <c r="AG212" s="29">
        <v>0.78</v>
      </c>
      <c r="AH212" s="29">
        <v>5.26</v>
      </c>
      <c r="AK212" s="1">
        <f t="shared" si="174"/>
        <v>4.2695408077761012</v>
      </c>
      <c r="AL212" s="29">
        <f t="shared" si="175"/>
        <v>6.0751096554888742</v>
      </c>
      <c r="AM212" s="29">
        <f t="shared" si="176"/>
        <v>10.344650463264976</v>
      </c>
      <c r="AO212" s="30">
        <f t="shared" si="177"/>
        <v>15.926780169318326</v>
      </c>
      <c r="AP212" s="30">
        <f t="shared" si="178"/>
        <v>14.722875326136078</v>
      </c>
      <c r="AQ212" s="30">
        <f t="shared" si="179"/>
        <v>20.918580738610572</v>
      </c>
      <c r="AR212" s="30">
        <f t="shared" si="180"/>
        <v>5.2971813100018919</v>
      </c>
      <c r="AS212" s="30">
        <f t="shared" si="181"/>
        <v>41.272934478914713</v>
      </c>
      <c r="AT212" s="31">
        <f t="shared" si="14"/>
        <v>98.138352022981579</v>
      </c>
      <c r="AV212" s="21">
        <f t="shared" si="86"/>
        <v>5260</v>
      </c>
    </row>
    <row r="213" spans="2:48" ht="15.75" customHeight="1" x14ac:dyDescent="0.25">
      <c r="B213" s="32"/>
      <c r="C213" s="18" t="s">
        <v>46</v>
      </c>
      <c r="D213" s="51"/>
      <c r="E213" s="18" t="s">
        <v>48</v>
      </c>
      <c r="F213" s="51"/>
      <c r="G213" s="23">
        <f t="shared" si="182"/>
        <v>50.819507290095522</v>
      </c>
      <c r="H213" s="23">
        <f t="shared" si="183"/>
        <v>7.1191553544494717</v>
      </c>
      <c r="I213" s="23">
        <f t="shared" si="184"/>
        <v>41.337355455002516</v>
      </c>
      <c r="J213" s="23">
        <f t="shared" si="185"/>
        <v>0.15082956259426847</v>
      </c>
      <c r="K213" s="23">
        <f t="shared" si="186"/>
        <v>0.57315233785822017</v>
      </c>
      <c r="L213" s="22">
        <f t="shared" si="74"/>
        <v>9.1599999999999966</v>
      </c>
      <c r="M213" s="18">
        <v>82.29</v>
      </c>
      <c r="N213" s="18">
        <v>8</v>
      </c>
      <c r="O213" s="18">
        <v>0.55000000000000004</v>
      </c>
      <c r="P213" s="18">
        <v>0.27</v>
      </c>
      <c r="Q213" s="18">
        <v>900</v>
      </c>
      <c r="R213" s="18" t="s">
        <v>51</v>
      </c>
      <c r="S213" s="53">
        <v>0</v>
      </c>
      <c r="T213" s="18">
        <v>19.149999999999999</v>
      </c>
      <c r="U213" s="21">
        <v>26.42</v>
      </c>
      <c r="V213" s="21">
        <v>36.85</v>
      </c>
      <c r="W213" s="18">
        <v>31.96</v>
      </c>
      <c r="X213" s="18">
        <v>3.52</v>
      </c>
      <c r="Y213" s="27">
        <f t="shared" si="173"/>
        <v>45.062253539657235</v>
      </c>
      <c r="Z213" s="18">
        <f t="shared" si="76"/>
        <v>0.66666666666666663</v>
      </c>
      <c r="AA213" s="18">
        <v>66.02</v>
      </c>
      <c r="AB213" s="18">
        <v>115</v>
      </c>
      <c r="AC213" s="21">
        <f t="shared" si="77"/>
        <v>9040</v>
      </c>
      <c r="AD213" s="18" t="s">
        <v>51</v>
      </c>
      <c r="AF213" s="1"/>
      <c r="AG213" s="29">
        <v>1.5</v>
      </c>
      <c r="AH213" s="29">
        <v>9.0399999999999991</v>
      </c>
      <c r="AK213" s="1">
        <f t="shared" si="174"/>
        <v>4.802560062486533</v>
      </c>
      <c r="AL213" s="29">
        <f t="shared" si="175"/>
        <v>5.8550517639171762</v>
      </c>
      <c r="AM213" s="29">
        <f t="shared" si="176"/>
        <v>10.657611826403709</v>
      </c>
      <c r="AO213" s="30">
        <f t="shared" si="177"/>
        <v>14.514552614822559</v>
      </c>
      <c r="AP213" s="30">
        <f t="shared" si="178"/>
        <v>20.244559570636309</v>
      </c>
      <c r="AQ213" s="30">
        <f t="shared" si="179"/>
        <v>17.558103768725548</v>
      </c>
      <c r="AR213" s="30">
        <f t="shared" si="180"/>
        <v>1.9338086754040658</v>
      </c>
      <c r="AS213" s="30">
        <f t="shared" si="181"/>
        <v>45.062253539657235</v>
      </c>
      <c r="AT213" s="31">
        <f t="shared" si="14"/>
        <v>99.31327816924572</v>
      </c>
      <c r="AV213" s="21">
        <f t="shared" si="86"/>
        <v>9040</v>
      </c>
    </row>
    <row r="214" spans="2:48" ht="15.75" customHeight="1" x14ac:dyDescent="0.25">
      <c r="B214" s="32"/>
      <c r="C214" s="18" t="s">
        <v>46</v>
      </c>
      <c r="D214" s="51"/>
      <c r="E214" s="18" t="s">
        <v>48</v>
      </c>
      <c r="F214" s="51"/>
      <c r="G214" s="23">
        <f t="shared" si="182"/>
        <v>50.819507290095522</v>
      </c>
      <c r="H214" s="23">
        <f t="shared" si="183"/>
        <v>7.1191553544494717</v>
      </c>
      <c r="I214" s="23">
        <f t="shared" si="184"/>
        <v>41.337355455002516</v>
      </c>
      <c r="J214" s="23">
        <f t="shared" si="185"/>
        <v>0.15082956259426847</v>
      </c>
      <c r="K214" s="23">
        <f t="shared" si="186"/>
        <v>0.57315233785822017</v>
      </c>
      <c r="L214" s="22">
        <f t="shared" si="74"/>
        <v>9.1599999999999966</v>
      </c>
      <c r="M214" s="18">
        <v>82.29</v>
      </c>
      <c r="N214" s="18">
        <v>8</v>
      </c>
      <c r="O214" s="18">
        <v>0.55000000000000004</v>
      </c>
      <c r="P214" s="18">
        <v>0.27</v>
      </c>
      <c r="Q214" s="18">
        <v>900</v>
      </c>
      <c r="R214" s="18" t="s">
        <v>51</v>
      </c>
      <c r="S214" s="53">
        <v>0</v>
      </c>
      <c r="T214" s="18">
        <v>19.149999999999999</v>
      </c>
      <c r="U214" s="21">
        <v>30.51</v>
      </c>
      <c r="V214" s="21">
        <v>39.21</v>
      </c>
      <c r="W214" s="18">
        <v>25.75</v>
      </c>
      <c r="X214" s="18">
        <v>3.29</v>
      </c>
      <c r="Y214" s="27">
        <f t="shared" si="173"/>
        <v>43.629381511697993</v>
      </c>
      <c r="Z214" s="18">
        <f t="shared" si="76"/>
        <v>0.61728395061728392</v>
      </c>
      <c r="AA214" s="18">
        <v>77.92</v>
      </c>
      <c r="AB214" s="18">
        <v>117.2</v>
      </c>
      <c r="AC214" s="21">
        <f t="shared" si="77"/>
        <v>9880</v>
      </c>
      <c r="AD214" s="18" t="s">
        <v>51</v>
      </c>
      <c r="AF214" s="1"/>
      <c r="AG214" s="29">
        <v>1.62</v>
      </c>
      <c r="AH214" s="29">
        <v>9.8800000000000008</v>
      </c>
      <c r="AK214" s="1">
        <f t="shared" si="174"/>
        <v>4.802560062486533</v>
      </c>
      <c r="AL214" s="29">
        <f t="shared" si="175"/>
        <v>6.2050680451887068</v>
      </c>
      <c r="AM214" s="29">
        <f t="shared" si="176"/>
        <v>11.00762810767524</v>
      </c>
      <c r="AO214" s="30">
        <f t="shared" si="177"/>
        <v>17.198675700780942</v>
      </c>
      <c r="AP214" s="30">
        <f t="shared" si="178"/>
        <v>22.102919509263216</v>
      </c>
      <c r="AQ214" s="30">
        <f t="shared" si="179"/>
        <v>14.515434260737766</v>
      </c>
      <c r="AR214" s="30">
        <f t="shared" si="180"/>
        <v>1.8545933482651358</v>
      </c>
      <c r="AS214" s="30">
        <f t="shared" si="181"/>
        <v>43.629381511697993</v>
      </c>
      <c r="AT214" s="31">
        <f t="shared" si="14"/>
        <v>99.301004330745045</v>
      </c>
      <c r="AV214" s="21">
        <f t="shared" si="86"/>
        <v>9880</v>
      </c>
    </row>
    <row r="215" spans="2:48" ht="15.75" customHeight="1" x14ac:dyDescent="0.25">
      <c r="B215" s="32"/>
      <c r="C215" s="18" t="s">
        <v>46</v>
      </c>
      <c r="D215" s="51"/>
      <c r="E215" s="18" t="s">
        <v>48</v>
      </c>
      <c r="F215" s="51"/>
      <c r="G215" s="23">
        <f t="shared" si="182"/>
        <v>50.819507290095522</v>
      </c>
      <c r="H215" s="23">
        <f t="shared" si="183"/>
        <v>7.1191553544494717</v>
      </c>
      <c r="I215" s="23">
        <f t="shared" si="184"/>
        <v>41.337355455002516</v>
      </c>
      <c r="J215" s="23">
        <f t="shared" si="185"/>
        <v>0.15082956259426847</v>
      </c>
      <c r="K215" s="23">
        <f t="shared" si="186"/>
        <v>0.57315233785822017</v>
      </c>
      <c r="L215" s="22">
        <f t="shared" si="74"/>
        <v>9.1599999999999966</v>
      </c>
      <c r="M215" s="18">
        <v>82.29</v>
      </c>
      <c r="N215" s="18">
        <v>8</v>
      </c>
      <c r="O215" s="18">
        <v>0.55000000000000004</v>
      </c>
      <c r="P215" s="18">
        <v>0.27</v>
      </c>
      <c r="Q215" s="18">
        <v>900</v>
      </c>
      <c r="R215" s="18" t="s">
        <v>51</v>
      </c>
      <c r="S215" s="53">
        <v>0</v>
      </c>
      <c r="T215" s="18">
        <v>19.149999999999999</v>
      </c>
      <c r="U215" s="21">
        <v>28.58</v>
      </c>
      <c r="V215" s="21">
        <v>38.659999999999997</v>
      </c>
      <c r="W215" s="18">
        <v>24.45</v>
      </c>
      <c r="X215" s="18">
        <v>6.01</v>
      </c>
      <c r="Y215" s="27">
        <f t="shared" si="173"/>
        <v>43.941155440381507</v>
      </c>
      <c r="Z215" s="18">
        <f t="shared" si="76"/>
        <v>0.70422535211267612</v>
      </c>
      <c r="AA215" s="18">
        <v>76.81</v>
      </c>
      <c r="AB215" s="18">
        <v>104.04</v>
      </c>
      <c r="AC215" s="21">
        <f t="shared" si="77"/>
        <v>11110</v>
      </c>
      <c r="AD215" s="18" t="s">
        <v>51</v>
      </c>
      <c r="AF215" s="1"/>
      <c r="AG215" s="29">
        <v>1.42</v>
      </c>
      <c r="AH215" s="29">
        <v>11.11</v>
      </c>
      <c r="AK215" s="1">
        <f t="shared" si="174"/>
        <v>4.802560062486533</v>
      </c>
      <c r="AL215" s="29">
        <f t="shared" si="175"/>
        <v>6.1269660602449267</v>
      </c>
      <c r="AM215" s="29">
        <f t="shared" si="176"/>
        <v>10.92952612273146</v>
      </c>
      <c r="AO215" s="30">
        <f t="shared" si="177"/>
        <v>16.021617775138967</v>
      </c>
      <c r="AP215" s="30">
        <f t="shared" si="178"/>
        <v>21.672349306748508</v>
      </c>
      <c r="AQ215" s="30">
        <f t="shared" si="179"/>
        <v>13.706387494826721</v>
      </c>
      <c r="AR215" s="30">
        <f t="shared" si="180"/>
        <v>3.3691365580330714</v>
      </c>
      <c r="AS215" s="30">
        <f t="shared" si="181"/>
        <v>43.941155440381507</v>
      </c>
      <c r="AT215" s="31">
        <f t="shared" si="14"/>
        <v>98.710646575128777</v>
      </c>
      <c r="AV215" s="21">
        <f t="shared" si="86"/>
        <v>11110</v>
      </c>
    </row>
    <row r="216" spans="2:48" ht="15.75" customHeight="1" x14ac:dyDescent="0.25">
      <c r="B216" s="32"/>
      <c r="C216" s="18" t="s">
        <v>46</v>
      </c>
      <c r="D216" s="51"/>
      <c r="E216" s="18" t="s">
        <v>48</v>
      </c>
      <c r="F216" s="51"/>
      <c r="G216" s="23">
        <f t="shared" si="182"/>
        <v>50.819507290095522</v>
      </c>
      <c r="H216" s="23">
        <f t="shared" si="183"/>
        <v>7.1191553544494717</v>
      </c>
      <c r="I216" s="23">
        <f t="shared" si="184"/>
        <v>41.337355455002516</v>
      </c>
      <c r="J216" s="23">
        <f t="shared" si="185"/>
        <v>0.15082956259426847</v>
      </c>
      <c r="K216" s="23">
        <f t="shared" si="186"/>
        <v>0.57315233785822017</v>
      </c>
      <c r="L216" s="22">
        <f t="shared" si="74"/>
        <v>9.1599999999999966</v>
      </c>
      <c r="M216" s="18">
        <v>82.29</v>
      </c>
      <c r="N216" s="18">
        <v>8</v>
      </c>
      <c r="O216" s="18">
        <v>0.55000000000000004</v>
      </c>
      <c r="P216" s="18">
        <v>0.27</v>
      </c>
      <c r="Q216" s="18">
        <v>900</v>
      </c>
      <c r="R216" s="18" t="s">
        <v>51</v>
      </c>
      <c r="S216" s="53">
        <v>0</v>
      </c>
      <c r="T216" s="18">
        <v>19.149999999999999</v>
      </c>
      <c r="U216" s="21">
        <v>29.91</v>
      </c>
      <c r="V216" s="21">
        <v>42.65</v>
      </c>
      <c r="W216" s="18">
        <v>22.29</v>
      </c>
      <c r="X216" s="18">
        <v>3.58</v>
      </c>
      <c r="Y216" s="27">
        <f t="shared" si="173"/>
        <v>43.726509416344243</v>
      </c>
      <c r="Z216" s="18">
        <f t="shared" si="76"/>
        <v>0.80645161290322587</v>
      </c>
      <c r="AA216" s="18">
        <v>62.6</v>
      </c>
      <c r="AB216" s="18">
        <v>90.06</v>
      </c>
      <c r="AC216" s="21">
        <f t="shared" si="77"/>
        <v>10370</v>
      </c>
      <c r="AD216" s="18" t="s">
        <v>51</v>
      </c>
      <c r="AF216" s="1"/>
      <c r="AG216" s="29">
        <v>1.24</v>
      </c>
      <c r="AH216" s="29">
        <v>10.37</v>
      </c>
      <c r="AK216" s="1">
        <f t="shared" si="174"/>
        <v>4.802560062486533</v>
      </c>
      <c r="AL216" s="29">
        <f t="shared" si="175"/>
        <v>6.1806172516656357</v>
      </c>
      <c r="AM216" s="29">
        <f t="shared" si="176"/>
        <v>10.983177314152169</v>
      </c>
      <c r="AO216" s="30">
        <f t="shared" si="177"/>
        <v>16.831401033571431</v>
      </c>
      <c r="AP216" s="30">
        <f t="shared" si="178"/>
        <v>24.000643733929181</v>
      </c>
      <c r="AQ216" s="30">
        <f t="shared" si="179"/>
        <v>12.543361051096866</v>
      </c>
      <c r="AR216" s="30">
        <f t="shared" si="180"/>
        <v>2.0145909628948759</v>
      </c>
      <c r="AS216" s="30">
        <f t="shared" si="181"/>
        <v>43.726509416344243</v>
      </c>
      <c r="AT216" s="31">
        <f t="shared" si="14"/>
        <v>99.1165061978366</v>
      </c>
      <c r="AV216" s="21">
        <f t="shared" si="86"/>
        <v>10370</v>
      </c>
    </row>
    <row r="217" spans="2:48" ht="15.75" customHeight="1" x14ac:dyDescent="0.25">
      <c r="B217" s="32"/>
      <c r="C217" s="18" t="s">
        <v>46</v>
      </c>
      <c r="D217" s="51"/>
      <c r="E217" s="18" t="s">
        <v>48</v>
      </c>
      <c r="F217" s="51"/>
      <c r="G217" s="23">
        <f t="shared" si="182"/>
        <v>50.819507290095522</v>
      </c>
      <c r="H217" s="23">
        <f t="shared" si="183"/>
        <v>7.1191553544494717</v>
      </c>
      <c r="I217" s="23">
        <f t="shared" si="184"/>
        <v>41.337355455002516</v>
      </c>
      <c r="J217" s="23">
        <f t="shared" si="185"/>
        <v>0.15082956259426847</v>
      </c>
      <c r="K217" s="23">
        <f t="shared" si="186"/>
        <v>0.57315233785822017</v>
      </c>
      <c r="L217" s="22">
        <f t="shared" si="74"/>
        <v>9.1599999999999966</v>
      </c>
      <c r="M217" s="18">
        <v>82.29</v>
      </c>
      <c r="N217" s="18">
        <v>8</v>
      </c>
      <c r="O217" s="18">
        <v>0.55000000000000004</v>
      </c>
      <c r="P217" s="18">
        <v>0.27</v>
      </c>
      <c r="Q217" s="18">
        <v>900</v>
      </c>
      <c r="R217" s="18" t="s">
        <v>51</v>
      </c>
      <c r="S217" s="53">
        <v>0</v>
      </c>
      <c r="T217" s="18">
        <v>19.149999999999999</v>
      </c>
      <c r="U217" s="21">
        <v>27.17</v>
      </c>
      <c r="V217" s="21">
        <v>37.65</v>
      </c>
      <c r="W217" s="18">
        <v>28.89</v>
      </c>
      <c r="X217" s="18">
        <v>4.78</v>
      </c>
      <c r="Y217" s="27">
        <f t="shared" si="173"/>
        <v>44.714374676936302</v>
      </c>
      <c r="Z217" s="18">
        <f t="shared" si="76"/>
        <v>0.75757575757575757</v>
      </c>
      <c r="AA217" s="18">
        <v>62.66</v>
      </c>
      <c r="AB217" s="18">
        <v>99.79</v>
      </c>
      <c r="AC217" s="21">
        <f t="shared" si="77"/>
        <v>9750</v>
      </c>
      <c r="AD217" s="18" t="s">
        <v>51</v>
      </c>
      <c r="AF217" s="1"/>
      <c r="AG217" s="29">
        <v>1.32</v>
      </c>
      <c r="AH217" s="29">
        <v>9.75</v>
      </c>
      <c r="AK217" s="1">
        <f t="shared" si="174"/>
        <v>4.802560062486533</v>
      </c>
      <c r="AL217" s="29">
        <f t="shared" si="175"/>
        <v>5.9379682288857181</v>
      </c>
      <c r="AM217" s="29">
        <f t="shared" si="176"/>
        <v>10.74052829137225</v>
      </c>
      <c r="AO217" s="30">
        <f t="shared" si="177"/>
        <v>15.021104400276409</v>
      </c>
      <c r="AP217" s="30">
        <f t="shared" si="178"/>
        <v>20.815037934133485</v>
      </c>
      <c r="AQ217" s="30">
        <f t="shared" si="179"/>
        <v>15.972017155833104</v>
      </c>
      <c r="AR217" s="30">
        <f t="shared" si="180"/>
        <v>2.6426528904424451</v>
      </c>
      <c r="AS217" s="30">
        <f t="shared" si="181"/>
        <v>44.714374676936302</v>
      </c>
      <c r="AT217" s="31">
        <f t="shared" si="14"/>
        <v>99.16518705762175</v>
      </c>
      <c r="AV217" s="21">
        <f t="shared" si="86"/>
        <v>9750</v>
      </c>
    </row>
    <row r="218" spans="2:48" ht="15.75" customHeight="1" x14ac:dyDescent="0.25">
      <c r="B218" s="32"/>
      <c r="C218" s="18" t="s">
        <v>46</v>
      </c>
      <c r="D218" s="51"/>
      <c r="E218" s="18" t="s">
        <v>48</v>
      </c>
      <c r="F218" s="51"/>
      <c r="G218" s="18">
        <v>51.3</v>
      </c>
      <c r="H218" s="18">
        <v>6.1</v>
      </c>
      <c r="I218" s="18">
        <v>42.59</v>
      </c>
      <c r="J218" s="18">
        <v>0</v>
      </c>
      <c r="K218" s="18">
        <v>0.01</v>
      </c>
      <c r="L218" s="22">
        <f t="shared" si="74"/>
        <v>11.269999999999996</v>
      </c>
      <c r="M218" s="18">
        <v>79.67</v>
      </c>
      <c r="N218" s="18">
        <v>7.9</v>
      </c>
      <c r="O218" s="18">
        <v>1.1599999999999999</v>
      </c>
      <c r="P218" s="18">
        <v>0.25</v>
      </c>
      <c r="Q218" s="18">
        <v>770</v>
      </c>
      <c r="R218" s="18" t="s">
        <v>51</v>
      </c>
      <c r="S218" s="53">
        <v>0</v>
      </c>
      <c r="T218" s="18">
        <v>18.350000000000001</v>
      </c>
      <c r="U218" s="21">
        <v>43.6</v>
      </c>
      <c r="V218" s="21">
        <v>33.200000000000003</v>
      </c>
      <c r="W218" s="18">
        <v>11.7</v>
      </c>
      <c r="X218" s="18">
        <v>11.5</v>
      </c>
      <c r="Y218" s="27">
        <f t="shared" si="173"/>
        <v>35.670933122740287</v>
      </c>
      <c r="Z218" s="18">
        <f t="shared" si="76"/>
        <v>0.90909090909090906</v>
      </c>
      <c r="AA218" s="18">
        <v>77.989999999999995</v>
      </c>
      <c r="AB218" s="18">
        <v>64.790000000000006</v>
      </c>
      <c r="AC218" s="21">
        <f t="shared" si="77"/>
        <v>13010</v>
      </c>
      <c r="AD218" s="18" t="s">
        <v>51</v>
      </c>
      <c r="AF218" s="1"/>
      <c r="AG218" s="29">
        <v>1.1000000000000001</v>
      </c>
      <c r="AH218" s="29">
        <v>13.01</v>
      </c>
      <c r="AK218" s="1">
        <f t="shared" si="174"/>
        <v>4.2030468749999992</v>
      </c>
      <c r="AL218" s="29">
        <f t="shared" si="175"/>
        <v>7.5797872340425521</v>
      </c>
      <c r="AM218" s="29">
        <f t="shared" si="176"/>
        <v>11.78283410904255</v>
      </c>
      <c r="AO218" s="30">
        <f t="shared" si="177"/>
        <v>28.047473158485236</v>
      </c>
      <c r="AP218" s="30">
        <f t="shared" si="178"/>
        <v>21.357250203250228</v>
      </c>
      <c r="AQ218" s="30">
        <f t="shared" si="179"/>
        <v>7.5265008246393874</v>
      </c>
      <c r="AR218" s="30">
        <f t="shared" si="180"/>
        <v>7.3978426908848691</v>
      </c>
      <c r="AS218" s="30">
        <f t="shared" si="181"/>
        <v>35.670933122740287</v>
      </c>
      <c r="AT218" s="31">
        <f t="shared" si="14"/>
        <v>100</v>
      </c>
      <c r="AV218" s="21">
        <f t="shared" si="86"/>
        <v>13010</v>
      </c>
    </row>
    <row r="219" spans="2:48" ht="15.75" customHeight="1" x14ac:dyDescent="0.25">
      <c r="B219" s="32"/>
      <c r="C219" s="18" t="s">
        <v>46</v>
      </c>
      <c r="D219" s="51"/>
      <c r="E219" s="18" t="s">
        <v>48</v>
      </c>
      <c r="F219" s="51"/>
      <c r="G219" s="18">
        <v>51.3</v>
      </c>
      <c r="H219" s="18">
        <v>6.1</v>
      </c>
      <c r="I219" s="18">
        <v>42.59</v>
      </c>
      <c r="J219" s="18">
        <v>0</v>
      </c>
      <c r="K219" s="18">
        <v>0.01</v>
      </c>
      <c r="L219" s="22">
        <f t="shared" si="74"/>
        <v>11.269999999999996</v>
      </c>
      <c r="M219" s="18">
        <v>79.67</v>
      </c>
      <c r="N219" s="18">
        <v>7.9</v>
      </c>
      <c r="O219" s="18">
        <v>1.1599999999999999</v>
      </c>
      <c r="P219" s="18">
        <v>0.25</v>
      </c>
      <c r="Q219" s="18">
        <v>770</v>
      </c>
      <c r="R219" s="18" t="s">
        <v>51</v>
      </c>
      <c r="S219" s="53">
        <v>0</v>
      </c>
      <c r="T219" s="18">
        <v>18.350000000000001</v>
      </c>
      <c r="U219" s="21">
        <v>55.5</v>
      </c>
      <c r="V219" s="21">
        <v>24</v>
      </c>
      <c r="W219" s="18">
        <v>14.1</v>
      </c>
      <c r="X219" s="18">
        <v>6.4</v>
      </c>
      <c r="Y219" s="27">
        <f t="shared" si="173"/>
        <v>30.435273435332356</v>
      </c>
      <c r="Z219" s="18">
        <f t="shared" si="76"/>
        <v>0.52631578947368418</v>
      </c>
      <c r="AA219" s="18">
        <v>113.28</v>
      </c>
      <c r="AB219" s="18">
        <v>88.29</v>
      </c>
      <c r="AC219" s="21">
        <f t="shared" si="77"/>
        <v>10940</v>
      </c>
      <c r="AD219" s="18" t="s">
        <v>51</v>
      </c>
      <c r="AF219" s="1"/>
      <c r="AG219" s="29">
        <v>1.9</v>
      </c>
      <c r="AH219" s="29">
        <v>10.94</v>
      </c>
      <c r="AK219" s="1">
        <f t="shared" si="174"/>
        <v>4.2030468749999992</v>
      </c>
      <c r="AL219" s="29">
        <f t="shared" si="175"/>
        <v>9.6067415730337071</v>
      </c>
      <c r="AM219" s="29">
        <f t="shared" si="176"/>
        <v>13.809788448033707</v>
      </c>
      <c r="AO219" s="30">
        <f t="shared" si="177"/>
        <v>38.60842324339054</v>
      </c>
      <c r="AP219" s="30">
        <f t="shared" si="178"/>
        <v>16.695534375520236</v>
      </c>
      <c r="AQ219" s="30">
        <f t="shared" si="179"/>
        <v>9.8086264456181365</v>
      </c>
      <c r="AR219" s="30">
        <f t="shared" si="180"/>
        <v>4.4521425001387289</v>
      </c>
      <c r="AS219" s="30">
        <f t="shared" si="181"/>
        <v>30.435273435332356</v>
      </c>
      <c r="AT219" s="31">
        <f t="shared" si="14"/>
        <v>100</v>
      </c>
      <c r="AV219" s="21">
        <f t="shared" si="86"/>
        <v>10940</v>
      </c>
    </row>
    <row r="220" spans="2:48" ht="15.75" customHeight="1" x14ac:dyDescent="0.25">
      <c r="B220" s="32"/>
      <c r="C220" s="18" t="s">
        <v>46</v>
      </c>
      <c r="D220" s="51"/>
      <c r="E220" s="18" t="s">
        <v>48</v>
      </c>
      <c r="F220" s="51"/>
      <c r="G220" s="18">
        <v>51.3</v>
      </c>
      <c r="H220" s="18">
        <v>6.1</v>
      </c>
      <c r="I220" s="18">
        <v>42.59</v>
      </c>
      <c r="J220" s="18">
        <v>0</v>
      </c>
      <c r="K220" s="18">
        <v>0.01</v>
      </c>
      <c r="L220" s="22">
        <f t="shared" si="74"/>
        <v>11.269999999999996</v>
      </c>
      <c r="M220" s="18">
        <v>79.67</v>
      </c>
      <c r="N220" s="18">
        <v>7.9</v>
      </c>
      <c r="O220" s="18">
        <v>1.1599999999999999</v>
      </c>
      <c r="P220" s="18">
        <v>0.25</v>
      </c>
      <c r="Q220" s="18">
        <v>770</v>
      </c>
      <c r="R220" s="18" t="s">
        <v>51</v>
      </c>
      <c r="S220" s="53">
        <v>0</v>
      </c>
      <c r="T220" s="18">
        <v>18.350000000000001</v>
      </c>
      <c r="U220" s="21">
        <v>52.2</v>
      </c>
      <c r="V220" s="21">
        <v>23</v>
      </c>
      <c r="W220" s="18">
        <v>19.899999999999999</v>
      </c>
      <c r="X220" s="18">
        <v>7.9</v>
      </c>
      <c r="Y220" s="27">
        <f t="shared" si="173"/>
        <v>33.308870168896746</v>
      </c>
      <c r="Z220" s="18">
        <f t="shared" si="76"/>
        <v>0.58823529411764708</v>
      </c>
      <c r="AA220" s="18">
        <v>105.34</v>
      </c>
      <c r="AB220" s="18">
        <v>90.18</v>
      </c>
      <c r="AC220" s="21">
        <f t="shared" si="77"/>
        <v>11370</v>
      </c>
      <c r="AD220" s="18" t="s">
        <v>51</v>
      </c>
      <c r="AF220" s="1"/>
      <c r="AG220" s="29">
        <v>1.7</v>
      </c>
      <c r="AH220" s="29">
        <v>11.37</v>
      </c>
      <c r="AK220" s="1">
        <f t="shared" si="174"/>
        <v>4.2030468749999992</v>
      </c>
      <c r="AL220" s="29">
        <f t="shared" si="175"/>
        <v>8.4153543307086629</v>
      </c>
      <c r="AM220" s="29">
        <f t="shared" si="176"/>
        <v>12.618401205708661</v>
      </c>
      <c r="AO220" s="30">
        <f t="shared" si="177"/>
        <v>34.812769771835903</v>
      </c>
      <c r="AP220" s="30">
        <f t="shared" si="178"/>
        <v>15.33895986115375</v>
      </c>
      <c r="AQ220" s="30">
        <f t="shared" si="179"/>
        <v>13.271534836389549</v>
      </c>
      <c r="AR220" s="30">
        <f t="shared" si="180"/>
        <v>5.2685992566571578</v>
      </c>
      <c r="AS220" s="30">
        <f t="shared" si="181"/>
        <v>33.308870168896746</v>
      </c>
      <c r="AT220" s="31">
        <f t="shared" si="14"/>
        <v>102.00073389493311</v>
      </c>
      <c r="AV220" s="21">
        <f t="shared" si="86"/>
        <v>11370</v>
      </c>
    </row>
    <row r="221" spans="2:48" ht="15.75" customHeight="1" x14ac:dyDescent="0.25">
      <c r="B221" s="32"/>
      <c r="C221" s="18" t="s">
        <v>46</v>
      </c>
      <c r="D221" s="51"/>
      <c r="E221" s="18" t="s">
        <v>48</v>
      </c>
      <c r="F221" s="51"/>
      <c r="G221" s="23">
        <f t="shared" ref="G221:G227" si="187">42.01*100/(100-O221)</f>
        <v>44.658233230572982</v>
      </c>
      <c r="H221" s="23">
        <f t="shared" ref="H221:H227" si="188">5.95*100/(100-O221)</f>
        <v>6.3250770702668229</v>
      </c>
      <c r="I221" s="23">
        <f t="shared" ref="I221:I227" si="189">45.01*100/(100-O221)</f>
        <v>47.847347719783144</v>
      </c>
      <c r="J221" s="23">
        <f t="shared" ref="J221:J227" si="190">0.97*100/(100-O221)</f>
        <v>1.0311470181779527</v>
      </c>
      <c r="K221" s="23">
        <f t="shared" ref="K221:K227" si="191">0.13*100/(100-O221)</f>
        <v>0.13819496119910707</v>
      </c>
      <c r="L221" s="22">
        <f t="shared" si="74"/>
        <v>11.949999999999989</v>
      </c>
      <c r="M221" s="18">
        <v>75.95</v>
      </c>
      <c r="N221" s="18">
        <v>6.17</v>
      </c>
      <c r="O221" s="18">
        <v>5.93</v>
      </c>
      <c r="P221" s="18">
        <v>0.18</v>
      </c>
      <c r="Q221" s="18">
        <v>700</v>
      </c>
      <c r="R221" s="18" t="s">
        <v>51</v>
      </c>
      <c r="S221" s="53">
        <v>0</v>
      </c>
      <c r="T221" s="18">
        <v>17.75</v>
      </c>
      <c r="U221" s="21">
        <v>6.11</v>
      </c>
      <c r="V221" s="21">
        <v>11.35</v>
      </c>
      <c r="W221" s="18">
        <v>23.93</v>
      </c>
      <c r="X221" s="18">
        <v>1.27</v>
      </c>
      <c r="Y221" s="49">
        <f t="shared" ref="Y221:Y227" si="192">100-SUM(U221:X221)</f>
        <v>57.339999999999996</v>
      </c>
      <c r="Z221" s="18">
        <f t="shared" si="76"/>
        <v>0.7407407407407407</v>
      </c>
      <c r="AA221" s="18">
        <v>21.17</v>
      </c>
      <c r="AB221" s="18">
        <v>60.3</v>
      </c>
      <c r="AC221" s="21">
        <f t="shared" si="77"/>
        <v>2690</v>
      </c>
      <c r="AD221" s="18" t="s">
        <v>51</v>
      </c>
      <c r="AF221" s="1"/>
      <c r="AG221" s="29">
        <v>1.35</v>
      </c>
      <c r="AH221" s="29">
        <v>2.69</v>
      </c>
      <c r="AO221" s="30">
        <f t="shared" ref="AO221:AS221" si="193">U221</f>
        <v>6.11</v>
      </c>
      <c r="AP221" s="30">
        <f t="shared" si="193"/>
        <v>11.35</v>
      </c>
      <c r="AQ221" s="30">
        <f t="shared" si="193"/>
        <v>23.93</v>
      </c>
      <c r="AR221" s="30">
        <f t="shared" si="193"/>
        <v>1.27</v>
      </c>
      <c r="AS221" s="30">
        <f t="shared" si="193"/>
        <v>57.339999999999996</v>
      </c>
      <c r="AT221" s="31">
        <f t="shared" si="14"/>
        <v>100</v>
      </c>
      <c r="AV221" s="21">
        <f t="shared" si="86"/>
        <v>2690</v>
      </c>
    </row>
    <row r="222" spans="2:48" ht="15.75" customHeight="1" x14ac:dyDescent="0.25">
      <c r="B222" s="32"/>
      <c r="C222" s="18" t="s">
        <v>46</v>
      </c>
      <c r="D222" s="51"/>
      <c r="E222" s="18" t="s">
        <v>48</v>
      </c>
      <c r="F222" s="51"/>
      <c r="G222" s="23">
        <f t="shared" si="187"/>
        <v>44.658233230572982</v>
      </c>
      <c r="H222" s="23">
        <f t="shared" si="188"/>
        <v>6.3250770702668229</v>
      </c>
      <c r="I222" s="23">
        <f t="shared" si="189"/>
        <v>47.847347719783144</v>
      </c>
      <c r="J222" s="23">
        <f t="shared" si="190"/>
        <v>1.0311470181779527</v>
      </c>
      <c r="K222" s="23">
        <f t="shared" si="191"/>
        <v>0.13819496119910707</v>
      </c>
      <c r="L222" s="22">
        <f t="shared" si="74"/>
        <v>11.949999999999989</v>
      </c>
      <c r="M222" s="18">
        <v>75.95</v>
      </c>
      <c r="N222" s="18">
        <v>6.17</v>
      </c>
      <c r="O222" s="18">
        <v>5.93</v>
      </c>
      <c r="P222" s="18">
        <v>0.21</v>
      </c>
      <c r="Q222" s="18">
        <v>800</v>
      </c>
      <c r="R222" s="18" t="s">
        <v>51</v>
      </c>
      <c r="S222" s="53">
        <v>0</v>
      </c>
      <c r="T222" s="18">
        <v>17.75</v>
      </c>
      <c r="U222" s="21">
        <v>8.23</v>
      </c>
      <c r="V222" s="21">
        <v>13.55</v>
      </c>
      <c r="W222" s="18">
        <v>20.37</v>
      </c>
      <c r="X222" s="18">
        <v>1.84</v>
      </c>
      <c r="Y222" s="49">
        <f t="shared" si="192"/>
        <v>56.009999999999991</v>
      </c>
      <c r="Z222" s="18">
        <f t="shared" si="76"/>
        <v>0.68027210884353739</v>
      </c>
      <c r="AA222" s="18">
        <v>28.46</v>
      </c>
      <c r="AB222" s="18">
        <v>64.239999999999995</v>
      </c>
      <c r="AC222" s="21">
        <f t="shared" si="77"/>
        <v>3320</v>
      </c>
      <c r="AD222" s="18" t="s">
        <v>51</v>
      </c>
      <c r="AF222" s="1"/>
      <c r="AG222" s="29">
        <v>1.47</v>
      </c>
      <c r="AH222" s="29">
        <v>3.32</v>
      </c>
      <c r="AO222" s="30">
        <f t="shared" ref="AO222:AS222" si="194">U222</f>
        <v>8.23</v>
      </c>
      <c r="AP222" s="30">
        <f t="shared" si="194"/>
        <v>13.55</v>
      </c>
      <c r="AQ222" s="30">
        <f t="shared" si="194"/>
        <v>20.37</v>
      </c>
      <c r="AR222" s="30">
        <f t="shared" si="194"/>
        <v>1.84</v>
      </c>
      <c r="AS222" s="30">
        <f t="shared" si="194"/>
        <v>56.009999999999991</v>
      </c>
      <c r="AT222" s="31">
        <f t="shared" si="14"/>
        <v>100</v>
      </c>
      <c r="AV222" s="21">
        <f t="shared" si="86"/>
        <v>3320</v>
      </c>
    </row>
    <row r="223" spans="2:48" ht="15.75" customHeight="1" x14ac:dyDescent="0.25">
      <c r="B223" s="32"/>
      <c r="C223" s="18" t="s">
        <v>46</v>
      </c>
      <c r="D223" s="51"/>
      <c r="E223" s="18" t="s">
        <v>48</v>
      </c>
      <c r="F223" s="51"/>
      <c r="G223" s="23">
        <f t="shared" si="187"/>
        <v>44.658233230572982</v>
      </c>
      <c r="H223" s="23">
        <f t="shared" si="188"/>
        <v>6.3250770702668229</v>
      </c>
      <c r="I223" s="23">
        <f t="shared" si="189"/>
        <v>47.847347719783144</v>
      </c>
      <c r="J223" s="23">
        <f t="shared" si="190"/>
        <v>1.0311470181779527</v>
      </c>
      <c r="K223" s="23">
        <f t="shared" si="191"/>
        <v>0.13819496119910707</v>
      </c>
      <c r="L223" s="22">
        <f t="shared" si="74"/>
        <v>11.949999999999989</v>
      </c>
      <c r="M223" s="18">
        <v>75.95</v>
      </c>
      <c r="N223" s="18">
        <v>6.17</v>
      </c>
      <c r="O223" s="18">
        <v>5.93</v>
      </c>
      <c r="P223" s="18">
        <v>0.24</v>
      </c>
      <c r="Q223" s="18">
        <v>800</v>
      </c>
      <c r="R223" s="18" t="s">
        <v>51</v>
      </c>
      <c r="S223" s="53">
        <v>0</v>
      </c>
      <c r="T223" s="18">
        <v>17.75</v>
      </c>
      <c r="U223" s="21">
        <v>10.92</v>
      </c>
      <c r="V223" s="21">
        <v>16.72</v>
      </c>
      <c r="W223" s="18">
        <v>16.48</v>
      </c>
      <c r="X223" s="18">
        <v>2.98</v>
      </c>
      <c r="Y223" s="49">
        <f t="shared" si="192"/>
        <v>52.9</v>
      </c>
      <c r="Z223" s="18">
        <f t="shared" si="76"/>
        <v>0.61728395061728392</v>
      </c>
      <c r="AA223" s="18">
        <v>41.85</v>
      </c>
      <c r="AB223" s="18">
        <v>71.62</v>
      </c>
      <c r="AC223" s="21">
        <f t="shared" si="77"/>
        <v>4430</v>
      </c>
      <c r="AD223" s="18" t="s">
        <v>51</v>
      </c>
      <c r="AF223" s="1"/>
      <c r="AG223" s="29">
        <v>1.62</v>
      </c>
      <c r="AH223" s="29">
        <v>4.43</v>
      </c>
      <c r="AO223" s="30">
        <f t="shared" ref="AO223:AS223" si="195">U223</f>
        <v>10.92</v>
      </c>
      <c r="AP223" s="30">
        <f t="shared" si="195"/>
        <v>16.72</v>
      </c>
      <c r="AQ223" s="30">
        <f t="shared" si="195"/>
        <v>16.48</v>
      </c>
      <c r="AR223" s="30">
        <f t="shared" si="195"/>
        <v>2.98</v>
      </c>
      <c r="AS223" s="30">
        <f t="shared" si="195"/>
        <v>52.9</v>
      </c>
      <c r="AT223" s="31">
        <f t="shared" si="14"/>
        <v>100</v>
      </c>
      <c r="AV223" s="21">
        <f t="shared" si="86"/>
        <v>4430</v>
      </c>
    </row>
    <row r="224" spans="2:48" ht="15.75" customHeight="1" x14ac:dyDescent="0.25">
      <c r="B224" s="32"/>
      <c r="C224" s="18" t="s">
        <v>46</v>
      </c>
      <c r="D224" s="51"/>
      <c r="E224" s="18" t="s">
        <v>48</v>
      </c>
      <c r="F224" s="51"/>
      <c r="G224" s="23">
        <f t="shared" si="187"/>
        <v>44.658233230572982</v>
      </c>
      <c r="H224" s="23">
        <f t="shared" si="188"/>
        <v>6.3250770702668229</v>
      </c>
      <c r="I224" s="23">
        <f t="shared" si="189"/>
        <v>47.847347719783144</v>
      </c>
      <c r="J224" s="23">
        <f t="shared" si="190"/>
        <v>1.0311470181779527</v>
      </c>
      <c r="K224" s="23">
        <f t="shared" si="191"/>
        <v>0.13819496119910707</v>
      </c>
      <c r="L224" s="22">
        <f t="shared" si="74"/>
        <v>11.949999999999989</v>
      </c>
      <c r="M224" s="18">
        <v>75.95</v>
      </c>
      <c r="N224" s="18">
        <v>6.17</v>
      </c>
      <c r="O224" s="18">
        <v>5.93</v>
      </c>
      <c r="P224" s="18">
        <v>0.28000000000000003</v>
      </c>
      <c r="Q224" s="18">
        <v>800</v>
      </c>
      <c r="R224" s="18" t="s">
        <v>51</v>
      </c>
      <c r="S224" s="53">
        <v>0</v>
      </c>
      <c r="T224" s="18">
        <v>17.75</v>
      </c>
      <c r="U224" s="21">
        <v>12.78</v>
      </c>
      <c r="V224" s="21">
        <v>18.989999999999998</v>
      </c>
      <c r="W224" s="18">
        <v>13.11</v>
      </c>
      <c r="X224" s="18">
        <v>3.96</v>
      </c>
      <c r="Y224" s="49">
        <f t="shared" si="192"/>
        <v>51.160000000000004</v>
      </c>
      <c r="Z224" s="18">
        <f t="shared" si="76"/>
        <v>0.5524861878453039</v>
      </c>
      <c r="AA224" s="18">
        <v>55.94</v>
      </c>
      <c r="AB224" s="18">
        <v>79.760000000000005</v>
      </c>
      <c r="AC224" s="21">
        <f t="shared" si="77"/>
        <v>5300</v>
      </c>
      <c r="AD224" s="18" t="s">
        <v>51</v>
      </c>
      <c r="AF224" s="1"/>
      <c r="AG224" s="29">
        <v>1.81</v>
      </c>
      <c r="AH224" s="29">
        <v>5.3</v>
      </c>
      <c r="AO224" s="30">
        <f t="shared" ref="AO224:AS224" si="196">U224</f>
        <v>12.78</v>
      </c>
      <c r="AP224" s="30">
        <f t="shared" si="196"/>
        <v>18.989999999999998</v>
      </c>
      <c r="AQ224" s="30">
        <f t="shared" si="196"/>
        <v>13.11</v>
      </c>
      <c r="AR224" s="30">
        <f t="shared" si="196"/>
        <v>3.96</v>
      </c>
      <c r="AS224" s="30">
        <f t="shared" si="196"/>
        <v>51.160000000000004</v>
      </c>
      <c r="AT224" s="31">
        <f t="shared" si="14"/>
        <v>100</v>
      </c>
      <c r="AV224" s="21">
        <f t="shared" si="86"/>
        <v>5300</v>
      </c>
    </row>
    <row r="225" spans="2:48" ht="15.75" customHeight="1" x14ac:dyDescent="0.25">
      <c r="B225" s="32"/>
      <c r="C225" s="18" t="s">
        <v>46</v>
      </c>
      <c r="D225" s="51"/>
      <c r="E225" s="18" t="s">
        <v>48</v>
      </c>
      <c r="F225" s="51"/>
      <c r="G225" s="23">
        <f t="shared" si="187"/>
        <v>44.658233230572982</v>
      </c>
      <c r="H225" s="23">
        <f t="shared" si="188"/>
        <v>6.3250770702668229</v>
      </c>
      <c r="I225" s="23">
        <f t="shared" si="189"/>
        <v>47.847347719783144</v>
      </c>
      <c r="J225" s="23">
        <f t="shared" si="190"/>
        <v>1.0311470181779527</v>
      </c>
      <c r="K225" s="23">
        <f t="shared" si="191"/>
        <v>0.13819496119910707</v>
      </c>
      <c r="L225" s="22">
        <f t="shared" si="74"/>
        <v>11.949999999999989</v>
      </c>
      <c r="M225" s="18">
        <v>75.95</v>
      </c>
      <c r="N225" s="18">
        <v>6.17</v>
      </c>
      <c r="O225" s="18">
        <v>5.93</v>
      </c>
      <c r="P225" s="18">
        <v>0.32</v>
      </c>
      <c r="Q225" s="18">
        <v>800</v>
      </c>
      <c r="R225" s="18" t="s">
        <v>51</v>
      </c>
      <c r="S225" s="53">
        <v>0</v>
      </c>
      <c r="T225" s="18">
        <v>17.75</v>
      </c>
      <c r="U225" s="21">
        <v>13.51</v>
      </c>
      <c r="V225" s="21">
        <v>14.81</v>
      </c>
      <c r="W225" s="18">
        <v>11.58</v>
      </c>
      <c r="X225" s="18">
        <v>3.72</v>
      </c>
      <c r="Y225" s="49">
        <f t="shared" si="192"/>
        <v>56.38</v>
      </c>
      <c r="Z225" s="18">
        <f t="shared" si="76"/>
        <v>0.46728971962616822</v>
      </c>
      <c r="AA225" s="18">
        <v>67.260000000000005</v>
      </c>
      <c r="AB225" s="18">
        <v>78.739999999999995</v>
      </c>
      <c r="AC225" s="21">
        <f t="shared" si="77"/>
        <v>5390</v>
      </c>
      <c r="AD225" s="18" t="s">
        <v>51</v>
      </c>
      <c r="AF225" s="1"/>
      <c r="AG225" s="29">
        <v>2.14</v>
      </c>
      <c r="AH225" s="29">
        <v>5.39</v>
      </c>
      <c r="AO225" s="30">
        <f t="shared" ref="AO225:AS225" si="197">U225</f>
        <v>13.51</v>
      </c>
      <c r="AP225" s="30">
        <f t="shared" si="197"/>
        <v>14.81</v>
      </c>
      <c r="AQ225" s="30">
        <f t="shared" si="197"/>
        <v>11.58</v>
      </c>
      <c r="AR225" s="30">
        <f t="shared" si="197"/>
        <v>3.72</v>
      </c>
      <c r="AS225" s="30">
        <f t="shared" si="197"/>
        <v>56.38</v>
      </c>
      <c r="AT225" s="31">
        <f t="shared" si="14"/>
        <v>100</v>
      </c>
      <c r="AV225" s="21">
        <f t="shared" si="86"/>
        <v>5390</v>
      </c>
    </row>
    <row r="226" spans="2:48" ht="15.75" customHeight="1" x14ac:dyDescent="0.25">
      <c r="B226" s="32"/>
      <c r="C226" s="18" t="s">
        <v>46</v>
      </c>
      <c r="D226" s="51"/>
      <c r="E226" s="18" t="s">
        <v>48</v>
      </c>
      <c r="F226" s="51"/>
      <c r="G226" s="23">
        <f t="shared" si="187"/>
        <v>44.658233230572982</v>
      </c>
      <c r="H226" s="23">
        <f t="shared" si="188"/>
        <v>6.3250770702668229</v>
      </c>
      <c r="I226" s="23">
        <f t="shared" si="189"/>
        <v>47.847347719783144</v>
      </c>
      <c r="J226" s="23">
        <f t="shared" si="190"/>
        <v>1.0311470181779527</v>
      </c>
      <c r="K226" s="23">
        <f t="shared" si="191"/>
        <v>0.13819496119910707</v>
      </c>
      <c r="L226" s="22">
        <f t="shared" si="74"/>
        <v>11.949999999999989</v>
      </c>
      <c r="M226" s="18">
        <v>75.95</v>
      </c>
      <c r="N226" s="18">
        <v>6.17</v>
      </c>
      <c r="O226" s="18">
        <v>5.93</v>
      </c>
      <c r="P226" s="18">
        <v>0.36</v>
      </c>
      <c r="Q226" s="18">
        <v>800</v>
      </c>
      <c r="R226" s="18" t="s">
        <v>51</v>
      </c>
      <c r="S226" s="53">
        <v>0</v>
      </c>
      <c r="T226" s="18">
        <v>17.75</v>
      </c>
      <c r="U226" s="21">
        <v>12.26</v>
      </c>
      <c r="V226" s="21">
        <v>17.97</v>
      </c>
      <c r="W226" s="18">
        <v>13.82</v>
      </c>
      <c r="X226" s="18">
        <v>3.65</v>
      </c>
      <c r="Y226" s="49">
        <f t="shared" si="192"/>
        <v>52.300000000000004</v>
      </c>
      <c r="Z226" s="18">
        <f t="shared" si="76"/>
        <v>0.39525691699604748</v>
      </c>
      <c r="AA226" s="18">
        <v>73.61</v>
      </c>
      <c r="AB226" s="18">
        <v>109.57</v>
      </c>
      <c r="AC226" s="21">
        <f t="shared" si="77"/>
        <v>4990</v>
      </c>
      <c r="AD226" s="18" t="s">
        <v>51</v>
      </c>
      <c r="AF226" s="1"/>
      <c r="AG226" s="29">
        <v>2.5299999999999998</v>
      </c>
      <c r="AH226" s="29">
        <v>4.99</v>
      </c>
      <c r="AO226" s="30">
        <f t="shared" ref="AO226:AS226" si="198">U226</f>
        <v>12.26</v>
      </c>
      <c r="AP226" s="30">
        <f t="shared" si="198"/>
        <v>17.97</v>
      </c>
      <c r="AQ226" s="30">
        <f t="shared" si="198"/>
        <v>13.82</v>
      </c>
      <c r="AR226" s="30">
        <f t="shared" si="198"/>
        <v>3.65</v>
      </c>
      <c r="AS226" s="30">
        <f t="shared" si="198"/>
        <v>52.300000000000004</v>
      </c>
      <c r="AT226" s="31">
        <f t="shared" si="14"/>
        <v>100</v>
      </c>
      <c r="AV226" s="21">
        <f t="shared" si="86"/>
        <v>4990</v>
      </c>
    </row>
    <row r="227" spans="2:48" ht="15.75" customHeight="1" x14ac:dyDescent="0.25">
      <c r="B227" s="32"/>
      <c r="C227" s="18" t="s">
        <v>46</v>
      </c>
      <c r="D227" s="51"/>
      <c r="E227" s="18" t="s">
        <v>48</v>
      </c>
      <c r="F227" s="51"/>
      <c r="G227" s="23">
        <f t="shared" si="187"/>
        <v>44.658233230572982</v>
      </c>
      <c r="H227" s="23">
        <f t="shared" si="188"/>
        <v>6.3250770702668229</v>
      </c>
      <c r="I227" s="23">
        <f t="shared" si="189"/>
        <v>47.847347719783144</v>
      </c>
      <c r="J227" s="23">
        <f t="shared" si="190"/>
        <v>1.0311470181779527</v>
      </c>
      <c r="K227" s="23">
        <f t="shared" si="191"/>
        <v>0.13819496119910707</v>
      </c>
      <c r="L227" s="22">
        <f t="shared" si="74"/>
        <v>11.949999999999989</v>
      </c>
      <c r="M227" s="18">
        <v>75.95</v>
      </c>
      <c r="N227" s="18">
        <v>6.17</v>
      </c>
      <c r="O227" s="18">
        <v>5.93</v>
      </c>
      <c r="P227" s="18">
        <v>0.41</v>
      </c>
      <c r="Q227" s="18">
        <v>800</v>
      </c>
      <c r="R227" s="18" t="s">
        <v>51</v>
      </c>
      <c r="S227" s="53">
        <v>0</v>
      </c>
      <c r="T227" s="18">
        <v>17.75</v>
      </c>
      <c r="U227" s="21">
        <v>10.58</v>
      </c>
      <c r="V227" s="21">
        <v>15.16</v>
      </c>
      <c r="W227" s="18">
        <v>18.41</v>
      </c>
      <c r="X227" s="18">
        <v>1.57</v>
      </c>
      <c r="Y227" s="49">
        <f t="shared" si="192"/>
        <v>54.279999999999994</v>
      </c>
      <c r="Z227" s="18">
        <f t="shared" si="76"/>
        <v>0.34965034965034969</v>
      </c>
      <c r="AA227" s="18">
        <v>61.54</v>
      </c>
      <c r="AB227" s="18">
        <v>122.81</v>
      </c>
      <c r="AC227" s="21">
        <f t="shared" si="77"/>
        <v>3690</v>
      </c>
      <c r="AD227" s="18" t="s">
        <v>51</v>
      </c>
      <c r="AF227" s="1"/>
      <c r="AG227" s="29">
        <v>2.86</v>
      </c>
      <c r="AH227" s="29">
        <v>3.69</v>
      </c>
      <c r="AO227" s="30">
        <f t="shared" ref="AO227:AS227" si="199">U227</f>
        <v>10.58</v>
      </c>
      <c r="AP227" s="30">
        <f t="shared" si="199"/>
        <v>15.16</v>
      </c>
      <c r="AQ227" s="30">
        <f t="shared" si="199"/>
        <v>18.41</v>
      </c>
      <c r="AR227" s="30">
        <f t="shared" si="199"/>
        <v>1.57</v>
      </c>
      <c r="AS227" s="30">
        <f t="shared" si="199"/>
        <v>54.279999999999994</v>
      </c>
      <c r="AT227" s="31">
        <f t="shared" si="14"/>
        <v>100</v>
      </c>
      <c r="AV227" s="21">
        <f t="shared" si="86"/>
        <v>3690</v>
      </c>
    </row>
    <row r="228" spans="2:48" ht="15.75" customHeight="1" x14ac:dyDescent="0.25">
      <c r="B228" s="32"/>
      <c r="C228" s="18" t="s">
        <v>46</v>
      </c>
      <c r="D228" s="51"/>
      <c r="E228" s="18" t="s">
        <v>48</v>
      </c>
      <c r="F228" s="51"/>
      <c r="G228" s="18">
        <v>52.54</v>
      </c>
      <c r="H228" s="18">
        <v>5.37</v>
      </c>
      <c r="I228" s="18">
        <v>41.01</v>
      </c>
      <c r="J228" s="18">
        <v>0.59</v>
      </c>
      <c r="K228" s="18">
        <v>0.49</v>
      </c>
      <c r="L228" s="22">
        <f t="shared" si="74"/>
        <v>0</v>
      </c>
      <c r="M228" s="18">
        <v>84.48</v>
      </c>
      <c r="N228" s="18">
        <v>10.119999999999999</v>
      </c>
      <c r="O228" s="18">
        <v>5.4</v>
      </c>
      <c r="P228" s="18">
        <v>0.4</v>
      </c>
      <c r="Q228" s="18">
        <v>690</v>
      </c>
      <c r="R228" s="18" t="s">
        <v>51</v>
      </c>
      <c r="S228" s="53">
        <v>0</v>
      </c>
      <c r="T228" s="18">
        <v>16.88</v>
      </c>
      <c r="U228" s="21">
        <v>50.5</v>
      </c>
      <c r="V228" s="21">
        <v>14.3</v>
      </c>
      <c r="W228" s="18">
        <v>26.6</v>
      </c>
      <c r="X228" s="18">
        <v>8.6</v>
      </c>
      <c r="Y228" s="27">
        <f t="shared" ref="Y228:Y245" si="200">(AK228/AM228)*100</f>
        <v>43.104437202224524</v>
      </c>
      <c r="Z228" s="18">
        <f t="shared" si="76"/>
        <v>0.59523809523809523</v>
      </c>
      <c r="AA228" s="18">
        <v>90.79</v>
      </c>
      <c r="AB228" s="18">
        <v>62.6</v>
      </c>
      <c r="AC228" s="21">
        <f t="shared" si="77"/>
        <v>6800</v>
      </c>
      <c r="AD228" s="18" t="s">
        <v>51</v>
      </c>
      <c r="AF228" s="1"/>
      <c r="AG228" s="29">
        <v>1.68</v>
      </c>
      <c r="AH228" s="29">
        <v>6.8</v>
      </c>
      <c r="AK228" s="1">
        <f t="shared" ref="AK228:AK245" si="201">0.79*((P228*(((G228/12)+(H228/4))-((I228/16)/2)))/0.21)+(J228/14)/2</f>
        <v>6.701117063492064</v>
      </c>
      <c r="AL228" s="29">
        <f t="shared" ref="AL228:AL245" si="202">(100*G228)/(12*(V228+W228+X228))</f>
        <v>8.8451178451178443</v>
      </c>
      <c r="AM228" s="29">
        <f t="shared" ref="AM228:AM245" si="203">AL228+AK228</f>
        <v>15.546234908609907</v>
      </c>
      <c r="AO228" s="30">
        <f t="shared" ref="AO228:AO245" si="204">((AL228*(U228/100))/AM228)*100</f>
        <v>28.73225921287662</v>
      </c>
      <c r="AP228" s="30">
        <f t="shared" ref="AP228:AP245" si="205">((AL228*(V228/100))/AM228)*100</f>
        <v>8.1360654800818963</v>
      </c>
      <c r="AQ228" s="30">
        <f t="shared" ref="AQ228:AQ245" si="206">((AL228*(W228/100))/AM228)*100</f>
        <v>15.134219704208279</v>
      </c>
      <c r="AR228" s="30">
        <f t="shared" ref="AR228:AR245" si="207">((AL228*(X228/100))/AM228)*100</f>
        <v>4.8930184006086908</v>
      </c>
      <c r="AS228" s="30">
        <f t="shared" ref="AS228:AS245" si="208">Y228</f>
        <v>43.104437202224524</v>
      </c>
      <c r="AT228" s="31">
        <f t="shared" si="14"/>
        <v>100</v>
      </c>
      <c r="AV228" s="21">
        <f t="shared" si="86"/>
        <v>6800</v>
      </c>
    </row>
    <row r="229" spans="2:48" ht="15.75" customHeight="1" x14ac:dyDescent="0.25">
      <c r="B229" s="32"/>
      <c r="C229" s="18" t="s">
        <v>46</v>
      </c>
      <c r="D229" s="51"/>
      <c r="E229" s="18" t="s">
        <v>48</v>
      </c>
      <c r="F229" s="51"/>
      <c r="G229" s="18">
        <v>52.54</v>
      </c>
      <c r="H229" s="18">
        <v>5.37</v>
      </c>
      <c r="I229" s="18">
        <v>41.01</v>
      </c>
      <c r="J229" s="18">
        <v>0.59</v>
      </c>
      <c r="K229" s="18">
        <v>0.49</v>
      </c>
      <c r="L229" s="22">
        <f t="shared" si="74"/>
        <v>0</v>
      </c>
      <c r="M229" s="18">
        <v>84.48</v>
      </c>
      <c r="N229" s="18">
        <v>10.119999999999999</v>
      </c>
      <c r="O229" s="18">
        <v>5.4</v>
      </c>
      <c r="P229" s="18">
        <v>0.4</v>
      </c>
      <c r="Q229" s="18">
        <v>730</v>
      </c>
      <c r="R229" s="18" t="s">
        <v>51</v>
      </c>
      <c r="S229" s="53">
        <v>0</v>
      </c>
      <c r="T229" s="18">
        <v>16.88</v>
      </c>
      <c r="U229" s="21">
        <v>52.2</v>
      </c>
      <c r="V229" s="21">
        <v>16.3</v>
      </c>
      <c r="W229" s="18">
        <v>23.5</v>
      </c>
      <c r="X229" s="18">
        <v>7.9</v>
      </c>
      <c r="Y229" s="27">
        <f t="shared" si="200"/>
        <v>42.198435785913077</v>
      </c>
      <c r="Z229" s="18">
        <f t="shared" si="76"/>
        <v>0.54054054054054046</v>
      </c>
      <c r="AA229" s="18">
        <v>96.34</v>
      </c>
      <c r="AB229" s="18">
        <v>66.900000000000006</v>
      </c>
      <c r="AC229" s="21">
        <f t="shared" si="77"/>
        <v>6600</v>
      </c>
      <c r="AD229" s="18" t="s">
        <v>51</v>
      </c>
      <c r="AF229" s="1"/>
      <c r="AG229" s="29">
        <v>1.85</v>
      </c>
      <c r="AH229" s="29">
        <v>6.6</v>
      </c>
      <c r="AK229" s="1">
        <f t="shared" si="201"/>
        <v>6.701117063492064</v>
      </c>
      <c r="AL229" s="29">
        <f t="shared" si="202"/>
        <v>9.1788958770090847</v>
      </c>
      <c r="AM229" s="29">
        <f t="shared" si="203"/>
        <v>15.88001294050115</v>
      </c>
      <c r="AO229" s="30">
        <f t="shared" si="204"/>
        <v>30.172416519753376</v>
      </c>
      <c r="AP229" s="30">
        <f t="shared" si="205"/>
        <v>9.4216549668961687</v>
      </c>
      <c r="AQ229" s="30">
        <f t="shared" si="206"/>
        <v>13.583367590310427</v>
      </c>
      <c r="AR229" s="30">
        <f t="shared" si="207"/>
        <v>4.5663235729128671</v>
      </c>
      <c r="AS229" s="30">
        <f t="shared" si="208"/>
        <v>42.198435785913077</v>
      </c>
      <c r="AT229" s="31">
        <f t="shared" si="14"/>
        <v>99.942198435785912</v>
      </c>
      <c r="AV229" s="21">
        <f t="shared" si="86"/>
        <v>6600</v>
      </c>
    </row>
    <row r="230" spans="2:48" ht="15.75" customHeight="1" x14ac:dyDescent="0.25">
      <c r="B230" s="32"/>
      <c r="C230" s="18" t="s">
        <v>46</v>
      </c>
      <c r="D230" s="51"/>
      <c r="E230" s="18" t="s">
        <v>48</v>
      </c>
      <c r="F230" s="51"/>
      <c r="G230" s="18">
        <v>52.54</v>
      </c>
      <c r="H230" s="18">
        <v>5.37</v>
      </c>
      <c r="I230" s="18">
        <v>41.01</v>
      </c>
      <c r="J230" s="18">
        <v>0.59</v>
      </c>
      <c r="K230" s="18">
        <v>0.49</v>
      </c>
      <c r="L230" s="22">
        <f t="shared" si="74"/>
        <v>0</v>
      </c>
      <c r="M230" s="18">
        <v>84.48</v>
      </c>
      <c r="N230" s="18">
        <v>10.119999999999999</v>
      </c>
      <c r="O230" s="18">
        <v>5.4</v>
      </c>
      <c r="P230" s="18">
        <v>0.4</v>
      </c>
      <c r="Q230" s="18">
        <v>750</v>
      </c>
      <c r="R230" s="18" t="s">
        <v>51</v>
      </c>
      <c r="S230" s="53">
        <v>0</v>
      </c>
      <c r="T230" s="18">
        <v>16.88</v>
      </c>
      <c r="U230" s="21">
        <v>49.5</v>
      </c>
      <c r="V230" s="21">
        <v>23.7</v>
      </c>
      <c r="W230" s="18">
        <v>21.2</v>
      </c>
      <c r="X230" s="18">
        <v>5.6</v>
      </c>
      <c r="Y230" s="27">
        <f t="shared" si="200"/>
        <v>43.59560482039597</v>
      </c>
      <c r="Z230" s="18">
        <f t="shared" si="76"/>
        <v>0.69930069930069938</v>
      </c>
      <c r="AA230" s="18">
        <v>78.84</v>
      </c>
      <c r="AB230" s="18">
        <v>43.88</v>
      </c>
      <c r="AC230" s="21">
        <f t="shared" si="77"/>
        <v>5600</v>
      </c>
      <c r="AD230" s="18" t="s">
        <v>51</v>
      </c>
      <c r="AF230" s="1"/>
      <c r="AG230" s="29">
        <v>1.43</v>
      </c>
      <c r="AH230" s="29">
        <v>5.6</v>
      </c>
      <c r="AK230" s="1">
        <f t="shared" si="201"/>
        <v>6.701117063492064</v>
      </c>
      <c r="AL230" s="29">
        <f t="shared" si="202"/>
        <v>8.6699669966996691</v>
      </c>
      <c r="AM230" s="29">
        <f t="shared" si="203"/>
        <v>15.371084060191734</v>
      </c>
      <c r="AO230" s="30">
        <f t="shared" si="204"/>
        <v>27.920175613903993</v>
      </c>
      <c r="AP230" s="30">
        <f t="shared" si="205"/>
        <v>13.367841657566151</v>
      </c>
      <c r="AQ230" s="30">
        <f t="shared" si="206"/>
        <v>11.957731778076052</v>
      </c>
      <c r="AR230" s="30">
        <f t="shared" si="207"/>
        <v>3.1586461300578255</v>
      </c>
      <c r="AS230" s="30">
        <f t="shared" si="208"/>
        <v>43.59560482039597</v>
      </c>
      <c r="AT230" s="31">
        <f t="shared" si="14"/>
        <v>100</v>
      </c>
      <c r="AV230" s="21">
        <f t="shared" si="86"/>
        <v>5600</v>
      </c>
    </row>
    <row r="231" spans="2:48" ht="15.75" customHeight="1" x14ac:dyDescent="0.25">
      <c r="B231" s="32"/>
      <c r="C231" s="18" t="s">
        <v>46</v>
      </c>
      <c r="D231" s="51"/>
      <c r="E231" s="18" t="s">
        <v>48</v>
      </c>
      <c r="F231" s="51"/>
      <c r="G231" s="18">
        <v>52.54</v>
      </c>
      <c r="H231" s="18">
        <v>5.37</v>
      </c>
      <c r="I231" s="18">
        <v>41.01</v>
      </c>
      <c r="J231" s="18">
        <v>0.59</v>
      </c>
      <c r="K231" s="18">
        <v>0.49</v>
      </c>
      <c r="L231" s="22">
        <f t="shared" si="74"/>
        <v>0</v>
      </c>
      <c r="M231" s="18">
        <v>84.48</v>
      </c>
      <c r="N231" s="18">
        <v>10.119999999999999</v>
      </c>
      <c r="O231" s="18">
        <v>5.4</v>
      </c>
      <c r="P231" s="18">
        <v>0.4</v>
      </c>
      <c r="Q231" s="18">
        <v>750</v>
      </c>
      <c r="R231" s="18" t="s">
        <v>51</v>
      </c>
      <c r="S231" s="53">
        <v>0</v>
      </c>
      <c r="T231" s="18">
        <v>16.88</v>
      </c>
      <c r="U231" s="21">
        <v>52.9</v>
      </c>
      <c r="V231" s="21">
        <v>17.75</v>
      </c>
      <c r="W231" s="18">
        <v>22.25</v>
      </c>
      <c r="X231" s="18">
        <v>7.4</v>
      </c>
      <c r="Y231" s="27">
        <f t="shared" si="200"/>
        <v>42.044622813418961</v>
      </c>
      <c r="Z231" s="18">
        <f t="shared" si="76"/>
        <v>0.41152263374485593</v>
      </c>
      <c r="AA231" s="18">
        <v>85.65</v>
      </c>
      <c r="AB231" s="18">
        <v>91.87</v>
      </c>
      <c r="AC231" s="21">
        <f t="shared" si="77"/>
        <v>6900</v>
      </c>
      <c r="AD231" s="18" t="s">
        <v>51</v>
      </c>
      <c r="AF231" s="1"/>
      <c r="AG231" s="29">
        <v>2.4300000000000002</v>
      </c>
      <c r="AH231" s="29">
        <v>6.9</v>
      </c>
      <c r="AK231" s="1">
        <f t="shared" si="201"/>
        <v>6.701117063492064</v>
      </c>
      <c r="AL231" s="29">
        <f t="shared" si="202"/>
        <v>9.2369901547116751</v>
      </c>
      <c r="AM231" s="29">
        <f t="shared" si="203"/>
        <v>15.93810721820374</v>
      </c>
      <c r="AO231" s="30">
        <f t="shared" si="204"/>
        <v>30.658394531701365</v>
      </c>
      <c r="AP231" s="30">
        <f t="shared" si="205"/>
        <v>10.287079450618133</v>
      </c>
      <c r="AQ231" s="30">
        <f t="shared" si="206"/>
        <v>12.895071424014279</v>
      </c>
      <c r="AR231" s="30">
        <f t="shared" si="207"/>
        <v>4.288697911806997</v>
      </c>
      <c r="AS231" s="30">
        <f t="shared" si="208"/>
        <v>42.044622813418961</v>
      </c>
      <c r="AT231" s="31">
        <f t="shared" si="14"/>
        <v>100.17386613155973</v>
      </c>
      <c r="AV231" s="21">
        <f t="shared" si="86"/>
        <v>6900</v>
      </c>
    </row>
    <row r="232" spans="2:48" ht="15.75" customHeight="1" x14ac:dyDescent="0.25">
      <c r="B232" s="32"/>
      <c r="C232" s="18" t="s">
        <v>46</v>
      </c>
      <c r="D232" s="51"/>
      <c r="E232" s="18" t="s">
        <v>48</v>
      </c>
      <c r="F232" s="51"/>
      <c r="G232" s="18">
        <v>52.54</v>
      </c>
      <c r="H232" s="18">
        <v>5.37</v>
      </c>
      <c r="I232" s="18">
        <v>41.01</v>
      </c>
      <c r="J232" s="18">
        <v>0.59</v>
      </c>
      <c r="K232" s="18">
        <v>0.49</v>
      </c>
      <c r="L232" s="22">
        <f t="shared" si="74"/>
        <v>0</v>
      </c>
      <c r="M232" s="18">
        <v>84.48</v>
      </c>
      <c r="N232" s="18">
        <v>10.119999999999999</v>
      </c>
      <c r="O232" s="18">
        <v>5.4</v>
      </c>
      <c r="P232" s="18">
        <v>0.4</v>
      </c>
      <c r="Q232" s="18">
        <v>750</v>
      </c>
      <c r="R232" s="18" t="s">
        <v>51</v>
      </c>
      <c r="S232" s="53">
        <v>0</v>
      </c>
      <c r="T232" s="18">
        <v>16.88</v>
      </c>
      <c r="U232" s="21">
        <v>52.9</v>
      </c>
      <c r="V232" s="21">
        <v>16.399999999999999</v>
      </c>
      <c r="W232" s="18">
        <v>22.9</v>
      </c>
      <c r="X232" s="18">
        <v>7.8</v>
      </c>
      <c r="Y232" s="27">
        <f t="shared" si="200"/>
        <v>41.889989048092595</v>
      </c>
      <c r="Z232" s="18">
        <f t="shared" si="76"/>
        <v>0.36363636363636365</v>
      </c>
      <c r="AA232" s="18">
        <v>79.44</v>
      </c>
      <c r="AB232" s="18">
        <v>78.36</v>
      </c>
      <c r="AC232" s="21">
        <f t="shared" si="77"/>
        <v>5200</v>
      </c>
      <c r="AD232" s="18" t="s">
        <v>51</v>
      </c>
      <c r="AF232" s="1"/>
      <c r="AG232" s="29">
        <v>2.75</v>
      </c>
      <c r="AH232" s="29">
        <v>5.2</v>
      </c>
      <c r="AK232" s="1">
        <f t="shared" si="201"/>
        <v>6.701117063492064</v>
      </c>
      <c r="AL232" s="29">
        <f t="shared" si="202"/>
        <v>9.295824486907291</v>
      </c>
      <c r="AM232" s="29">
        <f t="shared" si="203"/>
        <v>15.996941550399356</v>
      </c>
      <c r="AO232" s="30">
        <f t="shared" si="204"/>
        <v>30.740195793559018</v>
      </c>
      <c r="AP232" s="30">
        <f t="shared" si="205"/>
        <v>9.5300417961128119</v>
      </c>
      <c r="AQ232" s="30">
        <f t="shared" si="206"/>
        <v>13.307192507986793</v>
      </c>
      <c r="AR232" s="30">
        <f t="shared" si="207"/>
        <v>4.5325808542487769</v>
      </c>
      <c r="AS232" s="30">
        <f t="shared" si="208"/>
        <v>41.889989048092595</v>
      </c>
      <c r="AT232" s="31">
        <f t="shared" si="14"/>
        <v>100</v>
      </c>
      <c r="AV232" s="21">
        <f t="shared" si="86"/>
        <v>5200</v>
      </c>
    </row>
    <row r="233" spans="2:48" ht="15.75" customHeight="1" x14ac:dyDescent="0.25">
      <c r="B233" s="32"/>
      <c r="C233" s="18" t="s">
        <v>46</v>
      </c>
      <c r="D233" s="51"/>
      <c r="E233" s="18" t="s">
        <v>48</v>
      </c>
      <c r="F233" s="51"/>
      <c r="G233" s="18">
        <v>52.54</v>
      </c>
      <c r="H233" s="18">
        <v>5.37</v>
      </c>
      <c r="I233" s="18">
        <v>41.01</v>
      </c>
      <c r="J233" s="18">
        <v>0.59</v>
      </c>
      <c r="K233" s="18">
        <v>0.49</v>
      </c>
      <c r="L233" s="22">
        <f t="shared" si="74"/>
        <v>0</v>
      </c>
      <c r="M233" s="18">
        <v>84.48</v>
      </c>
      <c r="N233" s="18">
        <v>10.119999999999999</v>
      </c>
      <c r="O233" s="18">
        <v>5.4</v>
      </c>
      <c r="P233" s="18">
        <v>0.4</v>
      </c>
      <c r="Q233" s="18">
        <v>770</v>
      </c>
      <c r="R233" s="18" t="s">
        <v>51</v>
      </c>
      <c r="S233" s="53">
        <v>0</v>
      </c>
      <c r="T233" s="18">
        <v>16.88</v>
      </c>
      <c r="U233" s="21">
        <v>54.4</v>
      </c>
      <c r="V233" s="21">
        <v>18</v>
      </c>
      <c r="W233" s="18">
        <v>19.399999999999999</v>
      </c>
      <c r="X233" s="18">
        <v>7.7</v>
      </c>
      <c r="Y233" s="27">
        <f t="shared" si="200"/>
        <v>40.83762763387773</v>
      </c>
      <c r="Z233" s="18">
        <f t="shared" si="76"/>
        <v>0.3546099290780142</v>
      </c>
      <c r="AA233" s="18">
        <v>138.85</v>
      </c>
      <c r="AB233" s="18">
        <v>95.8</v>
      </c>
      <c r="AC233" s="21">
        <f t="shared" si="77"/>
        <v>6200</v>
      </c>
      <c r="AD233" s="18" t="s">
        <v>51</v>
      </c>
      <c r="AF233" s="1"/>
      <c r="AG233" s="29">
        <v>2.82</v>
      </c>
      <c r="AH233" s="29">
        <v>6.2</v>
      </c>
      <c r="AK233" s="1">
        <f t="shared" si="201"/>
        <v>6.701117063492064</v>
      </c>
      <c r="AL233" s="29">
        <f t="shared" si="202"/>
        <v>9.7080561714708047</v>
      </c>
      <c r="AM233" s="29">
        <f t="shared" si="203"/>
        <v>16.409173234962868</v>
      </c>
      <c r="AO233" s="30">
        <f t="shared" si="204"/>
        <v>32.18433056717052</v>
      </c>
      <c r="AP233" s="30">
        <f t="shared" si="205"/>
        <v>10.649227025902009</v>
      </c>
      <c r="AQ233" s="30">
        <f t="shared" si="206"/>
        <v>11.477500239027719</v>
      </c>
      <c r="AR233" s="30">
        <f t="shared" si="207"/>
        <v>4.5555026721914151</v>
      </c>
      <c r="AS233" s="30">
        <f t="shared" si="208"/>
        <v>40.83762763387773</v>
      </c>
      <c r="AT233" s="31">
        <f t="shared" si="14"/>
        <v>99.7041881381694</v>
      </c>
      <c r="AV233" s="21">
        <f t="shared" si="86"/>
        <v>6200</v>
      </c>
    </row>
    <row r="234" spans="2:48" ht="15.75" customHeight="1" x14ac:dyDescent="0.25">
      <c r="B234" s="32"/>
      <c r="C234" s="18" t="s">
        <v>46</v>
      </c>
      <c r="D234" s="51"/>
      <c r="E234" s="18" t="s">
        <v>48</v>
      </c>
      <c r="F234" s="51"/>
      <c r="G234" s="18">
        <v>52.54</v>
      </c>
      <c r="H234" s="18">
        <v>5.37</v>
      </c>
      <c r="I234" s="18">
        <v>41.01</v>
      </c>
      <c r="J234" s="18">
        <v>0.59</v>
      </c>
      <c r="K234" s="18">
        <v>0.49</v>
      </c>
      <c r="L234" s="22">
        <f t="shared" si="74"/>
        <v>0</v>
      </c>
      <c r="M234" s="18">
        <v>84.48</v>
      </c>
      <c r="N234" s="18">
        <v>10.119999999999999</v>
      </c>
      <c r="O234" s="18">
        <v>5.4</v>
      </c>
      <c r="P234" s="18">
        <v>0.35</v>
      </c>
      <c r="Q234" s="18">
        <v>690</v>
      </c>
      <c r="R234" s="18" t="s">
        <v>51</v>
      </c>
      <c r="S234" s="53">
        <v>0</v>
      </c>
      <c r="T234" s="18">
        <v>16.88</v>
      </c>
      <c r="U234" s="21">
        <v>48.76</v>
      </c>
      <c r="V234" s="21">
        <v>12.99</v>
      </c>
      <c r="W234" s="18">
        <v>31.21</v>
      </c>
      <c r="X234" s="18">
        <v>7.03</v>
      </c>
      <c r="Y234" s="27">
        <f t="shared" si="200"/>
        <v>40.701451619753357</v>
      </c>
      <c r="Z234" s="18">
        <f t="shared" si="76"/>
        <v>0.51546391752577325</v>
      </c>
      <c r="AA234" s="18">
        <v>86.42</v>
      </c>
      <c r="AB234" s="18">
        <v>70.16</v>
      </c>
      <c r="AC234" s="21">
        <f t="shared" si="77"/>
        <v>6600</v>
      </c>
      <c r="AD234" s="18" t="s">
        <v>51</v>
      </c>
      <c r="AF234" s="1"/>
      <c r="AG234" s="29">
        <v>1.94</v>
      </c>
      <c r="AH234" s="29">
        <v>6.6</v>
      </c>
      <c r="AK234" s="1">
        <f t="shared" si="201"/>
        <v>5.8661113591269842</v>
      </c>
      <c r="AL234" s="29">
        <f t="shared" si="202"/>
        <v>8.5464246209903045</v>
      </c>
      <c r="AM234" s="29">
        <f t="shared" si="203"/>
        <v>14.412535980117289</v>
      </c>
      <c r="AO234" s="30">
        <f t="shared" si="204"/>
        <v>28.913972190208259</v>
      </c>
      <c r="AP234" s="30">
        <f t="shared" si="205"/>
        <v>7.7028814345940386</v>
      </c>
      <c r="AQ234" s="30">
        <f t="shared" si="206"/>
        <v>18.507076949474978</v>
      </c>
      <c r="AR234" s="30">
        <f t="shared" si="207"/>
        <v>4.1686879511313393</v>
      </c>
      <c r="AS234" s="30">
        <f t="shared" si="208"/>
        <v>40.701451619753357</v>
      </c>
      <c r="AT234" s="31">
        <f t="shared" si="14"/>
        <v>99.99407014516197</v>
      </c>
      <c r="AV234" s="21">
        <f t="shared" si="86"/>
        <v>6600</v>
      </c>
    </row>
    <row r="235" spans="2:48" ht="15.75" customHeight="1" x14ac:dyDescent="0.25">
      <c r="B235" s="32"/>
      <c r="C235" s="18" t="s">
        <v>46</v>
      </c>
      <c r="D235" s="51"/>
      <c r="E235" s="18" t="s">
        <v>48</v>
      </c>
      <c r="F235" s="51"/>
      <c r="G235" s="18">
        <v>52.54</v>
      </c>
      <c r="H235" s="18">
        <v>5.37</v>
      </c>
      <c r="I235" s="18">
        <v>41.01</v>
      </c>
      <c r="J235" s="18">
        <v>0.59</v>
      </c>
      <c r="K235" s="18">
        <v>0.49</v>
      </c>
      <c r="L235" s="22">
        <f t="shared" si="74"/>
        <v>0</v>
      </c>
      <c r="M235" s="18">
        <v>84.48</v>
      </c>
      <c r="N235" s="18">
        <v>10.119999999999999</v>
      </c>
      <c r="O235" s="18">
        <v>5.4</v>
      </c>
      <c r="P235" s="18">
        <v>0.35</v>
      </c>
      <c r="Q235" s="18">
        <v>730</v>
      </c>
      <c r="R235" s="18" t="s">
        <v>51</v>
      </c>
      <c r="S235" s="53">
        <v>0</v>
      </c>
      <c r="T235" s="18">
        <v>16.88</v>
      </c>
      <c r="U235" s="21">
        <v>50.71</v>
      </c>
      <c r="V235" s="21">
        <v>15.45</v>
      </c>
      <c r="W235" s="18">
        <v>28.74</v>
      </c>
      <c r="X235" s="18">
        <v>5.0599999999999996</v>
      </c>
      <c r="Y235" s="27">
        <f t="shared" si="200"/>
        <v>39.753729758750097</v>
      </c>
      <c r="Z235" s="18">
        <f t="shared" si="76"/>
        <v>0.53191489361702127</v>
      </c>
      <c r="AA235" s="18">
        <v>57.53</v>
      </c>
      <c r="AB235" s="18">
        <v>71.08</v>
      </c>
      <c r="AC235" s="21">
        <f t="shared" si="77"/>
        <v>6900</v>
      </c>
      <c r="AD235" s="18" t="s">
        <v>51</v>
      </c>
      <c r="AF235" s="1"/>
      <c r="AG235" s="29">
        <v>1.88</v>
      </c>
      <c r="AH235" s="29">
        <v>6.9</v>
      </c>
      <c r="AK235" s="1">
        <f t="shared" si="201"/>
        <v>5.8661113591269842</v>
      </c>
      <c r="AL235" s="29">
        <f t="shared" si="202"/>
        <v>8.8900169204737729</v>
      </c>
      <c r="AM235" s="29">
        <f t="shared" si="203"/>
        <v>14.756128279600757</v>
      </c>
      <c r="AO235" s="30">
        <f t="shared" si="204"/>
        <v>30.550883639337822</v>
      </c>
      <c r="AP235" s="30">
        <f t="shared" si="205"/>
        <v>9.3080487522731108</v>
      </c>
      <c r="AQ235" s="30">
        <f t="shared" si="206"/>
        <v>17.314778067335222</v>
      </c>
      <c r="AR235" s="30">
        <f t="shared" si="207"/>
        <v>3.0484612742072454</v>
      </c>
      <c r="AS235" s="30">
        <f t="shared" si="208"/>
        <v>39.753729758750097</v>
      </c>
      <c r="AT235" s="31">
        <f t="shared" si="14"/>
        <v>99.9759014919035</v>
      </c>
      <c r="AV235" s="21">
        <f t="shared" si="86"/>
        <v>6900</v>
      </c>
    </row>
    <row r="236" spans="2:48" ht="15.75" customHeight="1" x14ac:dyDescent="0.25">
      <c r="B236" s="32"/>
      <c r="C236" s="18" t="s">
        <v>46</v>
      </c>
      <c r="D236" s="51"/>
      <c r="E236" s="18" t="s">
        <v>48</v>
      </c>
      <c r="F236" s="51"/>
      <c r="G236" s="18">
        <v>52.54</v>
      </c>
      <c r="H236" s="18">
        <v>5.37</v>
      </c>
      <c r="I236" s="18">
        <v>41.01</v>
      </c>
      <c r="J236" s="18">
        <v>0.59</v>
      </c>
      <c r="K236" s="18">
        <v>0.49</v>
      </c>
      <c r="L236" s="22">
        <f t="shared" si="74"/>
        <v>0</v>
      </c>
      <c r="M236" s="18">
        <v>84.48</v>
      </c>
      <c r="N236" s="18">
        <v>10.119999999999999</v>
      </c>
      <c r="O236" s="18">
        <v>5.4</v>
      </c>
      <c r="P236" s="18">
        <v>0.35</v>
      </c>
      <c r="Q236" s="18">
        <v>750</v>
      </c>
      <c r="R236" s="18" t="s">
        <v>51</v>
      </c>
      <c r="S236" s="53">
        <v>0</v>
      </c>
      <c r="T236" s="18">
        <v>16.88</v>
      </c>
      <c r="U236" s="21">
        <v>50.37</v>
      </c>
      <c r="V236" s="21">
        <v>20.59</v>
      </c>
      <c r="W236" s="18">
        <v>25.01</v>
      </c>
      <c r="X236" s="18">
        <v>4.0199999999999996</v>
      </c>
      <c r="Y236" s="27">
        <f t="shared" si="200"/>
        <v>39.933123966303285</v>
      </c>
      <c r="Z236" s="18">
        <f t="shared" si="76"/>
        <v>0.51020408163265307</v>
      </c>
      <c r="AA236" s="18">
        <v>80.59</v>
      </c>
      <c r="AB236" s="18">
        <v>68.73</v>
      </c>
      <c r="AC236" s="21">
        <f t="shared" si="77"/>
        <v>6400</v>
      </c>
      <c r="AD236" s="18" t="s">
        <v>51</v>
      </c>
      <c r="AF236" s="1"/>
      <c r="AG236" s="29">
        <v>1.96</v>
      </c>
      <c r="AH236" s="29">
        <v>6.4</v>
      </c>
      <c r="AK236" s="1">
        <f t="shared" si="201"/>
        <v>5.8661113591269842</v>
      </c>
      <c r="AL236" s="29">
        <f t="shared" si="202"/>
        <v>8.8237269918043797</v>
      </c>
      <c r="AM236" s="29">
        <f t="shared" si="203"/>
        <v>14.689838350931364</v>
      </c>
      <c r="AO236" s="30">
        <f t="shared" si="204"/>
        <v>30.255685458173026</v>
      </c>
      <c r="AP236" s="30">
        <f t="shared" si="205"/>
        <v>12.367769775338154</v>
      </c>
      <c r="AQ236" s="30">
        <f t="shared" si="206"/>
        <v>15.022725696027548</v>
      </c>
      <c r="AR236" s="30">
        <f t="shared" si="207"/>
        <v>2.4146884165546072</v>
      </c>
      <c r="AS236" s="30">
        <f t="shared" si="208"/>
        <v>39.933123966303285</v>
      </c>
      <c r="AT236" s="31">
        <f t="shared" si="14"/>
        <v>99.993993312396611</v>
      </c>
      <c r="AV236" s="21">
        <f t="shared" si="86"/>
        <v>6400</v>
      </c>
    </row>
    <row r="237" spans="2:48" ht="15.75" customHeight="1" x14ac:dyDescent="0.25">
      <c r="B237" s="32"/>
      <c r="C237" s="18" t="s">
        <v>46</v>
      </c>
      <c r="D237" s="51"/>
      <c r="E237" s="18" t="s">
        <v>48</v>
      </c>
      <c r="F237" s="51"/>
      <c r="G237" s="18">
        <v>52.54</v>
      </c>
      <c r="H237" s="18">
        <v>5.37</v>
      </c>
      <c r="I237" s="18">
        <v>41.01</v>
      </c>
      <c r="J237" s="18">
        <v>0.59</v>
      </c>
      <c r="K237" s="18">
        <v>0.49</v>
      </c>
      <c r="L237" s="22">
        <f t="shared" si="74"/>
        <v>0</v>
      </c>
      <c r="M237" s="18">
        <v>84.48</v>
      </c>
      <c r="N237" s="18">
        <v>10.119999999999999</v>
      </c>
      <c r="O237" s="18">
        <v>5.4</v>
      </c>
      <c r="P237" s="18">
        <v>0.35</v>
      </c>
      <c r="Q237" s="18">
        <v>750</v>
      </c>
      <c r="R237" s="18" t="s">
        <v>51</v>
      </c>
      <c r="S237" s="53">
        <v>0</v>
      </c>
      <c r="T237" s="18">
        <v>16.88</v>
      </c>
      <c r="U237" s="21">
        <v>51.43</v>
      </c>
      <c r="V237" s="21">
        <v>16.64</v>
      </c>
      <c r="W237" s="18">
        <v>27.65</v>
      </c>
      <c r="X237" s="18">
        <v>4.28</v>
      </c>
      <c r="Y237" s="27">
        <f t="shared" si="200"/>
        <v>39.421222551336783</v>
      </c>
      <c r="Z237" s="18">
        <f t="shared" si="76"/>
        <v>0.54347826086956519</v>
      </c>
      <c r="AA237" s="18">
        <v>84.66</v>
      </c>
      <c r="AB237" s="18">
        <v>61.5</v>
      </c>
      <c r="AC237" s="21">
        <f t="shared" si="77"/>
        <v>6100</v>
      </c>
      <c r="AD237" s="18" t="s">
        <v>51</v>
      </c>
      <c r="AF237" s="1"/>
      <c r="AG237" s="29">
        <v>1.84</v>
      </c>
      <c r="AH237" s="29">
        <v>6.1</v>
      </c>
      <c r="AK237" s="1">
        <f t="shared" si="201"/>
        <v>5.8661113591269842</v>
      </c>
      <c r="AL237" s="29">
        <f t="shared" si="202"/>
        <v>9.0144808180632765</v>
      </c>
      <c r="AM237" s="29">
        <f t="shared" si="203"/>
        <v>14.880592177190261</v>
      </c>
      <c r="AO237" s="30">
        <f t="shared" si="204"/>
        <v>31.15566524184749</v>
      </c>
      <c r="AP237" s="30">
        <f t="shared" si="205"/>
        <v>10.080308567457557</v>
      </c>
      <c r="AQ237" s="30">
        <f t="shared" si="206"/>
        <v>16.750031964555379</v>
      </c>
      <c r="AR237" s="30">
        <f t="shared" si="207"/>
        <v>2.592771674802786</v>
      </c>
      <c r="AS237" s="30">
        <f t="shared" si="208"/>
        <v>39.421222551336783</v>
      </c>
      <c r="AT237" s="31">
        <f t="shared" si="14"/>
        <v>100</v>
      </c>
      <c r="AV237" s="21">
        <f t="shared" si="86"/>
        <v>6100</v>
      </c>
    </row>
    <row r="238" spans="2:48" ht="15.75" customHeight="1" x14ac:dyDescent="0.25">
      <c r="B238" s="32"/>
      <c r="C238" s="18" t="s">
        <v>46</v>
      </c>
      <c r="D238" s="51"/>
      <c r="E238" s="18" t="s">
        <v>48</v>
      </c>
      <c r="F238" s="51"/>
      <c r="G238" s="18">
        <v>52.54</v>
      </c>
      <c r="H238" s="18">
        <v>5.37</v>
      </c>
      <c r="I238" s="18">
        <v>41.01</v>
      </c>
      <c r="J238" s="18">
        <v>0.59</v>
      </c>
      <c r="K238" s="18">
        <v>0.49</v>
      </c>
      <c r="L238" s="22">
        <f t="shared" si="74"/>
        <v>0</v>
      </c>
      <c r="M238" s="18">
        <v>84.48</v>
      </c>
      <c r="N238" s="18">
        <v>10.119999999999999</v>
      </c>
      <c r="O238" s="18">
        <v>5.4</v>
      </c>
      <c r="P238" s="18">
        <v>0.35</v>
      </c>
      <c r="Q238" s="18">
        <v>750</v>
      </c>
      <c r="R238" s="18" t="s">
        <v>51</v>
      </c>
      <c r="S238" s="53">
        <v>0</v>
      </c>
      <c r="T238" s="18">
        <v>16.88</v>
      </c>
      <c r="U238" s="21">
        <v>52.26</v>
      </c>
      <c r="V238" s="21">
        <v>13.5</v>
      </c>
      <c r="W238" s="18">
        <v>29.74</v>
      </c>
      <c r="X238" s="18">
        <v>4.5</v>
      </c>
      <c r="Y238" s="27">
        <f t="shared" si="200"/>
        <v>39.010360391618413</v>
      </c>
      <c r="Z238" s="18">
        <f t="shared" si="76"/>
        <v>0.35971223021582738</v>
      </c>
      <c r="AA238" s="18">
        <v>78.72</v>
      </c>
      <c r="AB238" s="18">
        <v>76.16</v>
      </c>
      <c r="AC238" s="21">
        <f t="shared" si="77"/>
        <v>5000</v>
      </c>
      <c r="AD238" s="18" t="s">
        <v>51</v>
      </c>
      <c r="AF238" s="1"/>
      <c r="AG238" s="29">
        <v>2.78</v>
      </c>
      <c r="AH238" s="29">
        <v>5</v>
      </c>
      <c r="AK238" s="1">
        <f t="shared" si="201"/>
        <v>5.8661113591269842</v>
      </c>
      <c r="AL238" s="29">
        <f t="shared" si="202"/>
        <v>9.1712051389470766</v>
      </c>
      <c r="AM238" s="29">
        <f t="shared" si="203"/>
        <v>15.037316498074061</v>
      </c>
      <c r="AO238" s="30">
        <f t="shared" si="204"/>
        <v>31.873185659340216</v>
      </c>
      <c r="AP238" s="30">
        <f t="shared" si="205"/>
        <v>8.2336013471315148</v>
      </c>
      <c r="AQ238" s="30">
        <f t="shared" si="206"/>
        <v>18.138318819532685</v>
      </c>
      <c r="AR238" s="30">
        <f t="shared" si="207"/>
        <v>2.7445337823771712</v>
      </c>
      <c r="AS238" s="30">
        <f t="shared" si="208"/>
        <v>39.010360391618413</v>
      </c>
      <c r="AT238" s="31">
        <f t="shared" si="14"/>
        <v>100</v>
      </c>
      <c r="AV238" s="21">
        <f t="shared" si="86"/>
        <v>5000</v>
      </c>
    </row>
    <row r="239" spans="2:48" ht="15.75" customHeight="1" x14ac:dyDescent="0.25">
      <c r="B239" s="32"/>
      <c r="C239" s="18" t="s">
        <v>46</v>
      </c>
      <c r="D239" s="51"/>
      <c r="E239" s="18" t="s">
        <v>48</v>
      </c>
      <c r="F239" s="51"/>
      <c r="G239" s="18">
        <v>52.54</v>
      </c>
      <c r="H239" s="18">
        <v>5.37</v>
      </c>
      <c r="I239" s="18">
        <v>41.01</v>
      </c>
      <c r="J239" s="18">
        <v>0.59</v>
      </c>
      <c r="K239" s="18">
        <v>0.49</v>
      </c>
      <c r="L239" s="22">
        <f t="shared" si="74"/>
        <v>0</v>
      </c>
      <c r="M239" s="18">
        <v>84.48</v>
      </c>
      <c r="N239" s="18">
        <v>10.119999999999999</v>
      </c>
      <c r="O239" s="18">
        <v>5.4</v>
      </c>
      <c r="P239" s="18">
        <v>0.35</v>
      </c>
      <c r="Q239" s="18">
        <v>770</v>
      </c>
      <c r="R239" s="18" t="s">
        <v>51</v>
      </c>
      <c r="S239" s="53">
        <v>0</v>
      </c>
      <c r="T239" s="18">
        <v>16.88</v>
      </c>
      <c r="U239" s="21">
        <v>52</v>
      </c>
      <c r="V239" s="21">
        <v>17.72</v>
      </c>
      <c r="W239" s="18">
        <v>26.66</v>
      </c>
      <c r="X239" s="18">
        <v>3.62</v>
      </c>
      <c r="Y239" s="27">
        <f t="shared" si="200"/>
        <v>39.139662394743574</v>
      </c>
      <c r="Z239" s="18">
        <f t="shared" si="76"/>
        <v>0.46511627906976744</v>
      </c>
      <c r="AA239" s="18">
        <v>80.56</v>
      </c>
      <c r="AB239" s="18">
        <v>80.11</v>
      </c>
      <c r="AC239" s="21">
        <f t="shared" si="77"/>
        <v>6800</v>
      </c>
      <c r="AD239" s="18" t="s">
        <v>51</v>
      </c>
      <c r="AF239" s="1"/>
      <c r="AG239" s="29">
        <v>2.15</v>
      </c>
      <c r="AH239" s="29">
        <v>6.8</v>
      </c>
      <c r="AK239" s="1">
        <f t="shared" si="201"/>
        <v>5.8661113591269842</v>
      </c>
      <c r="AL239" s="29">
        <f t="shared" si="202"/>
        <v>9.1215277777777803</v>
      </c>
      <c r="AM239" s="29">
        <f t="shared" si="203"/>
        <v>14.987639136904765</v>
      </c>
      <c r="AO239" s="30">
        <f t="shared" si="204"/>
        <v>31.647375554733344</v>
      </c>
      <c r="AP239" s="30">
        <f t="shared" si="205"/>
        <v>10.784451823651439</v>
      </c>
      <c r="AQ239" s="30">
        <f t="shared" si="206"/>
        <v>16.225366005561366</v>
      </c>
      <c r="AR239" s="30">
        <f t="shared" si="207"/>
        <v>2.203144221310283</v>
      </c>
      <c r="AS239" s="30">
        <f t="shared" si="208"/>
        <v>39.139662394743574</v>
      </c>
      <c r="AT239" s="31">
        <f t="shared" si="14"/>
        <v>100</v>
      </c>
      <c r="AV239" s="21">
        <f t="shared" si="86"/>
        <v>6800</v>
      </c>
    </row>
    <row r="240" spans="2:48" ht="15.75" customHeight="1" x14ac:dyDescent="0.25">
      <c r="B240" s="32"/>
      <c r="C240" s="18" t="s">
        <v>46</v>
      </c>
      <c r="D240" s="51"/>
      <c r="E240" s="18" t="s">
        <v>48</v>
      </c>
      <c r="F240" s="51"/>
      <c r="G240" s="18">
        <v>52.54</v>
      </c>
      <c r="H240" s="18">
        <v>5.37</v>
      </c>
      <c r="I240" s="18">
        <v>41.01</v>
      </c>
      <c r="J240" s="18">
        <v>0.59</v>
      </c>
      <c r="K240" s="18">
        <v>0.49</v>
      </c>
      <c r="L240" s="22">
        <f t="shared" si="74"/>
        <v>0</v>
      </c>
      <c r="M240" s="18">
        <v>84.48</v>
      </c>
      <c r="N240" s="18">
        <v>10.119999999999999</v>
      </c>
      <c r="O240" s="18">
        <v>5.4</v>
      </c>
      <c r="P240" s="18">
        <v>0.35</v>
      </c>
      <c r="Q240" s="18">
        <v>770</v>
      </c>
      <c r="R240" s="18" t="s">
        <v>51</v>
      </c>
      <c r="S240" s="53">
        <v>0</v>
      </c>
      <c r="T240" s="18">
        <v>16.88</v>
      </c>
      <c r="U240" s="21">
        <v>48.4</v>
      </c>
      <c r="V240" s="21">
        <v>16.260000000000002</v>
      </c>
      <c r="W240" s="18">
        <v>28.88</v>
      </c>
      <c r="X240" s="18">
        <v>6.46</v>
      </c>
      <c r="Y240" s="27">
        <f t="shared" si="200"/>
        <v>40.875254333174546</v>
      </c>
      <c r="Z240" s="18">
        <f t="shared" si="76"/>
        <v>0.34722222222222221</v>
      </c>
      <c r="AA240" s="18">
        <v>67.209999999999994</v>
      </c>
      <c r="AB240" s="18">
        <v>102.58</v>
      </c>
      <c r="AC240" s="21">
        <f t="shared" si="77"/>
        <v>6500</v>
      </c>
      <c r="AD240" s="18" t="s">
        <v>51</v>
      </c>
      <c r="AF240" s="1"/>
      <c r="AG240" s="29">
        <v>2.88</v>
      </c>
      <c r="AH240" s="29">
        <v>6.5</v>
      </c>
      <c r="AK240" s="1">
        <f t="shared" si="201"/>
        <v>5.8661113591269842</v>
      </c>
      <c r="AL240" s="29">
        <f t="shared" si="202"/>
        <v>8.4851421188630489</v>
      </c>
      <c r="AM240" s="29">
        <f t="shared" si="203"/>
        <v>14.351253477990033</v>
      </c>
      <c r="AO240" s="30">
        <f t="shared" si="204"/>
        <v>28.616376902743518</v>
      </c>
      <c r="AP240" s="30">
        <f t="shared" si="205"/>
        <v>9.6136836454258194</v>
      </c>
      <c r="AQ240" s="30">
        <f t="shared" si="206"/>
        <v>17.075226548579188</v>
      </c>
      <c r="AR240" s="30">
        <f t="shared" si="207"/>
        <v>3.8194585700769244</v>
      </c>
      <c r="AS240" s="30">
        <f t="shared" si="208"/>
        <v>40.875254333174546</v>
      </c>
      <c r="AT240" s="31">
        <f t="shared" si="14"/>
        <v>100</v>
      </c>
      <c r="AV240" s="21">
        <f t="shared" si="86"/>
        <v>6500</v>
      </c>
    </row>
    <row r="241" spans="2:48" ht="15.75" customHeight="1" x14ac:dyDescent="0.25">
      <c r="B241" s="32"/>
      <c r="C241" s="18" t="s">
        <v>46</v>
      </c>
      <c r="D241" s="51"/>
      <c r="E241" s="18" t="s">
        <v>48</v>
      </c>
      <c r="F241" s="51"/>
      <c r="G241" s="18">
        <v>52.54</v>
      </c>
      <c r="H241" s="18">
        <v>5.37</v>
      </c>
      <c r="I241" s="18">
        <v>41.01</v>
      </c>
      <c r="J241" s="18">
        <v>0.59</v>
      </c>
      <c r="K241" s="18">
        <v>0.49</v>
      </c>
      <c r="L241" s="22">
        <f t="shared" si="74"/>
        <v>0</v>
      </c>
      <c r="M241" s="18">
        <v>84.48</v>
      </c>
      <c r="N241" s="18">
        <v>10.119999999999999</v>
      </c>
      <c r="O241" s="18">
        <v>5.4</v>
      </c>
      <c r="P241" s="18">
        <v>0.35</v>
      </c>
      <c r="Q241" s="18">
        <v>770</v>
      </c>
      <c r="R241" s="18" t="s">
        <v>51</v>
      </c>
      <c r="S241" s="53">
        <v>0</v>
      </c>
      <c r="T241" s="18">
        <v>16.88</v>
      </c>
      <c r="U241" s="21">
        <v>50.14</v>
      </c>
      <c r="V241" s="21">
        <v>18.940000000000001</v>
      </c>
      <c r="W241" s="18">
        <v>26.33</v>
      </c>
      <c r="X241" s="18">
        <v>4.5999999999999996</v>
      </c>
      <c r="Y241" s="27">
        <f t="shared" si="200"/>
        <v>40.053732678730604</v>
      </c>
      <c r="Z241" s="18">
        <f t="shared" si="76"/>
        <v>0.46511627906976744</v>
      </c>
      <c r="AA241" s="18">
        <v>90.15</v>
      </c>
      <c r="AB241" s="18">
        <v>73.040000000000006</v>
      </c>
      <c r="AC241" s="21">
        <f t="shared" si="77"/>
        <v>6200</v>
      </c>
      <c r="AD241" s="18" t="s">
        <v>51</v>
      </c>
      <c r="AF241" s="1"/>
      <c r="AG241" s="29">
        <v>2.15</v>
      </c>
      <c r="AH241" s="29">
        <v>6.2</v>
      </c>
      <c r="AK241" s="1">
        <f t="shared" si="201"/>
        <v>5.8661113591269842</v>
      </c>
      <c r="AL241" s="29">
        <f t="shared" si="202"/>
        <v>8.7794933493750431</v>
      </c>
      <c r="AM241" s="29">
        <f t="shared" si="203"/>
        <v>14.645604708502027</v>
      </c>
      <c r="AO241" s="30">
        <f t="shared" si="204"/>
        <v>30.057058434884471</v>
      </c>
      <c r="AP241" s="30">
        <f t="shared" si="205"/>
        <v>11.353823030648426</v>
      </c>
      <c r="AQ241" s="30">
        <f t="shared" si="206"/>
        <v>15.783852185690231</v>
      </c>
      <c r="AR241" s="30">
        <f t="shared" si="207"/>
        <v>2.7575282967783923</v>
      </c>
      <c r="AS241" s="30">
        <f t="shared" si="208"/>
        <v>40.053732678730604</v>
      </c>
      <c r="AT241" s="31">
        <f t="shared" si="14"/>
        <v>100.00599462673212</v>
      </c>
      <c r="AV241" s="21">
        <f t="shared" si="86"/>
        <v>6200</v>
      </c>
    </row>
    <row r="242" spans="2:48" ht="15.75" customHeight="1" x14ac:dyDescent="0.25">
      <c r="B242" s="32"/>
      <c r="C242" s="18" t="s">
        <v>46</v>
      </c>
      <c r="D242" s="51"/>
      <c r="E242" s="18" t="s">
        <v>48</v>
      </c>
      <c r="F242" s="51"/>
      <c r="G242" s="18">
        <v>52.54</v>
      </c>
      <c r="H242" s="18">
        <v>5.37</v>
      </c>
      <c r="I242" s="18">
        <v>41.01</v>
      </c>
      <c r="J242" s="18">
        <v>0.59</v>
      </c>
      <c r="K242" s="18">
        <v>0.49</v>
      </c>
      <c r="L242" s="22">
        <f t="shared" si="74"/>
        <v>0</v>
      </c>
      <c r="M242" s="18">
        <v>84.48</v>
      </c>
      <c r="N242" s="18">
        <v>10.119999999999999</v>
      </c>
      <c r="O242" s="18">
        <v>5.4</v>
      </c>
      <c r="P242" s="18">
        <v>0.35</v>
      </c>
      <c r="Q242" s="18">
        <v>770</v>
      </c>
      <c r="R242" s="18" t="s">
        <v>51</v>
      </c>
      <c r="S242" s="53">
        <v>0</v>
      </c>
      <c r="T242" s="18">
        <v>16.88</v>
      </c>
      <c r="U242" s="21">
        <v>49.64</v>
      </c>
      <c r="V242" s="21">
        <v>24.22</v>
      </c>
      <c r="W242" s="18">
        <v>22.52</v>
      </c>
      <c r="X242" s="18">
        <v>3.62</v>
      </c>
      <c r="Y242" s="27">
        <f t="shared" si="200"/>
        <v>40.288726282847897</v>
      </c>
      <c r="Z242" s="18">
        <f t="shared" si="76"/>
        <v>0.52631578947368418</v>
      </c>
      <c r="AA242" s="18">
        <v>93.66</v>
      </c>
      <c r="AB242" s="18">
        <v>67.67</v>
      </c>
      <c r="AC242" s="21">
        <f t="shared" si="77"/>
        <v>6500</v>
      </c>
      <c r="AD242" s="18" t="s">
        <v>51</v>
      </c>
      <c r="AF242" s="1"/>
      <c r="AG242" s="29">
        <v>1.9</v>
      </c>
      <c r="AH242" s="29">
        <v>6.5</v>
      </c>
      <c r="AK242" s="1">
        <f t="shared" si="201"/>
        <v>5.8661113591269842</v>
      </c>
      <c r="AL242" s="29">
        <f t="shared" si="202"/>
        <v>8.6940693672226637</v>
      </c>
      <c r="AM242" s="29">
        <f t="shared" si="203"/>
        <v>14.560180726349648</v>
      </c>
      <c r="AO242" s="30">
        <f t="shared" si="204"/>
        <v>29.640676273194305</v>
      </c>
      <c r="AP242" s="30">
        <f t="shared" si="205"/>
        <v>14.46207049429424</v>
      </c>
      <c r="AQ242" s="30">
        <f t="shared" si="206"/>
        <v>13.446978841102652</v>
      </c>
      <c r="AR242" s="30">
        <f t="shared" si="207"/>
        <v>2.1615481085609063</v>
      </c>
      <c r="AS242" s="30">
        <f t="shared" si="208"/>
        <v>40.288726282847897</v>
      </c>
      <c r="AT242" s="31">
        <f t="shared" si="14"/>
        <v>100</v>
      </c>
      <c r="AV242" s="21">
        <f t="shared" si="86"/>
        <v>6500</v>
      </c>
    </row>
    <row r="243" spans="2:48" ht="15.75" customHeight="1" x14ac:dyDescent="0.25">
      <c r="B243" s="32"/>
      <c r="C243" s="18" t="s">
        <v>46</v>
      </c>
      <c r="D243" s="51"/>
      <c r="E243" s="18" t="s">
        <v>48</v>
      </c>
      <c r="F243" s="51"/>
      <c r="G243" s="18">
        <v>52.54</v>
      </c>
      <c r="H243" s="18">
        <v>5.37</v>
      </c>
      <c r="I243" s="18">
        <v>41.01</v>
      </c>
      <c r="J243" s="18">
        <v>0.59</v>
      </c>
      <c r="K243" s="18">
        <v>0.49</v>
      </c>
      <c r="L243" s="22">
        <f t="shared" si="74"/>
        <v>0</v>
      </c>
      <c r="M243" s="18">
        <v>84.48</v>
      </c>
      <c r="N243" s="18">
        <v>10.119999999999999</v>
      </c>
      <c r="O243" s="18">
        <v>5.4</v>
      </c>
      <c r="P243" s="18">
        <v>0.35</v>
      </c>
      <c r="Q243" s="18">
        <v>770</v>
      </c>
      <c r="R243" s="18" t="s">
        <v>51</v>
      </c>
      <c r="S243" s="53">
        <v>0</v>
      </c>
      <c r="T243" s="18">
        <v>16.88</v>
      </c>
      <c r="U243" s="21">
        <v>50.76</v>
      </c>
      <c r="V243" s="21">
        <v>20.149999999999999</v>
      </c>
      <c r="W243" s="18">
        <v>25.22</v>
      </c>
      <c r="X243" s="18">
        <v>3.82</v>
      </c>
      <c r="Y243" s="27">
        <f t="shared" si="200"/>
        <v>39.724537785926437</v>
      </c>
      <c r="Z243" s="18">
        <f t="shared" si="76"/>
        <v>0.53475935828876997</v>
      </c>
      <c r="AA243" s="18">
        <v>99.87</v>
      </c>
      <c r="AB243" s="18">
        <v>56.36</v>
      </c>
      <c r="AC243" s="21">
        <f t="shared" si="77"/>
        <v>5500</v>
      </c>
      <c r="AD243" s="18" t="s">
        <v>51</v>
      </c>
      <c r="AF243" s="1"/>
      <c r="AG243" s="29">
        <v>1.87</v>
      </c>
      <c r="AH243" s="29">
        <v>5.5</v>
      </c>
      <c r="AK243" s="1">
        <f t="shared" si="201"/>
        <v>5.8661113591269842</v>
      </c>
      <c r="AL243" s="29">
        <f t="shared" si="202"/>
        <v>8.9008606085247681</v>
      </c>
      <c r="AM243" s="29">
        <f t="shared" si="203"/>
        <v>14.766971967651752</v>
      </c>
      <c r="AO243" s="30">
        <f t="shared" si="204"/>
        <v>30.595824619863738</v>
      </c>
      <c r="AP243" s="30">
        <f t="shared" si="205"/>
        <v>12.145505636135823</v>
      </c>
      <c r="AQ243" s="30">
        <f t="shared" si="206"/>
        <v>15.201471570389351</v>
      </c>
      <c r="AR243" s="30">
        <f t="shared" si="207"/>
        <v>2.3025226565776102</v>
      </c>
      <c r="AS243" s="30">
        <f t="shared" si="208"/>
        <v>39.724537785926437</v>
      </c>
      <c r="AT243" s="31">
        <f t="shared" si="14"/>
        <v>99.969862268892953</v>
      </c>
      <c r="AV243" s="21">
        <f t="shared" si="86"/>
        <v>5500</v>
      </c>
    </row>
    <row r="244" spans="2:48" ht="15.75" customHeight="1" x14ac:dyDescent="0.25">
      <c r="B244" s="32"/>
      <c r="C244" s="18" t="s">
        <v>46</v>
      </c>
      <c r="D244" s="51"/>
      <c r="E244" s="18" t="s">
        <v>48</v>
      </c>
      <c r="F244" s="51"/>
      <c r="G244" s="18">
        <v>52.54</v>
      </c>
      <c r="H244" s="18">
        <v>5.37</v>
      </c>
      <c r="I244" s="18">
        <v>41.01</v>
      </c>
      <c r="J244" s="18">
        <v>0.59</v>
      </c>
      <c r="K244" s="18">
        <v>0.49</v>
      </c>
      <c r="L244" s="22">
        <f t="shared" si="74"/>
        <v>0</v>
      </c>
      <c r="M244" s="18">
        <v>84.48</v>
      </c>
      <c r="N244" s="18">
        <v>10.119999999999999</v>
      </c>
      <c r="O244" s="18">
        <v>5.4</v>
      </c>
      <c r="P244" s="18">
        <v>0.35</v>
      </c>
      <c r="Q244" s="18">
        <v>770</v>
      </c>
      <c r="R244" s="18" t="s">
        <v>51</v>
      </c>
      <c r="S244" s="53">
        <v>0</v>
      </c>
      <c r="T244" s="18">
        <v>16.88</v>
      </c>
      <c r="U244" s="21">
        <v>51.67</v>
      </c>
      <c r="V244" s="21">
        <v>16.78</v>
      </c>
      <c r="W244" s="18">
        <v>27.47</v>
      </c>
      <c r="X244" s="18">
        <v>4.08</v>
      </c>
      <c r="Y244" s="27">
        <f t="shared" si="200"/>
        <v>39.302989055269919</v>
      </c>
      <c r="Z244" s="18">
        <f t="shared" si="76"/>
        <v>0.54054054054054046</v>
      </c>
      <c r="AA244" s="18">
        <v>97.61</v>
      </c>
      <c r="AB244" s="18">
        <v>56.77</v>
      </c>
      <c r="AC244" s="21">
        <f t="shared" si="77"/>
        <v>5600</v>
      </c>
      <c r="AD244" s="18" t="s">
        <v>51</v>
      </c>
      <c r="AF244" s="1"/>
      <c r="AG244" s="29">
        <v>1.85</v>
      </c>
      <c r="AH244" s="29">
        <v>5.6</v>
      </c>
      <c r="AK244" s="1">
        <f t="shared" si="201"/>
        <v>5.8661113591269842</v>
      </c>
      <c r="AL244" s="29">
        <f t="shared" si="202"/>
        <v>9.059245465204496</v>
      </c>
      <c r="AM244" s="29">
        <f t="shared" si="203"/>
        <v>14.92535682433148</v>
      </c>
      <c r="AO244" s="30">
        <f t="shared" si="204"/>
        <v>31.362145555142035</v>
      </c>
      <c r="AP244" s="30">
        <f t="shared" si="205"/>
        <v>10.184958436525706</v>
      </c>
      <c r="AQ244" s="30">
        <f t="shared" si="206"/>
        <v>16.67346890651735</v>
      </c>
      <c r="AR244" s="30">
        <f t="shared" si="207"/>
        <v>2.4764380465449873</v>
      </c>
      <c r="AS244" s="30">
        <f t="shared" si="208"/>
        <v>39.302989055269919</v>
      </c>
      <c r="AT244" s="31">
        <f t="shared" si="14"/>
        <v>100</v>
      </c>
      <c r="AV244" s="21">
        <f t="shared" si="86"/>
        <v>5600</v>
      </c>
    </row>
    <row r="245" spans="2:48" ht="15.75" customHeight="1" x14ac:dyDescent="0.25">
      <c r="B245" s="32"/>
      <c r="C245" s="18" t="s">
        <v>46</v>
      </c>
      <c r="D245" s="51"/>
      <c r="E245" s="18" t="s">
        <v>48</v>
      </c>
      <c r="F245" s="51"/>
      <c r="G245" s="18">
        <v>52.54</v>
      </c>
      <c r="H245" s="18">
        <v>5.37</v>
      </c>
      <c r="I245" s="18">
        <v>41.01</v>
      </c>
      <c r="J245" s="18">
        <v>0.59</v>
      </c>
      <c r="K245" s="18">
        <v>0.49</v>
      </c>
      <c r="L245" s="22">
        <f t="shared" si="74"/>
        <v>0</v>
      </c>
      <c r="M245" s="18">
        <v>84.48</v>
      </c>
      <c r="N245" s="18">
        <v>10.119999999999999</v>
      </c>
      <c r="O245" s="18">
        <v>5.4</v>
      </c>
      <c r="P245" s="18">
        <v>0.35</v>
      </c>
      <c r="Q245" s="18">
        <v>770</v>
      </c>
      <c r="R245" s="18" t="s">
        <v>51</v>
      </c>
      <c r="S245" s="53">
        <v>0</v>
      </c>
      <c r="T245" s="18">
        <v>16.88</v>
      </c>
      <c r="U245" s="21">
        <v>51.24</v>
      </c>
      <c r="V245" s="21">
        <v>21.28</v>
      </c>
      <c r="W245" s="18">
        <v>24.25</v>
      </c>
      <c r="X245" s="18">
        <v>3.25</v>
      </c>
      <c r="Y245" s="27">
        <f t="shared" si="200"/>
        <v>39.524299650145167</v>
      </c>
      <c r="Z245" s="18">
        <f t="shared" si="76"/>
        <v>0.39215686274509809</v>
      </c>
      <c r="AA245" s="18">
        <v>93.55</v>
      </c>
      <c r="AB245" s="18">
        <v>96.41</v>
      </c>
      <c r="AC245" s="21">
        <f t="shared" si="77"/>
        <v>6900</v>
      </c>
      <c r="AD245" s="18" t="s">
        <v>51</v>
      </c>
      <c r="AF245" s="1"/>
      <c r="AG245" s="29">
        <v>2.5499999999999998</v>
      </c>
      <c r="AH245" s="29">
        <v>6.9</v>
      </c>
      <c r="AK245" s="1">
        <f t="shared" si="201"/>
        <v>5.8661113591269842</v>
      </c>
      <c r="AL245" s="29">
        <f t="shared" si="202"/>
        <v>8.9756730900642339</v>
      </c>
      <c r="AM245" s="29">
        <f t="shared" si="203"/>
        <v>14.841784449191218</v>
      </c>
      <c r="AO245" s="30">
        <f t="shared" si="204"/>
        <v>30.987748859265619</v>
      </c>
      <c r="AP245" s="30">
        <f t="shared" si="205"/>
        <v>12.869229034449109</v>
      </c>
      <c r="AQ245" s="30">
        <f t="shared" si="206"/>
        <v>14.665357334839795</v>
      </c>
      <c r="AR245" s="30">
        <f t="shared" si="207"/>
        <v>1.9654602613702825</v>
      </c>
      <c r="AS245" s="30">
        <f t="shared" si="208"/>
        <v>39.524299650145167</v>
      </c>
      <c r="AT245" s="31">
        <f t="shared" si="14"/>
        <v>100.01209514006997</v>
      </c>
      <c r="AV245" s="21">
        <f t="shared" si="86"/>
        <v>6900</v>
      </c>
    </row>
    <row r="246" spans="2:48" ht="15.75" customHeight="1" x14ac:dyDescent="0.25">
      <c r="B246" s="32"/>
      <c r="C246" s="18" t="s">
        <v>46</v>
      </c>
      <c r="D246" s="51"/>
      <c r="E246" s="18" t="s">
        <v>48</v>
      </c>
      <c r="F246" s="51"/>
      <c r="G246" s="23">
        <f t="shared" ref="G246:G247" si="209">36.42*100/(100-O246)</f>
        <v>45.118929633300297</v>
      </c>
      <c r="H246" s="23">
        <f t="shared" ref="H246:H247" si="210">5.4*100/(100-O246)</f>
        <v>6.6897918731417247</v>
      </c>
      <c r="I246" s="23">
        <f t="shared" ref="I246:I247" si="211">31.5*100/(100-O246)</f>
        <v>39.023785926660061</v>
      </c>
      <c r="J246" s="23">
        <f t="shared" ref="J246:J247" si="212">5.5*100/(100-O246)</f>
        <v>6.8136769078295343</v>
      </c>
      <c r="K246" s="23">
        <f t="shared" ref="K246:K247" si="213">1.9*100/(100-O246)</f>
        <v>2.3538156590683847</v>
      </c>
      <c r="L246" s="22">
        <f t="shared" si="74"/>
        <v>19.420000000000002</v>
      </c>
      <c r="M246" s="18">
        <v>51.8</v>
      </c>
      <c r="N246" s="18">
        <v>9.5</v>
      </c>
      <c r="O246" s="18">
        <v>19.28</v>
      </c>
      <c r="P246" s="18">
        <v>0.25</v>
      </c>
      <c r="Q246" s="18">
        <v>800</v>
      </c>
      <c r="R246" s="18" t="s">
        <v>51</v>
      </c>
      <c r="S246" s="56">
        <v>0</v>
      </c>
      <c r="T246" s="18">
        <v>14.86</v>
      </c>
      <c r="U246" s="21">
        <v>17.3</v>
      </c>
      <c r="V246" s="21">
        <v>17.100000000000001</v>
      </c>
      <c r="W246" s="18">
        <v>1.7</v>
      </c>
      <c r="X246" s="18">
        <v>11.9</v>
      </c>
      <c r="Y246" s="49">
        <f t="shared" ref="Y246:Y275" si="214">100-SUM(U246:X246)</f>
        <v>51.999999999999993</v>
      </c>
      <c r="Z246" s="18">
        <f t="shared" si="76"/>
        <v>0.36630036630036628</v>
      </c>
      <c r="AA246" s="18">
        <v>66.900000000000006</v>
      </c>
      <c r="AB246" s="18">
        <v>71.28</v>
      </c>
      <c r="AC246" s="21">
        <f t="shared" si="77"/>
        <v>4700</v>
      </c>
      <c r="AD246" s="18" t="s">
        <v>51</v>
      </c>
      <c r="AF246" s="1"/>
      <c r="AG246" s="29">
        <v>2.73</v>
      </c>
      <c r="AH246" s="29">
        <v>4.7</v>
      </c>
      <c r="AO246" s="30">
        <f t="shared" ref="AO246:AS246" si="215">U246</f>
        <v>17.3</v>
      </c>
      <c r="AP246" s="30">
        <f t="shared" si="215"/>
        <v>17.100000000000001</v>
      </c>
      <c r="AQ246" s="30">
        <f t="shared" si="215"/>
        <v>1.7</v>
      </c>
      <c r="AR246" s="30">
        <f t="shared" si="215"/>
        <v>11.9</v>
      </c>
      <c r="AS246" s="30">
        <f t="shared" si="215"/>
        <v>51.999999999999993</v>
      </c>
      <c r="AT246" s="31">
        <f t="shared" si="14"/>
        <v>100</v>
      </c>
      <c r="AV246" s="21">
        <f t="shared" si="86"/>
        <v>4700</v>
      </c>
    </row>
    <row r="247" spans="2:48" ht="15.75" customHeight="1" x14ac:dyDescent="0.25">
      <c r="B247" s="32"/>
      <c r="C247" s="18" t="s">
        <v>46</v>
      </c>
      <c r="D247" s="51"/>
      <c r="E247" s="18" t="s">
        <v>48</v>
      </c>
      <c r="F247" s="51"/>
      <c r="G247" s="23">
        <f t="shared" si="209"/>
        <v>45.118929633300297</v>
      </c>
      <c r="H247" s="23">
        <f t="shared" si="210"/>
        <v>6.6897918731417247</v>
      </c>
      <c r="I247" s="23">
        <f t="shared" si="211"/>
        <v>39.023785926660061</v>
      </c>
      <c r="J247" s="23">
        <f t="shared" si="212"/>
        <v>6.8136769078295343</v>
      </c>
      <c r="K247" s="23">
        <f t="shared" si="213"/>
        <v>2.3538156590683847</v>
      </c>
      <c r="L247" s="22">
        <f t="shared" si="74"/>
        <v>19.420000000000002</v>
      </c>
      <c r="M247" s="18">
        <v>51.8</v>
      </c>
      <c r="N247" s="18">
        <v>9.5</v>
      </c>
      <c r="O247" s="18">
        <v>19.28</v>
      </c>
      <c r="P247" s="18">
        <v>0.25</v>
      </c>
      <c r="Q247" s="18">
        <v>800</v>
      </c>
      <c r="R247" s="18" t="s">
        <v>51</v>
      </c>
      <c r="S247" s="56">
        <v>0</v>
      </c>
      <c r="T247" s="18">
        <v>14.86</v>
      </c>
      <c r="U247" s="21">
        <v>17.100000000000001</v>
      </c>
      <c r="V247" s="21">
        <v>15.9</v>
      </c>
      <c r="W247" s="18">
        <v>2</v>
      </c>
      <c r="X247" s="18">
        <v>12.2</v>
      </c>
      <c r="Y247" s="49">
        <f t="shared" si="214"/>
        <v>52.8</v>
      </c>
      <c r="Z247" s="18">
        <f t="shared" si="76"/>
        <v>0.3968253968253968</v>
      </c>
      <c r="AA247" s="18">
        <v>66.2</v>
      </c>
      <c r="AB247" s="18">
        <v>64.400000000000006</v>
      </c>
      <c r="AC247" s="21">
        <f t="shared" si="77"/>
        <v>4600</v>
      </c>
      <c r="AD247" s="18" t="s">
        <v>51</v>
      </c>
      <c r="AF247" s="1"/>
      <c r="AG247" s="29">
        <v>2.52</v>
      </c>
      <c r="AH247" s="29">
        <v>4.5999999999999996</v>
      </c>
      <c r="AO247" s="30">
        <f t="shared" ref="AO247:AS247" si="216">U247</f>
        <v>17.100000000000001</v>
      </c>
      <c r="AP247" s="30">
        <f t="shared" si="216"/>
        <v>15.9</v>
      </c>
      <c r="AQ247" s="30">
        <f t="shared" si="216"/>
        <v>2</v>
      </c>
      <c r="AR247" s="30">
        <f t="shared" si="216"/>
        <v>12.2</v>
      </c>
      <c r="AS247" s="30">
        <f t="shared" si="216"/>
        <v>52.8</v>
      </c>
      <c r="AT247" s="31">
        <f t="shared" si="14"/>
        <v>100</v>
      </c>
      <c r="AV247" s="21">
        <f t="shared" si="86"/>
        <v>4600</v>
      </c>
    </row>
    <row r="248" spans="2:48" ht="15.75" customHeight="1" x14ac:dyDescent="0.25">
      <c r="B248" s="32"/>
      <c r="C248" s="18" t="s">
        <v>46</v>
      </c>
      <c r="D248" s="51"/>
      <c r="E248" s="18" t="s">
        <v>48</v>
      </c>
      <c r="F248" s="51"/>
      <c r="G248" s="23">
        <f t="shared" ref="G248:G249" si="217">44.2*100/(100-O248)</f>
        <v>47.171824973319104</v>
      </c>
      <c r="H248" s="23">
        <f t="shared" ref="H248:H249" si="218">6.1*100/(100-O248)</f>
        <v>6.5101387406616862</v>
      </c>
      <c r="I248" s="23">
        <f t="shared" ref="I248:I249" si="219">41.2*100/(100-O248)</f>
        <v>43.970117395944506</v>
      </c>
      <c r="J248" s="23">
        <f t="shared" ref="J248:J249" si="220">2.1*100/(100-O248)</f>
        <v>2.2411953041622197</v>
      </c>
      <c r="K248" s="23">
        <f t="shared" ref="K248:K249" si="221">0.1*100/(100-O248)</f>
        <v>0.10672358591248665</v>
      </c>
      <c r="L248" s="22">
        <f t="shared" si="74"/>
        <v>42.7</v>
      </c>
      <c r="M248" s="18">
        <v>42.5</v>
      </c>
      <c r="N248" s="18">
        <v>8.5</v>
      </c>
      <c r="O248" s="18">
        <v>6.3</v>
      </c>
      <c r="P248" s="18">
        <v>0.25</v>
      </c>
      <c r="Q248" s="18">
        <v>950</v>
      </c>
      <c r="R248" s="18" t="s">
        <v>51</v>
      </c>
      <c r="S248" s="53">
        <v>0</v>
      </c>
      <c r="T248" s="18">
        <v>17.63</v>
      </c>
      <c r="U248" s="21">
        <v>16.8</v>
      </c>
      <c r="V248" s="21">
        <v>15.6</v>
      </c>
      <c r="W248" s="18">
        <v>2.1</v>
      </c>
      <c r="X248" s="18">
        <v>12.7</v>
      </c>
      <c r="Y248" s="49">
        <f t="shared" si="214"/>
        <v>52.8</v>
      </c>
      <c r="Z248" s="18">
        <f t="shared" si="76"/>
        <v>0.54644808743169393</v>
      </c>
      <c r="AA248" s="18">
        <v>45.75</v>
      </c>
      <c r="AB248" s="18">
        <v>45.75</v>
      </c>
      <c r="AC248" s="21">
        <f t="shared" si="77"/>
        <v>4500</v>
      </c>
      <c r="AD248" s="18" t="s">
        <v>51</v>
      </c>
      <c r="AF248" s="1"/>
      <c r="AG248" s="29">
        <v>1.83</v>
      </c>
      <c r="AH248" s="29">
        <v>4.5</v>
      </c>
      <c r="AO248" s="30">
        <f t="shared" ref="AO248:AS248" si="222">U248</f>
        <v>16.8</v>
      </c>
      <c r="AP248" s="30">
        <f t="shared" si="222"/>
        <v>15.6</v>
      </c>
      <c r="AQ248" s="30">
        <f t="shared" si="222"/>
        <v>2.1</v>
      </c>
      <c r="AR248" s="30">
        <f t="shared" si="222"/>
        <v>12.7</v>
      </c>
      <c r="AS248" s="30">
        <f t="shared" si="222"/>
        <v>52.8</v>
      </c>
      <c r="AT248" s="31">
        <f t="shared" si="14"/>
        <v>100</v>
      </c>
      <c r="AV248" s="21">
        <f t="shared" si="86"/>
        <v>4500</v>
      </c>
    </row>
    <row r="249" spans="2:48" ht="15.75" customHeight="1" x14ac:dyDescent="0.25">
      <c r="B249" s="32"/>
      <c r="C249" s="18" t="s">
        <v>46</v>
      </c>
      <c r="D249" s="51"/>
      <c r="E249" s="18" t="s">
        <v>48</v>
      </c>
      <c r="F249" s="51"/>
      <c r="G249" s="23">
        <f t="shared" si="217"/>
        <v>47.171824973319104</v>
      </c>
      <c r="H249" s="23">
        <f t="shared" si="218"/>
        <v>6.5101387406616862</v>
      </c>
      <c r="I249" s="23">
        <f t="shared" si="219"/>
        <v>43.970117395944506</v>
      </c>
      <c r="J249" s="23">
        <f t="shared" si="220"/>
        <v>2.2411953041622197</v>
      </c>
      <c r="K249" s="23">
        <f t="shared" si="221"/>
        <v>0.10672358591248665</v>
      </c>
      <c r="L249" s="22">
        <f t="shared" si="74"/>
        <v>42.7</v>
      </c>
      <c r="M249" s="18">
        <v>42.5</v>
      </c>
      <c r="N249" s="18">
        <v>8.5</v>
      </c>
      <c r="O249" s="18">
        <v>6.3</v>
      </c>
      <c r="P249" s="18">
        <v>0.25</v>
      </c>
      <c r="Q249" s="18">
        <v>950</v>
      </c>
      <c r="R249" s="18" t="s">
        <v>51</v>
      </c>
      <c r="S249" s="53">
        <v>0</v>
      </c>
      <c r="T249" s="18">
        <v>17.63</v>
      </c>
      <c r="U249" s="21">
        <v>13.4</v>
      </c>
      <c r="V249" s="21">
        <v>12</v>
      </c>
      <c r="W249" s="18">
        <v>1.8</v>
      </c>
      <c r="X249" s="18">
        <v>12.5</v>
      </c>
      <c r="Y249" s="49">
        <f t="shared" si="214"/>
        <v>60.3</v>
      </c>
      <c r="Z249" s="18">
        <f t="shared" si="76"/>
        <v>0.51020408163265307</v>
      </c>
      <c r="AA249" s="18">
        <v>39.200000000000003</v>
      </c>
      <c r="AB249" s="18">
        <v>39.200000000000003</v>
      </c>
      <c r="AC249" s="21">
        <f t="shared" si="77"/>
        <v>3600</v>
      </c>
      <c r="AD249" s="18" t="s">
        <v>51</v>
      </c>
      <c r="AF249" s="1"/>
      <c r="AG249" s="29">
        <v>1.96</v>
      </c>
      <c r="AH249" s="29">
        <v>3.6</v>
      </c>
      <c r="AO249" s="30">
        <f t="shared" ref="AO249:AS249" si="223">U249</f>
        <v>13.4</v>
      </c>
      <c r="AP249" s="30">
        <f t="shared" si="223"/>
        <v>12</v>
      </c>
      <c r="AQ249" s="30">
        <f t="shared" si="223"/>
        <v>1.8</v>
      </c>
      <c r="AR249" s="30">
        <f t="shared" si="223"/>
        <v>12.5</v>
      </c>
      <c r="AS249" s="30">
        <f t="shared" si="223"/>
        <v>60.3</v>
      </c>
      <c r="AT249" s="31">
        <f t="shared" si="14"/>
        <v>100</v>
      </c>
      <c r="AV249" s="21">
        <f t="shared" si="86"/>
        <v>3600</v>
      </c>
    </row>
    <row r="250" spans="2:48" ht="15.75" customHeight="1" x14ac:dyDescent="0.25">
      <c r="B250" s="32"/>
      <c r="C250" s="18" t="s">
        <v>46</v>
      </c>
      <c r="D250" s="51"/>
      <c r="E250" s="18" t="s">
        <v>48</v>
      </c>
      <c r="F250" s="51"/>
      <c r="G250" s="23">
        <f t="shared" ref="G250:G254" si="224">48.9*100/(100-O250)</f>
        <v>54.557625794934737</v>
      </c>
      <c r="H250" s="23">
        <f t="shared" ref="H250:H260" si="225">5.9*100/(100-O250)</f>
        <v>6.5826174272007147</v>
      </c>
      <c r="I250" s="23">
        <f t="shared" ref="I250:I254" si="226">33.69*100/(100-O250)</f>
        <v>37.587861207185099</v>
      </c>
      <c r="J250" s="23">
        <f t="shared" ref="J250:J254" si="227">0.57*100/(100-O250)</f>
        <v>0.63594778533972995</v>
      </c>
      <c r="K250" s="23">
        <f t="shared" ref="K250:K254" si="228">0.57*100/(100-O250)</f>
        <v>0.63594778533972995</v>
      </c>
      <c r="L250" s="22">
        <f t="shared" si="74"/>
        <v>11.11</v>
      </c>
      <c r="M250" s="18">
        <v>69.83</v>
      </c>
      <c r="N250" s="18">
        <v>8.69</v>
      </c>
      <c r="O250" s="18">
        <v>10.37</v>
      </c>
      <c r="P250" s="18">
        <v>0.2</v>
      </c>
      <c r="Q250" s="18">
        <v>700</v>
      </c>
      <c r="R250" s="18" t="s">
        <v>51</v>
      </c>
      <c r="S250" s="53">
        <v>0</v>
      </c>
      <c r="T250" s="18">
        <v>16.14</v>
      </c>
      <c r="U250" s="21">
        <v>13.38</v>
      </c>
      <c r="V250" s="21">
        <v>10.01</v>
      </c>
      <c r="W250" s="18">
        <v>17.37</v>
      </c>
      <c r="X250" s="18">
        <v>5.33</v>
      </c>
      <c r="Y250" s="49">
        <f t="shared" si="214"/>
        <v>53.91</v>
      </c>
      <c r="Z250" s="18">
        <f t="shared" si="76"/>
        <v>0.39370078740157477</v>
      </c>
      <c r="AA250" s="18">
        <v>83.09</v>
      </c>
      <c r="AB250" s="18">
        <v>83.09</v>
      </c>
      <c r="AC250" s="21">
        <f t="shared" si="77"/>
        <v>5800</v>
      </c>
      <c r="AD250" s="18" t="s">
        <v>51</v>
      </c>
      <c r="AF250" s="1"/>
      <c r="AG250" s="29">
        <v>2.54</v>
      </c>
      <c r="AH250" s="29">
        <v>5.8</v>
      </c>
      <c r="AO250" s="30">
        <f t="shared" ref="AO250:AS250" si="229">U250</f>
        <v>13.38</v>
      </c>
      <c r="AP250" s="30">
        <f t="shared" si="229"/>
        <v>10.01</v>
      </c>
      <c r="AQ250" s="30">
        <f t="shared" si="229"/>
        <v>17.37</v>
      </c>
      <c r="AR250" s="30">
        <f t="shared" si="229"/>
        <v>5.33</v>
      </c>
      <c r="AS250" s="30">
        <f t="shared" si="229"/>
        <v>53.91</v>
      </c>
      <c r="AT250" s="31">
        <f t="shared" si="14"/>
        <v>100</v>
      </c>
      <c r="AV250" s="21">
        <f t="shared" si="86"/>
        <v>5800</v>
      </c>
    </row>
    <row r="251" spans="2:48" ht="15.75" customHeight="1" x14ac:dyDescent="0.25">
      <c r="B251" s="32"/>
      <c r="C251" s="18" t="s">
        <v>46</v>
      </c>
      <c r="D251" s="51"/>
      <c r="E251" s="18" t="s">
        <v>48</v>
      </c>
      <c r="F251" s="51"/>
      <c r="G251" s="23">
        <f t="shared" si="224"/>
        <v>54.557625794934737</v>
      </c>
      <c r="H251" s="23">
        <f t="shared" si="225"/>
        <v>6.5826174272007147</v>
      </c>
      <c r="I251" s="23">
        <f t="shared" si="226"/>
        <v>37.587861207185099</v>
      </c>
      <c r="J251" s="23">
        <f t="shared" si="227"/>
        <v>0.63594778533972995</v>
      </c>
      <c r="K251" s="23">
        <f t="shared" si="228"/>
        <v>0.63594778533972995</v>
      </c>
      <c r="L251" s="22">
        <f t="shared" si="74"/>
        <v>11.11</v>
      </c>
      <c r="M251" s="18">
        <v>69.83</v>
      </c>
      <c r="N251" s="18">
        <v>8.69</v>
      </c>
      <c r="O251" s="18">
        <v>10.37</v>
      </c>
      <c r="P251" s="18">
        <v>0.2</v>
      </c>
      <c r="Q251" s="18">
        <v>750</v>
      </c>
      <c r="R251" s="18" t="s">
        <v>51</v>
      </c>
      <c r="S251" s="53">
        <v>0</v>
      </c>
      <c r="T251" s="18">
        <v>16.14</v>
      </c>
      <c r="U251" s="21">
        <v>16.510000000000002</v>
      </c>
      <c r="V251" s="21">
        <v>15.05</v>
      </c>
      <c r="W251" s="18">
        <v>16.77</v>
      </c>
      <c r="X251" s="18">
        <v>4.8899999999999997</v>
      </c>
      <c r="Y251" s="49">
        <f t="shared" si="214"/>
        <v>46.78</v>
      </c>
      <c r="Z251" s="18">
        <f t="shared" si="76"/>
        <v>0.46511627906976744</v>
      </c>
      <c r="AA251" s="18">
        <v>72.39</v>
      </c>
      <c r="AB251" s="18">
        <v>72.39</v>
      </c>
      <c r="AC251" s="21">
        <f t="shared" si="77"/>
        <v>5970</v>
      </c>
      <c r="AD251" s="18" t="s">
        <v>51</v>
      </c>
      <c r="AF251" s="1"/>
      <c r="AG251" s="29">
        <v>2.15</v>
      </c>
      <c r="AH251" s="29">
        <v>5.97</v>
      </c>
      <c r="AO251" s="30">
        <f t="shared" ref="AO251:AS251" si="230">U251</f>
        <v>16.510000000000002</v>
      </c>
      <c r="AP251" s="30">
        <f t="shared" si="230"/>
        <v>15.05</v>
      </c>
      <c r="AQ251" s="30">
        <f t="shared" si="230"/>
        <v>16.77</v>
      </c>
      <c r="AR251" s="30">
        <f t="shared" si="230"/>
        <v>4.8899999999999997</v>
      </c>
      <c r="AS251" s="30">
        <f t="shared" si="230"/>
        <v>46.78</v>
      </c>
      <c r="AT251" s="31">
        <f t="shared" si="14"/>
        <v>100</v>
      </c>
      <c r="AV251" s="21">
        <f t="shared" si="86"/>
        <v>5970</v>
      </c>
    </row>
    <row r="252" spans="2:48" ht="15.75" customHeight="1" x14ac:dyDescent="0.25">
      <c r="B252" s="32"/>
      <c r="C252" s="18" t="s">
        <v>46</v>
      </c>
      <c r="D252" s="51"/>
      <c r="E252" s="18" t="s">
        <v>48</v>
      </c>
      <c r="F252" s="51"/>
      <c r="G252" s="23">
        <f t="shared" si="224"/>
        <v>54.557625794934737</v>
      </c>
      <c r="H252" s="23">
        <f t="shared" si="225"/>
        <v>6.5826174272007147</v>
      </c>
      <c r="I252" s="23">
        <f t="shared" si="226"/>
        <v>37.587861207185099</v>
      </c>
      <c r="J252" s="23">
        <f t="shared" si="227"/>
        <v>0.63594778533972995</v>
      </c>
      <c r="K252" s="23">
        <f t="shared" si="228"/>
        <v>0.63594778533972995</v>
      </c>
      <c r="L252" s="22">
        <f t="shared" si="74"/>
        <v>11.11</v>
      </c>
      <c r="M252" s="18">
        <v>69.83</v>
      </c>
      <c r="N252" s="18">
        <v>8.69</v>
      </c>
      <c r="O252" s="18">
        <v>10.37</v>
      </c>
      <c r="P252" s="18">
        <v>0.2</v>
      </c>
      <c r="Q252" s="18">
        <v>800</v>
      </c>
      <c r="R252" s="18" t="s">
        <v>51</v>
      </c>
      <c r="S252" s="53">
        <v>0</v>
      </c>
      <c r="T252" s="18">
        <v>16.14</v>
      </c>
      <c r="U252" s="21">
        <v>12.62</v>
      </c>
      <c r="V252" s="21">
        <v>10.68</v>
      </c>
      <c r="W252" s="18">
        <v>16.98</v>
      </c>
      <c r="X252" s="18">
        <v>4.88</v>
      </c>
      <c r="Y252" s="49">
        <f t="shared" si="214"/>
        <v>54.839999999999996</v>
      </c>
      <c r="Z252" s="18">
        <f t="shared" si="76"/>
        <v>0.45662100456621008</v>
      </c>
      <c r="AA252" s="18">
        <v>77.08</v>
      </c>
      <c r="AB252" s="18">
        <v>77.08</v>
      </c>
      <c r="AC252" s="21">
        <f t="shared" si="77"/>
        <v>6240</v>
      </c>
      <c r="AD252" s="18" t="s">
        <v>51</v>
      </c>
      <c r="AF252" s="1"/>
      <c r="AG252" s="29">
        <v>2.19</v>
      </c>
      <c r="AH252" s="29">
        <v>6.24</v>
      </c>
      <c r="AO252" s="30">
        <f t="shared" ref="AO252:AS252" si="231">U252</f>
        <v>12.62</v>
      </c>
      <c r="AP252" s="30">
        <f t="shared" si="231"/>
        <v>10.68</v>
      </c>
      <c r="AQ252" s="30">
        <f t="shared" si="231"/>
        <v>16.98</v>
      </c>
      <c r="AR252" s="30">
        <f t="shared" si="231"/>
        <v>4.88</v>
      </c>
      <c r="AS252" s="30">
        <f t="shared" si="231"/>
        <v>54.839999999999996</v>
      </c>
      <c r="AT252" s="31">
        <f t="shared" si="14"/>
        <v>100</v>
      </c>
      <c r="AV252" s="21">
        <f t="shared" si="86"/>
        <v>6240</v>
      </c>
    </row>
    <row r="253" spans="2:48" ht="15.75" customHeight="1" x14ac:dyDescent="0.25">
      <c r="B253" s="32"/>
      <c r="C253" s="18" t="s">
        <v>46</v>
      </c>
      <c r="D253" s="51"/>
      <c r="E253" s="18" t="s">
        <v>48</v>
      </c>
      <c r="F253" s="51"/>
      <c r="G253" s="23">
        <f t="shared" si="224"/>
        <v>54.557625794934737</v>
      </c>
      <c r="H253" s="23">
        <f t="shared" si="225"/>
        <v>6.5826174272007147</v>
      </c>
      <c r="I253" s="23">
        <f t="shared" si="226"/>
        <v>37.587861207185099</v>
      </c>
      <c r="J253" s="23">
        <f t="shared" si="227"/>
        <v>0.63594778533972995</v>
      </c>
      <c r="K253" s="23">
        <f t="shared" si="228"/>
        <v>0.63594778533972995</v>
      </c>
      <c r="L253" s="22">
        <f t="shared" si="74"/>
        <v>11.11</v>
      </c>
      <c r="M253" s="18">
        <v>69.83</v>
      </c>
      <c r="N253" s="18">
        <v>8.69</v>
      </c>
      <c r="O253" s="18">
        <v>10.37</v>
      </c>
      <c r="P253" s="18">
        <v>0.2</v>
      </c>
      <c r="Q253" s="18">
        <v>800</v>
      </c>
      <c r="R253" s="18" t="s">
        <v>51</v>
      </c>
      <c r="S253" s="53">
        <v>0</v>
      </c>
      <c r="T253" s="18">
        <v>16.14</v>
      </c>
      <c r="U253" s="21">
        <v>13.64</v>
      </c>
      <c r="V253" s="21">
        <v>13.89</v>
      </c>
      <c r="W253" s="18">
        <v>16.829999999999998</v>
      </c>
      <c r="X253" s="18">
        <v>5.29</v>
      </c>
      <c r="Y253" s="49">
        <f t="shared" si="214"/>
        <v>50.35</v>
      </c>
      <c r="Z253" s="18">
        <f t="shared" si="76"/>
        <v>0.39840637450199207</v>
      </c>
      <c r="AA253" s="18">
        <v>94.28</v>
      </c>
      <c r="AB253" s="18">
        <v>94.28</v>
      </c>
      <c r="AC253" s="21">
        <f t="shared" si="77"/>
        <v>6660</v>
      </c>
      <c r="AD253" s="18" t="s">
        <v>51</v>
      </c>
      <c r="AF253" s="1"/>
      <c r="AG253" s="29">
        <v>2.5099999999999998</v>
      </c>
      <c r="AH253" s="29">
        <v>6.66</v>
      </c>
      <c r="AO253" s="30">
        <f t="shared" ref="AO253:AS253" si="232">U253</f>
        <v>13.64</v>
      </c>
      <c r="AP253" s="30">
        <f t="shared" si="232"/>
        <v>13.89</v>
      </c>
      <c r="AQ253" s="30">
        <f t="shared" si="232"/>
        <v>16.829999999999998</v>
      </c>
      <c r="AR253" s="30">
        <f t="shared" si="232"/>
        <v>5.29</v>
      </c>
      <c r="AS253" s="30">
        <f t="shared" si="232"/>
        <v>50.35</v>
      </c>
      <c r="AT253" s="31">
        <f t="shared" si="14"/>
        <v>100</v>
      </c>
      <c r="AV253" s="21">
        <f t="shared" si="86"/>
        <v>6660</v>
      </c>
    </row>
    <row r="254" spans="2:48" ht="15.75" customHeight="1" x14ac:dyDescent="0.25">
      <c r="B254" s="32"/>
      <c r="C254" s="18" t="s">
        <v>46</v>
      </c>
      <c r="D254" s="51"/>
      <c r="E254" s="18" t="s">
        <v>48</v>
      </c>
      <c r="F254" s="51"/>
      <c r="G254" s="23">
        <f t="shared" si="224"/>
        <v>54.557625794934737</v>
      </c>
      <c r="H254" s="23">
        <f t="shared" si="225"/>
        <v>6.5826174272007147</v>
      </c>
      <c r="I254" s="23">
        <f t="shared" si="226"/>
        <v>37.587861207185099</v>
      </c>
      <c r="J254" s="23">
        <f t="shared" si="227"/>
        <v>0.63594778533972995</v>
      </c>
      <c r="K254" s="23">
        <f t="shared" si="228"/>
        <v>0.63594778533972995</v>
      </c>
      <c r="L254" s="22">
        <f t="shared" si="74"/>
        <v>11.11</v>
      </c>
      <c r="M254" s="18">
        <v>69.83</v>
      </c>
      <c r="N254" s="18">
        <v>8.69</v>
      </c>
      <c r="O254" s="18">
        <v>10.37</v>
      </c>
      <c r="P254" s="18">
        <v>0.2</v>
      </c>
      <c r="Q254" s="18">
        <v>800</v>
      </c>
      <c r="R254" s="18" t="s">
        <v>51</v>
      </c>
      <c r="S254" s="53">
        <v>0</v>
      </c>
      <c r="T254" s="18">
        <v>16.14</v>
      </c>
      <c r="U254" s="21">
        <v>16.260000000000002</v>
      </c>
      <c r="V254" s="21">
        <v>16.71</v>
      </c>
      <c r="W254" s="18">
        <v>16.559999999999999</v>
      </c>
      <c r="X254" s="18">
        <v>4.87</v>
      </c>
      <c r="Y254" s="49">
        <f t="shared" si="214"/>
        <v>45.6</v>
      </c>
      <c r="Z254" s="18">
        <f t="shared" si="76"/>
        <v>0.37593984962406013</v>
      </c>
      <c r="AA254" s="18">
        <v>102.17</v>
      </c>
      <c r="AB254" s="18">
        <v>102.17</v>
      </c>
      <c r="AC254" s="21">
        <f t="shared" si="77"/>
        <v>6810</v>
      </c>
      <c r="AD254" s="18" t="s">
        <v>51</v>
      </c>
      <c r="AF254" s="1"/>
      <c r="AG254" s="29">
        <v>2.66</v>
      </c>
      <c r="AH254" s="29">
        <v>6.81</v>
      </c>
      <c r="AO254" s="30">
        <f t="shared" ref="AO254:AS254" si="233">U254</f>
        <v>16.260000000000002</v>
      </c>
      <c r="AP254" s="30">
        <f t="shared" si="233"/>
        <v>16.71</v>
      </c>
      <c r="AQ254" s="30">
        <f t="shared" si="233"/>
        <v>16.559999999999999</v>
      </c>
      <c r="AR254" s="30">
        <f t="shared" si="233"/>
        <v>4.87</v>
      </c>
      <c r="AS254" s="30">
        <f t="shared" si="233"/>
        <v>45.6</v>
      </c>
      <c r="AT254" s="31">
        <f t="shared" si="14"/>
        <v>100</v>
      </c>
      <c r="AV254" s="21">
        <f t="shared" si="86"/>
        <v>6810</v>
      </c>
    </row>
    <row r="255" spans="2:48" ht="15.75" customHeight="1" x14ac:dyDescent="0.25">
      <c r="B255" s="32"/>
      <c r="C255" s="18" t="s">
        <v>46</v>
      </c>
      <c r="D255" s="51"/>
      <c r="E255" s="18" t="s">
        <v>48</v>
      </c>
      <c r="F255" s="51"/>
      <c r="G255" s="23">
        <f t="shared" ref="G255:G260" si="234">44.3*100/(100-O255)</f>
        <v>46.779303062302006</v>
      </c>
      <c r="H255" s="23">
        <f t="shared" si="225"/>
        <v>6.2302006335797255</v>
      </c>
      <c r="I255" s="23">
        <f t="shared" ref="I255:I260" si="235">44.4*100/(100-O255)</f>
        <v>46.884899683210136</v>
      </c>
      <c r="J255" s="23">
        <f t="shared" ref="J255:J260" si="236">0.1*100/(100-O255)</f>
        <v>0.10559662090813093</v>
      </c>
      <c r="K255" s="21">
        <v>0</v>
      </c>
      <c r="L255" s="22">
        <f t="shared" si="74"/>
        <v>12.099999999999994</v>
      </c>
      <c r="M255" s="18">
        <v>74.2</v>
      </c>
      <c r="N255" s="18">
        <v>8.4</v>
      </c>
      <c r="O255" s="18">
        <v>5.3</v>
      </c>
      <c r="P255" s="18">
        <v>0.3</v>
      </c>
      <c r="Q255" s="18">
        <v>780</v>
      </c>
      <c r="R255" s="18" t="s">
        <v>51</v>
      </c>
      <c r="S255" s="53">
        <v>0</v>
      </c>
      <c r="T255" s="18">
        <v>18.3</v>
      </c>
      <c r="U255" s="21">
        <v>20.2</v>
      </c>
      <c r="V255" s="21">
        <v>15.2</v>
      </c>
      <c r="W255" s="18">
        <v>16.399999999999999</v>
      </c>
      <c r="X255" s="18">
        <v>4.7</v>
      </c>
      <c r="Y255" s="49">
        <f t="shared" si="214"/>
        <v>43.5</v>
      </c>
      <c r="Z255" s="18">
        <f t="shared" si="76"/>
        <v>0.89285714285714279</v>
      </c>
      <c r="AA255" s="18">
        <v>41.71</v>
      </c>
      <c r="AB255" s="18">
        <v>44.18</v>
      </c>
      <c r="AC255" s="21">
        <f t="shared" si="77"/>
        <v>6890</v>
      </c>
      <c r="AD255" s="18" t="s">
        <v>51</v>
      </c>
      <c r="AF255" s="1"/>
      <c r="AG255" s="29">
        <v>1.1200000000000001</v>
      </c>
      <c r="AH255" s="29">
        <v>6.89</v>
      </c>
      <c r="AO255" s="30">
        <f t="shared" ref="AO255:AS255" si="237">U255</f>
        <v>20.2</v>
      </c>
      <c r="AP255" s="30">
        <f t="shared" si="237"/>
        <v>15.2</v>
      </c>
      <c r="AQ255" s="30">
        <f t="shared" si="237"/>
        <v>16.399999999999999</v>
      </c>
      <c r="AR255" s="30">
        <f t="shared" si="237"/>
        <v>4.7</v>
      </c>
      <c r="AS255" s="30">
        <f t="shared" si="237"/>
        <v>43.5</v>
      </c>
      <c r="AT255" s="31">
        <f t="shared" si="14"/>
        <v>100</v>
      </c>
      <c r="AV255" s="21">
        <f t="shared" si="86"/>
        <v>6890</v>
      </c>
    </row>
    <row r="256" spans="2:48" ht="15.75" customHeight="1" x14ac:dyDescent="0.25">
      <c r="B256" s="32"/>
      <c r="C256" s="18" t="s">
        <v>46</v>
      </c>
      <c r="D256" s="51"/>
      <c r="E256" s="18" t="s">
        <v>48</v>
      </c>
      <c r="F256" s="51"/>
      <c r="G256" s="23">
        <f t="shared" si="234"/>
        <v>46.779303062302006</v>
      </c>
      <c r="H256" s="23">
        <f t="shared" si="225"/>
        <v>6.2302006335797255</v>
      </c>
      <c r="I256" s="23">
        <f t="shared" si="235"/>
        <v>46.884899683210136</v>
      </c>
      <c r="J256" s="23">
        <f t="shared" si="236"/>
        <v>0.10559662090813093</v>
      </c>
      <c r="K256" s="18">
        <v>0</v>
      </c>
      <c r="L256" s="22">
        <f t="shared" si="74"/>
        <v>12.099999999999994</v>
      </c>
      <c r="M256" s="18">
        <v>74.2</v>
      </c>
      <c r="N256" s="18">
        <v>8.4</v>
      </c>
      <c r="O256" s="18">
        <v>5.3</v>
      </c>
      <c r="P256" s="18">
        <v>0.3</v>
      </c>
      <c r="Q256" s="18">
        <v>780</v>
      </c>
      <c r="R256" s="18" t="s">
        <v>51</v>
      </c>
      <c r="S256" s="53">
        <v>0</v>
      </c>
      <c r="T256" s="18">
        <v>18.3</v>
      </c>
      <c r="U256" s="21">
        <v>19.8</v>
      </c>
      <c r="V256" s="21">
        <v>16.399999999999999</v>
      </c>
      <c r="W256" s="18">
        <v>15.9</v>
      </c>
      <c r="X256" s="18">
        <v>4.9000000000000004</v>
      </c>
      <c r="Y256" s="49">
        <f t="shared" si="214"/>
        <v>43</v>
      </c>
      <c r="Z256" s="18">
        <f t="shared" si="76"/>
        <v>0.87719298245614041</v>
      </c>
      <c r="AA256" s="18">
        <v>35.06</v>
      </c>
      <c r="AB256" s="18">
        <v>46.08</v>
      </c>
      <c r="AC256" s="21">
        <f t="shared" si="77"/>
        <v>5690</v>
      </c>
      <c r="AD256" s="18" t="s">
        <v>51</v>
      </c>
      <c r="AF256" s="1"/>
      <c r="AG256" s="29">
        <v>1.1399999999999999</v>
      </c>
      <c r="AH256" s="29">
        <v>5.69</v>
      </c>
      <c r="AO256" s="30">
        <f t="shared" ref="AO256:AS256" si="238">U256</f>
        <v>19.8</v>
      </c>
      <c r="AP256" s="30">
        <f t="shared" si="238"/>
        <v>16.399999999999999</v>
      </c>
      <c r="AQ256" s="30">
        <f t="shared" si="238"/>
        <v>15.9</v>
      </c>
      <c r="AR256" s="30">
        <f t="shared" si="238"/>
        <v>4.9000000000000004</v>
      </c>
      <c r="AS256" s="30">
        <f t="shared" si="238"/>
        <v>43</v>
      </c>
      <c r="AT256" s="31">
        <f t="shared" si="14"/>
        <v>100</v>
      </c>
      <c r="AV256" s="21">
        <f t="shared" si="86"/>
        <v>5690</v>
      </c>
    </row>
    <row r="257" spans="2:48" ht="15.75" customHeight="1" x14ac:dyDescent="0.25">
      <c r="B257" s="32"/>
      <c r="C257" s="18" t="s">
        <v>46</v>
      </c>
      <c r="D257" s="51"/>
      <c r="E257" s="18" t="s">
        <v>48</v>
      </c>
      <c r="F257" s="51"/>
      <c r="G257" s="23">
        <f t="shared" si="234"/>
        <v>46.779303062302006</v>
      </c>
      <c r="H257" s="23">
        <f t="shared" si="225"/>
        <v>6.2302006335797255</v>
      </c>
      <c r="I257" s="23">
        <f t="shared" si="235"/>
        <v>46.884899683210136</v>
      </c>
      <c r="J257" s="23">
        <f t="shared" si="236"/>
        <v>0.10559662090813093</v>
      </c>
      <c r="K257" s="18">
        <v>0</v>
      </c>
      <c r="L257" s="22">
        <f t="shared" si="74"/>
        <v>12.099999999999994</v>
      </c>
      <c r="M257" s="18">
        <v>74.2</v>
      </c>
      <c r="N257" s="18">
        <v>8.4</v>
      </c>
      <c r="O257" s="18">
        <v>5.3</v>
      </c>
      <c r="P257" s="18">
        <v>0.3</v>
      </c>
      <c r="Q257" s="18">
        <v>780</v>
      </c>
      <c r="R257" s="18" t="s">
        <v>51</v>
      </c>
      <c r="S257" s="53">
        <v>0</v>
      </c>
      <c r="T257" s="18">
        <v>18.3</v>
      </c>
      <c r="U257" s="21">
        <v>20.3</v>
      </c>
      <c r="V257" s="21">
        <v>13.8</v>
      </c>
      <c r="W257" s="18">
        <v>16.899999999999999</v>
      </c>
      <c r="X257" s="18">
        <v>4.4000000000000004</v>
      </c>
      <c r="Y257" s="49">
        <f t="shared" si="214"/>
        <v>44.6</v>
      </c>
      <c r="Z257" s="18">
        <f t="shared" si="76"/>
        <v>0.98039215686274506</v>
      </c>
      <c r="AA257" s="18">
        <v>28.78</v>
      </c>
      <c r="AB257" s="18">
        <v>38.9</v>
      </c>
      <c r="AC257" s="21">
        <f t="shared" si="77"/>
        <v>5220</v>
      </c>
      <c r="AD257" s="18" t="s">
        <v>51</v>
      </c>
      <c r="AF257" s="1"/>
      <c r="AG257" s="29">
        <v>1.02</v>
      </c>
      <c r="AH257" s="29">
        <v>5.22</v>
      </c>
      <c r="AO257" s="30">
        <f t="shared" ref="AO257:AS257" si="239">U257</f>
        <v>20.3</v>
      </c>
      <c r="AP257" s="30">
        <f t="shared" si="239"/>
        <v>13.8</v>
      </c>
      <c r="AQ257" s="30">
        <f t="shared" si="239"/>
        <v>16.899999999999999</v>
      </c>
      <c r="AR257" s="30">
        <f t="shared" si="239"/>
        <v>4.4000000000000004</v>
      </c>
      <c r="AS257" s="30">
        <f t="shared" si="239"/>
        <v>44.6</v>
      </c>
      <c r="AT257" s="31">
        <f t="shared" si="14"/>
        <v>100</v>
      </c>
      <c r="AV257" s="21">
        <f t="shared" si="86"/>
        <v>5220</v>
      </c>
    </row>
    <row r="258" spans="2:48" ht="15.75" customHeight="1" x14ac:dyDescent="0.25">
      <c r="B258" s="32"/>
      <c r="C258" s="18" t="s">
        <v>46</v>
      </c>
      <c r="D258" s="51"/>
      <c r="E258" s="18" t="s">
        <v>48</v>
      </c>
      <c r="F258" s="51"/>
      <c r="G258" s="23">
        <f t="shared" si="234"/>
        <v>46.779303062302006</v>
      </c>
      <c r="H258" s="23">
        <f t="shared" si="225"/>
        <v>6.2302006335797255</v>
      </c>
      <c r="I258" s="23">
        <f t="shared" si="235"/>
        <v>46.884899683210136</v>
      </c>
      <c r="J258" s="23">
        <f t="shared" si="236"/>
        <v>0.10559662090813093</v>
      </c>
      <c r="K258" s="18">
        <v>0</v>
      </c>
      <c r="L258" s="22">
        <f t="shared" si="74"/>
        <v>12.099999999999994</v>
      </c>
      <c r="M258" s="18">
        <v>74.2</v>
      </c>
      <c r="N258" s="18">
        <v>8.4</v>
      </c>
      <c r="O258" s="18">
        <v>5.3</v>
      </c>
      <c r="P258" s="18">
        <v>0.3</v>
      </c>
      <c r="Q258" s="18">
        <v>780</v>
      </c>
      <c r="R258" s="18" t="s">
        <v>51</v>
      </c>
      <c r="S258" s="53">
        <v>0</v>
      </c>
      <c r="T258" s="18">
        <v>18.3</v>
      </c>
      <c r="U258" s="21">
        <v>22.8</v>
      </c>
      <c r="V258" s="21">
        <v>11.7</v>
      </c>
      <c r="W258" s="18">
        <v>17.7</v>
      </c>
      <c r="X258" s="18">
        <v>4.0999999999999996</v>
      </c>
      <c r="Y258" s="49">
        <f t="shared" si="214"/>
        <v>43.699999999999996</v>
      </c>
      <c r="Z258" s="18">
        <f t="shared" si="76"/>
        <v>0.99009900990099009</v>
      </c>
      <c r="AA258" s="18">
        <v>35.700000000000003</v>
      </c>
      <c r="AB258" s="18">
        <v>36.770000000000003</v>
      </c>
      <c r="AC258" s="21">
        <f t="shared" si="77"/>
        <v>6540</v>
      </c>
      <c r="AD258" s="18" t="s">
        <v>51</v>
      </c>
      <c r="AF258" s="1"/>
      <c r="AG258" s="29">
        <v>1.01</v>
      </c>
      <c r="AH258" s="29">
        <v>6.54</v>
      </c>
      <c r="AO258" s="30">
        <f t="shared" ref="AO258:AS258" si="240">U258</f>
        <v>22.8</v>
      </c>
      <c r="AP258" s="30">
        <f t="shared" si="240"/>
        <v>11.7</v>
      </c>
      <c r="AQ258" s="30">
        <f t="shared" si="240"/>
        <v>17.7</v>
      </c>
      <c r="AR258" s="30">
        <f t="shared" si="240"/>
        <v>4.0999999999999996</v>
      </c>
      <c r="AS258" s="30">
        <f t="shared" si="240"/>
        <v>43.699999999999996</v>
      </c>
      <c r="AT258" s="31">
        <f t="shared" si="14"/>
        <v>100</v>
      </c>
      <c r="AV258" s="21">
        <f t="shared" si="86"/>
        <v>6540</v>
      </c>
    </row>
    <row r="259" spans="2:48" ht="15.75" customHeight="1" x14ac:dyDescent="0.25">
      <c r="B259" s="32"/>
      <c r="C259" s="18" t="s">
        <v>46</v>
      </c>
      <c r="D259" s="51"/>
      <c r="E259" s="18" t="s">
        <v>48</v>
      </c>
      <c r="F259" s="51"/>
      <c r="G259" s="23">
        <f t="shared" si="234"/>
        <v>46.779303062302006</v>
      </c>
      <c r="H259" s="23">
        <f t="shared" si="225"/>
        <v>6.2302006335797255</v>
      </c>
      <c r="I259" s="23">
        <f t="shared" si="235"/>
        <v>46.884899683210136</v>
      </c>
      <c r="J259" s="23">
        <f t="shared" si="236"/>
        <v>0.10559662090813093</v>
      </c>
      <c r="K259" s="18">
        <v>0</v>
      </c>
      <c r="L259" s="22">
        <f t="shared" si="74"/>
        <v>12.099999999999994</v>
      </c>
      <c r="M259" s="18">
        <v>74.2</v>
      </c>
      <c r="N259" s="18">
        <v>8.4</v>
      </c>
      <c r="O259" s="18">
        <v>5.3</v>
      </c>
      <c r="P259" s="18">
        <v>0.3</v>
      </c>
      <c r="Q259" s="18">
        <v>780</v>
      </c>
      <c r="R259" s="18" t="s">
        <v>51</v>
      </c>
      <c r="S259" s="53">
        <v>0</v>
      </c>
      <c r="T259" s="18">
        <v>18.3</v>
      </c>
      <c r="U259" s="21">
        <v>28.7</v>
      </c>
      <c r="V259" s="21">
        <v>16.7</v>
      </c>
      <c r="W259" s="18">
        <v>14.5</v>
      </c>
      <c r="X259" s="18">
        <v>2.02</v>
      </c>
      <c r="Y259" s="49">
        <f t="shared" si="214"/>
        <v>38.08</v>
      </c>
      <c r="Z259" s="18">
        <f t="shared" si="76"/>
        <v>0.87719298245614041</v>
      </c>
      <c r="AA259" s="18">
        <v>42.27</v>
      </c>
      <c r="AB259" s="18">
        <v>41.15</v>
      </c>
      <c r="AC259" s="21">
        <f t="shared" si="77"/>
        <v>6860</v>
      </c>
      <c r="AD259" s="18" t="s">
        <v>51</v>
      </c>
      <c r="AF259" s="1"/>
      <c r="AG259" s="29">
        <v>1.1399999999999999</v>
      </c>
      <c r="AH259" s="29">
        <v>6.86</v>
      </c>
      <c r="AO259" s="30">
        <f t="shared" ref="AO259:AS259" si="241">U259</f>
        <v>28.7</v>
      </c>
      <c r="AP259" s="30">
        <f t="shared" si="241"/>
        <v>16.7</v>
      </c>
      <c r="AQ259" s="30">
        <f t="shared" si="241"/>
        <v>14.5</v>
      </c>
      <c r="AR259" s="30">
        <f t="shared" si="241"/>
        <v>2.02</v>
      </c>
      <c r="AS259" s="30">
        <f t="shared" si="241"/>
        <v>38.08</v>
      </c>
      <c r="AT259" s="31">
        <f t="shared" ref="AT259:AT513" si="242">SUM(AO259:AS259)</f>
        <v>100</v>
      </c>
      <c r="AV259" s="21">
        <f t="shared" si="86"/>
        <v>6860</v>
      </c>
    </row>
    <row r="260" spans="2:48" ht="15.75" customHeight="1" x14ac:dyDescent="0.25">
      <c r="B260" s="32"/>
      <c r="C260" s="18" t="s">
        <v>46</v>
      </c>
      <c r="D260" s="51"/>
      <c r="E260" s="18" t="s">
        <v>48</v>
      </c>
      <c r="F260" s="51"/>
      <c r="G260" s="23">
        <f t="shared" si="234"/>
        <v>46.779303062302006</v>
      </c>
      <c r="H260" s="23">
        <f t="shared" si="225"/>
        <v>6.2302006335797255</v>
      </c>
      <c r="I260" s="23">
        <f t="shared" si="235"/>
        <v>46.884899683210136</v>
      </c>
      <c r="J260" s="23">
        <f t="shared" si="236"/>
        <v>0.10559662090813093</v>
      </c>
      <c r="K260" s="18">
        <v>0</v>
      </c>
      <c r="L260" s="22">
        <f t="shared" si="74"/>
        <v>12.099999999999994</v>
      </c>
      <c r="M260" s="18">
        <v>74.2</v>
      </c>
      <c r="N260" s="18">
        <v>8.4</v>
      </c>
      <c r="O260" s="18">
        <v>5.3</v>
      </c>
      <c r="P260" s="18">
        <v>0.3</v>
      </c>
      <c r="Q260" s="18">
        <v>780</v>
      </c>
      <c r="R260" s="18" t="s">
        <v>51</v>
      </c>
      <c r="S260" s="53">
        <v>0</v>
      </c>
      <c r="T260" s="18">
        <v>18.3</v>
      </c>
      <c r="U260" s="21">
        <v>30.3</v>
      </c>
      <c r="V260" s="21">
        <v>17.600000000000001</v>
      </c>
      <c r="W260" s="18">
        <v>14.3</v>
      </c>
      <c r="X260" s="18">
        <v>1.49</v>
      </c>
      <c r="Y260" s="49">
        <f t="shared" si="214"/>
        <v>36.309999999999995</v>
      </c>
      <c r="Z260" s="18">
        <f t="shared" si="76"/>
        <v>0.82644628099173556</v>
      </c>
      <c r="AA260" s="18">
        <v>42.12</v>
      </c>
      <c r="AB260" s="18">
        <v>43.9</v>
      </c>
      <c r="AC260" s="21">
        <f t="shared" si="77"/>
        <v>6440</v>
      </c>
      <c r="AD260" s="18" t="s">
        <v>51</v>
      </c>
      <c r="AF260" s="1"/>
      <c r="AG260" s="29">
        <v>1.21</v>
      </c>
      <c r="AH260" s="29">
        <v>6.44</v>
      </c>
      <c r="AO260" s="30">
        <f t="shared" ref="AO260:AS260" si="243">U260</f>
        <v>30.3</v>
      </c>
      <c r="AP260" s="30">
        <f t="shared" si="243"/>
        <v>17.600000000000001</v>
      </c>
      <c r="AQ260" s="30">
        <f t="shared" si="243"/>
        <v>14.3</v>
      </c>
      <c r="AR260" s="30">
        <f t="shared" si="243"/>
        <v>1.49</v>
      </c>
      <c r="AS260" s="30">
        <f t="shared" si="243"/>
        <v>36.309999999999995</v>
      </c>
      <c r="AT260" s="31">
        <f t="shared" si="242"/>
        <v>100</v>
      </c>
      <c r="AV260" s="21">
        <f t="shared" si="86"/>
        <v>6440</v>
      </c>
    </row>
    <row r="261" spans="2:48" ht="15.75" customHeight="1" x14ac:dyDescent="0.25">
      <c r="B261" s="32"/>
      <c r="C261" s="18" t="s">
        <v>46</v>
      </c>
      <c r="D261" s="51"/>
      <c r="E261" s="18" t="s">
        <v>48</v>
      </c>
      <c r="F261" s="51"/>
      <c r="G261" s="23">
        <f>35.78*100/(100-O261)</f>
        <v>44.458250497017893</v>
      </c>
      <c r="H261" s="23">
        <f>1.9*100/(100-O261)</f>
        <v>2.3608349900596419</v>
      </c>
      <c r="I261" s="23">
        <f>38.2*100/(100-O261)</f>
        <v>47.465208747514914</v>
      </c>
      <c r="J261" s="23">
        <f>4.6*100/(100-O261)</f>
        <v>5.715705765407554</v>
      </c>
      <c r="K261" s="18">
        <v>0</v>
      </c>
      <c r="L261" s="22">
        <f t="shared" si="74"/>
        <v>5.8500000000000085</v>
      </c>
      <c r="M261" s="18">
        <v>69.83</v>
      </c>
      <c r="N261" s="18">
        <v>4.8</v>
      </c>
      <c r="O261" s="18">
        <v>19.52</v>
      </c>
      <c r="P261" s="18">
        <v>0.3</v>
      </c>
      <c r="Q261" s="18">
        <v>650</v>
      </c>
      <c r="R261" s="18" t="s">
        <v>51</v>
      </c>
      <c r="S261" s="56">
        <v>0</v>
      </c>
      <c r="T261" s="18">
        <v>13.2</v>
      </c>
      <c r="U261" s="21">
        <v>2.7</v>
      </c>
      <c r="V261" s="21">
        <v>15.2</v>
      </c>
      <c r="W261" s="18">
        <v>9.3000000000000007</v>
      </c>
      <c r="X261" s="18">
        <v>3.1</v>
      </c>
      <c r="Y261" s="49">
        <f t="shared" si="214"/>
        <v>69.7</v>
      </c>
      <c r="Z261" s="18">
        <f t="shared" si="76"/>
        <v>0.52910052910052918</v>
      </c>
      <c r="AA261" s="18">
        <v>59</v>
      </c>
      <c r="AB261" s="18">
        <v>85</v>
      </c>
      <c r="AC261" s="21">
        <f t="shared" si="77"/>
        <v>5160</v>
      </c>
      <c r="AD261" s="18" t="s">
        <v>51</v>
      </c>
      <c r="AF261" s="1"/>
      <c r="AG261" s="29">
        <v>1.89</v>
      </c>
      <c r="AH261" s="29">
        <v>5.16</v>
      </c>
      <c r="AO261" s="30">
        <f t="shared" ref="AO261:AS261" si="244">U261</f>
        <v>2.7</v>
      </c>
      <c r="AP261" s="30">
        <f t="shared" si="244"/>
        <v>15.2</v>
      </c>
      <c r="AQ261" s="30">
        <f t="shared" si="244"/>
        <v>9.3000000000000007</v>
      </c>
      <c r="AR261" s="30">
        <f t="shared" si="244"/>
        <v>3.1</v>
      </c>
      <c r="AS261" s="30">
        <f t="shared" si="244"/>
        <v>69.7</v>
      </c>
      <c r="AT261" s="31">
        <f t="shared" si="242"/>
        <v>100</v>
      </c>
      <c r="AV261" s="21">
        <f t="shared" si="86"/>
        <v>5160</v>
      </c>
    </row>
    <row r="262" spans="2:48" ht="15.75" customHeight="1" x14ac:dyDescent="0.25">
      <c r="B262" s="32"/>
      <c r="C262" s="18" t="s">
        <v>46</v>
      </c>
      <c r="D262" s="51"/>
      <c r="E262" s="18" t="s">
        <v>48</v>
      </c>
      <c r="F262" s="51"/>
      <c r="G262" s="23">
        <f t="shared" ref="G262:G297" si="245">38.45*100/(100-O262)</f>
        <v>47.775844930417499</v>
      </c>
      <c r="H262" s="23">
        <f t="shared" ref="H262:H297" si="246">2.97*100/(100-O262)</f>
        <v>3.6903578528827037</v>
      </c>
      <c r="I262" s="23">
        <f t="shared" ref="I262:I297" si="247">38.5*100/(100-O262)</f>
        <v>47.837972166998007</v>
      </c>
      <c r="J262" s="23">
        <f t="shared" ref="J262:J297" si="248">0.49*100/(100-O262)</f>
        <v>0.60884691848906558</v>
      </c>
      <c r="K262" s="23">
        <f t="shared" ref="K262:K297" si="249">0.07*100/(100-O262)</f>
        <v>8.6978131212723658E-2</v>
      </c>
      <c r="L262" s="22">
        <f t="shared" si="74"/>
        <v>55.540000000000006</v>
      </c>
      <c r="M262" s="18">
        <v>14.99</v>
      </c>
      <c r="N262" s="18">
        <v>9.9499999999999993</v>
      </c>
      <c r="O262" s="18">
        <v>19.52</v>
      </c>
      <c r="P262" s="18">
        <v>0.25</v>
      </c>
      <c r="Q262" s="18">
        <v>650</v>
      </c>
      <c r="R262" s="18" t="s">
        <v>51</v>
      </c>
      <c r="S262" s="56">
        <v>0</v>
      </c>
      <c r="T262" s="18">
        <v>14.7</v>
      </c>
      <c r="U262" s="21">
        <v>18.71</v>
      </c>
      <c r="V262" s="21">
        <v>26.02</v>
      </c>
      <c r="W262" s="18">
        <v>13.91</v>
      </c>
      <c r="X262" s="18">
        <v>1.96</v>
      </c>
      <c r="Y262" s="49">
        <f t="shared" si="214"/>
        <v>39.4</v>
      </c>
      <c r="Z262" s="18">
        <f t="shared" si="76"/>
        <v>0.9174311926605504</v>
      </c>
      <c r="AA262" s="18">
        <v>49.28</v>
      </c>
      <c r="AB262" s="18">
        <v>71.510000000000005</v>
      </c>
      <c r="AC262" s="21">
        <f t="shared" si="77"/>
        <v>6380</v>
      </c>
      <c r="AD262" s="18" t="s">
        <v>51</v>
      </c>
      <c r="AF262" s="1"/>
      <c r="AG262" s="29">
        <v>1.0900000000000001</v>
      </c>
      <c r="AH262" s="29">
        <v>6.38</v>
      </c>
      <c r="AO262" s="30">
        <f t="shared" ref="AO262:AS262" si="250">U262</f>
        <v>18.71</v>
      </c>
      <c r="AP262" s="30">
        <f t="shared" si="250"/>
        <v>26.02</v>
      </c>
      <c r="AQ262" s="30">
        <f t="shared" si="250"/>
        <v>13.91</v>
      </c>
      <c r="AR262" s="30">
        <f t="shared" si="250"/>
        <v>1.96</v>
      </c>
      <c r="AS262" s="30">
        <f t="shared" si="250"/>
        <v>39.4</v>
      </c>
      <c r="AT262" s="31">
        <f t="shared" si="242"/>
        <v>100</v>
      </c>
      <c r="AV262" s="21">
        <f t="shared" si="86"/>
        <v>6380</v>
      </c>
    </row>
    <row r="263" spans="2:48" ht="15.75" customHeight="1" x14ac:dyDescent="0.25">
      <c r="B263" s="32"/>
      <c r="C263" s="18" t="s">
        <v>46</v>
      </c>
      <c r="D263" s="51"/>
      <c r="E263" s="18" t="s">
        <v>48</v>
      </c>
      <c r="F263" s="51"/>
      <c r="G263" s="23">
        <f t="shared" si="245"/>
        <v>47.775844930417499</v>
      </c>
      <c r="H263" s="23">
        <f t="shared" si="246"/>
        <v>3.6903578528827037</v>
      </c>
      <c r="I263" s="23">
        <f t="shared" si="247"/>
        <v>47.837972166998007</v>
      </c>
      <c r="J263" s="23">
        <f t="shared" si="248"/>
        <v>0.60884691848906558</v>
      </c>
      <c r="K263" s="23">
        <f t="shared" si="249"/>
        <v>8.6978131212723658E-2</v>
      </c>
      <c r="L263" s="22">
        <f t="shared" si="74"/>
        <v>55.540000000000006</v>
      </c>
      <c r="M263" s="18">
        <v>14.99</v>
      </c>
      <c r="N263" s="18">
        <v>9.9499999999999993</v>
      </c>
      <c r="O263" s="18">
        <v>19.52</v>
      </c>
      <c r="P263" s="18">
        <v>0.25</v>
      </c>
      <c r="Q263" s="18">
        <v>675</v>
      </c>
      <c r="R263" s="18" t="s">
        <v>51</v>
      </c>
      <c r="S263" s="56">
        <v>0</v>
      </c>
      <c r="T263" s="18">
        <v>14.7</v>
      </c>
      <c r="U263" s="21">
        <v>19.18</v>
      </c>
      <c r="V263" s="21">
        <v>27.03</v>
      </c>
      <c r="W263" s="18">
        <v>13.14</v>
      </c>
      <c r="X263" s="18">
        <v>1.53</v>
      </c>
      <c r="Y263" s="49">
        <f t="shared" si="214"/>
        <v>39.119999999999997</v>
      </c>
      <c r="Z263" s="18">
        <f t="shared" si="76"/>
        <v>0.89285714285714279</v>
      </c>
      <c r="AA263" s="18">
        <v>51.07</v>
      </c>
      <c r="AB263" s="18">
        <v>72.44</v>
      </c>
      <c r="AC263" s="21">
        <f t="shared" si="77"/>
        <v>6440</v>
      </c>
      <c r="AD263" s="18" t="s">
        <v>51</v>
      </c>
      <c r="AF263" s="1"/>
      <c r="AG263" s="29">
        <v>1.1200000000000001</v>
      </c>
      <c r="AH263" s="29">
        <v>6.44</v>
      </c>
      <c r="AO263" s="30">
        <f t="shared" ref="AO263:AS263" si="251">U263</f>
        <v>19.18</v>
      </c>
      <c r="AP263" s="30">
        <f t="shared" si="251"/>
        <v>27.03</v>
      </c>
      <c r="AQ263" s="30">
        <f t="shared" si="251"/>
        <v>13.14</v>
      </c>
      <c r="AR263" s="30">
        <f t="shared" si="251"/>
        <v>1.53</v>
      </c>
      <c r="AS263" s="30">
        <f t="shared" si="251"/>
        <v>39.119999999999997</v>
      </c>
      <c r="AT263" s="31">
        <f t="shared" si="242"/>
        <v>100</v>
      </c>
      <c r="AV263" s="21">
        <f t="shared" si="86"/>
        <v>6440</v>
      </c>
    </row>
    <row r="264" spans="2:48" ht="15.75" customHeight="1" x14ac:dyDescent="0.25">
      <c r="B264" s="32"/>
      <c r="C264" s="18" t="s">
        <v>46</v>
      </c>
      <c r="D264" s="51"/>
      <c r="E264" s="18" t="s">
        <v>48</v>
      </c>
      <c r="F264" s="51"/>
      <c r="G264" s="23">
        <f t="shared" si="245"/>
        <v>47.775844930417499</v>
      </c>
      <c r="H264" s="23">
        <f t="shared" si="246"/>
        <v>3.6903578528827037</v>
      </c>
      <c r="I264" s="23">
        <f t="shared" si="247"/>
        <v>47.837972166998007</v>
      </c>
      <c r="J264" s="23">
        <f t="shared" si="248"/>
        <v>0.60884691848906558</v>
      </c>
      <c r="K264" s="23">
        <f t="shared" si="249"/>
        <v>8.6978131212723658E-2</v>
      </c>
      <c r="L264" s="22">
        <f t="shared" si="74"/>
        <v>55.540000000000006</v>
      </c>
      <c r="M264" s="18">
        <v>14.99</v>
      </c>
      <c r="N264" s="18">
        <v>9.9499999999999993</v>
      </c>
      <c r="O264" s="18">
        <v>19.52</v>
      </c>
      <c r="P264" s="18">
        <v>0.25</v>
      </c>
      <c r="Q264" s="18">
        <v>700</v>
      </c>
      <c r="R264" s="18" t="s">
        <v>51</v>
      </c>
      <c r="S264" s="56">
        <v>0</v>
      </c>
      <c r="T264" s="18">
        <v>14.7</v>
      </c>
      <c r="U264" s="21">
        <v>19.489999999999998</v>
      </c>
      <c r="V264" s="21">
        <v>27.84</v>
      </c>
      <c r="W264" s="18">
        <v>12.47</v>
      </c>
      <c r="X264" s="18">
        <v>1.19</v>
      </c>
      <c r="Y264" s="49">
        <f t="shared" si="214"/>
        <v>39.010000000000005</v>
      </c>
      <c r="Z264" s="18">
        <f t="shared" si="76"/>
        <v>0.86206896551724144</v>
      </c>
      <c r="AA264" s="18">
        <v>53.09</v>
      </c>
      <c r="AB264" s="18">
        <v>74.069999999999993</v>
      </c>
      <c r="AC264" s="21">
        <f t="shared" si="77"/>
        <v>6460</v>
      </c>
      <c r="AD264" s="18" t="s">
        <v>51</v>
      </c>
      <c r="AF264" s="1"/>
      <c r="AG264" s="29">
        <v>1.1599999999999999</v>
      </c>
      <c r="AH264" s="29">
        <v>6.46</v>
      </c>
      <c r="AO264" s="30">
        <f t="shared" ref="AO264:AS264" si="252">U264</f>
        <v>19.489999999999998</v>
      </c>
      <c r="AP264" s="30">
        <f t="shared" si="252"/>
        <v>27.84</v>
      </c>
      <c r="AQ264" s="30">
        <f t="shared" si="252"/>
        <v>12.47</v>
      </c>
      <c r="AR264" s="30">
        <f t="shared" si="252"/>
        <v>1.19</v>
      </c>
      <c r="AS264" s="30">
        <f t="shared" si="252"/>
        <v>39.010000000000005</v>
      </c>
      <c r="AT264" s="31">
        <f t="shared" si="242"/>
        <v>100</v>
      </c>
      <c r="AV264" s="21">
        <f t="shared" si="86"/>
        <v>6460</v>
      </c>
    </row>
    <row r="265" spans="2:48" ht="15.75" customHeight="1" x14ac:dyDescent="0.25">
      <c r="B265" s="32"/>
      <c r="C265" s="18" t="s">
        <v>46</v>
      </c>
      <c r="D265" s="51"/>
      <c r="E265" s="18" t="s">
        <v>48</v>
      </c>
      <c r="F265" s="51"/>
      <c r="G265" s="23">
        <f t="shared" si="245"/>
        <v>47.775844930417499</v>
      </c>
      <c r="H265" s="23">
        <f t="shared" si="246"/>
        <v>3.6903578528827037</v>
      </c>
      <c r="I265" s="23">
        <f t="shared" si="247"/>
        <v>47.837972166998007</v>
      </c>
      <c r="J265" s="23">
        <f t="shared" si="248"/>
        <v>0.60884691848906558</v>
      </c>
      <c r="K265" s="23">
        <f t="shared" si="249"/>
        <v>8.6978131212723658E-2</v>
      </c>
      <c r="L265" s="22">
        <f t="shared" si="74"/>
        <v>55.540000000000006</v>
      </c>
      <c r="M265" s="18">
        <v>14.99</v>
      </c>
      <c r="N265" s="18">
        <v>9.9499999999999993</v>
      </c>
      <c r="O265" s="18">
        <v>19.52</v>
      </c>
      <c r="P265" s="18">
        <v>0.25</v>
      </c>
      <c r="Q265" s="18">
        <v>725</v>
      </c>
      <c r="R265" s="18" t="s">
        <v>51</v>
      </c>
      <c r="S265" s="56">
        <v>0</v>
      </c>
      <c r="T265" s="18">
        <v>14.7</v>
      </c>
      <c r="U265" s="21">
        <v>19.690000000000001</v>
      </c>
      <c r="V265" s="21">
        <v>28.56</v>
      </c>
      <c r="W265" s="18">
        <v>11.91</v>
      </c>
      <c r="X265" s="18">
        <v>0.92</v>
      </c>
      <c r="Y265" s="49">
        <f t="shared" si="214"/>
        <v>38.92</v>
      </c>
      <c r="Z265" s="18">
        <f t="shared" si="76"/>
        <v>0.84033613445378152</v>
      </c>
      <c r="AA265" s="18">
        <v>54.82</v>
      </c>
      <c r="AB265" s="18">
        <v>75.819999999999993</v>
      </c>
      <c r="AC265" s="21">
        <f t="shared" si="77"/>
        <v>6500</v>
      </c>
      <c r="AD265" s="18" t="s">
        <v>51</v>
      </c>
      <c r="AF265" s="1"/>
      <c r="AG265" s="29">
        <v>1.19</v>
      </c>
      <c r="AH265" s="29">
        <v>6.5</v>
      </c>
      <c r="AO265" s="30">
        <f t="shared" ref="AO265:AS265" si="253">U265</f>
        <v>19.690000000000001</v>
      </c>
      <c r="AP265" s="30">
        <f t="shared" si="253"/>
        <v>28.56</v>
      </c>
      <c r="AQ265" s="30">
        <f t="shared" si="253"/>
        <v>11.91</v>
      </c>
      <c r="AR265" s="30">
        <f t="shared" si="253"/>
        <v>0.92</v>
      </c>
      <c r="AS265" s="30">
        <f t="shared" si="253"/>
        <v>38.92</v>
      </c>
      <c r="AT265" s="31">
        <f t="shared" si="242"/>
        <v>100</v>
      </c>
      <c r="AV265" s="21">
        <f t="shared" si="86"/>
        <v>6500</v>
      </c>
    </row>
    <row r="266" spans="2:48" ht="15.75" customHeight="1" x14ac:dyDescent="0.25">
      <c r="B266" s="32"/>
      <c r="C266" s="18" t="s">
        <v>46</v>
      </c>
      <c r="D266" s="51"/>
      <c r="E266" s="18" t="s">
        <v>48</v>
      </c>
      <c r="F266" s="51"/>
      <c r="G266" s="23">
        <f t="shared" si="245"/>
        <v>47.775844930417499</v>
      </c>
      <c r="H266" s="23">
        <f t="shared" si="246"/>
        <v>3.6903578528827037</v>
      </c>
      <c r="I266" s="23">
        <f t="shared" si="247"/>
        <v>47.837972166998007</v>
      </c>
      <c r="J266" s="23">
        <f t="shared" si="248"/>
        <v>0.60884691848906558</v>
      </c>
      <c r="K266" s="23">
        <f t="shared" si="249"/>
        <v>8.6978131212723658E-2</v>
      </c>
      <c r="L266" s="22">
        <f t="shared" si="74"/>
        <v>55.540000000000006</v>
      </c>
      <c r="M266" s="18">
        <v>14.99</v>
      </c>
      <c r="N266" s="18">
        <v>9.9499999999999993</v>
      </c>
      <c r="O266" s="18">
        <v>19.52</v>
      </c>
      <c r="P266" s="18">
        <v>0.35</v>
      </c>
      <c r="Q266" s="18">
        <v>600</v>
      </c>
      <c r="R266" s="18" t="s">
        <v>51</v>
      </c>
      <c r="S266" s="56">
        <v>0</v>
      </c>
      <c r="T266" s="18">
        <v>14.7</v>
      </c>
      <c r="U266" s="21">
        <v>13.82</v>
      </c>
      <c r="V266" s="21">
        <v>16.149999999999999</v>
      </c>
      <c r="W266" s="18">
        <v>18.739999999999998</v>
      </c>
      <c r="X266" s="18">
        <v>2.3199999999999998</v>
      </c>
      <c r="Y266" s="49">
        <f t="shared" si="214"/>
        <v>48.970000000000006</v>
      </c>
      <c r="Z266" s="18">
        <f t="shared" si="76"/>
        <v>0.84745762711864414</v>
      </c>
      <c r="AA266" s="18">
        <v>42.84</v>
      </c>
      <c r="AB266" s="18">
        <v>73.430000000000007</v>
      </c>
      <c r="AC266" s="21">
        <f t="shared" si="77"/>
        <v>5130</v>
      </c>
      <c r="AD266" s="18" t="s">
        <v>51</v>
      </c>
      <c r="AF266" s="1"/>
      <c r="AG266" s="29">
        <v>1.18</v>
      </c>
      <c r="AH266" s="29">
        <v>5.13</v>
      </c>
      <c r="AO266" s="30">
        <f t="shared" ref="AO266:AS266" si="254">U266</f>
        <v>13.82</v>
      </c>
      <c r="AP266" s="30">
        <f t="shared" si="254"/>
        <v>16.149999999999999</v>
      </c>
      <c r="AQ266" s="30">
        <f t="shared" si="254"/>
        <v>18.739999999999998</v>
      </c>
      <c r="AR266" s="30">
        <f t="shared" si="254"/>
        <v>2.3199999999999998</v>
      </c>
      <c r="AS266" s="30">
        <f t="shared" si="254"/>
        <v>48.970000000000006</v>
      </c>
      <c r="AT266" s="31">
        <f t="shared" si="242"/>
        <v>100</v>
      </c>
      <c r="AV266" s="21">
        <f t="shared" si="86"/>
        <v>5130</v>
      </c>
    </row>
    <row r="267" spans="2:48" ht="15.75" customHeight="1" x14ac:dyDescent="0.25">
      <c r="B267" s="32"/>
      <c r="C267" s="18" t="s">
        <v>46</v>
      </c>
      <c r="D267" s="51"/>
      <c r="E267" s="18" t="s">
        <v>48</v>
      </c>
      <c r="F267" s="51"/>
      <c r="G267" s="23">
        <f t="shared" si="245"/>
        <v>47.775844930417499</v>
      </c>
      <c r="H267" s="23">
        <f t="shared" si="246"/>
        <v>3.6903578528827037</v>
      </c>
      <c r="I267" s="23">
        <f t="shared" si="247"/>
        <v>47.837972166998007</v>
      </c>
      <c r="J267" s="23">
        <f t="shared" si="248"/>
        <v>0.60884691848906558</v>
      </c>
      <c r="K267" s="23">
        <f t="shared" si="249"/>
        <v>8.6978131212723658E-2</v>
      </c>
      <c r="L267" s="22">
        <f t="shared" si="74"/>
        <v>55.540000000000006</v>
      </c>
      <c r="M267" s="18">
        <v>14.99</v>
      </c>
      <c r="N267" s="18">
        <v>9.9499999999999993</v>
      </c>
      <c r="O267" s="18">
        <v>19.52</v>
      </c>
      <c r="P267" s="18">
        <v>0.35</v>
      </c>
      <c r="Q267" s="18">
        <v>650</v>
      </c>
      <c r="R267" s="18" t="s">
        <v>51</v>
      </c>
      <c r="S267" s="56">
        <v>0</v>
      </c>
      <c r="T267" s="18">
        <v>14.7</v>
      </c>
      <c r="U267" s="21">
        <v>14.78</v>
      </c>
      <c r="V267" s="21">
        <v>18.46</v>
      </c>
      <c r="W267" s="18">
        <v>16.940000000000001</v>
      </c>
      <c r="X267" s="18">
        <v>1.39</v>
      </c>
      <c r="Y267" s="49">
        <f t="shared" si="214"/>
        <v>48.429999999999993</v>
      </c>
      <c r="Z267" s="18">
        <f t="shared" si="76"/>
        <v>0.8</v>
      </c>
      <c r="AA267" s="18">
        <v>46.94</v>
      </c>
      <c r="AB267" s="18">
        <v>77.77</v>
      </c>
      <c r="AC267" s="21">
        <f t="shared" si="77"/>
        <v>5190</v>
      </c>
      <c r="AD267" s="18" t="s">
        <v>51</v>
      </c>
      <c r="AF267" s="1"/>
      <c r="AG267" s="29">
        <v>1.25</v>
      </c>
      <c r="AH267" s="29">
        <v>5.19</v>
      </c>
      <c r="AO267" s="30">
        <f t="shared" ref="AO267:AS267" si="255">U267</f>
        <v>14.78</v>
      </c>
      <c r="AP267" s="30">
        <f t="shared" si="255"/>
        <v>18.46</v>
      </c>
      <c r="AQ267" s="30">
        <f t="shared" si="255"/>
        <v>16.940000000000001</v>
      </c>
      <c r="AR267" s="30">
        <f t="shared" si="255"/>
        <v>1.39</v>
      </c>
      <c r="AS267" s="30">
        <f t="shared" si="255"/>
        <v>48.429999999999993</v>
      </c>
      <c r="AT267" s="31">
        <f t="shared" si="242"/>
        <v>100</v>
      </c>
      <c r="AV267" s="21">
        <f t="shared" si="86"/>
        <v>5190</v>
      </c>
    </row>
    <row r="268" spans="2:48" ht="15.75" customHeight="1" x14ac:dyDescent="0.25">
      <c r="B268" s="32"/>
      <c r="C268" s="18" t="s">
        <v>46</v>
      </c>
      <c r="D268" s="51"/>
      <c r="E268" s="18" t="s">
        <v>48</v>
      </c>
      <c r="F268" s="51"/>
      <c r="G268" s="23">
        <f t="shared" si="245"/>
        <v>47.775844930417499</v>
      </c>
      <c r="H268" s="23">
        <f t="shared" si="246"/>
        <v>3.6903578528827037</v>
      </c>
      <c r="I268" s="23">
        <f t="shared" si="247"/>
        <v>47.837972166998007</v>
      </c>
      <c r="J268" s="23">
        <f t="shared" si="248"/>
        <v>0.60884691848906558</v>
      </c>
      <c r="K268" s="23">
        <f t="shared" si="249"/>
        <v>8.6978131212723658E-2</v>
      </c>
      <c r="L268" s="22">
        <f t="shared" si="74"/>
        <v>55.540000000000006</v>
      </c>
      <c r="M268" s="18">
        <v>14.99</v>
      </c>
      <c r="N268" s="18">
        <v>9.9499999999999993</v>
      </c>
      <c r="O268" s="18">
        <v>19.52</v>
      </c>
      <c r="P268" s="18">
        <v>0.35</v>
      </c>
      <c r="Q268" s="18">
        <v>700</v>
      </c>
      <c r="R268" s="18" t="s">
        <v>51</v>
      </c>
      <c r="S268" s="56">
        <v>0</v>
      </c>
      <c r="T268" s="18">
        <v>14.7</v>
      </c>
      <c r="U268" s="21">
        <v>15.18</v>
      </c>
      <c r="V268" s="21">
        <v>20.18</v>
      </c>
      <c r="W268" s="18">
        <v>15.62</v>
      </c>
      <c r="X268" s="18">
        <v>0.82</v>
      </c>
      <c r="Y268" s="49">
        <f t="shared" si="214"/>
        <v>48.2</v>
      </c>
      <c r="Z268" s="18">
        <f t="shared" si="76"/>
        <v>0.75757575757575757</v>
      </c>
      <c r="AA268" s="18">
        <v>48.94</v>
      </c>
      <c r="AB268" s="18">
        <v>82.68</v>
      </c>
      <c r="AC268" s="21">
        <f t="shared" si="77"/>
        <v>5240</v>
      </c>
      <c r="AD268" s="18" t="s">
        <v>51</v>
      </c>
      <c r="AF268" s="1"/>
      <c r="AG268" s="29">
        <v>1.32</v>
      </c>
      <c r="AH268" s="29">
        <v>5.24</v>
      </c>
      <c r="AO268" s="30">
        <f t="shared" ref="AO268:AS268" si="256">U268</f>
        <v>15.18</v>
      </c>
      <c r="AP268" s="30">
        <f t="shared" si="256"/>
        <v>20.18</v>
      </c>
      <c r="AQ268" s="30">
        <f t="shared" si="256"/>
        <v>15.62</v>
      </c>
      <c r="AR268" s="30">
        <f t="shared" si="256"/>
        <v>0.82</v>
      </c>
      <c r="AS268" s="30">
        <f t="shared" si="256"/>
        <v>48.2</v>
      </c>
      <c r="AT268" s="31">
        <f t="shared" si="242"/>
        <v>100</v>
      </c>
      <c r="AV268" s="21">
        <f t="shared" si="86"/>
        <v>5240</v>
      </c>
    </row>
    <row r="269" spans="2:48" ht="15.75" customHeight="1" x14ac:dyDescent="0.25">
      <c r="B269" s="32"/>
      <c r="C269" s="18" t="s">
        <v>46</v>
      </c>
      <c r="D269" s="51"/>
      <c r="E269" s="18" t="s">
        <v>48</v>
      </c>
      <c r="F269" s="51"/>
      <c r="G269" s="23">
        <f t="shared" si="245"/>
        <v>47.775844930417499</v>
      </c>
      <c r="H269" s="23">
        <f t="shared" si="246"/>
        <v>3.6903578528827037</v>
      </c>
      <c r="I269" s="23">
        <f t="shared" si="247"/>
        <v>47.837972166998007</v>
      </c>
      <c r="J269" s="23">
        <f t="shared" si="248"/>
        <v>0.60884691848906558</v>
      </c>
      <c r="K269" s="23">
        <f t="shared" si="249"/>
        <v>8.6978131212723658E-2</v>
      </c>
      <c r="L269" s="22">
        <f t="shared" si="74"/>
        <v>55.540000000000006</v>
      </c>
      <c r="M269" s="18">
        <v>14.99</v>
      </c>
      <c r="N269" s="18">
        <v>9.9499999999999993</v>
      </c>
      <c r="O269" s="18">
        <v>19.52</v>
      </c>
      <c r="P269" s="18">
        <v>0.35</v>
      </c>
      <c r="Q269" s="18">
        <v>725</v>
      </c>
      <c r="R269" s="18" t="s">
        <v>51</v>
      </c>
      <c r="S269" s="56">
        <v>0</v>
      </c>
      <c r="T269" s="18">
        <v>14.7</v>
      </c>
      <c r="U269" s="21">
        <v>15.24</v>
      </c>
      <c r="V269" s="21">
        <v>20.86</v>
      </c>
      <c r="W269" s="18">
        <v>15.1</v>
      </c>
      <c r="X269" s="18">
        <v>0.63</v>
      </c>
      <c r="Y269" s="49">
        <f t="shared" si="214"/>
        <v>48.169999999999995</v>
      </c>
      <c r="Z269" s="18">
        <f t="shared" si="76"/>
        <v>0.69930069930069938</v>
      </c>
      <c r="AA269" s="18">
        <v>53.24</v>
      </c>
      <c r="AB269" s="18">
        <v>83.91</v>
      </c>
      <c r="AC269" s="21">
        <f t="shared" si="77"/>
        <v>5260</v>
      </c>
      <c r="AD269" s="18" t="s">
        <v>51</v>
      </c>
      <c r="AF269" s="1"/>
      <c r="AG269" s="29">
        <v>1.43</v>
      </c>
      <c r="AH269" s="29">
        <v>5.26</v>
      </c>
      <c r="AO269" s="30">
        <f t="shared" ref="AO269:AS269" si="257">U269</f>
        <v>15.24</v>
      </c>
      <c r="AP269" s="30">
        <f t="shared" si="257"/>
        <v>20.86</v>
      </c>
      <c r="AQ269" s="30">
        <f t="shared" si="257"/>
        <v>15.1</v>
      </c>
      <c r="AR269" s="30">
        <f t="shared" si="257"/>
        <v>0.63</v>
      </c>
      <c r="AS269" s="30">
        <f t="shared" si="257"/>
        <v>48.169999999999995</v>
      </c>
      <c r="AT269" s="31">
        <f t="shared" si="242"/>
        <v>100</v>
      </c>
      <c r="AV269" s="21">
        <f t="shared" si="86"/>
        <v>5260</v>
      </c>
    </row>
    <row r="270" spans="2:48" ht="15.75" customHeight="1" x14ac:dyDescent="0.25">
      <c r="B270" s="32"/>
      <c r="C270" s="18" t="s">
        <v>46</v>
      </c>
      <c r="D270" s="51"/>
      <c r="E270" s="18" t="s">
        <v>48</v>
      </c>
      <c r="F270" s="51"/>
      <c r="G270" s="23">
        <f t="shared" si="245"/>
        <v>47.775844930417499</v>
      </c>
      <c r="H270" s="23">
        <f t="shared" si="246"/>
        <v>3.6903578528827037</v>
      </c>
      <c r="I270" s="23">
        <f t="shared" si="247"/>
        <v>47.837972166998007</v>
      </c>
      <c r="J270" s="23">
        <f t="shared" si="248"/>
        <v>0.60884691848906558</v>
      </c>
      <c r="K270" s="23">
        <f t="shared" si="249"/>
        <v>8.6978131212723658E-2</v>
      </c>
      <c r="L270" s="22">
        <f t="shared" si="74"/>
        <v>55.540000000000006</v>
      </c>
      <c r="M270" s="18">
        <v>14.99</v>
      </c>
      <c r="N270" s="18">
        <v>9.9499999999999993</v>
      </c>
      <c r="O270" s="18">
        <v>19.52</v>
      </c>
      <c r="P270" s="18">
        <v>0.35</v>
      </c>
      <c r="Q270" s="18">
        <v>750</v>
      </c>
      <c r="R270" s="18" t="s">
        <v>51</v>
      </c>
      <c r="S270" s="56">
        <v>0</v>
      </c>
      <c r="T270" s="18">
        <v>14.7</v>
      </c>
      <c r="U270" s="21">
        <v>15.22</v>
      </c>
      <c r="V270" s="21">
        <v>21.48</v>
      </c>
      <c r="W270" s="18">
        <v>14.64</v>
      </c>
      <c r="X270" s="18">
        <v>0.63</v>
      </c>
      <c r="Y270" s="49">
        <f t="shared" si="214"/>
        <v>48.029999999999994</v>
      </c>
      <c r="Z270" s="18">
        <f t="shared" si="76"/>
        <v>0.68493150684931503</v>
      </c>
      <c r="AA270" s="18">
        <v>54.62</v>
      </c>
      <c r="AB270" s="18">
        <v>85.43</v>
      </c>
      <c r="AC270" s="21">
        <f t="shared" si="77"/>
        <v>5280</v>
      </c>
      <c r="AD270" s="18" t="s">
        <v>51</v>
      </c>
      <c r="AF270" s="1"/>
      <c r="AG270" s="29">
        <v>1.46</v>
      </c>
      <c r="AH270" s="29">
        <v>5.28</v>
      </c>
      <c r="AO270" s="30">
        <f t="shared" ref="AO270:AS270" si="258">U270</f>
        <v>15.22</v>
      </c>
      <c r="AP270" s="30">
        <f t="shared" si="258"/>
        <v>21.48</v>
      </c>
      <c r="AQ270" s="30">
        <f t="shared" si="258"/>
        <v>14.64</v>
      </c>
      <c r="AR270" s="30">
        <f t="shared" si="258"/>
        <v>0.63</v>
      </c>
      <c r="AS270" s="30">
        <f t="shared" si="258"/>
        <v>48.029999999999994</v>
      </c>
      <c r="AT270" s="31">
        <f t="shared" si="242"/>
        <v>100</v>
      </c>
      <c r="AV270" s="21">
        <f t="shared" si="86"/>
        <v>5280</v>
      </c>
    </row>
    <row r="271" spans="2:48" ht="15.75" customHeight="1" x14ac:dyDescent="0.25">
      <c r="B271" s="32"/>
      <c r="C271" s="18" t="s">
        <v>46</v>
      </c>
      <c r="D271" s="51"/>
      <c r="E271" s="18" t="s">
        <v>48</v>
      </c>
      <c r="F271" s="51"/>
      <c r="G271" s="23">
        <f t="shared" si="245"/>
        <v>47.775844930417499</v>
      </c>
      <c r="H271" s="23">
        <f t="shared" si="246"/>
        <v>3.6903578528827037</v>
      </c>
      <c r="I271" s="23">
        <f t="shared" si="247"/>
        <v>47.837972166998007</v>
      </c>
      <c r="J271" s="23">
        <f t="shared" si="248"/>
        <v>0.60884691848906558</v>
      </c>
      <c r="K271" s="23">
        <f t="shared" si="249"/>
        <v>8.6978131212723658E-2</v>
      </c>
      <c r="L271" s="22">
        <f t="shared" si="74"/>
        <v>55.540000000000006</v>
      </c>
      <c r="M271" s="18">
        <v>14.99</v>
      </c>
      <c r="N271" s="18">
        <v>9.9499999999999993</v>
      </c>
      <c r="O271" s="18">
        <v>19.52</v>
      </c>
      <c r="P271" s="18">
        <v>0.45</v>
      </c>
      <c r="Q271" s="18">
        <v>600</v>
      </c>
      <c r="R271" s="18" t="s">
        <v>51</v>
      </c>
      <c r="S271" s="56">
        <v>0</v>
      </c>
      <c r="T271" s="18">
        <v>14.7</v>
      </c>
      <c r="U271" s="21">
        <v>9.89</v>
      </c>
      <c r="V271" s="21">
        <v>10.93</v>
      </c>
      <c r="W271" s="18">
        <v>21.56</v>
      </c>
      <c r="X271" s="18">
        <v>0.48</v>
      </c>
      <c r="Y271" s="49">
        <f t="shared" si="214"/>
        <v>57.140000000000008</v>
      </c>
      <c r="Z271" s="18">
        <f t="shared" si="76"/>
        <v>0.75757575757575757</v>
      </c>
      <c r="AA271" s="18">
        <v>33</v>
      </c>
      <c r="AB271" s="18">
        <v>75.459999999999994</v>
      </c>
      <c r="AC271" s="21">
        <f t="shared" si="77"/>
        <v>3530</v>
      </c>
      <c r="AD271" s="18" t="s">
        <v>51</v>
      </c>
      <c r="AF271" s="1"/>
      <c r="AG271" s="29">
        <v>1.32</v>
      </c>
      <c r="AH271" s="29">
        <v>3.53</v>
      </c>
      <c r="AO271" s="30">
        <f t="shared" ref="AO271:AS271" si="259">U271</f>
        <v>9.89</v>
      </c>
      <c r="AP271" s="30">
        <f t="shared" si="259"/>
        <v>10.93</v>
      </c>
      <c r="AQ271" s="30">
        <f t="shared" si="259"/>
        <v>21.56</v>
      </c>
      <c r="AR271" s="30">
        <f t="shared" si="259"/>
        <v>0.48</v>
      </c>
      <c r="AS271" s="30">
        <f t="shared" si="259"/>
        <v>57.140000000000008</v>
      </c>
      <c r="AT271" s="31">
        <f t="shared" si="242"/>
        <v>100</v>
      </c>
      <c r="AV271" s="21">
        <f t="shared" si="86"/>
        <v>3530</v>
      </c>
    </row>
    <row r="272" spans="2:48" ht="15.75" customHeight="1" x14ac:dyDescent="0.25">
      <c r="B272" s="32"/>
      <c r="C272" s="18" t="s">
        <v>46</v>
      </c>
      <c r="D272" s="51"/>
      <c r="E272" s="18" t="s">
        <v>48</v>
      </c>
      <c r="F272" s="51"/>
      <c r="G272" s="23">
        <f t="shared" si="245"/>
        <v>47.775844930417499</v>
      </c>
      <c r="H272" s="23">
        <f t="shared" si="246"/>
        <v>3.6903578528827037</v>
      </c>
      <c r="I272" s="23">
        <f t="shared" si="247"/>
        <v>47.837972166998007</v>
      </c>
      <c r="J272" s="23">
        <f t="shared" si="248"/>
        <v>0.60884691848906558</v>
      </c>
      <c r="K272" s="23">
        <f t="shared" si="249"/>
        <v>8.6978131212723658E-2</v>
      </c>
      <c r="L272" s="22">
        <f t="shared" si="74"/>
        <v>55.540000000000006</v>
      </c>
      <c r="M272" s="18">
        <v>14.99</v>
      </c>
      <c r="N272" s="18">
        <v>9.9499999999999993</v>
      </c>
      <c r="O272" s="18">
        <v>19.52</v>
      </c>
      <c r="P272" s="18">
        <v>0.45</v>
      </c>
      <c r="Q272" s="18">
        <v>650</v>
      </c>
      <c r="R272" s="18" t="s">
        <v>51</v>
      </c>
      <c r="S272" s="56">
        <v>0</v>
      </c>
      <c r="T272" s="18">
        <v>14.7</v>
      </c>
      <c r="U272" s="21">
        <v>10.47</v>
      </c>
      <c r="V272" s="21">
        <v>12.88</v>
      </c>
      <c r="W272" s="18">
        <v>20.059999999999999</v>
      </c>
      <c r="X272" s="18">
        <v>1.62</v>
      </c>
      <c r="Y272" s="49">
        <f t="shared" si="214"/>
        <v>54.970000000000006</v>
      </c>
      <c r="Z272" s="18">
        <f t="shared" si="76"/>
        <v>0.71942446043165476</v>
      </c>
      <c r="AA272" s="18">
        <v>35.58</v>
      </c>
      <c r="AB272" s="18">
        <v>80.2</v>
      </c>
      <c r="AC272" s="21">
        <f t="shared" si="77"/>
        <v>3610</v>
      </c>
      <c r="AD272" s="18" t="s">
        <v>51</v>
      </c>
      <c r="AF272" s="1"/>
      <c r="AG272" s="29">
        <v>1.39</v>
      </c>
      <c r="AH272" s="29">
        <v>3.61</v>
      </c>
      <c r="AO272" s="30">
        <f t="shared" ref="AO272:AS272" si="260">U272</f>
        <v>10.47</v>
      </c>
      <c r="AP272" s="30">
        <f t="shared" si="260"/>
        <v>12.88</v>
      </c>
      <c r="AQ272" s="30">
        <f t="shared" si="260"/>
        <v>20.059999999999999</v>
      </c>
      <c r="AR272" s="30">
        <f t="shared" si="260"/>
        <v>1.62</v>
      </c>
      <c r="AS272" s="30">
        <f t="shared" si="260"/>
        <v>54.970000000000006</v>
      </c>
      <c r="AT272" s="31">
        <f t="shared" si="242"/>
        <v>100</v>
      </c>
      <c r="AV272" s="21">
        <f t="shared" si="86"/>
        <v>3610</v>
      </c>
    </row>
    <row r="273" spans="2:48" ht="15.75" customHeight="1" x14ac:dyDescent="0.25">
      <c r="B273" s="32"/>
      <c r="C273" s="18" t="s">
        <v>46</v>
      </c>
      <c r="D273" s="51"/>
      <c r="E273" s="18" t="s">
        <v>48</v>
      </c>
      <c r="F273" s="51"/>
      <c r="G273" s="23">
        <f t="shared" si="245"/>
        <v>47.775844930417499</v>
      </c>
      <c r="H273" s="23">
        <f t="shared" si="246"/>
        <v>3.6903578528827037</v>
      </c>
      <c r="I273" s="23">
        <f t="shared" si="247"/>
        <v>47.837972166998007</v>
      </c>
      <c r="J273" s="23">
        <f t="shared" si="248"/>
        <v>0.60884691848906558</v>
      </c>
      <c r="K273" s="23">
        <f t="shared" si="249"/>
        <v>8.6978131212723658E-2</v>
      </c>
      <c r="L273" s="22">
        <f t="shared" si="74"/>
        <v>55.540000000000006</v>
      </c>
      <c r="M273" s="18">
        <v>14.99</v>
      </c>
      <c r="N273" s="18">
        <v>9.9499999999999993</v>
      </c>
      <c r="O273" s="18">
        <v>19.52</v>
      </c>
      <c r="P273" s="18">
        <v>0.45</v>
      </c>
      <c r="Q273" s="18">
        <v>700</v>
      </c>
      <c r="R273" s="18" t="s">
        <v>51</v>
      </c>
      <c r="S273" s="56">
        <v>0</v>
      </c>
      <c r="T273" s="18">
        <v>14.7</v>
      </c>
      <c r="U273" s="21">
        <v>11.1</v>
      </c>
      <c r="V273" s="21">
        <v>14.35</v>
      </c>
      <c r="W273" s="18">
        <v>18.46</v>
      </c>
      <c r="X273" s="18">
        <v>0.94</v>
      </c>
      <c r="Y273" s="49">
        <f t="shared" si="214"/>
        <v>55.150000000000006</v>
      </c>
      <c r="Z273" s="18">
        <f t="shared" si="76"/>
        <v>0.69444444444444442</v>
      </c>
      <c r="AA273" s="18">
        <v>37.65</v>
      </c>
      <c r="AB273" s="18">
        <v>84.17</v>
      </c>
      <c r="AC273" s="21">
        <f t="shared" si="77"/>
        <v>3690</v>
      </c>
      <c r="AD273" s="18" t="s">
        <v>51</v>
      </c>
      <c r="AF273" s="1"/>
      <c r="AG273" s="29">
        <v>1.44</v>
      </c>
      <c r="AH273" s="29">
        <v>3.69</v>
      </c>
      <c r="AO273" s="30">
        <f t="shared" ref="AO273:AS273" si="261">U273</f>
        <v>11.1</v>
      </c>
      <c r="AP273" s="30">
        <f t="shared" si="261"/>
        <v>14.35</v>
      </c>
      <c r="AQ273" s="30">
        <f t="shared" si="261"/>
        <v>18.46</v>
      </c>
      <c r="AR273" s="30">
        <f t="shared" si="261"/>
        <v>0.94</v>
      </c>
      <c r="AS273" s="30">
        <f t="shared" si="261"/>
        <v>55.150000000000006</v>
      </c>
      <c r="AT273" s="31">
        <f t="shared" si="242"/>
        <v>100</v>
      </c>
      <c r="AV273" s="21">
        <f t="shared" si="86"/>
        <v>3690</v>
      </c>
    </row>
    <row r="274" spans="2:48" ht="15.75" customHeight="1" x14ac:dyDescent="0.25">
      <c r="B274" s="32"/>
      <c r="C274" s="18" t="s">
        <v>46</v>
      </c>
      <c r="D274" s="51"/>
      <c r="E274" s="18" t="s">
        <v>48</v>
      </c>
      <c r="F274" s="51"/>
      <c r="G274" s="23">
        <f t="shared" si="245"/>
        <v>47.775844930417499</v>
      </c>
      <c r="H274" s="23">
        <f t="shared" si="246"/>
        <v>3.6903578528827037</v>
      </c>
      <c r="I274" s="23">
        <f t="shared" si="247"/>
        <v>47.837972166998007</v>
      </c>
      <c r="J274" s="23">
        <f t="shared" si="248"/>
        <v>0.60884691848906558</v>
      </c>
      <c r="K274" s="23">
        <f t="shared" si="249"/>
        <v>8.6978131212723658E-2</v>
      </c>
      <c r="L274" s="22">
        <f t="shared" si="74"/>
        <v>55.540000000000006</v>
      </c>
      <c r="M274" s="18">
        <v>14.99</v>
      </c>
      <c r="N274" s="18">
        <v>9.9499999999999993</v>
      </c>
      <c r="O274" s="18">
        <v>19.52</v>
      </c>
      <c r="P274" s="18">
        <v>0.45</v>
      </c>
      <c r="Q274" s="18">
        <v>725</v>
      </c>
      <c r="R274" s="18" t="s">
        <v>51</v>
      </c>
      <c r="S274" s="56">
        <v>0</v>
      </c>
      <c r="T274" s="18">
        <v>14.7</v>
      </c>
      <c r="U274" s="21">
        <v>11.54</v>
      </c>
      <c r="V274" s="21">
        <v>14.95</v>
      </c>
      <c r="W274" s="18">
        <v>17.510000000000002</v>
      </c>
      <c r="X274" s="18">
        <v>0.53</v>
      </c>
      <c r="Y274" s="49">
        <f t="shared" si="214"/>
        <v>55.47</v>
      </c>
      <c r="Z274" s="18">
        <f t="shared" si="76"/>
        <v>0.67567567567567566</v>
      </c>
      <c r="AA274" s="18">
        <v>39.479999999999997</v>
      </c>
      <c r="AB274" s="18">
        <v>88.57</v>
      </c>
      <c r="AC274" s="21">
        <f t="shared" si="77"/>
        <v>3770</v>
      </c>
      <c r="AD274" s="18" t="s">
        <v>51</v>
      </c>
      <c r="AF274" s="1"/>
      <c r="AG274" s="29">
        <v>1.48</v>
      </c>
      <c r="AH274" s="29">
        <v>3.77</v>
      </c>
      <c r="AO274" s="30">
        <f t="shared" ref="AO274:AS274" si="262">U274</f>
        <v>11.54</v>
      </c>
      <c r="AP274" s="30">
        <f t="shared" si="262"/>
        <v>14.95</v>
      </c>
      <c r="AQ274" s="30">
        <f t="shared" si="262"/>
        <v>17.510000000000002</v>
      </c>
      <c r="AR274" s="30">
        <f t="shared" si="262"/>
        <v>0.53</v>
      </c>
      <c r="AS274" s="30">
        <f t="shared" si="262"/>
        <v>55.47</v>
      </c>
      <c r="AT274" s="31">
        <f t="shared" si="242"/>
        <v>100</v>
      </c>
      <c r="AV274" s="21">
        <f t="shared" si="86"/>
        <v>3770</v>
      </c>
    </row>
    <row r="275" spans="2:48" ht="15.75" customHeight="1" x14ac:dyDescent="0.25">
      <c r="B275" s="32"/>
      <c r="C275" s="18" t="s">
        <v>46</v>
      </c>
      <c r="D275" s="51"/>
      <c r="E275" s="18" t="s">
        <v>48</v>
      </c>
      <c r="F275" s="51"/>
      <c r="G275" s="23">
        <f t="shared" si="245"/>
        <v>47.775844930417499</v>
      </c>
      <c r="H275" s="23">
        <f t="shared" si="246"/>
        <v>3.6903578528827037</v>
      </c>
      <c r="I275" s="23">
        <f t="shared" si="247"/>
        <v>47.837972166998007</v>
      </c>
      <c r="J275" s="23">
        <f t="shared" si="248"/>
        <v>0.60884691848906558</v>
      </c>
      <c r="K275" s="23">
        <f t="shared" si="249"/>
        <v>8.6978131212723658E-2</v>
      </c>
      <c r="L275" s="22">
        <f t="shared" si="74"/>
        <v>55.540000000000006</v>
      </c>
      <c r="M275" s="18">
        <v>14.99</v>
      </c>
      <c r="N275" s="18">
        <v>9.9499999999999993</v>
      </c>
      <c r="O275" s="18">
        <v>19.52</v>
      </c>
      <c r="P275" s="18">
        <v>0.45</v>
      </c>
      <c r="Q275" s="18">
        <v>800</v>
      </c>
      <c r="R275" s="18" t="s">
        <v>51</v>
      </c>
      <c r="S275" s="56">
        <v>0</v>
      </c>
      <c r="T275" s="18">
        <v>14.7</v>
      </c>
      <c r="U275" s="21">
        <v>11.14</v>
      </c>
      <c r="V275" s="21">
        <v>16.39</v>
      </c>
      <c r="W275" s="18">
        <v>16.440000000000001</v>
      </c>
      <c r="X275" s="18">
        <v>0.4</v>
      </c>
      <c r="Y275" s="49">
        <f t="shared" si="214"/>
        <v>55.63</v>
      </c>
      <c r="Z275" s="18">
        <f t="shared" si="76"/>
        <v>0.65789473684210531</v>
      </c>
      <c r="AA275" s="18">
        <v>41.55</v>
      </c>
      <c r="AB275" s="18">
        <v>92.83</v>
      </c>
      <c r="AC275" s="21">
        <f t="shared" si="77"/>
        <v>3860</v>
      </c>
      <c r="AD275" s="18" t="s">
        <v>51</v>
      </c>
      <c r="AF275" s="1"/>
      <c r="AG275" s="29">
        <v>1.52</v>
      </c>
      <c r="AH275" s="29">
        <v>3.86</v>
      </c>
      <c r="AO275" s="30">
        <f t="shared" ref="AO275:AS275" si="263">U275</f>
        <v>11.14</v>
      </c>
      <c r="AP275" s="30">
        <f t="shared" si="263"/>
        <v>16.39</v>
      </c>
      <c r="AQ275" s="30">
        <f t="shared" si="263"/>
        <v>16.440000000000001</v>
      </c>
      <c r="AR275" s="30">
        <f t="shared" si="263"/>
        <v>0.4</v>
      </c>
      <c r="AS275" s="30">
        <f t="shared" si="263"/>
        <v>55.63</v>
      </c>
      <c r="AT275" s="31">
        <f t="shared" si="242"/>
        <v>100</v>
      </c>
      <c r="AV275" s="21">
        <f t="shared" si="86"/>
        <v>3860</v>
      </c>
    </row>
    <row r="276" spans="2:48" ht="15.75" customHeight="1" x14ac:dyDescent="0.25">
      <c r="B276" s="32"/>
      <c r="C276" s="18" t="s">
        <v>46</v>
      </c>
      <c r="D276" s="51"/>
      <c r="E276" s="18" t="s">
        <v>48</v>
      </c>
      <c r="F276" s="51"/>
      <c r="G276" s="23">
        <f t="shared" si="245"/>
        <v>47.775844930417499</v>
      </c>
      <c r="H276" s="23">
        <f t="shared" si="246"/>
        <v>3.6903578528827037</v>
      </c>
      <c r="I276" s="23">
        <f t="shared" si="247"/>
        <v>47.837972166998007</v>
      </c>
      <c r="J276" s="23">
        <f t="shared" si="248"/>
        <v>0.60884691848906558</v>
      </c>
      <c r="K276" s="23">
        <f t="shared" si="249"/>
        <v>8.6978131212723658E-2</v>
      </c>
      <c r="L276" s="22">
        <f t="shared" si="74"/>
        <v>55.540000000000006</v>
      </c>
      <c r="M276" s="18">
        <v>14.99</v>
      </c>
      <c r="N276" s="18">
        <v>9.9499999999999993</v>
      </c>
      <c r="O276" s="18">
        <v>19.52</v>
      </c>
      <c r="P276" s="18">
        <v>0.25</v>
      </c>
      <c r="Q276" s="18">
        <v>650</v>
      </c>
      <c r="R276" s="18" t="s">
        <v>51</v>
      </c>
      <c r="S276" s="56">
        <v>0</v>
      </c>
      <c r="T276" s="18">
        <v>14.7</v>
      </c>
      <c r="U276" s="21">
        <v>17.22</v>
      </c>
      <c r="V276" s="21">
        <v>24.84</v>
      </c>
      <c r="W276" s="18">
        <v>40.4</v>
      </c>
      <c r="X276" s="18">
        <v>0.17</v>
      </c>
      <c r="Y276" s="27">
        <f t="shared" ref="Y276:Y297" si="264">(AK276/AM276)*100</f>
        <v>34.653459654525186</v>
      </c>
      <c r="Z276" s="18">
        <f t="shared" si="76"/>
        <v>0.9174311926605504</v>
      </c>
      <c r="AA276" s="18">
        <v>49.28</v>
      </c>
      <c r="AB276" s="18">
        <v>71.510000000000005</v>
      </c>
      <c r="AC276" s="21">
        <f t="shared" si="77"/>
        <v>6380</v>
      </c>
      <c r="AD276" s="18" t="s">
        <v>51</v>
      </c>
      <c r="AF276" s="1"/>
      <c r="AG276" s="29">
        <v>1.0900000000000001</v>
      </c>
      <c r="AH276" s="29">
        <v>6.38</v>
      </c>
      <c r="AK276" s="1">
        <f t="shared" ref="AK276:AK297" si="265">0.79*((P276*(((G276/12)+(H276/4))-((I276/16)/2)))/0.21)+(J276/14)/2</f>
        <v>3.2278027026334066</v>
      </c>
      <c r="AL276" s="29">
        <f t="shared" ref="AL276:AL297" si="266">(100*G276)/(12*(V276+W276+X276))</f>
        <v>6.0867151977803466</v>
      </c>
      <c r="AM276" s="29">
        <f t="shared" ref="AM276:AM297" si="267">AL276+AK276</f>
        <v>9.3145179004137528</v>
      </c>
      <c r="AO276" s="30">
        <f t="shared" ref="AO276:AO297" si="268">((AL276*(U276/100))/AM276)*100</f>
        <v>11.252674247490763</v>
      </c>
      <c r="AP276" s="30">
        <f t="shared" ref="AP276:AP297" si="269">((AL276*(V276/100))/AM276)*100</f>
        <v>16.232080621815946</v>
      </c>
      <c r="AQ276" s="30">
        <f t="shared" ref="AQ276:AQ297" si="270">((AL276*(W276/100))/AM276)*100</f>
        <v>26.400002299571824</v>
      </c>
      <c r="AR276" s="30">
        <f t="shared" ref="AR276:AR297" si="271">((AL276*(X276/100))/AM276)*100</f>
        <v>0.11108911858730719</v>
      </c>
      <c r="AS276" s="30">
        <f t="shared" ref="AS276:AS297" si="272">Y276</f>
        <v>34.653459654525186</v>
      </c>
      <c r="AT276" s="31">
        <f t="shared" si="242"/>
        <v>88.649305941991031</v>
      </c>
      <c r="AV276" s="21">
        <f t="shared" si="86"/>
        <v>6380</v>
      </c>
    </row>
    <row r="277" spans="2:48" ht="15.75" customHeight="1" x14ac:dyDescent="0.25">
      <c r="B277" s="32"/>
      <c r="C277" s="18" t="s">
        <v>46</v>
      </c>
      <c r="D277" s="51"/>
      <c r="E277" s="18" t="s">
        <v>48</v>
      </c>
      <c r="F277" s="51"/>
      <c r="G277" s="23">
        <f t="shared" si="245"/>
        <v>47.775844930417499</v>
      </c>
      <c r="H277" s="23">
        <f t="shared" si="246"/>
        <v>3.6903578528827037</v>
      </c>
      <c r="I277" s="23">
        <f t="shared" si="247"/>
        <v>47.837972166998007</v>
      </c>
      <c r="J277" s="23">
        <f t="shared" si="248"/>
        <v>0.60884691848906558</v>
      </c>
      <c r="K277" s="23">
        <f t="shared" si="249"/>
        <v>8.6978131212723658E-2</v>
      </c>
      <c r="L277" s="22">
        <f t="shared" si="74"/>
        <v>55.540000000000006</v>
      </c>
      <c r="M277" s="18">
        <v>14.99</v>
      </c>
      <c r="N277" s="18">
        <v>9.9499999999999993</v>
      </c>
      <c r="O277" s="18">
        <v>19.52</v>
      </c>
      <c r="P277" s="18">
        <v>0.25</v>
      </c>
      <c r="Q277" s="18">
        <v>675</v>
      </c>
      <c r="R277" s="18" t="s">
        <v>51</v>
      </c>
      <c r="S277" s="56">
        <v>0</v>
      </c>
      <c r="T277" s="18">
        <v>14.7</v>
      </c>
      <c r="U277" s="21">
        <v>17.93</v>
      </c>
      <c r="V277" s="21">
        <v>25.04</v>
      </c>
      <c r="W277" s="18">
        <v>40.29</v>
      </c>
      <c r="X277" s="18">
        <v>2.46</v>
      </c>
      <c r="Y277" s="27">
        <f t="shared" si="264"/>
        <v>35.467152016049141</v>
      </c>
      <c r="Z277" s="18">
        <f t="shared" si="76"/>
        <v>0.89285714285714279</v>
      </c>
      <c r="AA277" s="18">
        <v>51.07</v>
      </c>
      <c r="AB277" s="18">
        <v>72.44</v>
      </c>
      <c r="AC277" s="21">
        <f t="shared" si="77"/>
        <v>6440</v>
      </c>
      <c r="AD277" s="18" t="s">
        <v>51</v>
      </c>
      <c r="AF277" s="1"/>
      <c r="AG277" s="29">
        <v>1.1200000000000001</v>
      </c>
      <c r="AH277" s="29">
        <v>6.44</v>
      </c>
      <c r="AK277" s="1">
        <f t="shared" si="265"/>
        <v>3.2278027026334066</v>
      </c>
      <c r="AL277" s="29">
        <f t="shared" si="266"/>
        <v>5.8730202255024713</v>
      </c>
      <c r="AM277" s="29">
        <f t="shared" si="267"/>
        <v>9.1008229281358783</v>
      </c>
      <c r="AO277" s="30">
        <f t="shared" si="268"/>
        <v>11.570739643522387</v>
      </c>
      <c r="AP277" s="30">
        <f t="shared" si="269"/>
        <v>16.159025135181292</v>
      </c>
      <c r="AQ277" s="30">
        <f t="shared" si="270"/>
        <v>26.000284452733798</v>
      </c>
      <c r="AR277" s="30">
        <f t="shared" si="271"/>
        <v>1.5875080604051912</v>
      </c>
      <c r="AS277" s="30">
        <f t="shared" si="272"/>
        <v>35.467152016049141</v>
      </c>
      <c r="AT277" s="31">
        <f t="shared" si="242"/>
        <v>90.784709307891802</v>
      </c>
      <c r="AV277" s="21">
        <f t="shared" si="86"/>
        <v>6440</v>
      </c>
    </row>
    <row r="278" spans="2:48" ht="15.75" customHeight="1" x14ac:dyDescent="0.25">
      <c r="B278" s="32"/>
      <c r="C278" s="18" t="s">
        <v>46</v>
      </c>
      <c r="D278" s="51"/>
      <c r="E278" s="18" t="s">
        <v>48</v>
      </c>
      <c r="F278" s="51"/>
      <c r="G278" s="23">
        <f t="shared" si="245"/>
        <v>47.775844930417499</v>
      </c>
      <c r="H278" s="23">
        <f t="shared" si="246"/>
        <v>3.6903578528827037</v>
      </c>
      <c r="I278" s="23">
        <f t="shared" si="247"/>
        <v>47.837972166998007</v>
      </c>
      <c r="J278" s="23">
        <f t="shared" si="248"/>
        <v>0.60884691848906558</v>
      </c>
      <c r="K278" s="23">
        <f t="shared" si="249"/>
        <v>8.6978131212723658E-2</v>
      </c>
      <c r="L278" s="22">
        <f t="shared" si="74"/>
        <v>55.540000000000006</v>
      </c>
      <c r="M278" s="18">
        <v>14.99</v>
      </c>
      <c r="N278" s="18">
        <v>9.9499999999999993</v>
      </c>
      <c r="O278" s="18">
        <v>19.52</v>
      </c>
      <c r="P278" s="18">
        <v>0.25</v>
      </c>
      <c r="Q278" s="18">
        <v>700</v>
      </c>
      <c r="R278" s="18" t="s">
        <v>51</v>
      </c>
      <c r="S278" s="56">
        <v>0</v>
      </c>
      <c r="T278" s="18">
        <v>14.7</v>
      </c>
      <c r="U278" s="21">
        <v>18.12</v>
      </c>
      <c r="V278" s="21">
        <v>25.31</v>
      </c>
      <c r="W278" s="18">
        <v>40.630000000000003</v>
      </c>
      <c r="X278" s="18">
        <v>2.38</v>
      </c>
      <c r="Y278" s="27">
        <f t="shared" si="264"/>
        <v>35.645601291488738</v>
      </c>
      <c r="Z278" s="18">
        <f t="shared" si="76"/>
        <v>0.86206896551724144</v>
      </c>
      <c r="AA278" s="18">
        <v>53.09</v>
      </c>
      <c r="AB278" s="18">
        <v>74.069999999999993</v>
      </c>
      <c r="AC278" s="21">
        <f t="shared" si="77"/>
        <v>6460</v>
      </c>
      <c r="AD278" s="18" t="s">
        <v>51</v>
      </c>
      <c r="AF278" s="1"/>
      <c r="AG278" s="29">
        <v>1.1599999999999999</v>
      </c>
      <c r="AH278" s="29">
        <v>6.46</v>
      </c>
      <c r="AK278" s="1">
        <f t="shared" si="265"/>
        <v>3.2278027026334066</v>
      </c>
      <c r="AL278" s="29">
        <f t="shared" si="266"/>
        <v>5.8274596177812139</v>
      </c>
      <c r="AM278" s="29">
        <f t="shared" si="267"/>
        <v>9.0552623204146201</v>
      </c>
      <c r="AO278" s="30">
        <f t="shared" si="268"/>
        <v>11.661017045982241</v>
      </c>
      <c r="AP278" s="30">
        <f t="shared" si="269"/>
        <v>16.288098313124202</v>
      </c>
      <c r="AQ278" s="30">
        <f t="shared" si="270"/>
        <v>26.147192195268133</v>
      </c>
      <c r="AR278" s="30">
        <f t="shared" si="271"/>
        <v>1.5316346892625681</v>
      </c>
      <c r="AS278" s="30">
        <f t="shared" si="272"/>
        <v>35.645601291488738</v>
      </c>
      <c r="AT278" s="31">
        <f t="shared" si="242"/>
        <v>91.273543535125881</v>
      </c>
      <c r="AV278" s="21">
        <f t="shared" si="86"/>
        <v>6460</v>
      </c>
    </row>
    <row r="279" spans="2:48" ht="15.75" customHeight="1" x14ac:dyDescent="0.25">
      <c r="B279" s="32"/>
      <c r="C279" s="18" t="s">
        <v>46</v>
      </c>
      <c r="D279" s="51"/>
      <c r="E279" s="18" t="s">
        <v>48</v>
      </c>
      <c r="F279" s="51"/>
      <c r="G279" s="23">
        <f t="shared" si="245"/>
        <v>47.775844930417499</v>
      </c>
      <c r="H279" s="23">
        <f t="shared" si="246"/>
        <v>3.6903578528827037</v>
      </c>
      <c r="I279" s="23">
        <f t="shared" si="247"/>
        <v>47.837972166998007</v>
      </c>
      <c r="J279" s="23">
        <f t="shared" si="248"/>
        <v>0.60884691848906558</v>
      </c>
      <c r="K279" s="23">
        <f t="shared" si="249"/>
        <v>8.6978131212723658E-2</v>
      </c>
      <c r="L279" s="22">
        <f t="shared" si="74"/>
        <v>55.540000000000006</v>
      </c>
      <c r="M279" s="18">
        <v>14.99</v>
      </c>
      <c r="N279" s="18">
        <v>9.9499999999999993</v>
      </c>
      <c r="O279" s="18">
        <v>19.52</v>
      </c>
      <c r="P279" s="18">
        <v>0.25</v>
      </c>
      <c r="Q279" s="18">
        <v>725</v>
      </c>
      <c r="R279" s="18" t="s">
        <v>51</v>
      </c>
      <c r="S279" s="56">
        <v>0</v>
      </c>
      <c r="T279" s="18">
        <v>14.7</v>
      </c>
      <c r="U279" s="21">
        <v>18.489999999999998</v>
      </c>
      <c r="V279" s="21">
        <v>26.59</v>
      </c>
      <c r="W279" s="18">
        <v>40.35</v>
      </c>
      <c r="X279" s="18">
        <v>1.96</v>
      </c>
      <c r="Y279" s="27">
        <f t="shared" si="264"/>
        <v>35.839757854422906</v>
      </c>
      <c r="Z279" s="18">
        <f t="shared" si="76"/>
        <v>0.84033613445378152</v>
      </c>
      <c r="AA279" s="18">
        <v>54.82</v>
      </c>
      <c r="AB279" s="18">
        <v>75.819999999999993</v>
      </c>
      <c r="AC279" s="21">
        <f t="shared" si="77"/>
        <v>6500</v>
      </c>
      <c r="AD279" s="18" t="s">
        <v>51</v>
      </c>
      <c r="AF279" s="1"/>
      <c r="AG279" s="29">
        <v>1.19</v>
      </c>
      <c r="AH279" s="29">
        <v>6.5</v>
      </c>
      <c r="AK279" s="1">
        <f t="shared" si="265"/>
        <v>3.2278027026334066</v>
      </c>
      <c r="AL279" s="29">
        <f t="shared" si="266"/>
        <v>5.7784040796344343</v>
      </c>
      <c r="AM279" s="29">
        <f t="shared" si="267"/>
        <v>9.0062067822678404</v>
      </c>
      <c r="AO279" s="30">
        <f t="shared" si="268"/>
        <v>11.863228772717205</v>
      </c>
      <c r="AP279" s="30">
        <f t="shared" si="269"/>
        <v>17.060208386508954</v>
      </c>
      <c r="AQ279" s="30">
        <f t="shared" si="270"/>
        <v>25.888657705740364</v>
      </c>
      <c r="AR279" s="30">
        <f t="shared" si="271"/>
        <v>1.257540746053311</v>
      </c>
      <c r="AS279" s="30">
        <f t="shared" si="272"/>
        <v>35.839757854422906</v>
      </c>
      <c r="AT279" s="31">
        <f t="shared" si="242"/>
        <v>91.909393465442747</v>
      </c>
      <c r="AV279" s="21">
        <f t="shared" si="86"/>
        <v>6500</v>
      </c>
    </row>
    <row r="280" spans="2:48" ht="15.75" customHeight="1" x14ac:dyDescent="0.25">
      <c r="B280" s="32"/>
      <c r="C280" s="18" t="s">
        <v>46</v>
      </c>
      <c r="D280" s="51"/>
      <c r="E280" s="18" t="s">
        <v>48</v>
      </c>
      <c r="F280" s="51"/>
      <c r="G280" s="23">
        <f t="shared" si="245"/>
        <v>47.775844930417499</v>
      </c>
      <c r="H280" s="23">
        <f t="shared" si="246"/>
        <v>3.6903578528827037</v>
      </c>
      <c r="I280" s="23">
        <f t="shared" si="247"/>
        <v>47.837972166998007</v>
      </c>
      <c r="J280" s="23">
        <f t="shared" si="248"/>
        <v>0.60884691848906558</v>
      </c>
      <c r="K280" s="23">
        <f t="shared" si="249"/>
        <v>8.6978131212723658E-2</v>
      </c>
      <c r="L280" s="22">
        <f t="shared" si="74"/>
        <v>55.540000000000006</v>
      </c>
      <c r="M280" s="18">
        <v>14.99</v>
      </c>
      <c r="N280" s="18">
        <v>9.9499999999999993</v>
      </c>
      <c r="O280" s="18">
        <v>19.52</v>
      </c>
      <c r="P280" s="18">
        <v>0.35</v>
      </c>
      <c r="Q280" s="18">
        <v>600</v>
      </c>
      <c r="R280" s="18" t="s">
        <v>51</v>
      </c>
      <c r="S280" s="56">
        <v>0</v>
      </c>
      <c r="T280" s="18">
        <v>14.7</v>
      </c>
      <c r="U280" s="21">
        <v>14.13</v>
      </c>
      <c r="V280" s="21">
        <v>17.48</v>
      </c>
      <c r="W280" s="18">
        <v>45.67</v>
      </c>
      <c r="X280" s="18">
        <v>2.79</v>
      </c>
      <c r="Y280" s="27">
        <f t="shared" si="264"/>
        <v>42.758987951797536</v>
      </c>
      <c r="Z280" s="18">
        <f t="shared" si="76"/>
        <v>0.84745762711864414</v>
      </c>
      <c r="AA280" s="18">
        <v>42.84</v>
      </c>
      <c r="AB280" s="18">
        <v>73.430000000000007</v>
      </c>
      <c r="AC280" s="21">
        <f t="shared" si="77"/>
        <v>5130</v>
      </c>
      <c r="AD280" s="18" t="s">
        <v>51</v>
      </c>
      <c r="AF280" s="1"/>
      <c r="AG280" s="29">
        <v>1.18</v>
      </c>
      <c r="AH280" s="29">
        <v>5.13</v>
      </c>
      <c r="AK280" s="1">
        <f t="shared" si="265"/>
        <v>4.5102259705654966</v>
      </c>
      <c r="AL280" s="29">
        <f t="shared" si="266"/>
        <v>6.0377925551533576</v>
      </c>
      <c r="AM280" s="29">
        <f t="shared" si="267"/>
        <v>10.548018525718854</v>
      </c>
      <c r="AO280" s="30">
        <f t="shared" si="268"/>
        <v>8.0881550024110087</v>
      </c>
      <c r="AP280" s="30">
        <f t="shared" si="269"/>
        <v>10.005728906025793</v>
      </c>
      <c r="AQ280" s="30">
        <f t="shared" si="270"/>
        <v>26.141970202414065</v>
      </c>
      <c r="AR280" s="30">
        <f t="shared" si="271"/>
        <v>1.5970242361448492</v>
      </c>
      <c r="AS280" s="30">
        <f t="shared" si="272"/>
        <v>42.758987951797536</v>
      </c>
      <c r="AT280" s="31">
        <f t="shared" si="242"/>
        <v>88.591866298793249</v>
      </c>
      <c r="AV280" s="21">
        <f t="shared" si="86"/>
        <v>5130</v>
      </c>
    </row>
    <row r="281" spans="2:48" ht="15.75" customHeight="1" x14ac:dyDescent="0.25">
      <c r="B281" s="32"/>
      <c r="C281" s="18" t="s">
        <v>46</v>
      </c>
      <c r="D281" s="51"/>
      <c r="E281" s="18" t="s">
        <v>48</v>
      </c>
      <c r="F281" s="51"/>
      <c r="G281" s="23">
        <f t="shared" si="245"/>
        <v>47.775844930417499</v>
      </c>
      <c r="H281" s="23">
        <f t="shared" si="246"/>
        <v>3.6903578528827037</v>
      </c>
      <c r="I281" s="23">
        <f t="shared" si="247"/>
        <v>47.837972166998007</v>
      </c>
      <c r="J281" s="23">
        <f t="shared" si="248"/>
        <v>0.60884691848906558</v>
      </c>
      <c r="K281" s="23">
        <f t="shared" si="249"/>
        <v>8.6978131212723658E-2</v>
      </c>
      <c r="L281" s="22">
        <f t="shared" si="74"/>
        <v>55.540000000000006</v>
      </c>
      <c r="M281" s="18">
        <v>14.99</v>
      </c>
      <c r="N281" s="18">
        <v>9.9499999999999993</v>
      </c>
      <c r="O281" s="18">
        <v>19.52</v>
      </c>
      <c r="P281" s="18">
        <v>0.35</v>
      </c>
      <c r="Q281" s="18">
        <v>650</v>
      </c>
      <c r="R281" s="18" t="s">
        <v>51</v>
      </c>
      <c r="S281" s="56">
        <v>0</v>
      </c>
      <c r="T281" s="18">
        <v>14.7</v>
      </c>
      <c r="U281" s="21">
        <v>14.22</v>
      </c>
      <c r="V281" s="21">
        <v>20.63</v>
      </c>
      <c r="W281" s="18">
        <v>45.59</v>
      </c>
      <c r="X281" s="18">
        <v>1.92</v>
      </c>
      <c r="Y281" s="27">
        <f t="shared" si="264"/>
        <v>43.564100520939604</v>
      </c>
      <c r="Z281" s="18">
        <f t="shared" si="76"/>
        <v>0.8</v>
      </c>
      <c r="AA281" s="18">
        <v>46.94</v>
      </c>
      <c r="AB281" s="18">
        <v>77.77</v>
      </c>
      <c r="AC281" s="21">
        <f t="shared" si="77"/>
        <v>5190</v>
      </c>
      <c r="AD281" s="18" t="s">
        <v>51</v>
      </c>
      <c r="AF281" s="1"/>
      <c r="AG281" s="29">
        <v>1.25</v>
      </c>
      <c r="AH281" s="29">
        <v>5.19</v>
      </c>
      <c r="AK281" s="1">
        <f t="shared" si="265"/>
        <v>4.5102259705654966</v>
      </c>
      <c r="AL281" s="29">
        <f t="shared" si="266"/>
        <v>5.8428535527856242</v>
      </c>
      <c r="AM281" s="29">
        <f t="shared" si="267"/>
        <v>10.35307952335112</v>
      </c>
      <c r="AO281" s="30">
        <f t="shared" si="268"/>
        <v>8.025184905922389</v>
      </c>
      <c r="AP281" s="30">
        <f t="shared" si="269"/>
        <v>11.64272606253016</v>
      </c>
      <c r="AQ281" s="30">
        <f t="shared" si="270"/>
        <v>25.729126572503642</v>
      </c>
      <c r="AR281" s="30">
        <f t="shared" si="271"/>
        <v>1.0835692699979595</v>
      </c>
      <c r="AS281" s="30">
        <f t="shared" si="272"/>
        <v>43.564100520939604</v>
      </c>
      <c r="AT281" s="31">
        <f t="shared" si="242"/>
        <v>90.044707331893761</v>
      </c>
      <c r="AV281" s="21">
        <f t="shared" si="86"/>
        <v>5190</v>
      </c>
    </row>
    <row r="282" spans="2:48" ht="15.75" customHeight="1" x14ac:dyDescent="0.25">
      <c r="B282" s="32"/>
      <c r="C282" s="18" t="s">
        <v>46</v>
      </c>
      <c r="D282" s="51"/>
      <c r="E282" s="18" t="s">
        <v>48</v>
      </c>
      <c r="F282" s="51"/>
      <c r="G282" s="23">
        <f t="shared" si="245"/>
        <v>47.775844930417499</v>
      </c>
      <c r="H282" s="23">
        <f t="shared" si="246"/>
        <v>3.6903578528827037</v>
      </c>
      <c r="I282" s="23">
        <f t="shared" si="247"/>
        <v>47.837972166998007</v>
      </c>
      <c r="J282" s="23">
        <f t="shared" si="248"/>
        <v>0.60884691848906558</v>
      </c>
      <c r="K282" s="23">
        <f t="shared" si="249"/>
        <v>8.6978131212723658E-2</v>
      </c>
      <c r="L282" s="22">
        <f t="shared" si="74"/>
        <v>55.540000000000006</v>
      </c>
      <c r="M282" s="18">
        <v>14.99</v>
      </c>
      <c r="N282" s="18">
        <v>9.9499999999999993</v>
      </c>
      <c r="O282" s="18">
        <v>19.52</v>
      </c>
      <c r="P282" s="18">
        <v>0.35</v>
      </c>
      <c r="Q282" s="18">
        <v>700</v>
      </c>
      <c r="R282" s="18" t="s">
        <v>51</v>
      </c>
      <c r="S282" s="56">
        <v>0</v>
      </c>
      <c r="T282" s="18">
        <v>14.7</v>
      </c>
      <c r="U282" s="21">
        <v>14.63</v>
      </c>
      <c r="V282" s="21">
        <v>20.47</v>
      </c>
      <c r="W282" s="18">
        <v>44.91</v>
      </c>
      <c r="X282" s="18">
        <v>1.32</v>
      </c>
      <c r="Y282" s="27">
        <f t="shared" si="264"/>
        <v>43.039702110925369</v>
      </c>
      <c r="Z282" s="18">
        <f t="shared" si="76"/>
        <v>0.75757575757575757</v>
      </c>
      <c r="AA282" s="18">
        <v>48.94</v>
      </c>
      <c r="AB282" s="18">
        <v>82.68</v>
      </c>
      <c r="AC282" s="21">
        <f t="shared" si="77"/>
        <v>5240</v>
      </c>
      <c r="AD282" s="18" t="s">
        <v>51</v>
      </c>
      <c r="AF282" s="1"/>
      <c r="AG282" s="29">
        <v>1.32</v>
      </c>
      <c r="AH282" s="29">
        <v>5.24</v>
      </c>
      <c r="AK282" s="1">
        <f t="shared" si="265"/>
        <v>4.5102259705654966</v>
      </c>
      <c r="AL282" s="29">
        <f t="shared" si="266"/>
        <v>5.9689961182430666</v>
      </c>
      <c r="AM282" s="29">
        <f t="shared" si="267"/>
        <v>10.479222088808562</v>
      </c>
      <c r="AO282" s="30">
        <f t="shared" si="268"/>
        <v>8.3332915811716202</v>
      </c>
      <c r="AP282" s="30">
        <f t="shared" si="269"/>
        <v>11.659772977893578</v>
      </c>
      <c r="AQ282" s="30">
        <f t="shared" si="270"/>
        <v>25.580869781983417</v>
      </c>
      <c r="AR282" s="30">
        <f t="shared" si="271"/>
        <v>0.7518759321357853</v>
      </c>
      <c r="AS282" s="30">
        <f t="shared" si="272"/>
        <v>43.039702110925369</v>
      </c>
      <c r="AT282" s="31">
        <f t="shared" si="242"/>
        <v>89.365512384109763</v>
      </c>
      <c r="AV282" s="21">
        <f t="shared" si="86"/>
        <v>5240</v>
      </c>
    </row>
    <row r="283" spans="2:48" ht="15.75" customHeight="1" x14ac:dyDescent="0.25">
      <c r="B283" s="32"/>
      <c r="C283" s="18" t="s">
        <v>46</v>
      </c>
      <c r="D283" s="51"/>
      <c r="E283" s="18" t="s">
        <v>48</v>
      </c>
      <c r="F283" s="51"/>
      <c r="G283" s="23">
        <f t="shared" si="245"/>
        <v>47.775844930417499</v>
      </c>
      <c r="H283" s="23">
        <f t="shared" si="246"/>
        <v>3.6903578528827037</v>
      </c>
      <c r="I283" s="23">
        <f t="shared" si="247"/>
        <v>47.837972166998007</v>
      </c>
      <c r="J283" s="23">
        <f t="shared" si="248"/>
        <v>0.60884691848906558</v>
      </c>
      <c r="K283" s="23">
        <f t="shared" si="249"/>
        <v>8.6978131212723658E-2</v>
      </c>
      <c r="L283" s="22">
        <f t="shared" si="74"/>
        <v>55.540000000000006</v>
      </c>
      <c r="M283" s="18">
        <v>14.99</v>
      </c>
      <c r="N283" s="18">
        <v>9.9499999999999993</v>
      </c>
      <c r="O283" s="18">
        <v>19.52</v>
      </c>
      <c r="P283" s="18">
        <v>0.35</v>
      </c>
      <c r="Q283" s="18">
        <v>725</v>
      </c>
      <c r="R283" s="18" t="s">
        <v>51</v>
      </c>
      <c r="S283" s="56">
        <v>0</v>
      </c>
      <c r="T283" s="18">
        <v>14.7</v>
      </c>
      <c r="U283" s="21">
        <v>15.88</v>
      </c>
      <c r="V283" s="21">
        <v>22.89</v>
      </c>
      <c r="W283" s="18">
        <v>46.18</v>
      </c>
      <c r="X283" s="18">
        <v>1.43</v>
      </c>
      <c r="Y283" s="27">
        <f t="shared" si="264"/>
        <v>44.402962053295497</v>
      </c>
      <c r="Z283" s="18">
        <f t="shared" si="76"/>
        <v>0.69930069930069938</v>
      </c>
      <c r="AA283" s="18">
        <v>53.24</v>
      </c>
      <c r="AB283" s="18">
        <v>83.91</v>
      </c>
      <c r="AC283" s="21">
        <f t="shared" si="77"/>
        <v>5260</v>
      </c>
      <c r="AD283" s="18" t="s">
        <v>51</v>
      </c>
      <c r="AF283" s="1"/>
      <c r="AG283" s="29">
        <v>1.43</v>
      </c>
      <c r="AH283" s="29">
        <v>5.26</v>
      </c>
      <c r="AK283" s="1">
        <f t="shared" si="265"/>
        <v>4.5102259705654966</v>
      </c>
      <c r="AL283" s="29">
        <f t="shared" si="266"/>
        <v>5.6472629941391839</v>
      </c>
      <c r="AM283" s="29">
        <f t="shared" si="267"/>
        <v>10.15748896470468</v>
      </c>
      <c r="AO283" s="30">
        <f t="shared" si="268"/>
        <v>8.8288096259366764</v>
      </c>
      <c r="AP283" s="30">
        <f t="shared" si="269"/>
        <v>12.726161986000662</v>
      </c>
      <c r="AQ283" s="30">
        <f t="shared" si="270"/>
        <v>25.67471212378814</v>
      </c>
      <c r="AR283" s="30">
        <f t="shared" si="271"/>
        <v>0.79503764263787446</v>
      </c>
      <c r="AS283" s="30">
        <f t="shared" si="272"/>
        <v>44.402962053295497</v>
      </c>
      <c r="AT283" s="31">
        <f t="shared" si="242"/>
        <v>92.427683431658849</v>
      </c>
      <c r="AV283" s="21">
        <f t="shared" si="86"/>
        <v>5260</v>
      </c>
    </row>
    <row r="284" spans="2:48" ht="15.75" customHeight="1" x14ac:dyDescent="0.25">
      <c r="B284" s="32"/>
      <c r="C284" s="18" t="s">
        <v>46</v>
      </c>
      <c r="D284" s="51"/>
      <c r="E284" s="18" t="s">
        <v>48</v>
      </c>
      <c r="F284" s="51"/>
      <c r="G284" s="23">
        <f t="shared" si="245"/>
        <v>47.775844930417499</v>
      </c>
      <c r="H284" s="23">
        <f t="shared" si="246"/>
        <v>3.6903578528827037</v>
      </c>
      <c r="I284" s="23">
        <f t="shared" si="247"/>
        <v>47.837972166998007</v>
      </c>
      <c r="J284" s="23">
        <f t="shared" si="248"/>
        <v>0.60884691848906558</v>
      </c>
      <c r="K284" s="23">
        <f t="shared" si="249"/>
        <v>8.6978131212723658E-2</v>
      </c>
      <c r="L284" s="22">
        <f t="shared" si="74"/>
        <v>55.540000000000006</v>
      </c>
      <c r="M284" s="18">
        <v>14.99</v>
      </c>
      <c r="N284" s="18">
        <v>9.9499999999999993</v>
      </c>
      <c r="O284" s="18">
        <v>19.52</v>
      </c>
      <c r="P284" s="18">
        <v>0.35</v>
      </c>
      <c r="Q284" s="18">
        <v>750</v>
      </c>
      <c r="R284" s="18" t="s">
        <v>51</v>
      </c>
      <c r="S284" s="56">
        <v>0</v>
      </c>
      <c r="T284" s="18">
        <v>14.7</v>
      </c>
      <c r="U284" s="21">
        <v>16.079999999999998</v>
      </c>
      <c r="V284" s="21">
        <v>22.24</v>
      </c>
      <c r="W284" s="18">
        <v>46.12</v>
      </c>
      <c r="X284" s="18">
        <v>1.46</v>
      </c>
      <c r="Y284" s="27">
        <f t="shared" si="264"/>
        <v>44.16382471012296</v>
      </c>
      <c r="Z284" s="18">
        <f t="shared" si="76"/>
        <v>0.68493150684931503</v>
      </c>
      <c r="AA284" s="18">
        <v>54.62</v>
      </c>
      <c r="AB284" s="18">
        <v>85.43</v>
      </c>
      <c r="AC284" s="21">
        <f t="shared" si="77"/>
        <v>5280</v>
      </c>
      <c r="AD284" s="18" t="s">
        <v>51</v>
      </c>
      <c r="AF284" s="1"/>
      <c r="AG284" s="29">
        <v>1.46</v>
      </c>
      <c r="AH284" s="29">
        <v>5.28</v>
      </c>
      <c r="AK284" s="1">
        <f t="shared" si="265"/>
        <v>4.5102259705654966</v>
      </c>
      <c r="AL284" s="29">
        <f t="shared" si="266"/>
        <v>5.7022635503697012</v>
      </c>
      <c r="AM284" s="29">
        <f t="shared" si="267"/>
        <v>10.212489520935197</v>
      </c>
      <c r="AO284" s="30">
        <f t="shared" si="268"/>
        <v>8.9784569866122279</v>
      </c>
      <c r="AP284" s="30">
        <f t="shared" si="269"/>
        <v>12.417965384468655</v>
      </c>
      <c r="AQ284" s="30">
        <f t="shared" si="270"/>
        <v>25.751644043691297</v>
      </c>
      <c r="AR284" s="30">
        <f t="shared" si="271"/>
        <v>0.81520815923220491</v>
      </c>
      <c r="AS284" s="30">
        <f t="shared" si="272"/>
        <v>44.16382471012296</v>
      </c>
      <c r="AT284" s="31">
        <f t="shared" si="242"/>
        <v>92.12709928412734</v>
      </c>
      <c r="AV284" s="21">
        <f t="shared" si="86"/>
        <v>5280</v>
      </c>
    </row>
    <row r="285" spans="2:48" ht="15.75" customHeight="1" x14ac:dyDescent="0.25">
      <c r="B285" s="32"/>
      <c r="C285" s="18" t="s">
        <v>46</v>
      </c>
      <c r="D285" s="51"/>
      <c r="E285" s="18" t="s">
        <v>48</v>
      </c>
      <c r="F285" s="51"/>
      <c r="G285" s="23">
        <f t="shared" si="245"/>
        <v>47.775844930417499</v>
      </c>
      <c r="H285" s="23">
        <f t="shared" si="246"/>
        <v>3.6903578528827037</v>
      </c>
      <c r="I285" s="23">
        <f t="shared" si="247"/>
        <v>47.837972166998007</v>
      </c>
      <c r="J285" s="23">
        <f t="shared" si="248"/>
        <v>0.60884691848906558</v>
      </c>
      <c r="K285" s="23">
        <f t="shared" si="249"/>
        <v>8.6978131212723658E-2</v>
      </c>
      <c r="L285" s="22">
        <f t="shared" si="74"/>
        <v>55.540000000000006</v>
      </c>
      <c r="M285" s="18">
        <v>14.99</v>
      </c>
      <c r="N285" s="18">
        <v>9.9499999999999993</v>
      </c>
      <c r="O285" s="18">
        <v>19.52</v>
      </c>
      <c r="P285" s="18">
        <v>0.45</v>
      </c>
      <c r="Q285" s="18">
        <v>600</v>
      </c>
      <c r="R285" s="18" t="s">
        <v>51</v>
      </c>
      <c r="S285" s="56">
        <v>0</v>
      </c>
      <c r="T285" s="18">
        <v>14.7</v>
      </c>
      <c r="U285" s="21">
        <v>8.92</v>
      </c>
      <c r="V285" s="21">
        <v>11.72</v>
      </c>
      <c r="W285" s="18">
        <v>54.15</v>
      </c>
      <c r="X285" s="18">
        <v>1.32</v>
      </c>
      <c r="Y285" s="27">
        <f t="shared" si="264"/>
        <v>49.433285675402011</v>
      </c>
      <c r="Z285" s="18">
        <f t="shared" si="76"/>
        <v>0.75757575757575757</v>
      </c>
      <c r="AA285" s="18">
        <v>33</v>
      </c>
      <c r="AB285" s="18">
        <v>75.459999999999994</v>
      </c>
      <c r="AC285" s="21">
        <f t="shared" si="77"/>
        <v>3530</v>
      </c>
      <c r="AD285" s="18" t="s">
        <v>51</v>
      </c>
      <c r="AF285" s="1"/>
      <c r="AG285" s="29">
        <v>1.32</v>
      </c>
      <c r="AH285" s="29">
        <v>3.53</v>
      </c>
      <c r="AK285" s="1">
        <f t="shared" si="265"/>
        <v>5.7926492384975878</v>
      </c>
      <c r="AL285" s="29">
        <f t="shared" si="266"/>
        <v>5.9254657104749588</v>
      </c>
      <c r="AM285" s="29">
        <f t="shared" si="267"/>
        <v>11.718114948972547</v>
      </c>
      <c r="AO285" s="30">
        <f t="shared" si="268"/>
        <v>4.5105509177541405</v>
      </c>
      <c r="AP285" s="30">
        <f t="shared" si="269"/>
        <v>5.9264189188428853</v>
      </c>
      <c r="AQ285" s="30">
        <f t="shared" si="270"/>
        <v>27.381875806769806</v>
      </c>
      <c r="AR285" s="30">
        <f t="shared" si="271"/>
        <v>0.66748062908469341</v>
      </c>
      <c r="AS285" s="30">
        <f t="shared" si="272"/>
        <v>49.433285675402011</v>
      </c>
      <c r="AT285" s="31">
        <f t="shared" si="242"/>
        <v>87.919611947853525</v>
      </c>
      <c r="AV285" s="21">
        <f t="shared" si="86"/>
        <v>3530</v>
      </c>
    </row>
    <row r="286" spans="2:48" ht="15.75" customHeight="1" x14ac:dyDescent="0.25">
      <c r="B286" s="32"/>
      <c r="C286" s="18" t="s">
        <v>46</v>
      </c>
      <c r="D286" s="51"/>
      <c r="E286" s="18" t="s">
        <v>48</v>
      </c>
      <c r="F286" s="51"/>
      <c r="G286" s="23">
        <f t="shared" si="245"/>
        <v>47.775844930417499</v>
      </c>
      <c r="H286" s="23">
        <f t="shared" si="246"/>
        <v>3.6903578528827037</v>
      </c>
      <c r="I286" s="23">
        <f t="shared" si="247"/>
        <v>47.837972166998007</v>
      </c>
      <c r="J286" s="23">
        <f t="shared" si="248"/>
        <v>0.60884691848906558</v>
      </c>
      <c r="K286" s="23">
        <f t="shared" si="249"/>
        <v>8.6978131212723658E-2</v>
      </c>
      <c r="L286" s="22">
        <f t="shared" si="74"/>
        <v>55.540000000000006</v>
      </c>
      <c r="M286" s="18">
        <v>14.99</v>
      </c>
      <c r="N286" s="18">
        <v>9.9499999999999993</v>
      </c>
      <c r="O286" s="18">
        <v>19.52</v>
      </c>
      <c r="P286" s="18">
        <v>0.45</v>
      </c>
      <c r="Q286" s="18">
        <v>650</v>
      </c>
      <c r="R286" s="18" t="s">
        <v>51</v>
      </c>
      <c r="S286" s="56">
        <v>0</v>
      </c>
      <c r="T286" s="18">
        <v>14.7</v>
      </c>
      <c r="U286" s="21">
        <v>9.32</v>
      </c>
      <c r="V286" s="21">
        <v>13.47</v>
      </c>
      <c r="W286" s="18">
        <v>53.41</v>
      </c>
      <c r="X286" s="18">
        <v>1.39</v>
      </c>
      <c r="Y286" s="27">
        <f t="shared" si="264"/>
        <v>49.831912151348426</v>
      </c>
      <c r="Z286" s="18">
        <f t="shared" si="76"/>
        <v>0.71942446043165476</v>
      </c>
      <c r="AA286" s="18">
        <v>35.58</v>
      </c>
      <c r="AB286" s="18">
        <v>80.2</v>
      </c>
      <c r="AC286" s="21">
        <f t="shared" si="77"/>
        <v>3610</v>
      </c>
      <c r="AD286" s="18" t="s">
        <v>51</v>
      </c>
      <c r="AF286" s="1"/>
      <c r="AG286" s="29">
        <v>1.39</v>
      </c>
      <c r="AH286" s="29">
        <v>3.61</v>
      </c>
      <c r="AK286" s="1">
        <f t="shared" si="265"/>
        <v>5.7926492384975878</v>
      </c>
      <c r="AL286" s="29">
        <f t="shared" si="266"/>
        <v>5.8317275682849345</v>
      </c>
      <c r="AM286" s="29">
        <f t="shared" si="267"/>
        <v>11.624376806782521</v>
      </c>
      <c r="AO286" s="30">
        <f t="shared" si="268"/>
        <v>4.675665787494327</v>
      </c>
      <c r="AP286" s="30">
        <f t="shared" si="269"/>
        <v>6.7576414332133687</v>
      </c>
      <c r="AQ286" s="30">
        <f t="shared" si="270"/>
        <v>26.794775719964807</v>
      </c>
      <c r="AR286" s="30">
        <f t="shared" si="271"/>
        <v>0.69733642109625693</v>
      </c>
      <c r="AS286" s="30">
        <f t="shared" si="272"/>
        <v>49.831912151348426</v>
      </c>
      <c r="AT286" s="31">
        <f t="shared" si="242"/>
        <v>88.757331513117194</v>
      </c>
      <c r="AV286" s="21">
        <f t="shared" si="86"/>
        <v>3610</v>
      </c>
    </row>
    <row r="287" spans="2:48" ht="15.75" customHeight="1" x14ac:dyDescent="0.25">
      <c r="B287" s="32"/>
      <c r="C287" s="18" t="s">
        <v>46</v>
      </c>
      <c r="D287" s="51"/>
      <c r="E287" s="18" t="s">
        <v>48</v>
      </c>
      <c r="F287" s="51"/>
      <c r="G287" s="23">
        <f t="shared" si="245"/>
        <v>47.775844930417499</v>
      </c>
      <c r="H287" s="23">
        <f t="shared" si="246"/>
        <v>3.6903578528827037</v>
      </c>
      <c r="I287" s="23">
        <f t="shared" si="247"/>
        <v>47.837972166998007</v>
      </c>
      <c r="J287" s="23">
        <f t="shared" si="248"/>
        <v>0.60884691848906558</v>
      </c>
      <c r="K287" s="23">
        <f t="shared" si="249"/>
        <v>8.6978131212723658E-2</v>
      </c>
      <c r="L287" s="22">
        <f t="shared" si="74"/>
        <v>55.540000000000006</v>
      </c>
      <c r="M287" s="18">
        <v>14.99</v>
      </c>
      <c r="N287" s="18">
        <v>9.9499999999999993</v>
      </c>
      <c r="O287" s="18">
        <v>19.52</v>
      </c>
      <c r="P287" s="18">
        <v>0.45</v>
      </c>
      <c r="Q287" s="18">
        <v>700</v>
      </c>
      <c r="R287" s="18" t="s">
        <v>51</v>
      </c>
      <c r="S287" s="56">
        <v>0</v>
      </c>
      <c r="T287" s="18">
        <v>14.7</v>
      </c>
      <c r="U287" s="21">
        <v>10.15</v>
      </c>
      <c r="V287" s="21">
        <v>15.13</v>
      </c>
      <c r="W287" s="18">
        <v>52.09</v>
      </c>
      <c r="X287" s="18">
        <v>1.44</v>
      </c>
      <c r="Y287" s="27">
        <f t="shared" si="264"/>
        <v>49.97432043537605</v>
      </c>
      <c r="Z287" s="18">
        <f t="shared" si="76"/>
        <v>0.69444444444444442</v>
      </c>
      <c r="AA287" s="18">
        <v>37.65</v>
      </c>
      <c r="AB287" s="18">
        <v>84.17</v>
      </c>
      <c r="AC287" s="21">
        <f t="shared" si="77"/>
        <v>3690</v>
      </c>
      <c r="AD287" s="18" t="s">
        <v>51</v>
      </c>
      <c r="AF287" s="1"/>
      <c r="AG287" s="29">
        <v>1.44</v>
      </c>
      <c r="AH287" s="29">
        <v>3.69</v>
      </c>
      <c r="AK287" s="1">
        <f t="shared" si="265"/>
        <v>5.7926492384975878</v>
      </c>
      <c r="AL287" s="29">
        <f t="shared" si="266"/>
        <v>5.7986024044103193</v>
      </c>
      <c r="AM287" s="29">
        <f t="shared" si="267"/>
        <v>11.591251642907906</v>
      </c>
      <c r="AO287" s="30">
        <f t="shared" si="268"/>
        <v>5.0776064758093309</v>
      </c>
      <c r="AP287" s="30">
        <f t="shared" si="269"/>
        <v>7.5688853181276068</v>
      </c>
      <c r="AQ287" s="30">
        <f t="shared" si="270"/>
        <v>26.058376485212627</v>
      </c>
      <c r="AR287" s="30">
        <f t="shared" si="271"/>
        <v>0.72036978573058497</v>
      </c>
      <c r="AS287" s="30">
        <f t="shared" si="272"/>
        <v>49.97432043537605</v>
      </c>
      <c r="AT287" s="31">
        <f t="shared" si="242"/>
        <v>89.399558500256205</v>
      </c>
      <c r="AV287" s="21">
        <f t="shared" si="86"/>
        <v>3690</v>
      </c>
    </row>
    <row r="288" spans="2:48" ht="15.75" customHeight="1" x14ac:dyDescent="0.25">
      <c r="B288" s="32"/>
      <c r="C288" s="18" t="s">
        <v>46</v>
      </c>
      <c r="D288" s="51"/>
      <c r="E288" s="18" t="s">
        <v>48</v>
      </c>
      <c r="F288" s="51"/>
      <c r="G288" s="23">
        <f t="shared" si="245"/>
        <v>47.775844930417499</v>
      </c>
      <c r="H288" s="23">
        <f t="shared" si="246"/>
        <v>3.6903578528827037</v>
      </c>
      <c r="I288" s="23">
        <f t="shared" si="247"/>
        <v>47.837972166998007</v>
      </c>
      <c r="J288" s="23">
        <f t="shared" si="248"/>
        <v>0.60884691848906558</v>
      </c>
      <c r="K288" s="23">
        <f t="shared" si="249"/>
        <v>8.6978131212723658E-2</v>
      </c>
      <c r="L288" s="22">
        <f t="shared" si="74"/>
        <v>55.540000000000006</v>
      </c>
      <c r="M288" s="18">
        <v>14.99</v>
      </c>
      <c r="N288" s="18">
        <v>9.9499999999999993</v>
      </c>
      <c r="O288" s="18">
        <v>19.52</v>
      </c>
      <c r="P288" s="18">
        <v>0.45</v>
      </c>
      <c r="Q288" s="18">
        <v>725</v>
      </c>
      <c r="R288" s="18" t="s">
        <v>51</v>
      </c>
      <c r="S288" s="56">
        <v>0</v>
      </c>
      <c r="T288" s="18">
        <v>14.7</v>
      </c>
      <c r="U288" s="21">
        <v>10.27</v>
      </c>
      <c r="V288" s="21">
        <v>16.61</v>
      </c>
      <c r="W288" s="18">
        <v>51.16</v>
      </c>
      <c r="X288" s="18">
        <v>1.48</v>
      </c>
      <c r="Y288" s="27">
        <f t="shared" si="264"/>
        <v>50.188228469867937</v>
      </c>
      <c r="Z288" s="18">
        <f t="shared" si="76"/>
        <v>0.67567567567567566</v>
      </c>
      <c r="AA288" s="18">
        <v>39.479999999999997</v>
      </c>
      <c r="AB288" s="18">
        <v>88.57</v>
      </c>
      <c r="AC288" s="21">
        <f t="shared" si="77"/>
        <v>3770</v>
      </c>
      <c r="AD288" s="18" t="s">
        <v>51</v>
      </c>
      <c r="AF288" s="1"/>
      <c r="AG288" s="29">
        <v>1.48</v>
      </c>
      <c r="AH288" s="29">
        <v>3.77</v>
      </c>
      <c r="AK288" s="1">
        <f t="shared" si="265"/>
        <v>5.7926492384975878</v>
      </c>
      <c r="AL288" s="29">
        <f t="shared" si="266"/>
        <v>5.7491991492680503</v>
      </c>
      <c r="AM288" s="29">
        <f t="shared" si="267"/>
        <v>11.541848387765638</v>
      </c>
      <c r="AO288" s="30">
        <f t="shared" si="268"/>
        <v>5.1156689361445631</v>
      </c>
      <c r="AP288" s="30">
        <f t="shared" si="269"/>
        <v>8.2737352511549354</v>
      </c>
      <c r="AQ288" s="30">
        <f t="shared" si="270"/>
        <v>25.483702314815559</v>
      </c>
      <c r="AR288" s="30">
        <f t="shared" si="271"/>
        <v>0.73721421864595449</v>
      </c>
      <c r="AS288" s="30">
        <f t="shared" si="272"/>
        <v>50.188228469867937</v>
      </c>
      <c r="AT288" s="31">
        <f t="shared" si="242"/>
        <v>89.798549190628947</v>
      </c>
      <c r="AV288" s="21">
        <f t="shared" si="86"/>
        <v>3770</v>
      </c>
    </row>
    <row r="289" spans="2:48" ht="15.75" customHeight="1" x14ac:dyDescent="0.25">
      <c r="B289" s="32"/>
      <c r="C289" s="18" t="s">
        <v>46</v>
      </c>
      <c r="D289" s="51"/>
      <c r="E289" s="18" t="s">
        <v>48</v>
      </c>
      <c r="F289" s="51"/>
      <c r="G289" s="23">
        <f t="shared" si="245"/>
        <v>47.775844930417499</v>
      </c>
      <c r="H289" s="23">
        <f t="shared" si="246"/>
        <v>3.6903578528827037</v>
      </c>
      <c r="I289" s="23">
        <f t="shared" si="247"/>
        <v>47.837972166998007</v>
      </c>
      <c r="J289" s="23">
        <f t="shared" si="248"/>
        <v>0.60884691848906558</v>
      </c>
      <c r="K289" s="23">
        <f t="shared" si="249"/>
        <v>8.6978131212723658E-2</v>
      </c>
      <c r="L289" s="22">
        <f t="shared" si="74"/>
        <v>55.540000000000006</v>
      </c>
      <c r="M289" s="18">
        <v>14.99</v>
      </c>
      <c r="N289" s="18">
        <v>9.9499999999999993</v>
      </c>
      <c r="O289" s="18">
        <v>19.52</v>
      </c>
      <c r="P289" s="18">
        <v>0.45</v>
      </c>
      <c r="Q289" s="18">
        <v>800</v>
      </c>
      <c r="R289" s="18" t="s">
        <v>51</v>
      </c>
      <c r="S289" s="56">
        <v>0</v>
      </c>
      <c r="T289" s="18">
        <v>14.7</v>
      </c>
      <c r="U289" s="21">
        <v>10.220000000000001</v>
      </c>
      <c r="V289" s="21">
        <v>17.78</v>
      </c>
      <c r="W289" s="18">
        <v>50.53</v>
      </c>
      <c r="X289" s="18">
        <v>1.52</v>
      </c>
      <c r="Y289" s="27">
        <f t="shared" si="264"/>
        <v>50.396735327418632</v>
      </c>
      <c r="Z289" s="18">
        <f t="shared" si="76"/>
        <v>0.65789473684210531</v>
      </c>
      <c r="AA289" s="18">
        <v>41.55</v>
      </c>
      <c r="AB289" s="18">
        <v>92.83</v>
      </c>
      <c r="AC289" s="21">
        <f t="shared" si="77"/>
        <v>3860</v>
      </c>
      <c r="AD289" s="18" t="s">
        <v>51</v>
      </c>
      <c r="AF289" s="1"/>
      <c r="AG289" s="29">
        <v>1.52</v>
      </c>
      <c r="AH289" s="29">
        <v>3.86</v>
      </c>
      <c r="AK289" s="1">
        <f t="shared" si="265"/>
        <v>5.7926492384975878</v>
      </c>
      <c r="AL289" s="29">
        <f t="shared" si="266"/>
        <v>5.7014469581385141</v>
      </c>
      <c r="AM289" s="29">
        <f t="shared" si="267"/>
        <v>11.494096196636102</v>
      </c>
      <c r="AO289" s="30">
        <f t="shared" si="268"/>
        <v>5.0694536495378166</v>
      </c>
      <c r="AP289" s="30">
        <f t="shared" si="269"/>
        <v>8.8194604587849685</v>
      </c>
      <c r="AQ289" s="30">
        <f t="shared" si="270"/>
        <v>25.064529639055365</v>
      </c>
      <c r="AR289" s="30">
        <f t="shared" si="271"/>
        <v>0.75396962302323678</v>
      </c>
      <c r="AS289" s="30">
        <f t="shared" si="272"/>
        <v>50.396735327418632</v>
      </c>
      <c r="AT289" s="31">
        <f t="shared" si="242"/>
        <v>90.104148697820023</v>
      </c>
      <c r="AV289" s="21">
        <f t="shared" si="86"/>
        <v>3860</v>
      </c>
    </row>
    <row r="290" spans="2:48" ht="15.75" customHeight="1" x14ac:dyDescent="0.25">
      <c r="B290" s="32"/>
      <c r="C290" s="18" t="s">
        <v>46</v>
      </c>
      <c r="D290" s="51"/>
      <c r="E290" s="18" t="s">
        <v>48</v>
      </c>
      <c r="F290" s="51"/>
      <c r="G290" s="23">
        <f t="shared" si="245"/>
        <v>47.775844930417499</v>
      </c>
      <c r="H290" s="23">
        <f t="shared" si="246"/>
        <v>3.6903578528827037</v>
      </c>
      <c r="I290" s="23">
        <f t="shared" si="247"/>
        <v>47.837972166998007</v>
      </c>
      <c r="J290" s="23">
        <f t="shared" si="248"/>
        <v>0.60884691848906558</v>
      </c>
      <c r="K290" s="23">
        <f t="shared" si="249"/>
        <v>8.6978131212723658E-2</v>
      </c>
      <c r="L290" s="22">
        <f t="shared" si="74"/>
        <v>14.990000000000009</v>
      </c>
      <c r="M290" s="18">
        <v>55.54</v>
      </c>
      <c r="N290" s="18">
        <v>9.9499999999999993</v>
      </c>
      <c r="O290" s="18">
        <v>19.52</v>
      </c>
      <c r="P290" s="18">
        <v>0.45</v>
      </c>
      <c r="Q290" s="18">
        <v>650</v>
      </c>
      <c r="R290" s="18" t="s">
        <v>51</v>
      </c>
      <c r="S290" s="53">
        <v>0</v>
      </c>
      <c r="T290" s="18">
        <v>14.7</v>
      </c>
      <c r="U290" s="21">
        <v>42.25</v>
      </c>
      <c r="V290" s="21">
        <v>11.25</v>
      </c>
      <c r="W290" s="18">
        <v>31.9</v>
      </c>
      <c r="X290" s="18">
        <v>9.6</v>
      </c>
      <c r="Y290" s="27">
        <f t="shared" si="264"/>
        <v>43.422584545610569</v>
      </c>
      <c r="Z290" s="18">
        <f t="shared" si="76"/>
        <v>0.970873786407767</v>
      </c>
      <c r="AA290" s="18">
        <v>62.99</v>
      </c>
      <c r="AB290" s="18">
        <v>84.1</v>
      </c>
      <c r="AC290" s="21">
        <f t="shared" si="77"/>
        <v>11280</v>
      </c>
      <c r="AD290" s="18" t="s">
        <v>51</v>
      </c>
      <c r="AF290" s="1"/>
      <c r="AG290" s="29">
        <v>1.03</v>
      </c>
      <c r="AH290" s="29">
        <v>11.28</v>
      </c>
      <c r="AK290" s="1">
        <f t="shared" si="265"/>
        <v>5.7926492384975878</v>
      </c>
      <c r="AL290" s="29">
        <f t="shared" si="266"/>
        <v>7.5475268452476296</v>
      </c>
      <c r="AM290" s="29">
        <f t="shared" si="267"/>
        <v>13.340176083745217</v>
      </c>
      <c r="AO290" s="30">
        <f t="shared" si="268"/>
        <v>23.903958029479536</v>
      </c>
      <c r="AP290" s="30">
        <f t="shared" si="269"/>
        <v>6.3649592386188116</v>
      </c>
      <c r="AQ290" s="30">
        <f t="shared" si="270"/>
        <v>18.048195529950227</v>
      </c>
      <c r="AR290" s="30">
        <f t="shared" si="271"/>
        <v>5.4314318836213866</v>
      </c>
      <c r="AS290" s="30">
        <f t="shared" si="272"/>
        <v>43.422584545610569</v>
      </c>
      <c r="AT290" s="31">
        <f t="shared" si="242"/>
        <v>97.171129227280531</v>
      </c>
      <c r="AV290" s="21">
        <f t="shared" si="86"/>
        <v>11280</v>
      </c>
    </row>
    <row r="291" spans="2:48" ht="15.75" customHeight="1" x14ac:dyDescent="0.25">
      <c r="B291" s="32"/>
      <c r="C291" s="18" t="s">
        <v>46</v>
      </c>
      <c r="D291" s="51"/>
      <c r="E291" s="18" t="s">
        <v>48</v>
      </c>
      <c r="F291" s="51"/>
      <c r="G291" s="23">
        <f t="shared" si="245"/>
        <v>47.775844930417499</v>
      </c>
      <c r="H291" s="23">
        <f t="shared" si="246"/>
        <v>3.6903578528827037</v>
      </c>
      <c r="I291" s="23">
        <f t="shared" si="247"/>
        <v>47.837972166998007</v>
      </c>
      <c r="J291" s="23">
        <f t="shared" si="248"/>
        <v>0.60884691848906558</v>
      </c>
      <c r="K291" s="23">
        <f t="shared" si="249"/>
        <v>8.6978131212723658E-2</v>
      </c>
      <c r="L291" s="22">
        <f t="shared" si="74"/>
        <v>14.990000000000009</v>
      </c>
      <c r="M291" s="18">
        <v>55.54</v>
      </c>
      <c r="N291" s="18">
        <v>9.9499999999999993</v>
      </c>
      <c r="O291" s="18">
        <v>19.52</v>
      </c>
      <c r="P291" s="18">
        <v>0.45</v>
      </c>
      <c r="Q291" s="18">
        <v>690</v>
      </c>
      <c r="R291" s="18" t="s">
        <v>51</v>
      </c>
      <c r="S291" s="53">
        <v>0</v>
      </c>
      <c r="T291" s="18">
        <v>14.7</v>
      </c>
      <c r="U291" s="21">
        <v>50.5</v>
      </c>
      <c r="V291" s="21">
        <v>12.83</v>
      </c>
      <c r="W291" s="18">
        <v>28.51</v>
      </c>
      <c r="X291" s="18">
        <v>8.16</v>
      </c>
      <c r="Y291" s="27">
        <f t="shared" si="264"/>
        <v>41.867347082568799</v>
      </c>
      <c r="Z291" s="18">
        <f t="shared" si="76"/>
        <v>0.89285714285714279</v>
      </c>
      <c r="AA291" s="18">
        <v>68.78</v>
      </c>
      <c r="AB291" s="18">
        <v>85.82</v>
      </c>
      <c r="AC291" s="21">
        <f t="shared" si="77"/>
        <v>11230</v>
      </c>
      <c r="AD291" s="18" t="s">
        <v>51</v>
      </c>
      <c r="AF291" s="1"/>
      <c r="AG291" s="29">
        <v>1.1200000000000001</v>
      </c>
      <c r="AH291" s="29">
        <v>11.23</v>
      </c>
      <c r="AK291" s="1">
        <f t="shared" si="265"/>
        <v>5.7926492384975878</v>
      </c>
      <c r="AL291" s="29">
        <f t="shared" si="266"/>
        <v>8.0430715371073234</v>
      </c>
      <c r="AM291" s="29">
        <f t="shared" si="267"/>
        <v>13.835720775604912</v>
      </c>
      <c r="AO291" s="30">
        <f t="shared" si="268"/>
        <v>29.356989723302757</v>
      </c>
      <c r="AP291" s="30">
        <f t="shared" si="269"/>
        <v>7.458419369306422</v>
      </c>
      <c r="AQ291" s="30">
        <f t="shared" si="270"/>
        <v>16.573619346759639</v>
      </c>
      <c r="AR291" s="30">
        <f t="shared" si="271"/>
        <v>4.7436244780623857</v>
      </c>
      <c r="AS291" s="30">
        <f t="shared" si="272"/>
        <v>41.867347082568799</v>
      </c>
      <c r="AT291" s="31">
        <f t="shared" si="242"/>
        <v>100</v>
      </c>
      <c r="AV291" s="21">
        <f t="shared" si="86"/>
        <v>11230</v>
      </c>
    </row>
    <row r="292" spans="2:48" ht="15.75" customHeight="1" x14ac:dyDescent="0.25">
      <c r="B292" s="32"/>
      <c r="C292" s="18" t="s">
        <v>46</v>
      </c>
      <c r="D292" s="51"/>
      <c r="E292" s="18" t="s">
        <v>48</v>
      </c>
      <c r="F292" s="51"/>
      <c r="G292" s="23">
        <f t="shared" si="245"/>
        <v>47.775844930417499</v>
      </c>
      <c r="H292" s="23">
        <f t="shared" si="246"/>
        <v>3.6903578528827037</v>
      </c>
      <c r="I292" s="23">
        <f t="shared" si="247"/>
        <v>47.837972166998007</v>
      </c>
      <c r="J292" s="23">
        <f t="shared" si="248"/>
        <v>0.60884691848906558</v>
      </c>
      <c r="K292" s="23">
        <f t="shared" si="249"/>
        <v>8.6978131212723658E-2</v>
      </c>
      <c r="L292" s="22">
        <f t="shared" si="74"/>
        <v>14.990000000000009</v>
      </c>
      <c r="M292" s="18">
        <v>55.54</v>
      </c>
      <c r="N292" s="18">
        <v>9.9499999999999993</v>
      </c>
      <c r="O292" s="18">
        <v>19.52</v>
      </c>
      <c r="P292" s="18">
        <v>0.45</v>
      </c>
      <c r="Q292" s="18">
        <v>730</v>
      </c>
      <c r="R292" s="18" t="s">
        <v>51</v>
      </c>
      <c r="S292" s="53">
        <v>0</v>
      </c>
      <c r="T292" s="18">
        <v>14.7</v>
      </c>
      <c r="U292" s="21">
        <v>52.2</v>
      </c>
      <c r="V292" s="21">
        <v>15.9</v>
      </c>
      <c r="W292" s="18">
        <v>25.65</v>
      </c>
      <c r="X292" s="18">
        <v>6.25</v>
      </c>
      <c r="Y292" s="27">
        <f t="shared" si="264"/>
        <v>41.019281924746409</v>
      </c>
      <c r="Z292" s="18">
        <f t="shared" si="76"/>
        <v>0.86206896551724144</v>
      </c>
      <c r="AA292" s="18">
        <v>65.58</v>
      </c>
      <c r="AB292" s="18">
        <v>85.83</v>
      </c>
      <c r="AC292" s="21">
        <f t="shared" si="77"/>
        <v>11160</v>
      </c>
      <c r="AD292" s="18" t="s">
        <v>51</v>
      </c>
      <c r="AF292" s="1"/>
      <c r="AG292" s="29">
        <v>1.1599999999999999</v>
      </c>
      <c r="AH292" s="29">
        <v>11.16</v>
      </c>
      <c r="AK292" s="1">
        <f t="shared" si="265"/>
        <v>5.7926492384975878</v>
      </c>
      <c r="AL292" s="29">
        <f t="shared" si="266"/>
        <v>8.3291221984688821</v>
      </c>
      <c r="AM292" s="29">
        <f t="shared" si="267"/>
        <v>14.121771436966469</v>
      </c>
      <c r="AO292" s="30">
        <f t="shared" si="268"/>
        <v>30.787934835282382</v>
      </c>
      <c r="AP292" s="30">
        <f t="shared" si="269"/>
        <v>9.3779341739653237</v>
      </c>
      <c r="AQ292" s="30">
        <f t="shared" si="270"/>
        <v>15.128554186302548</v>
      </c>
      <c r="AR292" s="30">
        <f t="shared" si="271"/>
        <v>3.6862948797033503</v>
      </c>
      <c r="AS292" s="30">
        <f t="shared" si="272"/>
        <v>41.019281924746409</v>
      </c>
      <c r="AT292" s="31">
        <f t="shared" si="242"/>
        <v>100.00000000000001</v>
      </c>
      <c r="AV292" s="21">
        <f t="shared" si="86"/>
        <v>11160</v>
      </c>
    </row>
    <row r="293" spans="2:48" ht="15.75" customHeight="1" x14ac:dyDescent="0.25">
      <c r="B293" s="32"/>
      <c r="C293" s="18" t="s">
        <v>46</v>
      </c>
      <c r="D293" s="51"/>
      <c r="E293" s="18" t="s">
        <v>48</v>
      </c>
      <c r="F293" s="51"/>
      <c r="G293" s="23">
        <f t="shared" si="245"/>
        <v>47.775844930417499</v>
      </c>
      <c r="H293" s="23">
        <f t="shared" si="246"/>
        <v>3.6903578528827037</v>
      </c>
      <c r="I293" s="23">
        <f t="shared" si="247"/>
        <v>47.837972166998007</v>
      </c>
      <c r="J293" s="23">
        <f t="shared" si="248"/>
        <v>0.60884691848906558</v>
      </c>
      <c r="K293" s="23">
        <f t="shared" si="249"/>
        <v>8.6978131212723658E-2</v>
      </c>
      <c r="L293" s="22">
        <f t="shared" si="74"/>
        <v>14.990000000000009</v>
      </c>
      <c r="M293" s="18">
        <v>55.54</v>
      </c>
      <c r="N293" s="18">
        <v>9.9499999999999993</v>
      </c>
      <c r="O293" s="18">
        <v>19.52</v>
      </c>
      <c r="P293" s="18">
        <v>0.45</v>
      </c>
      <c r="Q293" s="18">
        <v>770</v>
      </c>
      <c r="R293" s="18" t="s">
        <v>51</v>
      </c>
      <c r="S293" s="53">
        <v>0</v>
      </c>
      <c r="T293" s="18">
        <v>14.7</v>
      </c>
      <c r="U293" s="21">
        <v>53.08</v>
      </c>
      <c r="V293" s="21">
        <v>17.850000000000001</v>
      </c>
      <c r="W293" s="18">
        <v>23.9</v>
      </c>
      <c r="X293" s="18">
        <v>5.17</v>
      </c>
      <c r="Y293" s="27">
        <f t="shared" si="264"/>
        <v>40.570490057756039</v>
      </c>
      <c r="Z293" s="18">
        <f t="shared" si="76"/>
        <v>0.82644628099173556</v>
      </c>
      <c r="AA293" s="18">
        <v>66.06</v>
      </c>
      <c r="AB293" s="18">
        <v>87.88</v>
      </c>
      <c r="AC293" s="21">
        <f t="shared" si="77"/>
        <v>11090</v>
      </c>
      <c r="AD293" s="18" t="s">
        <v>51</v>
      </c>
      <c r="AF293" s="1"/>
      <c r="AG293" s="29">
        <v>1.21</v>
      </c>
      <c r="AH293" s="29">
        <v>11.09</v>
      </c>
      <c r="AK293" s="1">
        <f t="shared" si="265"/>
        <v>5.7926492384975878</v>
      </c>
      <c r="AL293" s="29">
        <f t="shared" si="266"/>
        <v>8.485337619071025</v>
      </c>
      <c r="AM293" s="29">
        <f t="shared" si="267"/>
        <v>14.277986857568614</v>
      </c>
      <c r="AO293" s="30">
        <f t="shared" si="268"/>
        <v>31.545183877343092</v>
      </c>
      <c r="AP293" s="30">
        <f t="shared" si="269"/>
        <v>10.608167524690549</v>
      </c>
      <c r="AQ293" s="30">
        <f t="shared" si="270"/>
        <v>14.203652876196307</v>
      </c>
      <c r="AR293" s="30">
        <f t="shared" si="271"/>
        <v>3.0725056640140127</v>
      </c>
      <c r="AS293" s="30">
        <f t="shared" si="272"/>
        <v>40.570490057756039</v>
      </c>
      <c r="AT293" s="31">
        <f t="shared" si="242"/>
        <v>100</v>
      </c>
      <c r="AV293" s="21">
        <f t="shared" si="86"/>
        <v>11090</v>
      </c>
    </row>
    <row r="294" spans="2:48" ht="15.75" customHeight="1" x14ac:dyDescent="0.25">
      <c r="B294" s="32"/>
      <c r="C294" s="18" t="s">
        <v>46</v>
      </c>
      <c r="D294" s="51"/>
      <c r="E294" s="18" t="s">
        <v>48</v>
      </c>
      <c r="F294" s="51"/>
      <c r="G294" s="23">
        <f t="shared" si="245"/>
        <v>47.775844930417499</v>
      </c>
      <c r="H294" s="23">
        <f t="shared" si="246"/>
        <v>3.6903578528827037</v>
      </c>
      <c r="I294" s="23">
        <f t="shared" si="247"/>
        <v>47.837972166998007</v>
      </c>
      <c r="J294" s="23">
        <f t="shared" si="248"/>
        <v>0.60884691848906558</v>
      </c>
      <c r="K294" s="23">
        <f t="shared" si="249"/>
        <v>8.6978131212723658E-2</v>
      </c>
      <c r="L294" s="22">
        <f t="shared" si="74"/>
        <v>14.990000000000009</v>
      </c>
      <c r="M294" s="18">
        <v>55.54</v>
      </c>
      <c r="N294" s="18">
        <v>9.9499999999999993</v>
      </c>
      <c r="O294" s="18">
        <v>19.52</v>
      </c>
      <c r="P294" s="18">
        <v>0.45</v>
      </c>
      <c r="Q294" s="18">
        <v>750</v>
      </c>
      <c r="R294" s="18" t="s">
        <v>51</v>
      </c>
      <c r="S294" s="53">
        <v>0</v>
      </c>
      <c r="T294" s="18">
        <v>14.7</v>
      </c>
      <c r="U294" s="21">
        <v>47.81</v>
      </c>
      <c r="V294" s="21">
        <v>27.48</v>
      </c>
      <c r="W294" s="18">
        <v>19.09</v>
      </c>
      <c r="X294" s="18">
        <v>6.62</v>
      </c>
      <c r="Y294" s="27">
        <f t="shared" si="264"/>
        <v>43.626767189372593</v>
      </c>
      <c r="Z294" s="18">
        <f t="shared" si="76"/>
        <v>0.95238095238095233</v>
      </c>
      <c r="AA294" s="18">
        <v>65.75</v>
      </c>
      <c r="AB294" s="18">
        <v>86.33</v>
      </c>
      <c r="AC294" s="21">
        <f t="shared" si="77"/>
        <v>12210</v>
      </c>
      <c r="AD294" s="18" t="s">
        <v>51</v>
      </c>
      <c r="AF294" s="1"/>
      <c r="AG294" s="29">
        <v>1.05</v>
      </c>
      <c r="AH294" s="29">
        <v>12.21</v>
      </c>
      <c r="AK294" s="1">
        <f t="shared" si="265"/>
        <v>5.7926492384975878</v>
      </c>
      <c r="AL294" s="29">
        <f t="shared" si="266"/>
        <v>7.4850919550068147</v>
      </c>
      <c r="AM294" s="29">
        <f t="shared" si="267"/>
        <v>13.277741193504403</v>
      </c>
      <c r="AO294" s="30">
        <f t="shared" si="268"/>
        <v>26.952042606760962</v>
      </c>
      <c r="AP294" s="30">
        <f t="shared" si="269"/>
        <v>15.491364376360409</v>
      </c>
      <c r="AQ294" s="30">
        <f t="shared" si="270"/>
        <v>10.761650143548772</v>
      </c>
      <c r="AR294" s="30">
        <f t="shared" si="271"/>
        <v>3.731908012063534</v>
      </c>
      <c r="AS294" s="30">
        <f t="shared" si="272"/>
        <v>43.626767189372593</v>
      </c>
      <c r="AT294" s="31">
        <f t="shared" si="242"/>
        <v>100.56373232810627</v>
      </c>
      <c r="AV294" s="21">
        <f t="shared" si="86"/>
        <v>12210</v>
      </c>
    </row>
    <row r="295" spans="2:48" ht="15.75" customHeight="1" x14ac:dyDescent="0.25">
      <c r="B295" s="32"/>
      <c r="C295" s="18" t="s">
        <v>46</v>
      </c>
      <c r="D295" s="51"/>
      <c r="E295" s="18" t="s">
        <v>48</v>
      </c>
      <c r="F295" s="51"/>
      <c r="G295" s="23">
        <f t="shared" si="245"/>
        <v>47.775844930417499</v>
      </c>
      <c r="H295" s="23">
        <f t="shared" si="246"/>
        <v>3.6903578528827037</v>
      </c>
      <c r="I295" s="23">
        <f t="shared" si="247"/>
        <v>47.837972166998007</v>
      </c>
      <c r="J295" s="23">
        <f t="shared" si="248"/>
        <v>0.60884691848906558</v>
      </c>
      <c r="K295" s="23">
        <f t="shared" si="249"/>
        <v>8.6978131212723658E-2</v>
      </c>
      <c r="L295" s="22">
        <f t="shared" si="74"/>
        <v>14.990000000000009</v>
      </c>
      <c r="M295" s="18">
        <v>55.54</v>
      </c>
      <c r="N295" s="18">
        <v>9.9499999999999993</v>
      </c>
      <c r="O295" s="18">
        <v>19.52</v>
      </c>
      <c r="P295" s="18">
        <v>0.45</v>
      </c>
      <c r="Q295" s="18">
        <v>750</v>
      </c>
      <c r="R295" s="18" t="s">
        <v>51</v>
      </c>
      <c r="S295" s="53">
        <v>0</v>
      </c>
      <c r="T295" s="18">
        <v>14.7</v>
      </c>
      <c r="U295" s="21">
        <v>48.88</v>
      </c>
      <c r="V295" s="21">
        <v>22.7</v>
      </c>
      <c r="W295" s="18">
        <v>22.2</v>
      </c>
      <c r="X295" s="18">
        <v>6.22</v>
      </c>
      <c r="Y295" s="27">
        <f t="shared" si="264"/>
        <v>42.653116424705331</v>
      </c>
      <c r="Z295" s="18">
        <f t="shared" si="76"/>
        <v>0.9174311926605504</v>
      </c>
      <c r="AA295" s="18">
        <v>65.959999999999994</v>
      </c>
      <c r="AB295" s="18">
        <v>86.25</v>
      </c>
      <c r="AC295" s="21">
        <f t="shared" si="77"/>
        <v>11590</v>
      </c>
      <c r="AD295" s="18" t="s">
        <v>51</v>
      </c>
      <c r="AF295" s="1"/>
      <c r="AG295" s="29">
        <v>1.0900000000000001</v>
      </c>
      <c r="AH295" s="29">
        <v>11.59</v>
      </c>
      <c r="AK295" s="1">
        <f t="shared" si="265"/>
        <v>5.7926492384975878</v>
      </c>
      <c r="AL295" s="29">
        <f t="shared" si="266"/>
        <v>7.7881854672694155</v>
      </c>
      <c r="AM295" s="29">
        <f t="shared" si="267"/>
        <v>13.580834705767003</v>
      </c>
      <c r="AO295" s="30">
        <f t="shared" si="268"/>
        <v>28.031156691604036</v>
      </c>
      <c r="AP295" s="30">
        <f t="shared" si="269"/>
        <v>13.017742571591889</v>
      </c>
      <c r="AQ295" s="30">
        <f t="shared" si="270"/>
        <v>12.731008153715415</v>
      </c>
      <c r="AR295" s="30">
        <f t="shared" si="271"/>
        <v>3.5669761583833282</v>
      </c>
      <c r="AS295" s="30">
        <f t="shared" si="272"/>
        <v>42.653116424705331</v>
      </c>
      <c r="AT295" s="31">
        <f t="shared" si="242"/>
        <v>100</v>
      </c>
      <c r="AV295" s="21">
        <f t="shared" si="86"/>
        <v>11590</v>
      </c>
    </row>
    <row r="296" spans="2:48" ht="15.75" customHeight="1" x14ac:dyDescent="0.25">
      <c r="B296" s="32"/>
      <c r="C296" s="18" t="s">
        <v>46</v>
      </c>
      <c r="D296" s="51"/>
      <c r="E296" s="18" t="s">
        <v>48</v>
      </c>
      <c r="F296" s="51"/>
      <c r="G296" s="23">
        <f t="shared" si="245"/>
        <v>47.775844930417499</v>
      </c>
      <c r="H296" s="23">
        <f t="shared" si="246"/>
        <v>3.6903578528827037</v>
      </c>
      <c r="I296" s="23">
        <f t="shared" si="247"/>
        <v>47.837972166998007</v>
      </c>
      <c r="J296" s="23">
        <f t="shared" si="248"/>
        <v>0.60884691848906558</v>
      </c>
      <c r="K296" s="23">
        <f t="shared" si="249"/>
        <v>8.6978131212723658E-2</v>
      </c>
      <c r="L296" s="22">
        <f t="shared" si="74"/>
        <v>14.990000000000009</v>
      </c>
      <c r="M296" s="18">
        <v>55.54</v>
      </c>
      <c r="N296" s="18">
        <v>9.9499999999999993</v>
      </c>
      <c r="O296" s="18">
        <v>19.52</v>
      </c>
      <c r="P296" s="18">
        <v>0.45</v>
      </c>
      <c r="Q296" s="18">
        <v>750</v>
      </c>
      <c r="R296" s="18" t="s">
        <v>51</v>
      </c>
      <c r="S296" s="53">
        <v>0</v>
      </c>
      <c r="T296" s="18">
        <v>14.7</v>
      </c>
      <c r="U296" s="21">
        <v>51.17</v>
      </c>
      <c r="V296" s="21">
        <v>19.649999999999999</v>
      </c>
      <c r="W296" s="18">
        <v>23.19</v>
      </c>
      <c r="X296" s="18">
        <v>6.03</v>
      </c>
      <c r="Y296" s="27">
        <f t="shared" si="264"/>
        <v>41.555923646070426</v>
      </c>
      <c r="Z296" s="18">
        <f t="shared" si="76"/>
        <v>0.86206896551724144</v>
      </c>
      <c r="AA296" s="18">
        <v>66.099999999999994</v>
      </c>
      <c r="AB296" s="18">
        <v>87.68</v>
      </c>
      <c r="AC296" s="21">
        <f t="shared" si="77"/>
        <v>11420</v>
      </c>
      <c r="AD296" s="18" t="s">
        <v>51</v>
      </c>
      <c r="AF296" s="1"/>
      <c r="AG296" s="29">
        <v>1.1599999999999999</v>
      </c>
      <c r="AH296" s="29">
        <v>11.42</v>
      </c>
      <c r="AK296" s="1">
        <f t="shared" si="265"/>
        <v>5.7926492384975878</v>
      </c>
      <c r="AL296" s="29">
        <f t="shared" si="266"/>
        <v>8.1467575421897376</v>
      </c>
      <c r="AM296" s="29">
        <f t="shared" si="267"/>
        <v>13.939406780687325</v>
      </c>
      <c r="AO296" s="30">
        <f t="shared" si="268"/>
        <v>29.90583387030577</v>
      </c>
      <c r="AP296" s="30">
        <f t="shared" si="269"/>
        <v>11.484261003547163</v>
      </c>
      <c r="AQ296" s="30">
        <f t="shared" si="270"/>
        <v>13.553181306476272</v>
      </c>
      <c r="AR296" s="30">
        <f t="shared" si="271"/>
        <v>3.5241778041419538</v>
      </c>
      <c r="AS296" s="30">
        <f t="shared" si="272"/>
        <v>41.555923646070426</v>
      </c>
      <c r="AT296" s="31">
        <f t="shared" si="242"/>
        <v>100.02337763054159</v>
      </c>
      <c r="AV296" s="21">
        <f t="shared" si="86"/>
        <v>11420</v>
      </c>
    </row>
    <row r="297" spans="2:48" ht="15.75" customHeight="1" x14ac:dyDescent="0.25">
      <c r="B297" s="32"/>
      <c r="C297" s="18" t="s">
        <v>46</v>
      </c>
      <c r="D297" s="51"/>
      <c r="E297" s="18" t="s">
        <v>48</v>
      </c>
      <c r="F297" s="51"/>
      <c r="G297" s="23">
        <f t="shared" si="245"/>
        <v>47.775844930417499</v>
      </c>
      <c r="H297" s="23">
        <f t="shared" si="246"/>
        <v>3.6903578528827037</v>
      </c>
      <c r="I297" s="23">
        <f t="shared" si="247"/>
        <v>47.837972166998007</v>
      </c>
      <c r="J297" s="23">
        <f t="shared" si="248"/>
        <v>0.60884691848906558</v>
      </c>
      <c r="K297" s="23">
        <f t="shared" si="249"/>
        <v>8.6978131212723658E-2</v>
      </c>
      <c r="L297" s="22">
        <f t="shared" si="74"/>
        <v>14.990000000000009</v>
      </c>
      <c r="M297" s="18">
        <v>55.54</v>
      </c>
      <c r="N297" s="18">
        <v>9.9499999999999993</v>
      </c>
      <c r="O297" s="18">
        <v>19.52</v>
      </c>
      <c r="P297" s="18">
        <v>0.45</v>
      </c>
      <c r="Q297" s="18">
        <v>750</v>
      </c>
      <c r="R297" s="18" t="s">
        <v>51</v>
      </c>
      <c r="S297" s="53">
        <v>0</v>
      </c>
      <c r="T297" s="18">
        <v>14.7</v>
      </c>
      <c r="U297" s="21">
        <v>51.89</v>
      </c>
      <c r="V297" s="21">
        <v>17.38</v>
      </c>
      <c r="W297" s="18">
        <v>14.81</v>
      </c>
      <c r="X297" s="18">
        <v>5.92</v>
      </c>
      <c r="Y297" s="27">
        <f t="shared" si="264"/>
        <v>35.669973157934507</v>
      </c>
      <c r="Z297" s="18">
        <f t="shared" si="76"/>
        <v>0.82644628099173556</v>
      </c>
      <c r="AA297" s="18">
        <v>66.150000000000006</v>
      </c>
      <c r="AB297" s="18">
        <v>90.11</v>
      </c>
      <c r="AC297" s="21">
        <f t="shared" si="77"/>
        <v>11180</v>
      </c>
      <c r="AD297" s="18" t="s">
        <v>51</v>
      </c>
      <c r="AF297" s="1"/>
      <c r="AG297" s="29">
        <v>1.21</v>
      </c>
      <c r="AH297" s="29">
        <v>11.18</v>
      </c>
      <c r="AK297" s="1">
        <f t="shared" si="265"/>
        <v>5.7926492384975878</v>
      </c>
      <c r="AL297" s="1">
        <f t="shared" si="266"/>
        <v>10.446917897843413</v>
      </c>
      <c r="AM297" s="1">
        <f t="shared" si="267"/>
        <v>16.239567136341002</v>
      </c>
      <c r="AN297" s="1"/>
      <c r="AO297" s="30">
        <f t="shared" si="268"/>
        <v>33.380850928347783</v>
      </c>
      <c r="AP297" s="30">
        <f t="shared" si="269"/>
        <v>11.180558665150981</v>
      </c>
      <c r="AQ297" s="30">
        <f t="shared" si="270"/>
        <v>9.5272769753099009</v>
      </c>
      <c r="AR297" s="30">
        <f t="shared" si="271"/>
        <v>3.8083375890502773</v>
      </c>
      <c r="AS297" s="30">
        <f t="shared" si="272"/>
        <v>35.669973157934507</v>
      </c>
      <c r="AT297" s="31">
        <f t="shared" si="242"/>
        <v>93.566997315793458</v>
      </c>
      <c r="AV297" s="21">
        <f t="shared" si="86"/>
        <v>11180</v>
      </c>
    </row>
    <row r="298" spans="2:48" ht="15.75" customHeight="1" x14ac:dyDescent="0.25">
      <c r="B298" s="32"/>
      <c r="C298" s="18" t="s">
        <v>46</v>
      </c>
      <c r="D298" s="51"/>
      <c r="E298" s="18" t="s">
        <v>48</v>
      </c>
      <c r="F298" s="51"/>
      <c r="G298" s="18">
        <v>47.18</v>
      </c>
      <c r="H298" s="18">
        <v>3.6</v>
      </c>
      <c r="I298" s="18">
        <v>48.2</v>
      </c>
      <c r="J298" s="18">
        <v>1.01</v>
      </c>
      <c r="K298" s="18">
        <v>0.01</v>
      </c>
      <c r="L298" s="22">
        <f t="shared" si="74"/>
        <v>6.9699999999999989</v>
      </c>
      <c r="M298" s="18">
        <v>73.400000000000006</v>
      </c>
      <c r="N298" s="18">
        <v>13.63</v>
      </c>
      <c r="O298" s="18">
        <v>6</v>
      </c>
      <c r="P298" s="18">
        <v>0.3</v>
      </c>
      <c r="Q298" s="18">
        <v>880</v>
      </c>
      <c r="R298" s="18" t="s">
        <v>51</v>
      </c>
      <c r="S298" s="53">
        <v>0</v>
      </c>
      <c r="T298" s="18">
        <v>16.149999999999999</v>
      </c>
      <c r="U298" s="21">
        <v>8.49</v>
      </c>
      <c r="V298" s="21">
        <v>8.7100000000000009</v>
      </c>
      <c r="W298" s="18">
        <v>14.62</v>
      </c>
      <c r="X298" s="18">
        <v>1.52</v>
      </c>
      <c r="Y298" s="49">
        <f t="shared" ref="Y298:Y388" si="273">100-SUM(U298:X298)</f>
        <v>66.66</v>
      </c>
      <c r="Z298" s="18">
        <f t="shared" si="76"/>
        <v>0.50505050505050508</v>
      </c>
      <c r="AA298" s="18">
        <v>30.47</v>
      </c>
      <c r="AB298" s="18">
        <v>55.87</v>
      </c>
      <c r="AC298" s="21">
        <f t="shared" si="77"/>
        <v>2650</v>
      </c>
      <c r="AD298" s="18" t="s">
        <v>51</v>
      </c>
      <c r="AF298" s="1"/>
      <c r="AG298" s="29">
        <v>1.98</v>
      </c>
      <c r="AH298" s="29">
        <v>2.65</v>
      </c>
      <c r="AO298" s="30">
        <f t="shared" ref="AO298:AS298" si="274">U298</f>
        <v>8.49</v>
      </c>
      <c r="AP298" s="30">
        <f t="shared" si="274"/>
        <v>8.7100000000000009</v>
      </c>
      <c r="AQ298" s="30">
        <f t="shared" si="274"/>
        <v>14.62</v>
      </c>
      <c r="AR298" s="30">
        <f t="shared" si="274"/>
        <v>1.52</v>
      </c>
      <c r="AS298" s="30">
        <f t="shared" si="274"/>
        <v>66.66</v>
      </c>
      <c r="AT298" s="31">
        <f t="shared" si="242"/>
        <v>100</v>
      </c>
      <c r="AV298" s="21">
        <f t="shared" si="86"/>
        <v>2650</v>
      </c>
    </row>
    <row r="299" spans="2:48" ht="15.75" customHeight="1" x14ac:dyDescent="0.25">
      <c r="B299" s="32"/>
      <c r="C299" s="18" t="s">
        <v>46</v>
      </c>
      <c r="D299" s="51"/>
      <c r="E299" s="18" t="s">
        <v>48</v>
      </c>
      <c r="F299" s="51"/>
      <c r="G299" s="18">
        <v>47.18</v>
      </c>
      <c r="H299" s="18">
        <v>3.6</v>
      </c>
      <c r="I299" s="18">
        <v>48.2</v>
      </c>
      <c r="J299" s="18">
        <v>1.01</v>
      </c>
      <c r="K299" s="18">
        <v>0.01</v>
      </c>
      <c r="L299" s="22">
        <f t="shared" si="74"/>
        <v>6.9699999999999989</v>
      </c>
      <c r="M299" s="18">
        <v>73.400000000000006</v>
      </c>
      <c r="N299" s="18">
        <v>13.63</v>
      </c>
      <c r="O299" s="18">
        <v>6</v>
      </c>
      <c r="P299" s="18">
        <v>0.3</v>
      </c>
      <c r="Q299" s="18">
        <v>880</v>
      </c>
      <c r="R299" s="18" t="s">
        <v>51</v>
      </c>
      <c r="S299" s="53">
        <v>0</v>
      </c>
      <c r="T299" s="18">
        <v>16.149999999999999</v>
      </c>
      <c r="U299" s="21">
        <v>7.89</v>
      </c>
      <c r="V299" s="21">
        <v>9.26</v>
      </c>
      <c r="W299" s="18">
        <v>14.88</v>
      </c>
      <c r="X299" s="18">
        <v>1.36</v>
      </c>
      <c r="Y299" s="49">
        <f t="shared" si="273"/>
        <v>66.61</v>
      </c>
      <c r="Z299" s="18">
        <f t="shared" si="76"/>
        <v>0.49504950495049505</v>
      </c>
      <c r="AA299" s="18">
        <v>30.26</v>
      </c>
      <c r="AB299" s="18">
        <v>58.49</v>
      </c>
      <c r="AC299" s="21">
        <f t="shared" si="77"/>
        <v>2580</v>
      </c>
      <c r="AD299" s="18" t="s">
        <v>51</v>
      </c>
      <c r="AF299" s="1"/>
      <c r="AG299" s="29">
        <v>2.02</v>
      </c>
      <c r="AH299" s="29">
        <v>2.58</v>
      </c>
      <c r="AO299" s="30">
        <f t="shared" ref="AO299:AS299" si="275">U299</f>
        <v>7.89</v>
      </c>
      <c r="AP299" s="30">
        <f t="shared" si="275"/>
        <v>9.26</v>
      </c>
      <c r="AQ299" s="30">
        <f t="shared" si="275"/>
        <v>14.88</v>
      </c>
      <c r="AR299" s="30">
        <f t="shared" si="275"/>
        <v>1.36</v>
      </c>
      <c r="AS299" s="30">
        <f t="shared" si="275"/>
        <v>66.61</v>
      </c>
      <c r="AT299" s="31">
        <f t="shared" si="242"/>
        <v>100</v>
      </c>
      <c r="AV299" s="21">
        <f t="shared" si="86"/>
        <v>2580</v>
      </c>
    </row>
    <row r="300" spans="2:48" ht="15.75" customHeight="1" x14ac:dyDescent="0.25">
      <c r="B300" s="32"/>
      <c r="C300" s="18" t="s">
        <v>46</v>
      </c>
      <c r="D300" s="51"/>
      <c r="E300" s="18" t="s">
        <v>48</v>
      </c>
      <c r="F300" s="51"/>
      <c r="G300" s="18">
        <v>47.18</v>
      </c>
      <c r="H300" s="18">
        <v>3.6</v>
      </c>
      <c r="I300" s="18">
        <v>48.2</v>
      </c>
      <c r="J300" s="18">
        <v>1.01</v>
      </c>
      <c r="K300" s="18">
        <v>0.01</v>
      </c>
      <c r="L300" s="22">
        <f t="shared" si="74"/>
        <v>6.9699999999999989</v>
      </c>
      <c r="M300" s="18">
        <v>73.400000000000006</v>
      </c>
      <c r="N300" s="18">
        <v>13.63</v>
      </c>
      <c r="O300" s="18">
        <v>6</v>
      </c>
      <c r="P300" s="18">
        <v>0.3</v>
      </c>
      <c r="Q300" s="18">
        <v>880</v>
      </c>
      <c r="R300" s="18" t="s">
        <v>51</v>
      </c>
      <c r="S300" s="53">
        <v>0</v>
      </c>
      <c r="T300" s="18">
        <v>16.149999999999999</v>
      </c>
      <c r="U300" s="21">
        <v>9.5399999999999991</v>
      </c>
      <c r="V300" s="21">
        <v>10.119999999999999</v>
      </c>
      <c r="W300" s="18">
        <v>12.12</v>
      </c>
      <c r="X300" s="18">
        <v>1.89</v>
      </c>
      <c r="Y300" s="49">
        <f t="shared" si="273"/>
        <v>66.330000000000013</v>
      </c>
      <c r="Z300" s="18">
        <f t="shared" si="76"/>
        <v>0.44247787610619471</v>
      </c>
      <c r="AA300" s="18">
        <v>40.42</v>
      </c>
      <c r="AB300" s="18">
        <v>61.92</v>
      </c>
      <c r="AC300" s="21">
        <f t="shared" si="77"/>
        <v>3080</v>
      </c>
      <c r="AD300" s="18" t="s">
        <v>51</v>
      </c>
      <c r="AF300" s="1"/>
      <c r="AG300" s="29">
        <v>2.2599999999999998</v>
      </c>
      <c r="AH300" s="29">
        <v>3.08</v>
      </c>
      <c r="AO300" s="30">
        <f t="shared" ref="AO300:AS300" si="276">U300</f>
        <v>9.5399999999999991</v>
      </c>
      <c r="AP300" s="30">
        <f t="shared" si="276"/>
        <v>10.119999999999999</v>
      </c>
      <c r="AQ300" s="30">
        <f t="shared" si="276"/>
        <v>12.12</v>
      </c>
      <c r="AR300" s="30">
        <f t="shared" si="276"/>
        <v>1.89</v>
      </c>
      <c r="AS300" s="30">
        <f t="shared" si="276"/>
        <v>66.330000000000013</v>
      </c>
      <c r="AT300" s="31">
        <f t="shared" si="242"/>
        <v>100</v>
      </c>
      <c r="AV300" s="21">
        <f t="shared" si="86"/>
        <v>3080</v>
      </c>
    </row>
    <row r="301" spans="2:48" ht="15.75" customHeight="1" x14ac:dyDescent="0.25">
      <c r="B301" s="32"/>
      <c r="C301" s="18" t="s">
        <v>46</v>
      </c>
      <c r="D301" s="51"/>
      <c r="E301" s="18" t="s">
        <v>48</v>
      </c>
      <c r="F301" s="51"/>
      <c r="G301" s="18">
        <v>47.18</v>
      </c>
      <c r="H301" s="18">
        <v>3.6</v>
      </c>
      <c r="I301" s="18">
        <v>48.2</v>
      </c>
      <c r="J301" s="18">
        <v>1.01</v>
      </c>
      <c r="K301" s="18">
        <v>0.01</v>
      </c>
      <c r="L301" s="22">
        <f t="shared" si="74"/>
        <v>6.9699999999999989</v>
      </c>
      <c r="M301" s="18">
        <v>73.400000000000006</v>
      </c>
      <c r="N301" s="18">
        <v>13.63</v>
      </c>
      <c r="O301" s="18">
        <v>6</v>
      </c>
      <c r="P301" s="18">
        <v>0.3</v>
      </c>
      <c r="Q301" s="18">
        <v>880</v>
      </c>
      <c r="R301" s="18" t="s">
        <v>51</v>
      </c>
      <c r="S301" s="53">
        <v>0</v>
      </c>
      <c r="T301" s="18">
        <v>16.149999999999999</v>
      </c>
      <c r="U301" s="21">
        <v>10.17</v>
      </c>
      <c r="V301" s="21">
        <v>10.28</v>
      </c>
      <c r="W301" s="18">
        <v>11.63</v>
      </c>
      <c r="X301" s="18">
        <v>1.53</v>
      </c>
      <c r="Y301" s="49">
        <f t="shared" si="273"/>
        <v>66.39</v>
      </c>
      <c r="Z301" s="18">
        <f t="shared" si="76"/>
        <v>0.4587155963302752</v>
      </c>
      <c r="AA301" s="18">
        <v>38.49</v>
      </c>
      <c r="AB301" s="18">
        <v>58.02</v>
      </c>
      <c r="AC301" s="21">
        <f t="shared" si="77"/>
        <v>3040</v>
      </c>
      <c r="AD301" s="18" t="s">
        <v>51</v>
      </c>
      <c r="AF301" s="1"/>
      <c r="AG301" s="29">
        <v>2.1800000000000002</v>
      </c>
      <c r="AH301" s="29">
        <v>3.04</v>
      </c>
      <c r="AO301" s="30">
        <f t="shared" ref="AO301:AS301" si="277">U301</f>
        <v>10.17</v>
      </c>
      <c r="AP301" s="30">
        <f t="shared" si="277"/>
        <v>10.28</v>
      </c>
      <c r="AQ301" s="30">
        <f t="shared" si="277"/>
        <v>11.63</v>
      </c>
      <c r="AR301" s="30">
        <f t="shared" si="277"/>
        <v>1.53</v>
      </c>
      <c r="AS301" s="30">
        <f t="shared" si="277"/>
        <v>66.39</v>
      </c>
      <c r="AT301" s="31">
        <f t="shared" si="242"/>
        <v>100</v>
      </c>
      <c r="AV301" s="21">
        <f t="shared" si="86"/>
        <v>3040</v>
      </c>
    </row>
    <row r="302" spans="2:48" ht="15.75" customHeight="1" x14ac:dyDescent="0.25">
      <c r="B302" s="32"/>
      <c r="C302" s="18" t="s">
        <v>46</v>
      </c>
      <c r="D302" s="51"/>
      <c r="E302" s="18" t="s">
        <v>48</v>
      </c>
      <c r="F302" s="51"/>
      <c r="G302" s="18">
        <v>47.18</v>
      </c>
      <c r="H302" s="18">
        <v>3.6</v>
      </c>
      <c r="I302" s="18">
        <v>48.2</v>
      </c>
      <c r="J302" s="18">
        <v>1.01</v>
      </c>
      <c r="K302" s="18">
        <v>0.01</v>
      </c>
      <c r="L302" s="22">
        <f t="shared" si="74"/>
        <v>6.9699999999999989</v>
      </c>
      <c r="M302" s="18">
        <v>73.400000000000006</v>
      </c>
      <c r="N302" s="18">
        <v>13.63</v>
      </c>
      <c r="O302" s="18">
        <v>6</v>
      </c>
      <c r="P302" s="18">
        <v>0.3</v>
      </c>
      <c r="Q302" s="18">
        <v>880</v>
      </c>
      <c r="R302" s="18" t="s">
        <v>51</v>
      </c>
      <c r="S302" s="53">
        <v>0</v>
      </c>
      <c r="T302" s="18">
        <v>16.149999999999999</v>
      </c>
      <c r="U302" s="21">
        <v>10.55</v>
      </c>
      <c r="V302" s="21">
        <v>11.53</v>
      </c>
      <c r="W302" s="18">
        <v>11.58</v>
      </c>
      <c r="X302" s="18">
        <v>2.67</v>
      </c>
      <c r="Y302" s="49">
        <f t="shared" si="273"/>
        <v>63.67</v>
      </c>
      <c r="Z302" s="18">
        <f t="shared" si="76"/>
        <v>0.45248868778280543</v>
      </c>
      <c r="AA302" s="18">
        <v>47.1</v>
      </c>
      <c r="AB302" s="18">
        <v>64.69</v>
      </c>
      <c r="AC302" s="21">
        <f t="shared" si="77"/>
        <v>3670</v>
      </c>
      <c r="AD302" s="18" t="s">
        <v>51</v>
      </c>
      <c r="AF302" s="1"/>
      <c r="AG302" s="29">
        <v>2.21</v>
      </c>
      <c r="AH302" s="29">
        <v>3.67</v>
      </c>
      <c r="AO302" s="30">
        <f t="shared" ref="AO302:AS302" si="278">U302</f>
        <v>10.55</v>
      </c>
      <c r="AP302" s="30">
        <f t="shared" si="278"/>
        <v>11.53</v>
      </c>
      <c r="AQ302" s="30">
        <f t="shared" si="278"/>
        <v>11.58</v>
      </c>
      <c r="AR302" s="30">
        <f t="shared" si="278"/>
        <v>2.67</v>
      </c>
      <c r="AS302" s="30">
        <f t="shared" si="278"/>
        <v>63.67</v>
      </c>
      <c r="AT302" s="31">
        <f t="shared" si="242"/>
        <v>100</v>
      </c>
      <c r="AV302" s="21">
        <f t="shared" si="86"/>
        <v>3670</v>
      </c>
    </row>
    <row r="303" spans="2:48" ht="15.75" customHeight="1" x14ac:dyDescent="0.25">
      <c r="B303" s="32"/>
      <c r="C303" s="18" t="s">
        <v>46</v>
      </c>
      <c r="D303" s="51"/>
      <c r="E303" s="18" t="s">
        <v>48</v>
      </c>
      <c r="F303" s="51"/>
      <c r="G303" s="18">
        <v>47.18</v>
      </c>
      <c r="H303" s="18">
        <v>3.6</v>
      </c>
      <c r="I303" s="18">
        <v>48.2</v>
      </c>
      <c r="J303" s="18">
        <v>1.01</v>
      </c>
      <c r="K303" s="18">
        <v>0.01</v>
      </c>
      <c r="L303" s="22">
        <f t="shared" si="74"/>
        <v>6.9699999999999989</v>
      </c>
      <c r="M303" s="18">
        <v>73.400000000000006</v>
      </c>
      <c r="N303" s="18">
        <v>13.63</v>
      </c>
      <c r="O303" s="18">
        <v>6</v>
      </c>
      <c r="P303" s="18">
        <v>0.3</v>
      </c>
      <c r="Q303" s="18">
        <v>880</v>
      </c>
      <c r="R303" s="18" t="s">
        <v>51</v>
      </c>
      <c r="S303" s="53">
        <v>0</v>
      </c>
      <c r="T303" s="18">
        <v>16.149999999999999</v>
      </c>
      <c r="U303" s="21">
        <v>10.61</v>
      </c>
      <c r="V303" s="21">
        <v>12.57</v>
      </c>
      <c r="W303" s="18">
        <v>11.05</v>
      </c>
      <c r="X303" s="18">
        <v>3.82</v>
      </c>
      <c r="Y303" s="49">
        <f t="shared" si="273"/>
        <v>61.949999999999996</v>
      </c>
      <c r="Z303" s="18">
        <f t="shared" si="76"/>
        <v>0.43103448275862072</v>
      </c>
      <c r="AA303" s="18">
        <v>56.99</v>
      </c>
      <c r="AB303" s="18">
        <v>72.28</v>
      </c>
      <c r="AC303" s="21">
        <f t="shared" si="77"/>
        <v>4230</v>
      </c>
      <c r="AD303" s="18" t="s">
        <v>51</v>
      </c>
      <c r="AF303" s="1"/>
      <c r="AG303" s="29">
        <v>2.3199999999999998</v>
      </c>
      <c r="AH303" s="29">
        <v>4.2300000000000004</v>
      </c>
      <c r="AO303" s="30">
        <f t="shared" ref="AO303:AS303" si="279">U303</f>
        <v>10.61</v>
      </c>
      <c r="AP303" s="30">
        <f t="shared" si="279"/>
        <v>12.57</v>
      </c>
      <c r="AQ303" s="30">
        <f t="shared" si="279"/>
        <v>11.05</v>
      </c>
      <c r="AR303" s="30">
        <f t="shared" si="279"/>
        <v>3.82</v>
      </c>
      <c r="AS303" s="30">
        <f t="shared" si="279"/>
        <v>61.949999999999996</v>
      </c>
      <c r="AT303" s="31">
        <f t="shared" si="242"/>
        <v>100</v>
      </c>
      <c r="AV303" s="21">
        <f t="shared" si="86"/>
        <v>4230</v>
      </c>
    </row>
    <row r="304" spans="2:48" ht="15.75" customHeight="1" x14ac:dyDescent="0.25">
      <c r="B304" s="32"/>
      <c r="C304" s="18" t="s">
        <v>46</v>
      </c>
      <c r="D304" s="51"/>
      <c r="E304" s="18" t="s">
        <v>48</v>
      </c>
      <c r="F304" s="51"/>
      <c r="G304" s="18">
        <v>47.18</v>
      </c>
      <c r="H304" s="18">
        <v>3.6</v>
      </c>
      <c r="I304" s="18">
        <v>48.2</v>
      </c>
      <c r="J304" s="18">
        <v>1.01</v>
      </c>
      <c r="K304" s="18">
        <v>0.01</v>
      </c>
      <c r="L304" s="22">
        <f t="shared" si="74"/>
        <v>6.9699999999999989</v>
      </c>
      <c r="M304" s="18">
        <v>73.400000000000006</v>
      </c>
      <c r="N304" s="18">
        <v>13.63</v>
      </c>
      <c r="O304" s="18">
        <v>6</v>
      </c>
      <c r="P304" s="18">
        <v>0.3</v>
      </c>
      <c r="Q304" s="18">
        <v>880</v>
      </c>
      <c r="R304" s="18" t="s">
        <v>51</v>
      </c>
      <c r="S304" s="53">
        <v>0</v>
      </c>
      <c r="T304" s="18">
        <v>16.149999999999999</v>
      </c>
      <c r="U304" s="21">
        <v>7.54</v>
      </c>
      <c r="V304" s="21">
        <v>8.24</v>
      </c>
      <c r="W304" s="18">
        <v>15.61</v>
      </c>
      <c r="X304" s="18">
        <v>1.08</v>
      </c>
      <c r="Y304" s="49">
        <f t="shared" si="273"/>
        <v>67.53</v>
      </c>
      <c r="Z304" s="18">
        <f t="shared" si="76"/>
        <v>0.4464285714285714</v>
      </c>
      <c r="AA304" s="18">
        <v>30.05</v>
      </c>
      <c r="AB304" s="18">
        <v>63.41</v>
      </c>
      <c r="AC304" s="21">
        <f t="shared" si="77"/>
        <v>2310</v>
      </c>
      <c r="AD304" s="18" t="s">
        <v>51</v>
      </c>
      <c r="AF304" s="1"/>
      <c r="AG304" s="29">
        <v>2.2400000000000002</v>
      </c>
      <c r="AH304" s="29">
        <v>2.31</v>
      </c>
      <c r="AO304" s="30">
        <f t="shared" ref="AO304:AS304" si="280">U304</f>
        <v>7.54</v>
      </c>
      <c r="AP304" s="30">
        <f t="shared" si="280"/>
        <v>8.24</v>
      </c>
      <c r="AQ304" s="30">
        <f t="shared" si="280"/>
        <v>15.61</v>
      </c>
      <c r="AR304" s="30">
        <f t="shared" si="280"/>
        <v>1.08</v>
      </c>
      <c r="AS304" s="30">
        <f t="shared" si="280"/>
        <v>67.53</v>
      </c>
      <c r="AT304" s="31">
        <f t="shared" si="242"/>
        <v>100</v>
      </c>
      <c r="AV304" s="21">
        <f t="shared" si="86"/>
        <v>2310</v>
      </c>
    </row>
    <row r="305" spans="2:48" ht="15.75" customHeight="1" x14ac:dyDescent="0.25">
      <c r="B305" s="32"/>
      <c r="C305" s="18" t="s">
        <v>46</v>
      </c>
      <c r="D305" s="51"/>
      <c r="E305" s="18" t="s">
        <v>48</v>
      </c>
      <c r="F305" s="51"/>
      <c r="G305" s="18">
        <v>47.18</v>
      </c>
      <c r="H305" s="18">
        <v>3.6</v>
      </c>
      <c r="I305" s="18">
        <v>48.2</v>
      </c>
      <c r="J305" s="18">
        <v>1.01</v>
      </c>
      <c r="K305" s="18">
        <v>0.01</v>
      </c>
      <c r="L305" s="22">
        <f t="shared" si="74"/>
        <v>6.9699999999999989</v>
      </c>
      <c r="M305" s="18">
        <v>73.400000000000006</v>
      </c>
      <c r="N305" s="18">
        <v>13.63</v>
      </c>
      <c r="O305" s="18">
        <v>6</v>
      </c>
      <c r="P305" s="18">
        <v>0.3</v>
      </c>
      <c r="Q305" s="18">
        <v>880</v>
      </c>
      <c r="R305" s="18" t="s">
        <v>51</v>
      </c>
      <c r="S305" s="53">
        <v>0</v>
      </c>
      <c r="T305" s="18">
        <v>16.149999999999999</v>
      </c>
      <c r="U305" s="21">
        <v>8.6199999999999992</v>
      </c>
      <c r="V305" s="21">
        <v>9.2100000000000009</v>
      </c>
      <c r="W305" s="18">
        <v>15.22</v>
      </c>
      <c r="X305" s="18">
        <v>1.59</v>
      </c>
      <c r="Y305" s="49">
        <f t="shared" si="273"/>
        <v>65.36</v>
      </c>
      <c r="Z305" s="18">
        <f t="shared" si="76"/>
        <v>0.47169811320754712</v>
      </c>
      <c r="AA305" s="18">
        <v>33.86</v>
      </c>
      <c r="AB305" s="18">
        <v>62.64</v>
      </c>
      <c r="AC305" s="21">
        <f t="shared" si="77"/>
        <v>2750</v>
      </c>
      <c r="AD305" s="18" t="s">
        <v>51</v>
      </c>
      <c r="AF305" s="1"/>
      <c r="AG305" s="29">
        <v>2.12</v>
      </c>
      <c r="AH305" s="29">
        <v>2.75</v>
      </c>
      <c r="AO305" s="30">
        <f t="shared" ref="AO305:AS305" si="281">U305</f>
        <v>8.6199999999999992</v>
      </c>
      <c r="AP305" s="30">
        <f t="shared" si="281"/>
        <v>9.2100000000000009</v>
      </c>
      <c r="AQ305" s="30">
        <f t="shared" si="281"/>
        <v>15.22</v>
      </c>
      <c r="AR305" s="30">
        <f t="shared" si="281"/>
        <v>1.59</v>
      </c>
      <c r="AS305" s="30">
        <f t="shared" si="281"/>
        <v>65.36</v>
      </c>
      <c r="AT305" s="31">
        <f t="shared" si="242"/>
        <v>100</v>
      </c>
      <c r="AV305" s="21">
        <f t="shared" si="86"/>
        <v>2750</v>
      </c>
    </row>
    <row r="306" spans="2:48" ht="15.75" customHeight="1" x14ac:dyDescent="0.25">
      <c r="B306" s="32"/>
      <c r="C306" s="18" t="s">
        <v>46</v>
      </c>
      <c r="D306" s="51"/>
      <c r="E306" s="18" t="s">
        <v>48</v>
      </c>
      <c r="F306" s="51"/>
      <c r="G306" s="18">
        <v>47.18</v>
      </c>
      <c r="H306" s="18">
        <v>3.6</v>
      </c>
      <c r="I306" s="18">
        <v>48.2</v>
      </c>
      <c r="J306" s="18">
        <v>1.01</v>
      </c>
      <c r="K306" s="18">
        <v>0.01</v>
      </c>
      <c r="L306" s="22">
        <f t="shared" si="74"/>
        <v>6.9699999999999989</v>
      </c>
      <c r="M306" s="18">
        <v>73.400000000000006</v>
      </c>
      <c r="N306" s="18">
        <v>13.63</v>
      </c>
      <c r="O306" s="18">
        <v>6</v>
      </c>
      <c r="P306" s="18">
        <v>0.3</v>
      </c>
      <c r="Q306" s="18">
        <v>880</v>
      </c>
      <c r="R306" s="18" t="s">
        <v>51</v>
      </c>
      <c r="S306" s="53">
        <v>0</v>
      </c>
      <c r="T306" s="18">
        <v>16.149999999999999</v>
      </c>
      <c r="U306" s="21">
        <v>8.7899999999999991</v>
      </c>
      <c r="V306" s="21">
        <v>10.52</v>
      </c>
      <c r="W306" s="18">
        <v>14.17</v>
      </c>
      <c r="X306" s="18">
        <v>1.32</v>
      </c>
      <c r="Y306" s="49">
        <f t="shared" si="273"/>
        <v>65.2</v>
      </c>
      <c r="Z306" s="18">
        <f t="shared" si="76"/>
        <v>0.4464285714285714</v>
      </c>
      <c r="AA306" s="18">
        <v>36.68</v>
      </c>
      <c r="AB306" s="18">
        <v>66.16</v>
      </c>
      <c r="AC306" s="21">
        <f t="shared" si="77"/>
        <v>2820</v>
      </c>
      <c r="AD306" s="18" t="s">
        <v>51</v>
      </c>
      <c r="AF306" s="1"/>
      <c r="AG306" s="29">
        <v>2.2400000000000002</v>
      </c>
      <c r="AH306" s="29">
        <v>2.82</v>
      </c>
      <c r="AO306" s="30">
        <f t="shared" ref="AO306:AS306" si="282">U306</f>
        <v>8.7899999999999991</v>
      </c>
      <c r="AP306" s="30">
        <f t="shared" si="282"/>
        <v>10.52</v>
      </c>
      <c r="AQ306" s="30">
        <f t="shared" si="282"/>
        <v>14.17</v>
      </c>
      <c r="AR306" s="30">
        <f t="shared" si="282"/>
        <v>1.32</v>
      </c>
      <c r="AS306" s="30">
        <f t="shared" si="282"/>
        <v>65.2</v>
      </c>
      <c r="AT306" s="31">
        <f t="shared" si="242"/>
        <v>100</v>
      </c>
      <c r="AV306" s="21">
        <f t="shared" si="86"/>
        <v>2820</v>
      </c>
    </row>
    <row r="307" spans="2:48" ht="15.75" customHeight="1" x14ac:dyDescent="0.25">
      <c r="B307" s="32"/>
      <c r="C307" s="18" t="s">
        <v>46</v>
      </c>
      <c r="D307" s="51"/>
      <c r="E307" s="18" t="s">
        <v>48</v>
      </c>
      <c r="F307" s="51"/>
      <c r="G307" s="18">
        <v>47.18</v>
      </c>
      <c r="H307" s="18">
        <v>3.6</v>
      </c>
      <c r="I307" s="18">
        <v>48.2</v>
      </c>
      <c r="J307" s="18">
        <v>1.01</v>
      </c>
      <c r="K307" s="18">
        <v>0.01</v>
      </c>
      <c r="L307" s="22">
        <f t="shared" si="74"/>
        <v>6.9699999999999989</v>
      </c>
      <c r="M307" s="18">
        <v>73.400000000000006</v>
      </c>
      <c r="N307" s="18">
        <v>13.63</v>
      </c>
      <c r="O307" s="18">
        <v>6</v>
      </c>
      <c r="P307" s="18">
        <v>0.3</v>
      </c>
      <c r="Q307" s="18">
        <v>880</v>
      </c>
      <c r="R307" s="18" t="s">
        <v>51</v>
      </c>
      <c r="S307" s="53">
        <v>0</v>
      </c>
      <c r="T307" s="18">
        <v>16.149999999999999</v>
      </c>
      <c r="U307" s="21">
        <v>9.5299999999999994</v>
      </c>
      <c r="V307" s="21">
        <v>11.12</v>
      </c>
      <c r="W307" s="18">
        <v>12.83</v>
      </c>
      <c r="X307" s="18">
        <v>2.54</v>
      </c>
      <c r="Y307" s="49">
        <f t="shared" si="273"/>
        <v>63.980000000000004</v>
      </c>
      <c r="Z307" s="18">
        <f t="shared" si="76"/>
        <v>0.37313432835820892</v>
      </c>
      <c r="AA307" s="18">
        <v>53.54</v>
      </c>
      <c r="AB307" s="18">
        <v>80.61</v>
      </c>
      <c r="AC307" s="21">
        <f t="shared" si="77"/>
        <v>3440</v>
      </c>
      <c r="AD307" s="18" t="s">
        <v>51</v>
      </c>
      <c r="AF307" s="1"/>
      <c r="AG307" s="29">
        <v>2.68</v>
      </c>
      <c r="AH307" s="29">
        <v>3.44</v>
      </c>
      <c r="AO307" s="30">
        <f t="shared" ref="AO307:AS307" si="283">U307</f>
        <v>9.5299999999999994</v>
      </c>
      <c r="AP307" s="30">
        <f t="shared" si="283"/>
        <v>11.12</v>
      </c>
      <c r="AQ307" s="30">
        <f t="shared" si="283"/>
        <v>12.83</v>
      </c>
      <c r="AR307" s="30">
        <f t="shared" si="283"/>
        <v>2.54</v>
      </c>
      <c r="AS307" s="30">
        <f t="shared" si="283"/>
        <v>63.980000000000004</v>
      </c>
      <c r="AT307" s="31">
        <f t="shared" si="242"/>
        <v>100</v>
      </c>
      <c r="AV307" s="21">
        <f t="shared" si="86"/>
        <v>3440</v>
      </c>
    </row>
    <row r="308" spans="2:48" ht="15.75" customHeight="1" x14ac:dyDescent="0.25">
      <c r="B308" s="32"/>
      <c r="C308" s="18" t="s">
        <v>46</v>
      </c>
      <c r="D308" s="51"/>
      <c r="E308" s="18" t="s">
        <v>48</v>
      </c>
      <c r="F308" s="51"/>
      <c r="G308" s="18">
        <v>47.18</v>
      </c>
      <c r="H308" s="18">
        <v>3.6</v>
      </c>
      <c r="I308" s="18">
        <v>48.2</v>
      </c>
      <c r="J308" s="18">
        <v>1.01</v>
      </c>
      <c r="K308" s="18">
        <v>0.01</v>
      </c>
      <c r="L308" s="22">
        <f t="shared" si="74"/>
        <v>6.9699999999999989</v>
      </c>
      <c r="M308" s="18">
        <v>73.400000000000006</v>
      </c>
      <c r="N308" s="18">
        <v>13.63</v>
      </c>
      <c r="O308" s="18">
        <v>6</v>
      </c>
      <c r="P308" s="18">
        <v>0.3</v>
      </c>
      <c r="Q308" s="18">
        <v>880</v>
      </c>
      <c r="R308" s="18" t="s">
        <v>51</v>
      </c>
      <c r="S308" s="53">
        <v>0</v>
      </c>
      <c r="T308" s="18">
        <v>16.149999999999999</v>
      </c>
      <c r="U308" s="21">
        <v>10.46</v>
      </c>
      <c r="V308" s="21">
        <v>10.91</v>
      </c>
      <c r="W308" s="18">
        <v>11.69</v>
      </c>
      <c r="X308" s="18">
        <v>2.5</v>
      </c>
      <c r="Y308" s="49">
        <f t="shared" si="273"/>
        <v>64.44</v>
      </c>
      <c r="Z308" s="18">
        <f t="shared" si="76"/>
        <v>0.3968253968253968</v>
      </c>
      <c r="AA308" s="18">
        <v>51.51</v>
      </c>
      <c r="AB308" s="18">
        <v>71.819999999999993</v>
      </c>
      <c r="AC308" s="21">
        <f t="shared" si="77"/>
        <v>3520</v>
      </c>
      <c r="AD308" s="18" t="s">
        <v>51</v>
      </c>
      <c r="AF308" s="1"/>
      <c r="AG308" s="29">
        <v>2.52</v>
      </c>
      <c r="AH308" s="29">
        <v>3.52</v>
      </c>
      <c r="AO308" s="30">
        <f t="shared" ref="AO308:AS308" si="284">U308</f>
        <v>10.46</v>
      </c>
      <c r="AP308" s="30">
        <f t="shared" si="284"/>
        <v>10.91</v>
      </c>
      <c r="AQ308" s="30">
        <f t="shared" si="284"/>
        <v>11.69</v>
      </c>
      <c r="AR308" s="30">
        <f t="shared" si="284"/>
        <v>2.5</v>
      </c>
      <c r="AS308" s="30">
        <f t="shared" si="284"/>
        <v>64.44</v>
      </c>
      <c r="AT308" s="31">
        <f t="shared" si="242"/>
        <v>100</v>
      </c>
      <c r="AV308" s="21">
        <f t="shared" si="86"/>
        <v>3520</v>
      </c>
    </row>
    <row r="309" spans="2:48" ht="15.75" customHeight="1" x14ac:dyDescent="0.25">
      <c r="B309" s="32"/>
      <c r="C309" s="18" t="s">
        <v>46</v>
      </c>
      <c r="D309" s="51"/>
      <c r="E309" s="18" t="s">
        <v>48</v>
      </c>
      <c r="F309" s="51"/>
      <c r="G309" s="18">
        <v>47.18</v>
      </c>
      <c r="H309" s="18">
        <v>3.6</v>
      </c>
      <c r="I309" s="18">
        <v>48.2</v>
      </c>
      <c r="J309" s="18">
        <v>1.01</v>
      </c>
      <c r="K309" s="18">
        <v>0.01</v>
      </c>
      <c r="L309" s="22">
        <f t="shared" si="74"/>
        <v>6.9699999999999989</v>
      </c>
      <c r="M309" s="18">
        <v>73.400000000000006</v>
      </c>
      <c r="N309" s="18">
        <v>13.63</v>
      </c>
      <c r="O309" s="18">
        <v>6</v>
      </c>
      <c r="P309" s="18">
        <v>0.3</v>
      </c>
      <c r="Q309" s="18">
        <v>880</v>
      </c>
      <c r="R309" s="18" t="s">
        <v>51</v>
      </c>
      <c r="S309" s="53">
        <v>0</v>
      </c>
      <c r="T309" s="18">
        <v>16.149999999999999</v>
      </c>
      <c r="U309" s="21">
        <v>10.57</v>
      </c>
      <c r="V309" s="21">
        <v>12.68</v>
      </c>
      <c r="W309" s="18">
        <v>11.83</v>
      </c>
      <c r="X309" s="18">
        <v>3.6</v>
      </c>
      <c r="Y309" s="49">
        <f t="shared" si="273"/>
        <v>61.32</v>
      </c>
      <c r="Z309" s="18">
        <f t="shared" si="76"/>
        <v>0.37174721189591081</v>
      </c>
      <c r="AA309" s="18">
        <v>64.98</v>
      </c>
      <c r="AB309" s="18">
        <v>85.86</v>
      </c>
      <c r="AC309" s="21">
        <f t="shared" si="77"/>
        <v>4160</v>
      </c>
      <c r="AD309" s="18" t="s">
        <v>51</v>
      </c>
      <c r="AF309" s="1"/>
      <c r="AG309" s="29">
        <v>2.69</v>
      </c>
      <c r="AH309" s="29">
        <v>4.16</v>
      </c>
      <c r="AO309" s="30">
        <f t="shared" ref="AO309:AS309" si="285">U309</f>
        <v>10.57</v>
      </c>
      <c r="AP309" s="30">
        <f t="shared" si="285"/>
        <v>12.68</v>
      </c>
      <c r="AQ309" s="30">
        <f t="shared" si="285"/>
        <v>11.83</v>
      </c>
      <c r="AR309" s="30">
        <f t="shared" si="285"/>
        <v>3.6</v>
      </c>
      <c r="AS309" s="30">
        <f t="shared" si="285"/>
        <v>61.32</v>
      </c>
      <c r="AT309" s="31">
        <f t="shared" si="242"/>
        <v>100</v>
      </c>
      <c r="AV309" s="21">
        <f t="shared" si="86"/>
        <v>4160</v>
      </c>
    </row>
    <row r="310" spans="2:48" ht="15.75" customHeight="1" x14ac:dyDescent="0.25">
      <c r="B310" s="32"/>
      <c r="C310" s="18" t="s">
        <v>46</v>
      </c>
      <c r="D310" s="51"/>
      <c r="E310" s="18" t="s">
        <v>48</v>
      </c>
      <c r="F310" s="51"/>
      <c r="G310" s="18">
        <v>47.18</v>
      </c>
      <c r="H310" s="18">
        <v>3.6</v>
      </c>
      <c r="I310" s="18">
        <v>48.2</v>
      </c>
      <c r="J310" s="18">
        <v>1.01</v>
      </c>
      <c r="K310" s="18">
        <v>0.01</v>
      </c>
      <c r="L310" s="22">
        <f t="shared" si="74"/>
        <v>6.9699999999999989</v>
      </c>
      <c r="M310" s="18">
        <v>73.400000000000006</v>
      </c>
      <c r="N310" s="18">
        <v>13.63</v>
      </c>
      <c r="O310" s="18">
        <v>6</v>
      </c>
      <c r="P310" s="18">
        <v>0.3</v>
      </c>
      <c r="Q310" s="18">
        <v>880</v>
      </c>
      <c r="R310" s="18" t="s">
        <v>51</v>
      </c>
      <c r="S310" s="53">
        <v>0</v>
      </c>
      <c r="T310" s="18">
        <v>16.149999999999999</v>
      </c>
      <c r="U310" s="21">
        <v>5.62</v>
      </c>
      <c r="V310" s="21">
        <v>6.54</v>
      </c>
      <c r="W310" s="18">
        <v>16.239999999999998</v>
      </c>
      <c r="X310" s="18">
        <v>1.91</v>
      </c>
      <c r="Y310" s="49">
        <f t="shared" si="273"/>
        <v>69.69</v>
      </c>
      <c r="Z310" s="18">
        <f t="shared" si="76"/>
        <v>0.36630036630036628</v>
      </c>
      <c r="AA310" s="18">
        <v>34.56</v>
      </c>
      <c r="AB310" s="18">
        <v>76.53</v>
      </c>
      <c r="AC310" s="21">
        <f t="shared" si="77"/>
        <v>2180</v>
      </c>
      <c r="AD310" s="18" t="s">
        <v>51</v>
      </c>
      <c r="AF310" s="1"/>
      <c r="AG310" s="29">
        <v>2.73</v>
      </c>
      <c r="AH310" s="29">
        <v>2.1800000000000002</v>
      </c>
      <c r="AO310" s="30">
        <f t="shared" ref="AO310:AS310" si="286">U310</f>
        <v>5.62</v>
      </c>
      <c r="AP310" s="30">
        <f t="shared" si="286"/>
        <v>6.54</v>
      </c>
      <c r="AQ310" s="30">
        <f t="shared" si="286"/>
        <v>16.239999999999998</v>
      </c>
      <c r="AR310" s="30">
        <f t="shared" si="286"/>
        <v>1.91</v>
      </c>
      <c r="AS310" s="30">
        <f t="shared" si="286"/>
        <v>69.69</v>
      </c>
      <c r="AT310" s="31">
        <f t="shared" si="242"/>
        <v>100</v>
      </c>
      <c r="AV310" s="21">
        <f t="shared" si="86"/>
        <v>2180</v>
      </c>
    </row>
    <row r="311" spans="2:48" ht="15.75" customHeight="1" x14ac:dyDescent="0.25">
      <c r="B311" s="32"/>
      <c r="C311" s="18" t="s">
        <v>46</v>
      </c>
      <c r="D311" s="51"/>
      <c r="E311" s="18" t="s">
        <v>48</v>
      </c>
      <c r="F311" s="51"/>
      <c r="G311" s="18">
        <v>47.18</v>
      </c>
      <c r="H311" s="18">
        <v>3.6</v>
      </c>
      <c r="I311" s="18">
        <v>48.2</v>
      </c>
      <c r="J311" s="18">
        <v>1.01</v>
      </c>
      <c r="K311" s="18">
        <v>0.01</v>
      </c>
      <c r="L311" s="22">
        <f t="shared" si="74"/>
        <v>6.9699999999999989</v>
      </c>
      <c r="M311" s="18">
        <v>73.400000000000006</v>
      </c>
      <c r="N311" s="18">
        <v>13.63</v>
      </c>
      <c r="O311" s="18">
        <v>6</v>
      </c>
      <c r="P311" s="18">
        <v>0.3</v>
      </c>
      <c r="Q311" s="18">
        <v>880</v>
      </c>
      <c r="R311" s="18" t="s">
        <v>51</v>
      </c>
      <c r="S311" s="53">
        <v>0</v>
      </c>
      <c r="T311" s="18">
        <v>16.149999999999999</v>
      </c>
      <c r="U311" s="21">
        <v>6.87</v>
      </c>
      <c r="V311" s="21">
        <v>8.94</v>
      </c>
      <c r="W311" s="18">
        <v>15.48</v>
      </c>
      <c r="X311" s="18">
        <v>1.21</v>
      </c>
      <c r="Y311" s="49">
        <f t="shared" si="273"/>
        <v>67.5</v>
      </c>
      <c r="Z311" s="18">
        <f t="shared" si="76"/>
        <v>0.31847133757961782</v>
      </c>
      <c r="AA311" s="18">
        <v>43.03</v>
      </c>
      <c r="AB311" s="18">
        <v>91.38</v>
      </c>
      <c r="AC311" s="21">
        <f t="shared" si="77"/>
        <v>2360</v>
      </c>
      <c r="AD311" s="18" t="s">
        <v>51</v>
      </c>
      <c r="AF311" s="1"/>
      <c r="AG311" s="29">
        <v>3.14</v>
      </c>
      <c r="AH311" s="29">
        <v>2.36</v>
      </c>
      <c r="AO311" s="30">
        <f t="shared" ref="AO311:AS311" si="287">U311</f>
        <v>6.87</v>
      </c>
      <c r="AP311" s="30">
        <f t="shared" si="287"/>
        <v>8.94</v>
      </c>
      <c r="AQ311" s="30">
        <f t="shared" si="287"/>
        <v>15.48</v>
      </c>
      <c r="AR311" s="30">
        <f t="shared" si="287"/>
        <v>1.21</v>
      </c>
      <c r="AS311" s="30">
        <f t="shared" si="287"/>
        <v>67.5</v>
      </c>
      <c r="AT311" s="31">
        <f t="shared" si="242"/>
        <v>100</v>
      </c>
      <c r="AV311" s="21">
        <f t="shared" si="86"/>
        <v>2360</v>
      </c>
    </row>
    <row r="312" spans="2:48" ht="15.75" customHeight="1" x14ac:dyDescent="0.25">
      <c r="B312" s="32"/>
      <c r="C312" s="18" t="s">
        <v>46</v>
      </c>
      <c r="D312" s="51"/>
      <c r="E312" s="18" t="s">
        <v>48</v>
      </c>
      <c r="F312" s="51"/>
      <c r="G312" s="18">
        <v>47.18</v>
      </c>
      <c r="H312" s="18">
        <v>3.6</v>
      </c>
      <c r="I312" s="18">
        <v>48.2</v>
      </c>
      <c r="J312" s="18">
        <v>1.01</v>
      </c>
      <c r="K312" s="18">
        <v>0.01</v>
      </c>
      <c r="L312" s="22">
        <f t="shared" si="74"/>
        <v>6.9699999999999989</v>
      </c>
      <c r="M312" s="18">
        <v>73.400000000000006</v>
      </c>
      <c r="N312" s="18">
        <v>13.63</v>
      </c>
      <c r="O312" s="18">
        <v>6</v>
      </c>
      <c r="P312" s="18">
        <v>0.3</v>
      </c>
      <c r="Q312" s="18">
        <v>880</v>
      </c>
      <c r="R312" s="18" t="s">
        <v>51</v>
      </c>
      <c r="S312" s="53">
        <v>0</v>
      </c>
      <c r="T312" s="18">
        <v>16.149999999999999</v>
      </c>
      <c r="U312" s="21">
        <v>7.23</v>
      </c>
      <c r="V312" s="21">
        <v>8.31</v>
      </c>
      <c r="W312" s="18">
        <v>14.32</v>
      </c>
      <c r="X312" s="18">
        <v>1.86</v>
      </c>
      <c r="Y312" s="49">
        <f t="shared" si="273"/>
        <v>68.28</v>
      </c>
      <c r="Z312" s="18">
        <f t="shared" si="76"/>
        <v>0.35335689045936397</v>
      </c>
      <c r="AA312" s="18">
        <v>42.23</v>
      </c>
      <c r="AB312" s="18">
        <v>78.7</v>
      </c>
      <c r="AC312" s="21">
        <f t="shared" si="77"/>
        <v>2570</v>
      </c>
      <c r="AD312" s="18" t="s">
        <v>51</v>
      </c>
      <c r="AF312" s="1"/>
      <c r="AG312" s="29">
        <v>2.83</v>
      </c>
      <c r="AH312" s="29">
        <v>2.57</v>
      </c>
      <c r="AO312" s="30">
        <f t="shared" ref="AO312:AS312" si="288">U312</f>
        <v>7.23</v>
      </c>
      <c r="AP312" s="30">
        <f t="shared" si="288"/>
        <v>8.31</v>
      </c>
      <c r="AQ312" s="30">
        <f t="shared" si="288"/>
        <v>14.32</v>
      </c>
      <c r="AR312" s="30">
        <f t="shared" si="288"/>
        <v>1.86</v>
      </c>
      <c r="AS312" s="30">
        <f t="shared" si="288"/>
        <v>68.28</v>
      </c>
      <c r="AT312" s="31">
        <f t="shared" si="242"/>
        <v>100</v>
      </c>
      <c r="AV312" s="21">
        <f t="shared" si="86"/>
        <v>2570</v>
      </c>
    </row>
    <row r="313" spans="2:48" ht="15.75" customHeight="1" x14ac:dyDescent="0.25">
      <c r="B313" s="32"/>
      <c r="C313" s="18" t="s">
        <v>46</v>
      </c>
      <c r="D313" s="51"/>
      <c r="E313" s="18" t="s">
        <v>48</v>
      </c>
      <c r="F313" s="51"/>
      <c r="G313" s="18">
        <v>47.18</v>
      </c>
      <c r="H313" s="18">
        <v>3.6</v>
      </c>
      <c r="I313" s="18">
        <v>48.2</v>
      </c>
      <c r="J313" s="18">
        <v>1.01</v>
      </c>
      <c r="K313" s="18">
        <v>0.01</v>
      </c>
      <c r="L313" s="22">
        <f t="shared" si="74"/>
        <v>6.9699999999999989</v>
      </c>
      <c r="M313" s="18">
        <v>73.400000000000006</v>
      </c>
      <c r="N313" s="18">
        <v>13.63</v>
      </c>
      <c r="O313" s="18">
        <v>6</v>
      </c>
      <c r="P313" s="18">
        <v>0.3</v>
      </c>
      <c r="Q313" s="18">
        <v>880</v>
      </c>
      <c r="R313" s="18" t="s">
        <v>51</v>
      </c>
      <c r="S313" s="53">
        <v>0</v>
      </c>
      <c r="T313" s="18">
        <v>16.149999999999999</v>
      </c>
      <c r="U313" s="21">
        <v>9.61</v>
      </c>
      <c r="V313" s="21">
        <v>10.52</v>
      </c>
      <c r="W313" s="18">
        <v>13.67</v>
      </c>
      <c r="X313" s="18">
        <v>1.33</v>
      </c>
      <c r="Y313" s="49">
        <f t="shared" si="273"/>
        <v>64.87</v>
      </c>
      <c r="Z313" s="18">
        <f t="shared" si="76"/>
        <v>0.30864197530864196</v>
      </c>
      <c r="AA313" s="18">
        <v>55.13</v>
      </c>
      <c r="AB313" s="18">
        <v>93.89</v>
      </c>
      <c r="AC313" s="21">
        <f t="shared" si="77"/>
        <v>2930</v>
      </c>
      <c r="AD313" s="18" t="s">
        <v>51</v>
      </c>
      <c r="AF313" s="1"/>
      <c r="AG313" s="29">
        <v>3.24</v>
      </c>
      <c r="AH313" s="29">
        <v>2.93</v>
      </c>
      <c r="AO313" s="30">
        <f t="shared" ref="AO313:AS313" si="289">U313</f>
        <v>9.61</v>
      </c>
      <c r="AP313" s="30">
        <f t="shared" si="289"/>
        <v>10.52</v>
      </c>
      <c r="AQ313" s="30">
        <f t="shared" si="289"/>
        <v>13.67</v>
      </c>
      <c r="AR313" s="30">
        <f t="shared" si="289"/>
        <v>1.33</v>
      </c>
      <c r="AS313" s="30">
        <f t="shared" si="289"/>
        <v>64.87</v>
      </c>
      <c r="AT313" s="31">
        <f t="shared" si="242"/>
        <v>100</v>
      </c>
      <c r="AV313" s="21">
        <f t="shared" si="86"/>
        <v>2930</v>
      </c>
    </row>
    <row r="314" spans="2:48" ht="15.75" customHeight="1" x14ac:dyDescent="0.25">
      <c r="B314" s="32"/>
      <c r="C314" s="18" t="s">
        <v>46</v>
      </c>
      <c r="D314" s="51"/>
      <c r="E314" s="18" t="s">
        <v>48</v>
      </c>
      <c r="F314" s="51"/>
      <c r="G314" s="18">
        <v>47.18</v>
      </c>
      <c r="H314" s="18">
        <v>3.6</v>
      </c>
      <c r="I314" s="18">
        <v>48.2</v>
      </c>
      <c r="J314" s="18">
        <v>1.01</v>
      </c>
      <c r="K314" s="18">
        <v>0.01</v>
      </c>
      <c r="L314" s="22">
        <f t="shared" si="74"/>
        <v>6.9699999999999989</v>
      </c>
      <c r="M314" s="18">
        <v>73.400000000000006</v>
      </c>
      <c r="N314" s="18">
        <v>13.63</v>
      </c>
      <c r="O314" s="18">
        <v>6</v>
      </c>
      <c r="P314" s="18">
        <v>0.3</v>
      </c>
      <c r="Q314" s="18">
        <v>880</v>
      </c>
      <c r="R314" s="18" t="s">
        <v>51</v>
      </c>
      <c r="S314" s="53">
        <v>0</v>
      </c>
      <c r="T314" s="18">
        <v>16.149999999999999</v>
      </c>
      <c r="U314" s="21">
        <v>9.7799999999999994</v>
      </c>
      <c r="V314" s="21">
        <v>11.61</v>
      </c>
      <c r="W314" s="18">
        <v>13.14</v>
      </c>
      <c r="X314" s="18">
        <v>2.42</v>
      </c>
      <c r="Y314" s="49">
        <f t="shared" si="273"/>
        <v>63.05</v>
      </c>
      <c r="Z314" s="18">
        <f t="shared" si="76"/>
        <v>0.34482758620689657</v>
      </c>
      <c r="AA314" s="18">
        <v>58.77</v>
      </c>
      <c r="AB314" s="18">
        <v>89.47</v>
      </c>
      <c r="AC314" s="21">
        <f t="shared" si="77"/>
        <v>3490</v>
      </c>
      <c r="AD314" s="18" t="s">
        <v>51</v>
      </c>
      <c r="AF314" s="1"/>
      <c r="AG314" s="29">
        <v>2.9</v>
      </c>
      <c r="AH314" s="29">
        <v>3.49</v>
      </c>
      <c r="AO314" s="30">
        <f t="shared" ref="AO314:AS314" si="290">U314</f>
        <v>9.7799999999999994</v>
      </c>
      <c r="AP314" s="30">
        <f t="shared" si="290"/>
        <v>11.61</v>
      </c>
      <c r="AQ314" s="30">
        <f t="shared" si="290"/>
        <v>13.14</v>
      </c>
      <c r="AR314" s="30">
        <f t="shared" si="290"/>
        <v>2.42</v>
      </c>
      <c r="AS314" s="30">
        <f t="shared" si="290"/>
        <v>63.05</v>
      </c>
      <c r="AT314" s="31">
        <f t="shared" si="242"/>
        <v>100</v>
      </c>
      <c r="AV314" s="21">
        <f t="shared" si="86"/>
        <v>3490</v>
      </c>
    </row>
    <row r="315" spans="2:48" ht="15.75" customHeight="1" x14ac:dyDescent="0.25">
      <c r="B315" s="32"/>
      <c r="C315" s="18" t="s">
        <v>46</v>
      </c>
      <c r="D315" s="51"/>
      <c r="E315" s="18" t="s">
        <v>48</v>
      </c>
      <c r="F315" s="51"/>
      <c r="G315" s="18">
        <v>47.18</v>
      </c>
      <c r="H315" s="18">
        <v>3.6</v>
      </c>
      <c r="I315" s="18">
        <v>48.2</v>
      </c>
      <c r="J315" s="18">
        <v>1.01</v>
      </c>
      <c r="K315" s="18">
        <v>0.01</v>
      </c>
      <c r="L315" s="22">
        <f t="shared" si="74"/>
        <v>6.9699999999999989</v>
      </c>
      <c r="M315" s="18">
        <v>73.400000000000006</v>
      </c>
      <c r="N315" s="18">
        <v>13.63</v>
      </c>
      <c r="O315" s="18">
        <v>6</v>
      </c>
      <c r="P315" s="18">
        <v>0.3</v>
      </c>
      <c r="Q315" s="18">
        <v>880</v>
      </c>
      <c r="R315" s="18" t="s">
        <v>51</v>
      </c>
      <c r="S315" s="53">
        <v>0</v>
      </c>
      <c r="T315" s="18">
        <v>16.149999999999999</v>
      </c>
      <c r="U315" s="21">
        <v>9.64</v>
      </c>
      <c r="V315" s="21">
        <v>12.47</v>
      </c>
      <c r="W315" s="18">
        <v>12.68</v>
      </c>
      <c r="X315" s="18">
        <v>2.91</v>
      </c>
      <c r="Y315" s="49">
        <f t="shared" si="273"/>
        <v>62.3</v>
      </c>
      <c r="Z315" s="18">
        <f t="shared" si="76"/>
        <v>0.35211267605633806</v>
      </c>
      <c r="AA315" s="18">
        <v>68.290000000000006</v>
      </c>
      <c r="AB315" s="18">
        <v>90.49</v>
      </c>
      <c r="AC315" s="21">
        <f t="shared" si="77"/>
        <v>4140</v>
      </c>
      <c r="AD315" s="18" t="s">
        <v>51</v>
      </c>
      <c r="AF315" s="1"/>
      <c r="AG315" s="29">
        <v>2.84</v>
      </c>
      <c r="AH315" s="29">
        <v>4.1399999999999997</v>
      </c>
      <c r="AO315" s="30">
        <f t="shared" ref="AO315:AS315" si="291">U315</f>
        <v>9.64</v>
      </c>
      <c r="AP315" s="30">
        <f t="shared" si="291"/>
        <v>12.47</v>
      </c>
      <c r="AQ315" s="30">
        <f t="shared" si="291"/>
        <v>12.68</v>
      </c>
      <c r="AR315" s="30">
        <f t="shared" si="291"/>
        <v>2.91</v>
      </c>
      <c r="AS315" s="30">
        <f t="shared" si="291"/>
        <v>62.3</v>
      </c>
      <c r="AT315" s="31">
        <f t="shared" si="242"/>
        <v>100</v>
      </c>
      <c r="AV315" s="21">
        <f t="shared" si="86"/>
        <v>4140</v>
      </c>
    </row>
    <row r="316" spans="2:48" ht="15.75" customHeight="1" x14ac:dyDescent="0.25">
      <c r="B316" s="32"/>
      <c r="C316" s="18" t="s">
        <v>46</v>
      </c>
      <c r="D316" s="51"/>
      <c r="E316" s="18" t="s">
        <v>48</v>
      </c>
      <c r="F316" s="51"/>
      <c r="G316" s="18">
        <v>38.92</v>
      </c>
      <c r="H316" s="18">
        <v>5.0999999999999996</v>
      </c>
      <c r="I316" s="18">
        <v>53.69</v>
      </c>
      <c r="J316" s="18">
        <v>2.17</v>
      </c>
      <c r="K316" s="18">
        <v>0.12</v>
      </c>
      <c r="L316" s="22">
        <f t="shared" si="74"/>
        <v>8.7700000000000102</v>
      </c>
      <c r="M316" s="18">
        <v>63.8</v>
      </c>
      <c r="N316" s="18">
        <v>8.1</v>
      </c>
      <c r="O316" s="18">
        <v>19.329999999999998</v>
      </c>
      <c r="P316" s="18">
        <v>0.4</v>
      </c>
      <c r="Q316" s="18">
        <v>880</v>
      </c>
      <c r="R316" s="18" t="s">
        <v>51</v>
      </c>
      <c r="S316" s="53">
        <v>0</v>
      </c>
      <c r="T316" s="18">
        <v>15.81</v>
      </c>
      <c r="U316" s="21">
        <v>6.18</v>
      </c>
      <c r="V316" s="21">
        <v>10.54</v>
      </c>
      <c r="W316" s="18">
        <v>15.24</v>
      </c>
      <c r="X316" s="18">
        <v>1.04</v>
      </c>
      <c r="Y316" s="49">
        <f t="shared" si="273"/>
        <v>67</v>
      </c>
      <c r="Z316" s="18">
        <f t="shared" si="76"/>
        <v>0.5376344086021505</v>
      </c>
      <c r="AA316" s="18">
        <v>27.83</v>
      </c>
      <c r="AB316" s="18">
        <v>68.67</v>
      </c>
      <c r="AC316" s="21">
        <f t="shared" si="77"/>
        <v>2400</v>
      </c>
      <c r="AD316" s="18" t="s">
        <v>51</v>
      </c>
      <c r="AF316" s="1"/>
      <c r="AG316" s="29">
        <v>1.86</v>
      </c>
      <c r="AH316" s="29">
        <v>2.4</v>
      </c>
      <c r="AO316" s="30">
        <f t="shared" ref="AO316:AS316" si="292">U316</f>
        <v>6.18</v>
      </c>
      <c r="AP316" s="30">
        <f t="shared" si="292"/>
        <v>10.54</v>
      </c>
      <c r="AQ316" s="30">
        <f t="shared" si="292"/>
        <v>15.24</v>
      </c>
      <c r="AR316" s="30">
        <f t="shared" si="292"/>
        <v>1.04</v>
      </c>
      <c r="AS316" s="30">
        <f t="shared" si="292"/>
        <v>67</v>
      </c>
      <c r="AT316" s="31">
        <f t="shared" si="242"/>
        <v>100</v>
      </c>
      <c r="AV316" s="21">
        <f t="shared" si="86"/>
        <v>2400</v>
      </c>
    </row>
    <row r="317" spans="2:48" ht="15.75" customHeight="1" x14ac:dyDescent="0.25">
      <c r="B317" s="32"/>
      <c r="C317" s="18" t="s">
        <v>46</v>
      </c>
      <c r="D317" s="51"/>
      <c r="E317" s="18" t="s">
        <v>48</v>
      </c>
      <c r="F317" s="51"/>
      <c r="G317" s="18">
        <v>38.92</v>
      </c>
      <c r="H317" s="18">
        <v>5.0999999999999996</v>
      </c>
      <c r="I317" s="18">
        <v>53.69</v>
      </c>
      <c r="J317" s="18">
        <v>2.17</v>
      </c>
      <c r="K317" s="18">
        <v>0.12</v>
      </c>
      <c r="L317" s="22">
        <f t="shared" si="74"/>
        <v>8.7700000000000102</v>
      </c>
      <c r="M317" s="18">
        <v>63.8</v>
      </c>
      <c r="N317" s="18">
        <v>8.1</v>
      </c>
      <c r="O317" s="18">
        <v>19.329999999999998</v>
      </c>
      <c r="P317" s="18">
        <v>0.4</v>
      </c>
      <c r="Q317" s="18">
        <v>880</v>
      </c>
      <c r="R317" s="18" t="s">
        <v>51</v>
      </c>
      <c r="S317" s="53">
        <v>0</v>
      </c>
      <c r="T317" s="18">
        <v>15.81</v>
      </c>
      <c r="U317" s="21">
        <v>7.54</v>
      </c>
      <c r="V317" s="21">
        <v>11.26</v>
      </c>
      <c r="W317" s="18">
        <v>14.31</v>
      </c>
      <c r="X317" s="18">
        <v>1.25</v>
      </c>
      <c r="Y317" s="49">
        <f t="shared" si="273"/>
        <v>65.64</v>
      </c>
      <c r="Z317" s="18">
        <f t="shared" si="76"/>
        <v>0.46728971962616822</v>
      </c>
      <c r="AA317" s="18">
        <v>36.42</v>
      </c>
      <c r="AB317" s="18">
        <v>79</v>
      </c>
      <c r="AC317" s="21">
        <f t="shared" si="77"/>
        <v>2730</v>
      </c>
      <c r="AD317" s="18" t="s">
        <v>51</v>
      </c>
      <c r="AF317" s="1"/>
      <c r="AG317" s="29">
        <v>2.14</v>
      </c>
      <c r="AH317" s="29">
        <v>2.73</v>
      </c>
      <c r="AO317" s="30">
        <f t="shared" ref="AO317:AS317" si="293">U317</f>
        <v>7.54</v>
      </c>
      <c r="AP317" s="30">
        <f t="shared" si="293"/>
        <v>11.26</v>
      </c>
      <c r="AQ317" s="30">
        <f t="shared" si="293"/>
        <v>14.31</v>
      </c>
      <c r="AR317" s="30">
        <f t="shared" si="293"/>
        <v>1.25</v>
      </c>
      <c r="AS317" s="30">
        <f t="shared" si="293"/>
        <v>65.64</v>
      </c>
      <c r="AT317" s="31">
        <f t="shared" si="242"/>
        <v>100</v>
      </c>
      <c r="AV317" s="21">
        <f t="shared" si="86"/>
        <v>2730</v>
      </c>
    </row>
    <row r="318" spans="2:48" ht="15.75" customHeight="1" x14ac:dyDescent="0.25">
      <c r="B318" s="32"/>
      <c r="C318" s="18" t="s">
        <v>46</v>
      </c>
      <c r="D318" s="51"/>
      <c r="E318" s="18" t="s">
        <v>48</v>
      </c>
      <c r="F318" s="51"/>
      <c r="G318" s="18">
        <v>38.92</v>
      </c>
      <c r="H318" s="18">
        <v>5.0999999999999996</v>
      </c>
      <c r="I318" s="18">
        <v>53.69</v>
      </c>
      <c r="J318" s="18">
        <v>2.17</v>
      </c>
      <c r="K318" s="18">
        <v>0.12</v>
      </c>
      <c r="L318" s="22">
        <f t="shared" si="74"/>
        <v>8.7700000000000102</v>
      </c>
      <c r="M318" s="18">
        <v>63.8</v>
      </c>
      <c r="N318" s="18">
        <v>8.1</v>
      </c>
      <c r="O318" s="18">
        <v>19.329999999999998</v>
      </c>
      <c r="P318" s="18">
        <v>0.4</v>
      </c>
      <c r="Q318" s="18">
        <v>880</v>
      </c>
      <c r="R318" s="18" t="s">
        <v>51</v>
      </c>
      <c r="S318" s="53">
        <v>0</v>
      </c>
      <c r="T318" s="18">
        <v>15.81</v>
      </c>
      <c r="U318" s="21">
        <v>6.09</v>
      </c>
      <c r="V318" s="21">
        <v>10.119999999999999</v>
      </c>
      <c r="W318" s="18">
        <v>12.87</v>
      </c>
      <c r="X318" s="18">
        <v>1.49</v>
      </c>
      <c r="Y318" s="49">
        <f t="shared" si="273"/>
        <v>69.430000000000007</v>
      </c>
      <c r="Z318" s="18">
        <f t="shared" si="76"/>
        <v>0.55865921787709494</v>
      </c>
      <c r="AA318" s="18">
        <v>28.01</v>
      </c>
      <c r="AB318" s="18">
        <v>60.31</v>
      </c>
      <c r="AC318" s="21">
        <f t="shared" si="77"/>
        <v>2510</v>
      </c>
      <c r="AD318" s="18" t="s">
        <v>51</v>
      </c>
      <c r="AF318" s="1"/>
      <c r="AG318" s="29">
        <v>1.79</v>
      </c>
      <c r="AH318" s="29">
        <v>2.5099999999999998</v>
      </c>
      <c r="AO318" s="30">
        <f t="shared" ref="AO318:AS318" si="294">U318</f>
        <v>6.09</v>
      </c>
      <c r="AP318" s="30">
        <f t="shared" si="294"/>
        <v>10.119999999999999</v>
      </c>
      <c r="AQ318" s="30">
        <f t="shared" si="294"/>
        <v>12.87</v>
      </c>
      <c r="AR318" s="30">
        <f t="shared" si="294"/>
        <v>1.49</v>
      </c>
      <c r="AS318" s="30">
        <f t="shared" si="294"/>
        <v>69.430000000000007</v>
      </c>
      <c r="AT318" s="31">
        <f t="shared" si="242"/>
        <v>100</v>
      </c>
      <c r="AV318" s="21">
        <f t="shared" si="86"/>
        <v>2510</v>
      </c>
    </row>
    <row r="319" spans="2:48" ht="15.75" customHeight="1" x14ac:dyDescent="0.25">
      <c r="B319" s="32"/>
      <c r="C319" s="18" t="s">
        <v>46</v>
      </c>
      <c r="D319" s="51"/>
      <c r="E319" s="18" t="s">
        <v>48</v>
      </c>
      <c r="F319" s="51"/>
      <c r="G319" s="18">
        <v>38.92</v>
      </c>
      <c r="H319" s="18">
        <v>5.0999999999999996</v>
      </c>
      <c r="I319" s="18">
        <v>53.69</v>
      </c>
      <c r="J319" s="18">
        <v>2.17</v>
      </c>
      <c r="K319" s="18">
        <v>0.12</v>
      </c>
      <c r="L319" s="22">
        <f t="shared" si="74"/>
        <v>8.7700000000000102</v>
      </c>
      <c r="M319" s="18">
        <v>63.8</v>
      </c>
      <c r="N319" s="18">
        <v>8.1</v>
      </c>
      <c r="O319" s="18">
        <v>19.329999999999998</v>
      </c>
      <c r="P319" s="18">
        <v>0.4</v>
      </c>
      <c r="Q319" s="18">
        <v>880</v>
      </c>
      <c r="R319" s="18" t="s">
        <v>51</v>
      </c>
      <c r="S319" s="53">
        <v>0</v>
      </c>
      <c r="T319" s="18">
        <v>15.81</v>
      </c>
      <c r="U319" s="21">
        <v>7.46</v>
      </c>
      <c r="V319" s="21">
        <v>14.67</v>
      </c>
      <c r="W319" s="18">
        <v>12.19</v>
      </c>
      <c r="X319" s="18">
        <v>2.88</v>
      </c>
      <c r="Y319" s="49">
        <f t="shared" si="273"/>
        <v>62.8</v>
      </c>
      <c r="Z319" s="18">
        <f t="shared" si="76"/>
        <v>0.4587155963302752</v>
      </c>
      <c r="AA319" s="18">
        <v>50.97</v>
      </c>
      <c r="AB319" s="18">
        <v>89.24</v>
      </c>
      <c r="AC319" s="21">
        <f t="shared" si="77"/>
        <v>3750</v>
      </c>
      <c r="AD319" s="18" t="s">
        <v>51</v>
      </c>
      <c r="AF319" s="1"/>
      <c r="AG319" s="29">
        <v>2.1800000000000002</v>
      </c>
      <c r="AH319" s="29">
        <v>3.75</v>
      </c>
      <c r="AO319" s="30">
        <f t="shared" ref="AO319:AS319" si="295">U319</f>
        <v>7.46</v>
      </c>
      <c r="AP319" s="30">
        <f t="shared" si="295"/>
        <v>14.67</v>
      </c>
      <c r="AQ319" s="30">
        <f t="shared" si="295"/>
        <v>12.19</v>
      </c>
      <c r="AR319" s="30">
        <f t="shared" si="295"/>
        <v>2.88</v>
      </c>
      <c r="AS319" s="30">
        <f t="shared" si="295"/>
        <v>62.8</v>
      </c>
      <c r="AT319" s="31">
        <f t="shared" si="242"/>
        <v>100</v>
      </c>
      <c r="AV319" s="21">
        <f t="shared" si="86"/>
        <v>3750</v>
      </c>
    </row>
    <row r="320" spans="2:48" ht="15.75" customHeight="1" x14ac:dyDescent="0.25">
      <c r="B320" s="32"/>
      <c r="C320" s="18" t="s">
        <v>46</v>
      </c>
      <c r="D320" s="51"/>
      <c r="E320" s="18" t="s">
        <v>48</v>
      </c>
      <c r="F320" s="51"/>
      <c r="G320" s="18">
        <v>38.92</v>
      </c>
      <c r="H320" s="18">
        <v>5.0999999999999996</v>
      </c>
      <c r="I320" s="18">
        <v>53.69</v>
      </c>
      <c r="J320" s="18">
        <v>2.17</v>
      </c>
      <c r="K320" s="18">
        <v>0.12</v>
      </c>
      <c r="L320" s="22">
        <f t="shared" si="74"/>
        <v>8.7700000000000102</v>
      </c>
      <c r="M320" s="18">
        <v>63.8</v>
      </c>
      <c r="N320" s="18">
        <v>8.1</v>
      </c>
      <c r="O320" s="18">
        <v>19.329999999999998</v>
      </c>
      <c r="P320" s="18">
        <v>0.4</v>
      </c>
      <c r="Q320" s="18">
        <v>880</v>
      </c>
      <c r="R320" s="18" t="s">
        <v>51</v>
      </c>
      <c r="S320" s="53">
        <v>0</v>
      </c>
      <c r="T320" s="18">
        <v>15.81</v>
      </c>
      <c r="U320" s="21">
        <v>8.59</v>
      </c>
      <c r="V320" s="21">
        <v>15.42</v>
      </c>
      <c r="W320" s="18">
        <v>11.68</v>
      </c>
      <c r="X320" s="18">
        <v>3.21</v>
      </c>
      <c r="Y320" s="49">
        <f t="shared" si="273"/>
        <v>61.1</v>
      </c>
      <c r="Z320" s="18">
        <f t="shared" si="76"/>
        <v>0.44444444444444442</v>
      </c>
      <c r="AA320" s="18">
        <v>57.51</v>
      </c>
      <c r="AB320" s="18">
        <v>93.87</v>
      </c>
      <c r="AC320" s="21">
        <f t="shared" si="77"/>
        <v>4100</v>
      </c>
      <c r="AD320" s="18" t="s">
        <v>51</v>
      </c>
      <c r="AF320" s="1"/>
      <c r="AG320" s="29">
        <v>2.25</v>
      </c>
      <c r="AH320" s="29">
        <v>4.0999999999999996</v>
      </c>
      <c r="AO320" s="30">
        <f t="shared" ref="AO320:AS320" si="296">U320</f>
        <v>8.59</v>
      </c>
      <c r="AP320" s="30">
        <f t="shared" si="296"/>
        <v>15.42</v>
      </c>
      <c r="AQ320" s="30">
        <f t="shared" si="296"/>
        <v>11.68</v>
      </c>
      <c r="AR320" s="30">
        <f t="shared" si="296"/>
        <v>3.21</v>
      </c>
      <c r="AS320" s="30">
        <f t="shared" si="296"/>
        <v>61.1</v>
      </c>
      <c r="AT320" s="31">
        <f t="shared" si="242"/>
        <v>100</v>
      </c>
      <c r="AV320" s="21">
        <f t="shared" si="86"/>
        <v>4100</v>
      </c>
    </row>
    <row r="321" spans="2:48" ht="15.75" customHeight="1" x14ac:dyDescent="0.25">
      <c r="B321" s="32"/>
      <c r="C321" s="18" t="s">
        <v>46</v>
      </c>
      <c r="D321" s="51"/>
      <c r="E321" s="18" t="s">
        <v>48</v>
      </c>
      <c r="F321" s="51"/>
      <c r="G321" s="18">
        <v>38.92</v>
      </c>
      <c r="H321" s="18">
        <v>5.0999999999999996</v>
      </c>
      <c r="I321" s="18">
        <v>53.69</v>
      </c>
      <c r="J321" s="18">
        <v>2.17</v>
      </c>
      <c r="K321" s="18">
        <v>0.12</v>
      </c>
      <c r="L321" s="22">
        <f t="shared" si="74"/>
        <v>8.7700000000000102</v>
      </c>
      <c r="M321" s="18">
        <v>63.8</v>
      </c>
      <c r="N321" s="18">
        <v>8.1</v>
      </c>
      <c r="O321" s="18">
        <v>19.329999999999998</v>
      </c>
      <c r="P321" s="18">
        <v>0.4</v>
      </c>
      <c r="Q321" s="18">
        <v>880</v>
      </c>
      <c r="R321" s="18" t="s">
        <v>51</v>
      </c>
      <c r="S321" s="53">
        <v>0</v>
      </c>
      <c r="T321" s="18">
        <v>15.81</v>
      </c>
      <c r="U321" s="21">
        <v>8.6199999999999992</v>
      </c>
      <c r="V321" s="21">
        <v>19.55</v>
      </c>
      <c r="W321" s="18">
        <v>10.210000000000001</v>
      </c>
      <c r="X321" s="18">
        <v>3.24</v>
      </c>
      <c r="Y321" s="49">
        <f t="shared" si="273"/>
        <v>58.379999999999995</v>
      </c>
      <c r="Z321" s="18">
        <f t="shared" si="76"/>
        <v>0.4329004329004329</v>
      </c>
      <c r="AA321" s="18">
        <v>66.39</v>
      </c>
      <c r="AB321" s="18">
        <v>104.93</v>
      </c>
      <c r="AC321" s="21">
        <f t="shared" si="77"/>
        <v>4610</v>
      </c>
      <c r="AD321" s="18" t="s">
        <v>51</v>
      </c>
      <c r="AF321" s="1"/>
      <c r="AG321" s="29">
        <v>2.31</v>
      </c>
      <c r="AH321" s="29">
        <v>4.6100000000000003</v>
      </c>
      <c r="AO321" s="30">
        <f t="shared" ref="AO321:AS321" si="297">U321</f>
        <v>8.6199999999999992</v>
      </c>
      <c r="AP321" s="30">
        <f t="shared" si="297"/>
        <v>19.55</v>
      </c>
      <c r="AQ321" s="30">
        <f t="shared" si="297"/>
        <v>10.210000000000001</v>
      </c>
      <c r="AR321" s="30">
        <f t="shared" si="297"/>
        <v>3.24</v>
      </c>
      <c r="AS321" s="30">
        <f t="shared" si="297"/>
        <v>58.379999999999995</v>
      </c>
      <c r="AT321" s="31">
        <f t="shared" si="242"/>
        <v>100</v>
      </c>
      <c r="AV321" s="21">
        <f t="shared" si="86"/>
        <v>4610</v>
      </c>
    </row>
    <row r="322" spans="2:48" ht="15.75" customHeight="1" x14ac:dyDescent="0.25">
      <c r="B322" s="32"/>
      <c r="C322" s="18" t="s">
        <v>46</v>
      </c>
      <c r="D322" s="51"/>
      <c r="E322" s="18" t="s">
        <v>48</v>
      </c>
      <c r="F322" s="51"/>
      <c r="G322" s="18">
        <v>38.92</v>
      </c>
      <c r="H322" s="18">
        <v>5.0999999999999996</v>
      </c>
      <c r="I322" s="18">
        <v>53.69</v>
      </c>
      <c r="J322" s="18">
        <v>2.17</v>
      </c>
      <c r="K322" s="18">
        <v>0.12</v>
      </c>
      <c r="L322" s="22">
        <f t="shared" si="74"/>
        <v>8.7700000000000102</v>
      </c>
      <c r="M322" s="18">
        <v>63.8</v>
      </c>
      <c r="N322" s="18">
        <v>8.1</v>
      </c>
      <c r="O322" s="18">
        <v>19.329999999999998</v>
      </c>
      <c r="P322" s="18">
        <v>0.4</v>
      </c>
      <c r="Q322" s="18">
        <v>880</v>
      </c>
      <c r="R322" s="18" t="s">
        <v>51</v>
      </c>
      <c r="S322" s="53">
        <v>0</v>
      </c>
      <c r="T322" s="18">
        <v>15.81</v>
      </c>
      <c r="U322" s="21">
        <v>5.54</v>
      </c>
      <c r="V322" s="21">
        <v>10.11</v>
      </c>
      <c r="W322" s="18">
        <v>16.28</v>
      </c>
      <c r="X322" s="18">
        <v>1.08</v>
      </c>
      <c r="Y322" s="49">
        <f t="shared" si="273"/>
        <v>66.990000000000009</v>
      </c>
      <c r="Z322" s="18">
        <f t="shared" si="76"/>
        <v>0.44843049327354262</v>
      </c>
      <c r="AA322" s="18">
        <v>31.84</v>
      </c>
      <c r="AB322" s="18">
        <v>84.32</v>
      </c>
      <c r="AC322" s="21">
        <f t="shared" si="77"/>
        <v>2290</v>
      </c>
      <c r="AD322" s="18" t="s">
        <v>51</v>
      </c>
      <c r="AF322" s="1"/>
      <c r="AG322" s="29">
        <v>2.23</v>
      </c>
      <c r="AH322" s="29">
        <v>2.29</v>
      </c>
      <c r="AO322" s="30">
        <f t="shared" ref="AO322:AS322" si="298">U322</f>
        <v>5.54</v>
      </c>
      <c r="AP322" s="30">
        <f t="shared" si="298"/>
        <v>10.11</v>
      </c>
      <c r="AQ322" s="30">
        <f t="shared" si="298"/>
        <v>16.28</v>
      </c>
      <c r="AR322" s="30">
        <f t="shared" si="298"/>
        <v>1.08</v>
      </c>
      <c r="AS322" s="30">
        <f t="shared" si="298"/>
        <v>66.990000000000009</v>
      </c>
      <c r="AT322" s="31">
        <f t="shared" si="242"/>
        <v>100</v>
      </c>
      <c r="AV322" s="21">
        <f t="shared" si="86"/>
        <v>2290</v>
      </c>
    </row>
    <row r="323" spans="2:48" ht="15.75" customHeight="1" x14ac:dyDescent="0.25">
      <c r="B323" s="32"/>
      <c r="C323" s="18" t="s">
        <v>46</v>
      </c>
      <c r="D323" s="51"/>
      <c r="E323" s="18" t="s">
        <v>48</v>
      </c>
      <c r="F323" s="51"/>
      <c r="G323" s="18">
        <v>38.92</v>
      </c>
      <c r="H323" s="18">
        <v>5.0999999999999996</v>
      </c>
      <c r="I323" s="18">
        <v>53.69</v>
      </c>
      <c r="J323" s="18">
        <v>2.17</v>
      </c>
      <c r="K323" s="18">
        <v>0.12</v>
      </c>
      <c r="L323" s="22">
        <f t="shared" si="74"/>
        <v>8.7700000000000102</v>
      </c>
      <c r="M323" s="18">
        <v>63.8</v>
      </c>
      <c r="N323" s="18">
        <v>8.1</v>
      </c>
      <c r="O323" s="18">
        <v>19.329999999999998</v>
      </c>
      <c r="P323" s="18">
        <v>0.4</v>
      </c>
      <c r="Q323" s="18">
        <v>880</v>
      </c>
      <c r="R323" s="18" t="s">
        <v>51</v>
      </c>
      <c r="S323" s="53">
        <v>0</v>
      </c>
      <c r="T323" s="18">
        <v>15.81</v>
      </c>
      <c r="U323" s="21">
        <v>6.65</v>
      </c>
      <c r="V323" s="21">
        <v>9.8699999999999992</v>
      </c>
      <c r="W323" s="18">
        <v>15.44</v>
      </c>
      <c r="X323" s="18">
        <v>1.27</v>
      </c>
      <c r="Y323" s="49">
        <f t="shared" si="273"/>
        <v>66.77</v>
      </c>
      <c r="Z323" s="18">
        <f t="shared" si="76"/>
        <v>0.42194092827004215</v>
      </c>
      <c r="AA323" s="18">
        <v>36.5</v>
      </c>
      <c r="AB323" s="18">
        <v>86.71</v>
      </c>
      <c r="AC323" s="21">
        <f t="shared" si="77"/>
        <v>2470</v>
      </c>
      <c r="AD323" s="18" t="s">
        <v>51</v>
      </c>
      <c r="AF323" s="1"/>
      <c r="AG323" s="29">
        <v>2.37</v>
      </c>
      <c r="AH323" s="29">
        <v>2.4700000000000002</v>
      </c>
      <c r="AO323" s="30">
        <f t="shared" ref="AO323:AS323" si="299">U323</f>
        <v>6.65</v>
      </c>
      <c r="AP323" s="30">
        <f t="shared" si="299"/>
        <v>9.8699999999999992</v>
      </c>
      <c r="AQ323" s="30">
        <f t="shared" si="299"/>
        <v>15.44</v>
      </c>
      <c r="AR323" s="30">
        <f t="shared" si="299"/>
        <v>1.27</v>
      </c>
      <c r="AS323" s="30">
        <f t="shared" si="299"/>
        <v>66.77</v>
      </c>
      <c r="AT323" s="31">
        <f t="shared" si="242"/>
        <v>100</v>
      </c>
      <c r="AV323" s="21">
        <f t="shared" si="86"/>
        <v>2470</v>
      </c>
    </row>
    <row r="324" spans="2:48" ht="15.75" customHeight="1" x14ac:dyDescent="0.25">
      <c r="B324" s="32"/>
      <c r="C324" s="18" t="s">
        <v>46</v>
      </c>
      <c r="D324" s="51"/>
      <c r="E324" s="18" t="s">
        <v>48</v>
      </c>
      <c r="F324" s="51"/>
      <c r="G324" s="18">
        <v>38.92</v>
      </c>
      <c r="H324" s="18">
        <v>5.0999999999999996</v>
      </c>
      <c r="I324" s="18">
        <v>53.69</v>
      </c>
      <c r="J324" s="18">
        <v>2.17</v>
      </c>
      <c r="K324" s="18">
        <v>0.12</v>
      </c>
      <c r="L324" s="22">
        <f t="shared" si="74"/>
        <v>8.7700000000000102</v>
      </c>
      <c r="M324" s="18">
        <v>63.8</v>
      </c>
      <c r="N324" s="18">
        <v>8.1</v>
      </c>
      <c r="O324" s="18">
        <v>19.329999999999998</v>
      </c>
      <c r="P324" s="18">
        <v>0.4</v>
      </c>
      <c r="Q324" s="18">
        <v>880</v>
      </c>
      <c r="R324" s="18" t="s">
        <v>51</v>
      </c>
      <c r="S324" s="53">
        <v>0</v>
      </c>
      <c r="T324" s="18">
        <v>15.81</v>
      </c>
      <c r="U324" s="21">
        <v>6.78</v>
      </c>
      <c r="V324" s="21">
        <v>10.53</v>
      </c>
      <c r="W324" s="18">
        <v>13.89</v>
      </c>
      <c r="X324" s="18">
        <v>1.66</v>
      </c>
      <c r="Y324" s="49">
        <f t="shared" si="273"/>
        <v>67.14</v>
      </c>
      <c r="Z324" s="18">
        <f t="shared" si="76"/>
        <v>0.4329004329004329</v>
      </c>
      <c r="AA324" s="18">
        <v>39.03</v>
      </c>
      <c r="AB324" s="18">
        <v>82.92</v>
      </c>
      <c r="AC324" s="21">
        <f t="shared" si="77"/>
        <v>2710</v>
      </c>
      <c r="AD324" s="18" t="s">
        <v>51</v>
      </c>
      <c r="AF324" s="1"/>
      <c r="AG324" s="29">
        <v>2.31</v>
      </c>
      <c r="AH324" s="29">
        <v>2.71</v>
      </c>
      <c r="AO324" s="30">
        <f t="shared" ref="AO324:AS324" si="300">U324</f>
        <v>6.78</v>
      </c>
      <c r="AP324" s="30">
        <f t="shared" si="300"/>
        <v>10.53</v>
      </c>
      <c r="AQ324" s="30">
        <f t="shared" si="300"/>
        <v>13.89</v>
      </c>
      <c r="AR324" s="30">
        <f t="shared" si="300"/>
        <v>1.66</v>
      </c>
      <c r="AS324" s="30">
        <f t="shared" si="300"/>
        <v>67.14</v>
      </c>
      <c r="AT324" s="31">
        <f t="shared" si="242"/>
        <v>100</v>
      </c>
      <c r="AV324" s="21">
        <f t="shared" si="86"/>
        <v>2710</v>
      </c>
    </row>
    <row r="325" spans="2:48" ht="15.75" customHeight="1" x14ac:dyDescent="0.25">
      <c r="B325" s="32"/>
      <c r="C325" s="18" t="s">
        <v>46</v>
      </c>
      <c r="D325" s="51"/>
      <c r="E325" s="18" t="s">
        <v>48</v>
      </c>
      <c r="F325" s="51"/>
      <c r="G325" s="18">
        <v>38.92</v>
      </c>
      <c r="H325" s="18">
        <v>5.0999999999999996</v>
      </c>
      <c r="I325" s="18">
        <v>53.69</v>
      </c>
      <c r="J325" s="18">
        <v>2.17</v>
      </c>
      <c r="K325" s="18">
        <v>0.12</v>
      </c>
      <c r="L325" s="22">
        <f t="shared" si="74"/>
        <v>8.7700000000000102</v>
      </c>
      <c r="M325" s="18">
        <v>63.8</v>
      </c>
      <c r="N325" s="18">
        <v>8.1</v>
      </c>
      <c r="O325" s="18">
        <v>19.329999999999998</v>
      </c>
      <c r="P325" s="18">
        <v>0.4</v>
      </c>
      <c r="Q325" s="18">
        <v>880</v>
      </c>
      <c r="R325" s="18" t="s">
        <v>51</v>
      </c>
      <c r="S325" s="53">
        <v>0</v>
      </c>
      <c r="T325" s="18">
        <v>15.81</v>
      </c>
      <c r="U325" s="21">
        <v>6.59</v>
      </c>
      <c r="V325" s="21">
        <v>12.64</v>
      </c>
      <c r="W325" s="18">
        <v>12.17</v>
      </c>
      <c r="X325" s="18">
        <v>2.2599999999999998</v>
      </c>
      <c r="Y325" s="49">
        <f t="shared" si="273"/>
        <v>66.34</v>
      </c>
      <c r="Z325" s="18">
        <f t="shared" si="76"/>
        <v>0.40160642570281119</v>
      </c>
      <c r="AA325" s="18">
        <v>49.05</v>
      </c>
      <c r="AB325" s="18">
        <v>92.78</v>
      </c>
      <c r="AC325" s="21">
        <f t="shared" si="77"/>
        <v>3160</v>
      </c>
      <c r="AD325" s="18" t="s">
        <v>51</v>
      </c>
      <c r="AF325" s="1"/>
      <c r="AG325" s="29">
        <v>2.4900000000000002</v>
      </c>
      <c r="AH325" s="29">
        <v>3.16</v>
      </c>
      <c r="AO325" s="30">
        <f t="shared" ref="AO325:AS325" si="301">U325</f>
        <v>6.59</v>
      </c>
      <c r="AP325" s="30">
        <f t="shared" si="301"/>
        <v>12.64</v>
      </c>
      <c r="AQ325" s="30">
        <f t="shared" si="301"/>
        <v>12.17</v>
      </c>
      <c r="AR325" s="30">
        <f t="shared" si="301"/>
        <v>2.2599999999999998</v>
      </c>
      <c r="AS325" s="30">
        <f t="shared" si="301"/>
        <v>66.34</v>
      </c>
      <c r="AT325" s="31">
        <f t="shared" si="242"/>
        <v>100</v>
      </c>
      <c r="AV325" s="21">
        <f t="shared" si="86"/>
        <v>3160</v>
      </c>
    </row>
    <row r="326" spans="2:48" ht="15.75" customHeight="1" x14ac:dyDescent="0.25">
      <c r="B326" s="32"/>
      <c r="C326" s="18" t="s">
        <v>46</v>
      </c>
      <c r="D326" s="51"/>
      <c r="E326" s="18" t="s">
        <v>48</v>
      </c>
      <c r="F326" s="51"/>
      <c r="G326" s="18">
        <v>38.92</v>
      </c>
      <c r="H326" s="18">
        <v>5.0999999999999996</v>
      </c>
      <c r="I326" s="18">
        <v>53.69</v>
      </c>
      <c r="J326" s="18">
        <v>2.17</v>
      </c>
      <c r="K326" s="18">
        <v>0.12</v>
      </c>
      <c r="L326" s="22">
        <f t="shared" si="74"/>
        <v>8.7700000000000102</v>
      </c>
      <c r="M326" s="18">
        <v>63.8</v>
      </c>
      <c r="N326" s="18">
        <v>8.1</v>
      </c>
      <c r="O326" s="18">
        <v>19.329999999999998</v>
      </c>
      <c r="P326" s="18">
        <v>0.4</v>
      </c>
      <c r="Q326" s="18">
        <v>880</v>
      </c>
      <c r="R326" s="18" t="s">
        <v>51</v>
      </c>
      <c r="S326" s="53">
        <v>0</v>
      </c>
      <c r="T326" s="18">
        <v>15.81</v>
      </c>
      <c r="U326" s="21">
        <v>7.42</v>
      </c>
      <c r="V326" s="21">
        <v>14.78</v>
      </c>
      <c r="W326" s="18">
        <v>10.66</v>
      </c>
      <c r="X326" s="18">
        <v>2.0099999999999998</v>
      </c>
      <c r="Y326" s="49">
        <f t="shared" si="273"/>
        <v>65.13</v>
      </c>
      <c r="Z326" s="18">
        <f t="shared" si="76"/>
        <v>0.390625</v>
      </c>
      <c r="AA326" s="18">
        <v>54.74</v>
      </c>
      <c r="AB326" s="18">
        <v>96.73</v>
      </c>
      <c r="AC326" s="21">
        <f t="shared" si="77"/>
        <v>3430</v>
      </c>
      <c r="AD326" s="18" t="s">
        <v>51</v>
      </c>
      <c r="AF326" s="1"/>
      <c r="AG326" s="29">
        <v>2.56</v>
      </c>
      <c r="AH326" s="29">
        <v>3.43</v>
      </c>
      <c r="AO326" s="30">
        <f t="shared" ref="AO326:AS326" si="302">U326</f>
        <v>7.42</v>
      </c>
      <c r="AP326" s="30">
        <f t="shared" si="302"/>
        <v>14.78</v>
      </c>
      <c r="AQ326" s="30">
        <f t="shared" si="302"/>
        <v>10.66</v>
      </c>
      <c r="AR326" s="30">
        <f t="shared" si="302"/>
        <v>2.0099999999999998</v>
      </c>
      <c r="AS326" s="30">
        <f t="shared" si="302"/>
        <v>65.13</v>
      </c>
      <c r="AT326" s="31">
        <f t="shared" si="242"/>
        <v>100</v>
      </c>
      <c r="AV326" s="21">
        <f t="shared" si="86"/>
        <v>3430</v>
      </c>
    </row>
    <row r="327" spans="2:48" ht="15.75" customHeight="1" x14ac:dyDescent="0.25">
      <c r="B327" s="32"/>
      <c r="C327" s="18" t="s">
        <v>46</v>
      </c>
      <c r="D327" s="51"/>
      <c r="E327" s="18" t="s">
        <v>48</v>
      </c>
      <c r="F327" s="51"/>
      <c r="G327" s="18">
        <v>38.92</v>
      </c>
      <c r="H327" s="18">
        <v>5.0999999999999996</v>
      </c>
      <c r="I327" s="18">
        <v>53.69</v>
      </c>
      <c r="J327" s="18">
        <v>2.17</v>
      </c>
      <c r="K327" s="18">
        <v>0.12</v>
      </c>
      <c r="L327" s="22">
        <f t="shared" si="74"/>
        <v>8.7700000000000102</v>
      </c>
      <c r="M327" s="18">
        <v>63.8</v>
      </c>
      <c r="N327" s="18">
        <v>8.1</v>
      </c>
      <c r="O327" s="18">
        <v>19.329999999999998</v>
      </c>
      <c r="P327" s="18">
        <v>0.4</v>
      </c>
      <c r="Q327" s="18">
        <v>880</v>
      </c>
      <c r="R327" s="18" t="s">
        <v>51</v>
      </c>
      <c r="S327" s="53">
        <v>0</v>
      </c>
      <c r="T327" s="18">
        <v>15.81</v>
      </c>
      <c r="U327" s="21">
        <v>7.77</v>
      </c>
      <c r="V327" s="21">
        <v>16.13</v>
      </c>
      <c r="W327" s="18">
        <v>10.68</v>
      </c>
      <c r="X327" s="18">
        <v>2.78</v>
      </c>
      <c r="Y327" s="49">
        <f t="shared" si="273"/>
        <v>62.64</v>
      </c>
      <c r="Z327" s="18">
        <f t="shared" si="76"/>
        <v>0.38910505836575876</v>
      </c>
      <c r="AA327" s="18">
        <v>62.81</v>
      </c>
      <c r="AB327" s="18">
        <v>104.67</v>
      </c>
      <c r="AC327" s="21">
        <f t="shared" si="77"/>
        <v>3920</v>
      </c>
      <c r="AD327" s="18" t="s">
        <v>51</v>
      </c>
      <c r="AF327" s="1"/>
      <c r="AG327" s="29">
        <v>2.57</v>
      </c>
      <c r="AH327" s="29">
        <v>3.92</v>
      </c>
      <c r="AO327" s="30">
        <f t="shared" ref="AO327:AS327" si="303">U327</f>
        <v>7.77</v>
      </c>
      <c r="AP327" s="30">
        <f t="shared" si="303"/>
        <v>16.13</v>
      </c>
      <c r="AQ327" s="30">
        <f t="shared" si="303"/>
        <v>10.68</v>
      </c>
      <c r="AR327" s="30">
        <f t="shared" si="303"/>
        <v>2.78</v>
      </c>
      <c r="AS327" s="30">
        <f t="shared" si="303"/>
        <v>62.64</v>
      </c>
      <c r="AT327" s="31">
        <f t="shared" si="242"/>
        <v>100</v>
      </c>
      <c r="AV327" s="21">
        <f t="shared" si="86"/>
        <v>3920</v>
      </c>
    </row>
    <row r="328" spans="2:48" ht="15.75" customHeight="1" x14ac:dyDescent="0.25">
      <c r="B328" s="32"/>
      <c r="C328" s="18" t="s">
        <v>46</v>
      </c>
      <c r="D328" s="51"/>
      <c r="E328" s="18" t="s">
        <v>48</v>
      </c>
      <c r="F328" s="51"/>
      <c r="G328" s="18">
        <v>38.92</v>
      </c>
      <c r="H328" s="18">
        <v>5.0999999999999996</v>
      </c>
      <c r="I328" s="18">
        <v>53.69</v>
      </c>
      <c r="J328" s="18">
        <v>2.17</v>
      </c>
      <c r="K328" s="18">
        <v>0.12</v>
      </c>
      <c r="L328" s="22">
        <f t="shared" si="74"/>
        <v>8.7700000000000102</v>
      </c>
      <c r="M328" s="18">
        <v>63.8</v>
      </c>
      <c r="N328" s="18">
        <v>8.1</v>
      </c>
      <c r="O328" s="18">
        <v>19.329999999999998</v>
      </c>
      <c r="P328" s="18">
        <v>0.4</v>
      </c>
      <c r="Q328" s="18">
        <v>880</v>
      </c>
      <c r="R328" s="18" t="s">
        <v>51</v>
      </c>
      <c r="S328" s="53">
        <v>0</v>
      </c>
      <c r="T328" s="18">
        <v>15.81</v>
      </c>
      <c r="U328" s="21">
        <v>5.34</v>
      </c>
      <c r="V328" s="21">
        <v>9.32</v>
      </c>
      <c r="W328" s="18">
        <v>17.14</v>
      </c>
      <c r="X328" s="18">
        <v>1.03</v>
      </c>
      <c r="Y328" s="49">
        <f t="shared" si="273"/>
        <v>67.17</v>
      </c>
      <c r="Z328" s="18">
        <f t="shared" si="76"/>
        <v>0.4587155963302752</v>
      </c>
      <c r="AA328" s="18">
        <v>29.22</v>
      </c>
      <c r="AB328" s="18">
        <v>82.45</v>
      </c>
      <c r="AC328" s="21">
        <f t="shared" si="77"/>
        <v>2150</v>
      </c>
      <c r="AD328" s="18" t="s">
        <v>51</v>
      </c>
      <c r="AF328" s="1"/>
      <c r="AG328" s="29">
        <v>2.1800000000000002</v>
      </c>
      <c r="AH328" s="29">
        <v>2.15</v>
      </c>
      <c r="AO328" s="30">
        <f t="shared" ref="AO328:AS328" si="304">U328</f>
        <v>5.34</v>
      </c>
      <c r="AP328" s="30">
        <f t="shared" si="304"/>
        <v>9.32</v>
      </c>
      <c r="AQ328" s="30">
        <f t="shared" si="304"/>
        <v>17.14</v>
      </c>
      <c r="AR328" s="30">
        <f t="shared" si="304"/>
        <v>1.03</v>
      </c>
      <c r="AS328" s="30">
        <f t="shared" si="304"/>
        <v>67.17</v>
      </c>
      <c r="AT328" s="31">
        <f t="shared" si="242"/>
        <v>100</v>
      </c>
      <c r="AV328" s="21">
        <f t="shared" si="86"/>
        <v>2150</v>
      </c>
    </row>
    <row r="329" spans="2:48" ht="15.75" customHeight="1" x14ac:dyDescent="0.25">
      <c r="B329" s="32"/>
      <c r="C329" s="18" t="s">
        <v>46</v>
      </c>
      <c r="D329" s="51"/>
      <c r="E329" s="18" t="s">
        <v>48</v>
      </c>
      <c r="F329" s="51"/>
      <c r="G329" s="18">
        <v>38.92</v>
      </c>
      <c r="H329" s="18">
        <v>5.0999999999999996</v>
      </c>
      <c r="I329" s="18">
        <v>53.69</v>
      </c>
      <c r="J329" s="18">
        <v>2.17</v>
      </c>
      <c r="K329" s="18">
        <v>0.12</v>
      </c>
      <c r="L329" s="22">
        <f t="shared" si="74"/>
        <v>8.7700000000000102</v>
      </c>
      <c r="M329" s="18">
        <v>63.8</v>
      </c>
      <c r="N329" s="18">
        <v>8.1</v>
      </c>
      <c r="O329" s="18">
        <v>19.329999999999998</v>
      </c>
      <c r="P329" s="18">
        <v>0.4</v>
      </c>
      <c r="Q329" s="18">
        <v>880</v>
      </c>
      <c r="R329" s="18" t="s">
        <v>51</v>
      </c>
      <c r="S329" s="53">
        <v>0</v>
      </c>
      <c r="T329" s="18">
        <v>15.81</v>
      </c>
      <c r="U329" s="21">
        <v>5.88</v>
      </c>
      <c r="V329" s="21">
        <v>10.24</v>
      </c>
      <c r="W329" s="18">
        <v>16.82</v>
      </c>
      <c r="X329" s="18">
        <v>1.19</v>
      </c>
      <c r="Y329" s="49">
        <f t="shared" si="273"/>
        <v>65.87</v>
      </c>
      <c r="Z329" s="18">
        <f t="shared" si="76"/>
        <v>0.42553191489361702</v>
      </c>
      <c r="AA329" s="18">
        <v>35.020000000000003</v>
      </c>
      <c r="AB329" s="18">
        <v>91.38</v>
      </c>
      <c r="AC329" s="21">
        <f t="shared" si="77"/>
        <v>2390</v>
      </c>
      <c r="AD329" s="18" t="s">
        <v>51</v>
      </c>
      <c r="AF329" s="1"/>
      <c r="AG329" s="29">
        <v>2.35</v>
      </c>
      <c r="AH329" s="29">
        <v>2.39</v>
      </c>
      <c r="AO329" s="30">
        <f t="shared" ref="AO329:AS329" si="305">U329</f>
        <v>5.88</v>
      </c>
      <c r="AP329" s="30">
        <f t="shared" si="305"/>
        <v>10.24</v>
      </c>
      <c r="AQ329" s="30">
        <f t="shared" si="305"/>
        <v>16.82</v>
      </c>
      <c r="AR329" s="30">
        <f t="shared" si="305"/>
        <v>1.19</v>
      </c>
      <c r="AS329" s="30">
        <f t="shared" si="305"/>
        <v>65.87</v>
      </c>
      <c r="AT329" s="31">
        <f t="shared" si="242"/>
        <v>100</v>
      </c>
      <c r="AV329" s="21">
        <f t="shared" si="86"/>
        <v>2390</v>
      </c>
    </row>
    <row r="330" spans="2:48" ht="15.75" customHeight="1" x14ac:dyDescent="0.25">
      <c r="B330" s="32"/>
      <c r="C330" s="18" t="s">
        <v>46</v>
      </c>
      <c r="D330" s="51"/>
      <c r="E330" s="18" t="s">
        <v>48</v>
      </c>
      <c r="F330" s="51"/>
      <c r="G330" s="18">
        <v>38.92</v>
      </c>
      <c r="H330" s="18">
        <v>5.0999999999999996</v>
      </c>
      <c r="I330" s="18">
        <v>53.69</v>
      </c>
      <c r="J330" s="18">
        <v>2.17</v>
      </c>
      <c r="K330" s="18">
        <v>0.12</v>
      </c>
      <c r="L330" s="22">
        <f t="shared" si="74"/>
        <v>8.7700000000000102</v>
      </c>
      <c r="M330" s="18">
        <v>63.8</v>
      </c>
      <c r="N330" s="18">
        <v>8.1</v>
      </c>
      <c r="O330" s="18">
        <v>19.329999999999998</v>
      </c>
      <c r="P330" s="18">
        <v>0.4</v>
      </c>
      <c r="Q330" s="18">
        <v>880</v>
      </c>
      <c r="R330" s="18" t="s">
        <v>51</v>
      </c>
      <c r="S330" s="53">
        <v>0</v>
      </c>
      <c r="T330" s="18">
        <v>15.81</v>
      </c>
      <c r="U330" s="21">
        <v>6.65</v>
      </c>
      <c r="V330" s="21">
        <v>10.11</v>
      </c>
      <c r="W330" s="18">
        <v>15.96</v>
      </c>
      <c r="X330" s="18">
        <v>1.57</v>
      </c>
      <c r="Y330" s="49">
        <f t="shared" si="273"/>
        <v>65.710000000000008</v>
      </c>
      <c r="Z330" s="18">
        <f t="shared" si="76"/>
        <v>0.41322314049586778</v>
      </c>
      <c r="AA330" s="18">
        <v>39.380000000000003</v>
      </c>
      <c r="AB330" s="18">
        <v>92.07</v>
      </c>
      <c r="AC330" s="21">
        <f t="shared" si="77"/>
        <v>2610</v>
      </c>
      <c r="AD330" s="18" t="s">
        <v>51</v>
      </c>
      <c r="AF330" s="1"/>
      <c r="AG330" s="29">
        <v>2.42</v>
      </c>
      <c r="AH330" s="29">
        <v>2.61</v>
      </c>
      <c r="AO330" s="30">
        <f t="shared" ref="AO330:AS330" si="306">U330</f>
        <v>6.65</v>
      </c>
      <c r="AP330" s="30">
        <f t="shared" si="306"/>
        <v>10.11</v>
      </c>
      <c r="AQ330" s="30">
        <f t="shared" si="306"/>
        <v>15.96</v>
      </c>
      <c r="AR330" s="30">
        <f t="shared" si="306"/>
        <v>1.57</v>
      </c>
      <c r="AS330" s="30">
        <f t="shared" si="306"/>
        <v>65.710000000000008</v>
      </c>
      <c r="AT330" s="31">
        <f t="shared" si="242"/>
        <v>100</v>
      </c>
      <c r="AV330" s="21">
        <f t="shared" si="86"/>
        <v>2610</v>
      </c>
    </row>
    <row r="331" spans="2:48" ht="15.75" customHeight="1" x14ac:dyDescent="0.25">
      <c r="B331" s="32"/>
      <c r="C331" s="18" t="s">
        <v>46</v>
      </c>
      <c r="D331" s="51"/>
      <c r="E331" s="18" t="s">
        <v>48</v>
      </c>
      <c r="F331" s="51"/>
      <c r="G331" s="18">
        <v>38.92</v>
      </c>
      <c r="H331" s="18">
        <v>5.0999999999999996</v>
      </c>
      <c r="I331" s="18">
        <v>53.69</v>
      </c>
      <c r="J331" s="18">
        <v>2.17</v>
      </c>
      <c r="K331" s="18">
        <v>0.12</v>
      </c>
      <c r="L331" s="22">
        <f t="shared" si="74"/>
        <v>8.7700000000000102</v>
      </c>
      <c r="M331" s="18">
        <v>63.8</v>
      </c>
      <c r="N331" s="18">
        <v>8.1</v>
      </c>
      <c r="O331" s="18">
        <v>19.329999999999998</v>
      </c>
      <c r="P331" s="18">
        <v>0.4</v>
      </c>
      <c r="Q331" s="18">
        <v>880</v>
      </c>
      <c r="R331" s="18" t="s">
        <v>51</v>
      </c>
      <c r="S331" s="53">
        <v>0</v>
      </c>
      <c r="T331" s="18">
        <v>15.81</v>
      </c>
      <c r="U331" s="21">
        <v>7.49</v>
      </c>
      <c r="V331" s="21">
        <v>12.57</v>
      </c>
      <c r="W331" s="18">
        <v>14.56</v>
      </c>
      <c r="X331" s="18">
        <v>1.62</v>
      </c>
      <c r="Y331" s="49">
        <f t="shared" si="273"/>
        <v>63.76</v>
      </c>
      <c r="Z331" s="18">
        <f t="shared" si="76"/>
        <v>0.38910505836575876</v>
      </c>
      <c r="AA331" s="18">
        <v>48.39</v>
      </c>
      <c r="AB331" s="18">
        <v>101.7</v>
      </c>
      <c r="AC331" s="21">
        <f t="shared" si="77"/>
        <v>3020</v>
      </c>
      <c r="AD331" s="18" t="s">
        <v>51</v>
      </c>
      <c r="AF331" s="1"/>
      <c r="AG331" s="29">
        <v>2.57</v>
      </c>
      <c r="AH331" s="29">
        <v>3.02</v>
      </c>
      <c r="AO331" s="30">
        <f t="shared" ref="AO331:AS331" si="307">U331</f>
        <v>7.49</v>
      </c>
      <c r="AP331" s="30">
        <f t="shared" si="307"/>
        <v>12.57</v>
      </c>
      <c r="AQ331" s="30">
        <f t="shared" si="307"/>
        <v>14.56</v>
      </c>
      <c r="AR331" s="30">
        <f t="shared" si="307"/>
        <v>1.62</v>
      </c>
      <c r="AS331" s="30">
        <f t="shared" si="307"/>
        <v>63.76</v>
      </c>
      <c r="AT331" s="31">
        <f t="shared" si="242"/>
        <v>100</v>
      </c>
      <c r="AV331" s="21">
        <f t="shared" si="86"/>
        <v>3020</v>
      </c>
    </row>
    <row r="332" spans="2:48" ht="15.75" customHeight="1" x14ac:dyDescent="0.25">
      <c r="B332" s="32"/>
      <c r="C332" s="18" t="s">
        <v>46</v>
      </c>
      <c r="D332" s="51"/>
      <c r="E332" s="18" t="s">
        <v>48</v>
      </c>
      <c r="F332" s="51"/>
      <c r="G332" s="18">
        <v>38.92</v>
      </c>
      <c r="H332" s="18">
        <v>5.0999999999999996</v>
      </c>
      <c r="I332" s="18">
        <v>53.69</v>
      </c>
      <c r="J332" s="18">
        <v>2.17</v>
      </c>
      <c r="K332" s="18">
        <v>0.12</v>
      </c>
      <c r="L332" s="22">
        <f t="shared" si="74"/>
        <v>8.7700000000000102</v>
      </c>
      <c r="M332" s="18">
        <v>63.8</v>
      </c>
      <c r="N332" s="18">
        <v>8.1</v>
      </c>
      <c r="O332" s="18">
        <v>19.329999999999998</v>
      </c>
      <c r="P332" s="18">
        <v>0.4</v>
      </c>
      <c r="Q332" s="18">
        <v>880</v>
      </c>
      <c r="R332" s="18" t="s">
        <v>51</v>
      </c>
      <c r="S332" s="53">
        <v>0</v>
      </c>
      <c r="T332" s="18">
        <v>15.81</v>
      </c>
      <c r="U332" s="21">
        <v>7.12</v>
      </c>
      <c r="V332" s="21">
        <v>15.48</v>
      </c>
      <c r="W332" s="18">
        <v>12.92</v>
      </c>
      <c r="X332" s="18">
        <v>1.71</v>
      </c>
      <c r="Y332" s="49">
        <f t="shared" si="273"/>
        <v>62.769999999999996</v>
      </c>
      <c r="Z332" s="18">
        <f t="shared" si="76"/>
        <v>0.37313432835820892</v>
      </c>
      <c r="AA332" s="18">
        <v>56.14</v>
      </c>
      <c r="AB332" s="18">
        <v>111.07</v>
      </c>
      <c r="AC332" s="21">
        <f t="shared" si="77"/>
        <v>3360</v>
      </c>
      <c r="AD332" s="18" t="s">
        <v>51</v>
      </c>
      <c r="AF332" s="1"/>
      <c r="AG332" s="29">
        <v>2.68</v>
      </c>
      <c r="AH332" s="29">
        <v>3.36</v>
      </c>
      <c r="AO332" s="30">
        <f t="shared" ref="AO332:AS332" si="308">U332</f>
        <v>7.12</v>
      </c>
      <c r="AP332" s="30">
        <f t="shared" si="308"/>
        <v>15.48</v>
      </c>
      <c r="AQ332" s="30">
        <f t="shared" si="308"/>
        <v>12.92</v>
      </c>
      <c r="AR332" s="30">
        <f t="shared" si="308"/>
        <v>1.71</v>
      </c>
      <c r="AS332" s="30">
        <f t="shared" si="308"/>
        <v>62.769999999999996</v>
      </c>
      <c r="AT332" s="31">
        <f t="shared" si="242"/>
        <v>100</v>
      </c>
      <c r="AV332" s="21">
        <f t="shared" si="86"/>
        <v>3360</v>
      </c>
    </row>
    <row r="333" spans="2:48" ht="15.75" customHeight="1" x14ac:dyDescent="0.25">
      <c r="B333" s="32"/>
      <c r="C333" s="18" t="s">
        <v>46</v>
      </c>
      <c r="D333" s="51"/>
      <c r="E333" s="18" t="s">
        <v>48</v>
      </c>
      <c r="F333" s="51"/>
      <c r="G333" s="18">
        <v>38.92</v>
      </c>
      <c r="H333" s="18">
        <v>5.0999999999999996</v>
      </c>
      <c r="I333" s="18">
        <v>53.69</v>
      </c>
      <c r="J333" s="18">
        <v>2.17</v>
      </c>
      <c r="K333" s="18">
        <v>0.12</v>
      </c>
      <c r="L333" s="22">
        <f t="shared" si="74"/>
        <v>8.7700000000000102</v>
      </c>
      <c r="M333" s="18">
        <v>63.8</v>
      </c>
      <c r="N333" s="18">
        <v>8.1</v>
      </c>
      <c r="O333" s="18">
        <v>19.329999999999998</v>
      </c>
      <c r="P333" s="18">
        <v>0.4</v>
      </c>
      <c r="Q333" s="18">
        <v>880</v>
      </c>
      <c r="R333" s="18" t="s">
        <v>51</v>
      </c>
      <c r="S333" s="53">
        <v>0</v>
      </c>
      <c r="T333" s="18">
        <v>15.81</v>
      </c>
      <c r="U333" s="21">
        <v>7.42</v>
      </c>
      <c r="V333" s="21">
        <v>15.29</v>
      </c>
      <c r="W333" s="18">
        <v>11.76</v>
      </c>
      <c r="X333" s="18">
        <v>2.06</v>
      </c>
      <c r="Y333" s="49">
        <f t="shared" si="273"/>
        <v>63.47</v>
      </c>
      <c r="Z333" s="18">
        <f t="shared" si="76"/>
        <v>0.35587188612099646</v>
      </c>
      <c r="AA333" s="18">
        <v>61.49</v>
      </c>
      <c r="AB333" s="18">
        <v>112.59</v>
      </c>
      <c r="AC333" s="21">
        <f t="shared" si="77"/>
        <v>3510</v>
      </c>
      <c r="AD333" s="18" t="s">
        <v>51</v>
      </c>
      <c r="AF333" s="1"/>
      <c r="AG333" s="29">
        <v>2.81</v>
      </c>
      <c r="AH333" s="29">
        <v>3.51</v>
      </c>
      <c r="AO333" s="30">
        <f t="shared" ref="AO333:AS333" si="309">U333</f>
        <v>7.42</v>
      </c>
      <c r="AP333" s="30">
        <f t="shared" si="309"/>
        <v>15.29</v>
      </c>
      <c r="AQ333" s="30">
        <f t="shared" si="309"/>
        <v>11.76</v>
      </c>
      <c r="AR333" s="30">
        <f t="shared" si="309"/>
        <v>2.06</v>
      </c>
      <c r="AS333" s="30">
        <f t="shared" si="309"/>
        <v>63.47</v>
      </c>
      <c r="AT333" s="31">
        <f t="shared" si="242"/>
        <v>100</v>
      </c>
      <c r="AV333" s="21">
        <f t="shared" si="86"/>
        <v>3510</v>
      </c>
    </row>
    <row r="334" spans="2:48" ht="15.75" customHeight="1" x14ac:dyDescent="0.25">
      <c r="B334" s="32"/>
      <c r="C334" s="18" t="s">
        <v>46</v>
      </c>
      <c r="D334" s="51"/>
      <c r="E334" s="18" t="s">
        <v>48</v>
      </c>
      <c r="F334" s="51"/>
      <c r="G334" s="18">
        <v>51.53</v>
      </c>
      <c r="H334" s="18">
        <v>6.36</v>
      </c>
      <c r="I334" s="18">
        <v>41.97</v>
      </c>
      <c r="J334" s="18">
        <v>0.12</v>
      </c>
      <c r="K334" s="18">
        <v>0.02</v>
      </c>
      <c r="L334" s="22">
        <f t="shared" si="74"/>
        <v>11.14</v>
      </c>
      <c r="M334" s="18">
        <v>77.760000000000005</v>
      </c>
      <c r="N334" s="18">
        <v>9.3000000000000007</v>
      </c>
      <c r="O334" s="18">
        <v>1.8</v>
      </c>
      <c r="P334" s="18">
        <v>0.5</v>
      </c>
      <c r="Q334" s="18">
        <v>880</v>
      </c>
      <c r="R334" s="18" t="s">
        <v>51</v>
      </c>
      <c r="S334" s="53">
        <v>0</v>
      </c>
      <c r="T334" s="18">
        <v>15.81</v>
      </c>
      <c r="U334" s="21">
        <v>6.54</v>
      </c>
      <c r="V334" s="21">
        <v>14.23</v>
      </c>
      <c r="W334" s="18">
        <v>14.51</v>
      </c>
      <c r="X334" s="18">
        <v>1.02</v>
      </c>
      <c r="Y334" s="49">
        <f t="shared" si="273"/>
        <v>63.699999999999996</v>
      </c>
      <c r="Z334" s="18">
        <f t="shared" si="76"/>
        <v>0.41322314049586778</v>
      </c>
      <c r="AA334" s="18">
        <v>39.94</v>
      </c>
      <c r="AB334" s="18">
        <v>75.16</v>
      </c>
      <c r="AC334" s="21">
        <f t="shared" si="77"/>
        <v>2880</v>
      </c>
      <c r="AD334" s="18" t="s">
        <v>51</v>
      </c>
      <c r="AF334" s="1"/>
      <c r="AG334" s="29">
        <v>2.42</v>
      </c>
      <c r="AH334" s="29">
        <v>2.88</v>
      </c>
      <c r="AO334" s="30">
        <f t="shared" ref="AO334:AS334" si="310">U334</f>
        <v>6.54</v>
      </c>
      <c r="AP334" s="30">
        <f t="shared" si="310"/>
        <v>14.23</v>
      </c>
      <c r="AQ334" s="30">
        <f t="shared" si="310"/>
        <v>14.51</v>
      </c>
      <c r="AR334" s="30">
        <f t="shared" si="310"/>
        <v>1.02</v>
      </c>
      <c r="AS334" s="30">
        <f t="shared" si="310"/>
        <v>63.699999999999996</v>
      </c>
      <c r="AT334" s="31">
        <f t="shared" si="242"/>
        <v>100</v>
      </c>
      <c r="AV334" s="21">
        <f t="shared" si="86"/>
        <v>2880</v>
      </c>
    </row>
    <row r="335" spans="2:48" ht="15.75" customHeight="1" x14ac:dyDescent="0.25">
      <c r="B335" s="32"/>
      <c r="C335" s="18" t="s">
        <v>46</v>
      </c>
      <c r="D335" s="51"/>
      <c r="E335" s="18" t="s">
        <v>48</v>
      </c>
      <c r="F335" s="51"/>
      <c r="G335" s="18">
        <v>51.53</v>
      </c>
      <c r="H335" s="18">
        <v>6.36</v>
      </c>
      <c r="I335" s="18">
        <v>41.97</v>
      </c>
      <c r="J335" s="18">
        <v>0.12</v>
      </c>
      <c r="K335" s="18">
        <v>0.02</v>
      </c>
      <c r="L335" s="22">
        <f t="shared" si="74"/>
        <v>11.14</v>
      </c>
      <c r="M335" s="18">
        <v>77.760000000000005</v>
      </c>
      <c r="N335" s="18">
        <v>9.3000000000000007</v>
      </c>
      <c r="O335" s="18">
        <v>1.8</v>
      </c>
      <c r="P335" s="18">
        <v>0.5</v>
      </c>
      <c r="Q335" s="18">
        <v>880</v>
      </c>
      <c r="R335" s="18" t="s">
        <v>51</v>
      </c>
      <c r="S335" s="53">
        <v>0</v>
      </c>
      <c r="T335" s="18">
        <v>17.62</v>
      </c>
      <c r="U335" s="21">
        <v>7.54</v>
      </c>
      <c r="V335" s="21">
        <v>15.19</v>
      </c>
      <c r="W335" s="18">
        <v>12.62</v>
      </c>
      <c r="X335" s="18">
        <v>1.81</v>
      </c>
      <c r="Y335" s="49">
        <f t="shared" si="273"/>
        <v>62.839999999999996</v>
      </c>
      <c r="Z335" s="18">
        <f t="shared" si="76"/>
        <v>0.39840637450199207</v>
      </c>
      <c r="AA335" s="18">
        <v>49.19</v>
      </c>
      <c r="AB335" s="18">
        <v>77.59</v>
      </c>
      <c r="AC335" s="21">
        <f t="shared" si="77"/>
        <v>3420</v>
      </c>
      <c r="AD335" s="18" t="s">
        <v>51</v>
      </c>
      <c r="AF335" s="1"/>
      <c r="AG335" s="29">
        <v>2.5099999999999998</v>
      </c>
      <c r="AH335" s="29">
        <v>3.42</v>
      </c>
      <c r="AO335" s="30">
        <f t="shared" ref="AO335:AS335" si="311">U335</f>
        <v>7.54</v>
      </c>
      <c r="AP335" s="30">
        <f t="shared" si="311"/>
        <v>15.19</v>
      </c>
      <c r="AQ335" s="30">
        <f t="shared" si="311"/>
        <v>12.62</v>
      </c>
      <c r="AR335" s="30">
        <f t="shared" si="311"/>
        <v>1.81</v>
      </c>
      <c r="AS335" s="30">
        <f t="shared" si="311"/>
        <v>62.839999999999996</v>
      </c>
      <c r="AT335" s="31">
        <f t="shared" si="242"/>
        <v>100</v>
      </c>
      <c r="AV335" s="21">
        <f t="shared" si="86"/>
        <v>3420</v>
      </c>
    </row>
    <row r="336" spans="2:48" ht="15.75" customHeight="1" x14ac:dyDescent="0.25">
      <c r="B336" s="32"/>
      <c r="C336" s="18" t="s">
        <v>46</v>
      </c>
      <c r="D336" s="51"/>
      <c r="E336" s="18" t="s">
        <v>48</v>
      </c>
      <c r="F336" s="51"/>
      <c r="G336" s="18">
        <v>51.53</v>
      </c>
      <c r="H336" s="18">
        <v>6.36</v>
      </c>
      <c r="I336" s="18">
        <v>41.97</v>
      </c>
      <c r="J336" s="18">
        <v>0.12</v>
      </c>
      <c r="K336" s="18">
        <v>0.02</v>
      </c>
      <c r="L336" s="22">
        <f t="shared" si="74"/>
        <v>11.14</v>
      </c>
      <c r="M336" s="18">
        <v>77.760000000000005</v>
      </c>
      <c r="N336" s="18">
        <v>9.3000000000000007</v>
      </c>
      <c r="O336" s="18">
        <v>1.8</v>
      </c>
      <c r="P336" s="18">
        <v>0.5</v>
      </c>
      <c r="Q336" s="18">
        <v>880</v>
      </c>
      <c r="R336" s="18" t="s">
        <v>51</v>
      </c>
      <c r="S336" s="53">
        <v>0</v>
      </c>
      <c r="T336" s="18">
        <v>17.62</v>
      </c>
      <c r="U336" s="21">
        <v>7.98</v>
      </c>
      <c r="V336" s="21">
        <v>16.28</v>
      </c>
      <c r="W336" s="18">
        <v>13.89</v>
      </c>
      <c r="X336" s="18">
        <v>2.04</v>
      </c>
      <c r="Y336" s="49">
        <f t="shared" si="273"/>
        <v>59.809999999999995</v>
      </c>
      <c r="Z336" s="18">
        <f t="shared" si="76"/>
        <v>0.41152263374485593</v>
      </c>
      <c r="AA336" s="18">
        <v>51.39</v>
      </c>
      <c r="AB336" s="18">
        <v>81.69</v>
      </c>
      <c r="AC336" s="21">
        <f t="shared" si="77"/>
        <v>3690</v>
      </c>
      <c r="AD336" s="18" t="s">
        <v>51</v>
      </c>
      <c r="AF336" s="1"/>
      <c r="AG336" s="29">
        <v>2.4300000000000002</v>
      </c>
      <c r="AH336" s="29">
        <v>3.69</v>
      </c>
      <c r="AO336" s="30">
        <f t="shared" ref="AO336:AS336" si="312">U336</f>
        <v>7.98</v>
      </c>
      <c r="AP336" s="30">
        <f t="shared" si="312"/>
        <v>16.28</v>
      </c>
      <c r="AQ336" s="30">
        <f t="shared" si="312"/>
        <v>13.89</v>
      </c>
      <c r="AR336" s="30">
        <f t="shared" si="312"/>
        <v>2.04</v>
      </c>
      <c r="AS336" s="30">
        <f t="shared" si="312"/>
        <v>59.809999999999995</v>
      </c>
      <c r="AT336" s="31">
        <f t="shared" si="242"/>
        <v>100</v>
      </c>
      <c r="AV336" s="21">
        <f t="shared" si="86"/>
        <v>3690</v>
      </c>
    </row>
    <row r="337" spans="2:48" ht="15.75" customHeight="1" x14ac:dyDescent="0.25">
      <c r="B337" s="32"/>
      <c r="C337" s="18" t="s">
        <v>46</v>
      </c>
      <c r="D337" s="51"/>
      <c r="E337" s="18" t="s">
        <v>48</v>
      </c>
      <c r="F337" s="51"/>
      <c r="G337" s="18">
        <v>51.53</v>
      </c>
      <c r="H337" s="18">
        <v>6.36</v>
      </c>
      <c r="I337" s="18">
        <v>41.97</v>
      </c>
      <c r="J337" s="18">
        <v>0.12</v>
      </c>
      <c r="K337" s="18">
        <v>0.02</v>
      </c>
      <c r="L337" s="22">
        <f t="shared" si="74"/>
        <v>11.14</v>
      </c>
      <c r="M337" s="18">
        <v>77.760000000000005</v>
      </c>
      <c r="N337" s="18">
        <v>9.3000000000000007</v>
      </c>
      <c r="O337" s="18">
        <v>1.8</v>
      </c>
      <c r="P337" s="18">
        <v>0.5</v>
      </c>
      <c r="Q337" s="18">
        <v>880</v>
      </c>
      <c r="R337" s="18" t="s">
        <v>51</v>
      </c>
      <c r="S337" s="53">
        <v>0</v>
      </c>
      <c r="T337" s="18">
        <v>17.62</v>
      </c>
      <c r="U337" s="21">
        <v>8.23</v>
      </c>
      <c r="V337" s="21">
        <v>15.61</v>
      </c>
      <c r="W337" s="18">
        <v>12.18</v>
      </c>
      <c r="X337" s="18">
        <v>1.6</v>
      </c>
      <c r="Y337" s="49">
        <f t="shared" si="273"/>
        <v>62.38</v>
      </c>
      <c r="Z337" s="18">
        <f t="shared" si="76"/>
        <v>0.3968253968253968</v>
      </c>
      <c r="AA337" s="18">
        <v>50.11</v>
      </c>
      <c r="AB337" s="18">
        <v>77.3</v>
      </c>
      <c r="AC337" s="21">
        <f t="shared" si="77"/>
        <v>3470</v>
      </c>
      <c r="AD337" s="18" t="s">
        <v>51</v>
      </c>
      <c r="AF337" s="1"/>
      <c r="AG337" s="29">
        <v>2.52</v>
      </c>
      <c r="AH337" s="29">
        <v>3.47</v>
      </c>
      <c r="AO337" s="30">
        <f t="shared" ref="AO337:AS337" si="313">U337</f>
        <v>8.23</v>
      </c>
      <c r="AP337" s="30">
        <f t="shared" si="313"/>
        <v>15.61</v>
      </c>
      <c r="AQ337" s="30">
        <f t="shared" si="313"/>
        <v>12.18</v>
      </c>
      <c r="AR337" s="30">
        <f t="shared" si="313"/>
        <v>1.6</v>
      </c>
      <c r="AS337" s="30">
        <f t="shared" si="313"/>
        <v>62.38</v>
      </c>
      <c r="AT337" s="31">
        <f t="shared" si="242"/>
        <v>100</v>
      </c>
      <c r="AV337" s="21">
        <f t="shared" si="86"/>
        <v>3470</v>
      </c>
    </row>
    <row r="338" spans="2:48" ht="15.75" customHeight="1" x14ac:dyDescent="0.25">
      <c r="B338" s="32"/>
      <c r="C338" s="18" t="s">
        <v>46</v>
      </c>
      <c r="D338" s="51"/>
      <c r="E338" s="18" t="s">
        <v>48</v>
      </c>
      <c r="F338" s="51"/>
      <c r="G338" s="18">
        <v>51.53</v>
      </c>
      <c r="H338" s="18">
        <v>6.36</v>
      </c>
      <c r="I338" s="18">
        <v>41.97</v>
      </c>
      <c r="J338" s="18">
        <v>0.12</v>
      </c>
      <c r="K338" s="18">
        <v>0.02</v>
      </c>
      <c r="L338" s="22">
        <f t="shared" si="74"/>
        <v>11.14</v>
      </c>
      <c r="M338" s="18">
        <v>77.760000000000005</v>
      </c>
      <c r="N338" s="18">
        <v>9.3000000000000007</v>
      </c>
      <c r="O338" s="18">
        <v>1.8</v>
      </c>
      <c r="P338" s="18">
        <v>0.5</v>
      </c>
      <c r="Q338" s="18">
        <v>880</v>
      </c>
      <c r="R338" s="18" t="s">
        <v>51</v>
      </c>
      <c r="S338" s="53">
        <v>0</v>
      </c>
      <c r="T338" s="18">
        <v>17.62</v>
      </c>
      <c r="U338" s="21">
        <v>9.98</v>
      </c>
      <c r="V338" s="21">
        <v>17.38</v>
      </c>
      <c r="W338" s="18">
        <v>11.96</v>
      </c>
      <c r="X338" s="18">
        <v>2.4500000000000002</v>
      </c>
      <c r="Y338" s="49">
        <f t="shared" si="273"/>
        <v>58.23</v>
      </c>
      <c r="Z338" s="18">
        <f t="shared" si="76"/>
        <v>0.36900369003690037</v>
      </c>
      <c r="AA338" s="18">
        <v>65.38</v>
      </c>
      <c r="AB338" s="18">
        <v>89.91</v>
      </c>
      <c r="AC338" s="21">
        <f t="shared" si="77"/>
        <v>4210</v>
      </c>
      <c r="AD338" s="18" t="s">
        <v>51</v>
      </c>
      <c r="AF338" s="1"/>
      <c r="AG338" s="29">
        <v>2.71</v>
      </c>
      <c r="AH338" s="29">
        <v>4.21</v>
      </c>
      <c r="AO338" s="30">
        <f t="shared" ref="AO338:AS338" si="314">U338</f>
        <v>9.98</v>
      </c>
      <c r="AP338" s="30">
        <f t="shared" si="314"/>
        <v>17.38</v>
      </c>
      <c r="AQ338" s="30">
        <f t="shared" si="314"/>
        <v>11.96</v>
      </c>
      <c r="AR338" s="30">
        <f t="shared" si="314"/>
        <v>2.4500000000000002</v>
      </c>
      <c r="AS338" s="30">
        <f t="shared" si="314"/>
        <v>58.23</v>
      </c>
      <c r="AT338" s="31">
        <f t="shared" si="242"/>
        <v>100</v>
      </c>
      <c r="AV338" s="21">
        <f t="shared" si="86"/>
        <v>4210</v>
      </c>
    </row>
    <row r="339" spans="2:48" ht="15.75" customHeight="1" x14ac:dyDescent="0.25">
      <c r="B339" s="32"/>
      <c r="C339" s="18" t="s">
        <v>46</v>
      </c>
      <c r="D339" s="51"/>
      <c r="E339" s="18" t="s">
        <v>48</v>
      </c>
      <c r="F339" s="51"/>
      <c r="G339" s="18">
        <v>51.53</v>
      </c>
      <c r="H339" s="18">
        <v>6.36</v>
      </c>
      <c r="I339" s="18">
        <v>41.97</v>
      </c>
      <c r="J339" s="18">
        <v>0.12</v>
      </c>
      <c r="K339" s="18">
        <v>0.02</v>
      </c>
      <c r="L339" s="22">
        <f t="shared" si="74"/>
        <v>11.14</v>
      </c>
      <c r="M339" s="18">
        <v>77.760000000000005</v>
      </c>
      <c r="N339" s="18">
        <v>9.3000000000000007</v>
      </c>
      <c r="O339" s="18">
        <v>1.8</v>
      </c>
      <c r="P339" s="18">
        <v>0.5</v>
      </c>
      <c r="Q339" s="18">
        <v>880</v>
      </c>
      <c r="R339" s="18" t="s">
        <v>51</v>
      </c>
      <c r="S339" s="53">
        <v>0</v>
      </c>
      <c r="T339" s="18">
        <v>17.62</v>
      </c>
      <c r="U339" s="21">
        <v>10.14</v>
      </c>
      <c r="V339" s="21">
        <v>17.54</v>
      </c>
      <c r="W339" s="18">
        <v>10.78</v>
      </c>
      <c r="X339" s="18">
        <v>3.21</v>
      </c>
      <c r="Y339" s="49">
        <f t="shared" si="273"/>
        <v>58.33</v>
      </c>
      <c r="Z339" s="18">
        <f t="shared" si="76"/>
        <v>0.37878787878787878</v>
      </c>
      <c r="AA339" s="18">
        <v>68.69</v>
      </c>
      <c r="AB339" s="18">
        <v>86.87</v>
      </c>
      <c r="AC339" s="21">
        <f t="shared" si="77"/>
        <v>4540</v>
      </c>
      <c r="AD339" s="18" t="s">
        <v>51</v>
      </c>
      <c r="AF339" s="1"/>
      <c r="AG339" s="29">
        <v>2.64</v>
      </c>
      <c r="AH339" s="29">
        <v>4.54</v>
      </c>
      <c r="AO339" s="30">
        <f t="shared" ref="AO339:AS339" si="315">U339</f>
        <v>10.14</v>
      </c>
      <c r="AP339" s="30">
        <f t="shared" si="315"/>
        <v>17.54</v>
      </c>
      <c r="AQ339" s="30">
        <f t="shared" si="315"/>
        <v>10.78</v>
      </c>
      <c r="AR339" s="30">
        <f t="shared" si="315"/>
        <v>3.21</v>
      </c>
      <c r="AS339" s="30">
        <f t="shared" si="315"/>
        <v>58.33</v>
      </c>
      <c r="AT339" s="31">
        <f t="shared" si="242"/>
        <v>100</v>
      </c>
      <c r="AV339" s="21">
        <f t="shared" si="86"/>
        <v>4540</v>
      </c>
    </row>
    <row r="340" spans="2:48" ht="15.75" customHeight="1" x14ac:dyDescent="0.25">
      <c r="B340" s="32"/>
      <c r="C340" s="18" t="s">
        <v>46</v>
      </c>
      <c r="D340" s="51"/>
      <c r="E340" s="18" t="s">
        <v>48</v>
      </c>
      <c r="F340" s="51"/>
      <c r="G340" s="18">
        <v>51.53</v>
      </c>
      <c r="H340" s="18">
        <v>6.36</v>
      </c>
      <c r="I340" s="18">
        <v>41.97</v>
      </c>
      <c r="J340" s="18">
        <v>0.12</v>
      </c>
      <c r="K340" s="18">
        <v>0.02</v>
      </c>
      <c r="L340" s="22">
        <f t="shared" si="74"/>
        <v>11.14</v>
      </c>
      <c r="M340" s="18">
        <v>77.760000000000005</v>
      </c>
      <c r="N340" s="18">
        <v>9.3000000000000007</v>
      </c>
      <c r="O340" s="18">
        <v>1.8</v>
      </c>
      <c r="P340" s="18">
        <v>0.5</v>
      </c>
      <c r="Q340" s="18">
        <v>880</v>
      </c>
      <c r="R340" s="18" t="s">
        <v>51</v>
      </c>
      <c r="S340" s="53">
        <v>0</v>
      </c>
      <c r="T340" s="18">
        <v>17.62</v>
      </c>
      <c r="U340" s="21">
        <v>5.59</v>
      </c>
      <c r="V340" s="21">
        <v>13.55</v>
      </c>
      <c r="W340" s="18">
        <v>15.31</v>
      </c>
      <c r="X340" s="18">
        <v>1.06</v>
      </c>
      <c r="Y340" s="49">
        <f t="shared" si="273"/>
        <v>64.489999999999995</v>
      </c>
      <c r="Z340" s="18">
        <f t="shared" si="76"/>
        <v>0.35211267605633806</v>
      </c>
      <c r="AA340" s="18">
        <v>43.94</v>
      </c>
      <c r="AB340" s="18">
        <v>88.68</v>
      </c>
      <c r="AC340" s="21">
        <f t="shared" si="77"/>
        <v>2700</v>
      </c>
      <c r="AD340" s="18" t="s">
        <v>51</v>
      </c>
      <c r="AF340" s="1"/>
      <c r="AG340" s="29">
        <v>2.84</v>
      </c>
      <c r="AH340" s="29">
        <v>2.7</v>
      </c>
      <c r="AO340" s="30">
        <f t="shared" ref="AO340:AS340" si="316">U340</f>
        <v>5.59</v>
      </c>
      <c r="AP340" s="30">
        <f t="shared" si="316"/>
        <v>13.55</v>
      </c>
      <c r="AQ340" s="30">
        <f t="shared" si="316"/>
        <v>15.31</v>
      </c>
      <c r="AR340" s="30">
        <f t="shared" si="316"/>
        <v>1.06</v>
      </c>
      <c r="AS340" s="30">
        <f t="shared" si="316"/>
        <v>64.489999999999995</v>
      </c>
      <c r="AT340" s="31">
        <f t="shared" si="242"/>
        <v>100</v>
      </c>
      <c r="AV340" s="21">
        <f t="shared" si="86"/>
        <v>2700</v>
      </c>
    </row>
    <row r="341" spans="2:48" ht="15.75" customHeight="1" x14ac:dyDescent="0.25">
      <c r="B341" s="32"/>
      <c r="C341" s="18" t="s">
        <v>46</v>
      </c>
      <c r="D341" s="51"/>
      <c r="E341" s="18" t="s">
        <v>48</v>
      </c>
      <c r="F341" s="51"/>
      <c r="G341" s="18">
        <v>51.53</v>
      </c>
      <c r="H341" s="18">
        <v>6.36</v>
      </c>
      <c r="I341" s="18">
        <v>41.97</v>
      </c>
      <c r="J341" s="18">
        <v>0.12</v>
      </c>
      <c r="K341" s="18">
        <v>0.02</v>
      </c>
      <c r="L341" s="22">
        <f t="shared" si="74"/>
        <v>11.14</v>
      </c>
      <c r="M341" s="18">
        <v>77.760000000000005</v>
      </c>
      <c r="N341" s="18">
        <v>9.3000000000000007</v>
      </c>
      <c r="O341" s="18">
        <v>1.8</v>
      </c>
      <c r="P341" s="18">
        <v>0.5</v>
      </c>
      <c r="Q341" s="18">
        <v>880</v>
      </c>
      <c r="R341" s="18" t="s">
        <v>51</v>
      </c>
      <c r="S341" s="53">
        <v>0</v>
      </c>
      <c r="T341" s="18">
        <v>17.62</v>
      </c>
      <c r="U341" s="21">
        <v>6.78</v>
      </c>
      <c r="V341" s="21">
        <v>14.41</v>
      </c>
      <c r="W341" s="18">
        <v>14.87</v>
      </c>
      <c r="X341" s="18">
        <v>1.17</v>
      </c>
      <c r="Y341" s="49">
        <f t="shared" si="273"/>
        <v>62.769999999999996</v>
      </c>
      <c r="Z341" s="18">
        <f t="shared" si="76"/>
        <v>0.34246575342465752</v>
      </c>
      <c r="AA341" s="18">
        <v>50.03</v>
      </c>
      <c r="AB341" s="18">
        <v>92.8</v>
      </c>
      <c r="AC341" s="21">
        <f t="shared" si="77"/>
        <v>2990</v>
      </c>
      <c r="AD341" s="18" t="s">
        <v>51</v>
      </c>
      <c r="AF341" s="1"/>
      <c r="AG341" s="29">
        <v>2.92</v>
      </c>
      <c r="AH341" s="29">
        <v>2.99</v>
      </c>
      <c r="AO341" s="30">
        <f t="shared" ref="AO341:AS341" si="317">U341</f>
        <v>6.78</v>
      </c>
      <c r="AP341" s="30">
        <f t="shared" si="317"/>
        <v>14.41</v>
      </c>
      <c r="AQ341" s="30">
        <f t="shared" si="317"/>
        <v>14.87</v>
      </c>
      <c r="AR341" s="30">
        <f t="shared" si="317"/>
        <v>1.17</v>
      </c>
      <c r="AS341" s="30">
        <f t="shared" si="317"/>
        <v>62.769999999999996</v>
      </c>
      <c r="AT341" s="31">
        <f t="shared" si="242"/>
        <v>100</v>
      </c>
      <c r="AV341" s="21">
        <f t="shared" si="86"/>
        <v>2990</v>
      </c>
    </row>
    <row r="342" spans="2:48" ht="15.75" customHeight="1" x14ac:dyDescent="0.25">
      <c r="B342" s="32"/>
      <c r="C342" s="18" t="s">
        <v>46</v>
      </c>
      <c r="D342" s="51"/>
      <c r="E342" s="18" t="s">
        <v>48</v>
      </c>
      <c r="F342" s="51"/>
      <c r="G342" s="18">
        <v>51.53</v>
      </c>
      <c r="H342" s="18">
        <v>6.36</v>
      </c>
      <c r="I342" s="18">
        <v>41.97</v>
      </c>
      <c r="J342" s="18">
        <v>0.12</v>
      </c>
      <c r="K342" s="18">
        <v>0.02</v>
      </c>
      <c r="L342" s="22">
        <f t="shared" si="74"/>
        <v>11.14</v>
      </c>
      <c r="M342" s="18">
        <v>77.760000000000005</v>
      </c>
      <c r="N342" s="18">
        <v>9.3000000000000007</v>
      </c>
      <c r="O342" s="18">
        <v>1.8</v>
      </c>
      <c r="P342" s="18">
        <v>0.5</v>
      </c>
      <c r="Q342" s="18">
        <v>880</v>
      </c>
      <c r="R342" s="18" t="s">
        <v>51</v>
      </c>
      <c r="S342" s="53">
        <v>0</v>
      </c>
      <c r="T342" s="18">
        <v>17.62</v>
      </c>
      <c r="U342" s="21">
        <v>7.69</v>
      </c>
      <c r="V342" s="21">
        <v>15.82</v>
      </c>
      <c r="W342" s="18">
        <v>13.25</v>
      </c>
      <c r="X342" s="18">
        <v>1.24</v>
      </c>
      <c r="Y342" s="49">
        <f t="shared" si="273"/>
        <v>61.999999999999993</v>
      </c>
      <c r="Z342" s="18">
        <f t="shared" si="76"/>
        <v>0.34602076124567471</v>
      </c>
      <c r="AA342" s="18">
        <v>54.49</v>
      </c>
      <c r="AB342" s="18">
        <v>91.42</v>
      </c>
      <c r="AC342" s="21">
        <f t="shared" si="77"/>
        <v>3290</v>
      </c>
      <c r="AD342" s="18" t="s">
        <v>51</v>
      </c>
      <c r="AF342" s="1"/>
      <c r="AG342" s="29">
        <v>2.89</v>
      </c>
      <c r="AH342" s="29">
        <v>3.29</v>
      </c>
      <c r="AO342" s="30">
        <f t="shared" ref="AO342:AS342" si="318">U342</f>
        <v>7.69</v>
      </c>
      <c r="AP342" s="30">
        <f t="shared" si="318"/>
        <v>15.82</v>
      </c>
      <c r="AQ342" s="30">
        <f t="shared" si="318"/>
        <v>13.25</v>
      </c>
      <c r="AR342" s="30">
        <f t="shared" si="318"/>
        <v>1.24</v>
      </c>
      <c r="AS342" s="30">
        <f t="shared" si="318"/>
        <v>61.999999999999993</v>
      </c>
      <c r="AT342" s="31">
        <f t="shared" si="242"/>
        <v>100</v>
      </c>
      <c r="AV342" s="21">
        <f t="shared" si="86"/>
        <v>3290</v>
      </c>
    </row>
    <row r="343" spans="2:48" ht="15.75" customHeight="1" x14ac:dyDescent="0.25">
      <c r="B343" s="32"/>
      <c r="C343" s="18" t="s">
        <v>46</v>
      </c>
      <c r="D343" s="51"/>
      <c r="E343" s="18" t="s">
        <v>48</v>
      </c>
      <c r="F343" s="51"/>
      <c r="G343" s="18">
        <v>51.53</v>
      </c>
      <c r="H343" s="18">
        <v>6.36</v>
      </c>
      <c r="I343" s="18">
        <v>41.97</v>
      </c>
      <c r="J343" s="18">
        <v>0.12</v>
      </c>
      <c r="K343" s="18">
        <v>0.02</v>
      </c>
      <c r="L343" s="22">
        <f t="shared" si="74"/>
        <v>11.14</v>
      </c>
      <c r="M343" s="18">
        <v>77.760000000000005</v>
      </c>
      <c r="N343" s="18">
        <v>9.3000000000000007</v>
      </c>
      <c r="O343" s="18">
        <v>1.8</v>
      </c>
      <c r="P343" s="18">
        <v>0.5</v>
      </c>
      <c r="Q343" s="18">
        <v>880</v>
      </c>
      <c r="R343" s="18" t="s">
        <v>51</v>
      </c>
      <c r="S343" s="53">
        <v>0</v>
      </c>
      <c r="T343" s="18">
        <v>17.62</v>
      </c>
      <c r="U343" s="21">
        <v>7.82</v>
      </c>
      <c r="V343" s="21">
        <v>15.67</v>
      </c>
      <c r="W343" s="18">
        <v>12.55</v>
      </c>
      <c r="X343" s="18">
        <v>1.8</v>
      </c>
      <c r="Y343" s="49">
        <f t="shared" si="273"/>
        <v>62.16</v>
      </c>
      <c r="Z343" s="18">
        <f t="shared" si="76"/>
        <v>0.33222591362126247</v>
      </c>
      <c r="AA343" s="18">
        <v>60.37</v>
      </c>
      <c r="AB343" s="18">
        <v>94.31</v>
      </c>
      <c r="AC343" s="21">
        <f t="shared" si="77"/>
        <v>3500</v>
      </c>
      <c r="AD343" s="18" t="s">
        <v>51</v>
      </c>
      <c r="AF343" s="1"/>
      <c r="AG343" s="29">
        <v>3.01</v>
      </c>
      <c r="AH343" s="29">
        <v>3.5</v>
      </c>
      <c r="AO343" s="30">
        <f t="shared" ref="AO343:AS343" si="319">U343</f>
        <v>7.82</v>
      </c>
      <c r="AP343" s="30">
        <f t="shared" si="319"/>
        <v>15.67</v>
      </c>
      <c r="AQ343" s="30">
        <f t="shared" si="319"/>
        <v>12.55</v>
      </c>
      <c r="AR343" s="30">
        <f t="shared" si="319"/>
        <v>1.8</v>
      </c>
      <c r="AS343" s="30">
        <f t="shared" si="319"/>
        <v>62.16</v>
      </c>
      <c r="AT343" s="31">
        <f t="shared" si="242"/>
        <v>100</v>
      </c>
      <c r="AV343" s="21">
        <f t="shared" si="86"/>
        <v>3500</v>
      </c>
    </row>
    <row r="344" spans="2:48" ht="15.75" customHeight="1" x14ac:dyDescent="0.25">
      <c r="B344" s="32"/>
      <c r="C344" s="18" t="s">
        <v>46</v>
      </c>
      <c r="D344" s="51"/>
      <c r="E344" s="18" t="s">
        <v>48</v>
      </c>
      <c r="F344" s="51"/>
      <c r="G344" s="18">
        <v>51.53</v>
      </c>
      <c r="H344" s="18">
        <v>6.36</v>
      </c>
      <c r="I344" s="18">
        <v>41.97</v>
      </c>
      <c r="J344" s="18">
        <v>0.12</v>
      </c>
      <c r="K344" s="18">
        <v>0.02</v>
      </c>
      <c r="L344" s="22">
        <f t="shared" si="74"/>
        <v>11.14</v>
      </c>
      <c r="M344" s="18">
        <v>77.760000000000005</v>
      </c>
      <c r="N344" s="18">
        <v>9.3000000000000007</v>
      </c>
      <c r="O344" s="18">
        <v>1.8</v>
      </c>
      <c r="P344" s="18">
        <v>0.5</v>
      </c>
      <c r="Q344" s="18">
        <v>880</v>
      </c>
      <c r="R344" s="18" t="s">
        <v>51</v>
      </c>
      <c r="S344" s="53">
        <v>0</v>
      </c>
      <c r="T344" s="18">
        <v>17.62</v>
      </c>
      <c r="U344" s="21">
        <v>8.1199999999999992</v>
      </c>
      <c r="V344" s="21">
        <v>16.32</v>
      </c>
      <c r="W344" s="18">
        <v>11.16</v>
      </c>
      <c r="X344" s="18">
        <v>2.14</v>
      </c>
      <c r="Y344" s="49">
        <f t="shared" si="273"/>
        <v>62.260000000000005</v>
      </c>
      <c r="Z344" s="18">
        <f t="shared" si="76"/>
        <v>0.31746031746031744</v>
      </c>
      <c r="AA344" s="18">
        <v>67.69</v>
      </c>
      <c r="AB344" s="18">
        <v>97.38</v>
      </c>
      <c r="AC344" s="21">
        <f t="shared" si="77"/>
        <v>3750</v>
      </c>
      <c r="AD344" s="18" t="s">
        <v>51</v>
      </c>
      <c r="AF344" s="1"/>
      <c r="AG344" s="29">
        <v>3.15</v>
      </c>
      <c r="AH344" s="29">
        <v>3.75</v>
      </c>
      <c r="AO344" s="30">
        <f t="shared" ref="AO344:AS344" si="320">U344</f>
        <v>8.1199999999999992</v>
      </c>
      <c r="AP344" s="30">
        <f t="shared" si="320"/>
        <v>16.32</v>
      </c>
      <c r="AQ344" s="30">
        <f t="shared" si="320"/>
        <v>11.16</v>
      </c>
      <c r="AR344" s="30">
        <f t="shared" si="320"/>
        <v>2.14</v>
      </c>
      <c r="AS344" s="30">
        <f t="shared" si="320"/>
        <v>62.260000000000005</v>
      </c>
      <c r="AT344" s="31">
        <f t="shared" si="242"/>
        <v>100</v>
      </c>
      <c r="AV344" s="21">
        <f t="shared" si="86"/>
        <v>3750</v>
      </c>
    </row>
    <row r="345" spans="2:48" ht="15.75" customHeight="1" x14ac:dyDescent="0.25">
      <c r="B345" s="32"/>
      <c r="C345" s="18" t="s">
        <v>46</v>
      </c>
      <c r="D345" s="51"/>
      <c r="E345" s="18" t="s">
        <v>48</v>
      </c>
      <c r="F345" s="51"/>
      <c r="G345" s="18">
        <v>51.53</v>
      </c>
      <c r="H345" s="18">
        <v>6.36</v>
      </c>
      <c r="I345" s="18">
        <v>41.97</v>
      </c>
      <c r="J345" s="18">
        <v>0.12</v>
      </c>
      <c r="K345" s="18">
        <v>0.02</v>
      </c>
      <c r="L345" s="22">
        <f t="shared" si="74"/>
        <v>11.14</v>
      </c>
      <c r="M345" s="18">
        <v>77.760000000000005</v>
      </c>
      <c r="N345" s="18">
        <v>9.3000000000000007</v>
      </c>
      <c r="O345" s="18">
        <v>1.8</v>
      </c>
      <c r="P345" s="18">
        <v>0.5</v>
      </c>
      <c r="Q345" s="18">
        <v>880</v>
      </c>
      <c r="R345" s="18" t="s">
        <v>51</v>
      </c>
      <c r="S345" s="53">
        <v>0</v>
      </c>
      <c r="T345" s="18">
        <v>17.62</v>
      </c>
      <c r="U345" s="21">
        <v>9.35</v>
      </c>
      <c r="V345" s="21">
        <v>17.73</v>
      </c>
      <c r="W345" s="18">
        <v>11.87</v>
      </c>
      <c r="X345" s="18">
        <v>2.62</v>
      </c>
      <c r="Y345" s="49">
        <f t="shared" si="273"/>
        <v>58.430000000000007</v>
      </c>
      <c r="Z345" s="18">
        <f t="shared" si="76"/>
        <v>0.3115264797507788</v>
      </c>
      <c r="AA345" s="18">
        <v>77.989999999999995</v>
      </c>
      <c r="AB345" s="18">
        <v>107.94</v>
      </c>
      <c r="AC345" s="21">
        <f t="shared" si="77"/>
        <v>4240</v>
      </c>
      <c r="AD345" s="18" t="s">
        <v>51</v>
      </c>
      <c r="AF345" s="1"/>
      <c r="AG345" s="29">
        <v>3.21</v>
      </c>
      <c r="AH345" s="29">
        <v>4.24</v>
      </c>
      <c r="AO345" s="30">
        <f t="shared" ref="AO345:AS345" si="321">U345</f>
        <v>9.35</v>
      </c>
      <c r="AP345" s="30">
        <f t="shared" si="321"/>
        <v>17.73</v>
      </c>
      <c r="AQ345" s="30">
        <f t="shared" si="321"/>
        <v>11.87</v>
      </c>
      <c r="AR345" s="30">
        <f t="shared" si="321"/>
        <v>2.62</v>
      </c>
      <c r="AS345" s="30">
        <f t="shared" si="321"/>
        <v>58.430000000000007</v>
      </c>
      <c r="AT345" s="31">
        <f t="shared" si="242"/>
        <v>100</v>
      </c>
      <c r="AV345" s="21">
        <f t="shared" si="86"/>
        <v>4240</v>
      </c>
    </row>
    <row r="346" spans="2:48" ht="15.75" customHeight="1" x14ac:dyDescent="0.25">
      <c r="B346" s="32"/>
      <c r="C346" s="18" t="s">
        <v>46</v>
      </c>
      <c r="D346" s="51"/>
      <c r="E346" s="18" t="s">
        <v>48</v>
      </c>
      <c r="F346" s="51"/>
      <c r="G346" s="18">
        <v>51.53</v>
      </c>
      <c r="H346" s="18">
        <v>6.36</v>
      </c>
      <c r="I346" s="18">
        <v>41.97</v>
      </c>
      <c r="J346" s="18">
        <v>0.12</v>
      </c>
      <c r="K346" s="18">
        <v>0.02</v>
      </c>
      <c r="L346" s="22">
        <f t="shared" si="74"/>
        <v>11.14</v>
      </c>
      <c r="M346" s="18">
        <v>77.760000000000005</v>
      </c>
      <c r="N346" s="18">
        <v>9.3000000000000007</v>
      </c>
      <c r="O346" s="18">
        <v>1.8</v>
      </c>
      <c r="P346" s="18">
        <v>0.5</v>
      </c>
      <c r="Q346" s="18">
        <v>880</v>
      </c>
      <c r="R346" s="18" t="s">
        <v>51</v>
      </c>
      <c r="S346" s="53">
        <v>0</v>
      </c>
      <c r="T346" s="18">
        <v>17.62</v>
      </c>
      <c r="U346" s="21">
        <v>5.24</v>
      </c>
      <c r="V346" s="21">
        <v>12.62</v>
      </c>
      <c r="W346" s="18">
        <v>16.84</v>
      </c>
      <c r="X346" s="18">
        <v>0.98</v>
      </c>
      <c r="Y346" s="49">
        <f t="shared" si="273"/>
        <v>64.319999999999993</v>
      </c>
      <c r="Z346" s="18">
        <f t="shared" si="76"/>
        <v>0.33222591362126247</v>
      </c>
      <c r="AA346" s="18">
        <v>43.47</v>
      </c>
      <c r="AB346" s="18">
        <v>95.63</v>
      </c>
      <c r="AC346" s="21">
        <f t="shared" si="77"/>
        <v>2520</v>
      </c>
      <c r="AD346" s="18" t="s">
        <v>51</v>
      </c>
      <c r="AF346" s="1"/>
      <c r="AG346" s="29">
        <v>3.01</v>
      </c>
      <c r="AH346" s="29">
        <v>2.52</v>
      </c>
      <c r="AO346" s="30">
        <f t="shared" ref="AO346:AS346" si="322">U346</f>
        <v>5.24</v>
      </c>
      <c r="AP346" s="30">
        <f t="shared" si="322"/>
        <v>12.62</v>
      </c>
      <c r="AQ346" s="30">
        <f t="shared" si="322"/>
        <v>16.84</v>
      </c>
      <c r="AR346" s="30">
        <f t="shared" si="322"/>
        <v>0.98</v>
      </c>
      <c r="AS346" s="30">
        <f t="shared" si="322"/>
        <v>64.319999999999993</v>
      </c>
      <c r="AT346" s="31">
        <f t="shared" si="242"/>
        <v>100</v>
      </c>
      <c r="AV346" s="21">
        <f t="shared" si="86"/>
        <v>2520</v>
      </c>
    </row>
    <row r="347" spans="2:48" ht="15.75" customHeight="1" x14ac:dyDescent="0.25">
      <c r="B347" s="32"/>
      <c r="C347" s="18" t="s">
        <v>46</v>
      </c>
      <c r="D347" s="51"/>
      <c r="E347" s="18" t="s">
        <v>48</v>
      </c>
      <c r="F347" s="51"/>
      <c r="G347" s="18">
        <v>51.53</v>
      </c>
      <c r="H347" s="18">
        <v>6.36</v>
      </c>
      <c r="I347" s="18">
        <v>41.97</v>
      </c>
      <c r="J347" s="18">
        <v>0.12</v>
      </c>
      <c r="K347" s="18">
        <v>0.02</v>
      </c>
      <c r="L347" s="22">
        <f t="shared" si="74"/>
        <v>11.14</v>
      </c>
      <c r="M347" s="18">
        <v>77.760000000000005</v>
      </c>
      <c r="N347" s="18">
        <v>9.3000000000000007</v>
      </c>
      <c r="O347" s="18">
        <v>1.8</v>
      </c>
      <c r="P347" s="18">
        <v>0.5</v>
      </c>
      <c r="Q347" s="18">
        <v>880</v>
      </c>
      <c r="R347" s="18" t="s">
        <v>51</v>
      </c>
      <c r="S347" s="53">
        <v>0</v>
      </c>
      <c r="T347" s="18">
        <v>17.62</v>
      </c>
      <c r="U347" s="21">
        <v>5.63</v>
      </c>
      <c r="V347" s="21">
        <v>12.39</v>
      </c>
      <c r="W347" s="18">
        <v>15.56</v>
      </c>
      <c r="X347" s="18">
        <v>1.25</v>
      </c>
      <c r="Y347" s="49">
        <f t="shared" si="273"/>
        <v>65.17</v>
      </c>
      <c r="Z347" s="18">
        <f t="shared" si="76"/>
        <v>0.29325513196480935</v>
      </c>
      <c r="AA347" s="18">
        <v>51.59</v>
      </c>
      <c r="AB347" s="18">
        <v>103.92</v>
      </c>
      <c r="AC347" s="21">
        <f t="shared" si="77"/>
        <v>2640</v>
      </c>
      <c r="AD347" s="18" t="s">
        <v>51</v>
      </c>
      <c r="AF347" s="1"/>
      <c r="AG347" s="29">
        <v>3.41</v>
      </c>
      <c r="AH347" s="29">
        <v>2.64</v>
      </c>
      <c r="AO347" s="30">
        <f t="shared" ref="AO347:AS347" si="323">U347</f>
        <v>5.63</v>
      </c>
      <c r="AP347" s="30">
        <f t="shared" si="323"/>
        <v>12.39</v>
      </c>
      <c r="AQ347" s="30">
        <f t="shared" si="323"/>
        <v>15.56</v>
      </c>
      <c r="AR347" s="30">
        <f t="shared" si="323"/>
        <v>1.25</v>
      </c>
      <c r="AS347" s="30">
        <f t="shared" si="323"/>
        <v>65.17</v>
      </c>
      <c r="AT347" s="31">
        <f t="shared" si="242"/>
        <v>100</v>
      </c>
      <c r="AV347" s="21">
        <f t="shared" si="86"/>
        <v>2640</v>
      </c>
    </row>
    <row r="348" spans="2:48" ht="15.75" customHeight="1" x14ac:dyDescent="0.25">
      <c r="B348" s="32"/>
      <c r="C348" s="18" t="s">
        <v>46</v>
      </c>
      <c r="D348" s="51"/>
      <c r="E348" s="18" t="s">
        <v>48</v>
      </c>
      <c r="F348" s="51"/>
      <c r="G348" s="18">
        <v>51.53</v>
      </c>
      <c r="H348" s="18">
        <v>6.36</v>
      </c>
      <c r="I348" s="18">
        <v>41.97</v>
      </c>
      <c r="J348" s="18">
        <v>0.12</v>
      </c>
      <c r="K348" s="18">
        <v>0.02</v>
      </c>
      <c r="L348" s="22">
        <f t="shared" si="74"/>
        <v>11.14</v>
      </c>
      <c r="M348" s="18">
        <v>77.760000000000005</v>
      </c>
      <c r="N348" s="18">
        <v>9.3000000000000007</v>
      </c>
      <c r="O348" s="18">
        <v>1.8</v>
      </c>
      <c r="P348" s="18">
        <v>0.5</v>
      </c>
      <c r="Q348" s="18">
        <v>880</v>
      </c>
      <c r="R348" s="18" t="s">
        <v>51</v>
      </c>
      <c r="S348" s="53">
        <v>0</v>
      </c>
      <c r="T348" s="18">
        <v>17.62</v>
      </c>
      <c r="U348" s="21">
        <v>6.87</v>
      </c>
      <c r="V348" s="21">
        <v>13.42</v>
      </c>
      <c r="W348" s="18">
        <v>14.24</v>
      </c>
      <c r="X348" s="18">
        <v>1.62</v>
      </c>
      <c r="Y348" s="49">
        <f t="shared" si="273"/>
        <v>63.85</v>
      </c>
      <c r="Z348" s="18">
        <f t="shared" si="76"/>
        <v>0.2770083102493075</v>
      </c>
      <c r="AA348" s="18">
        <v>63.1</v>
      </c>
      <c r="AB348" s="18">
        <v>110.31</v>
      </c>
      <c r="AC348" s="21">
        <f t="shared" si="77"/>
        <v>3050</v>
      </c>
      <c r="AD348" s="18" t="s">
        <v>51</v>
      </c>
      <c r="AF348" s="1"/>
      <c r="AG348" s="29">
        <v>3.61</v>
      </c>
      <c r="AH348" s="29">
        <v>3.05</v>
      </c>
      <c r="AO348" s="30">
        <f t="shared" ref="AO348:AS348" si="324">U348</f>
        <v>6.87</v>
      </c>
      <c r="AP348" s="30">
        <f t="shared" si="324"/>
        <v>13.42</v>
      </c>
      <c r="AQ348" s="30">
        <f t="shared" si="324"/>
        <v>14.24</v>
      </c>
      <c r="AR348" s="30">
        <f t="shared" si="324"/>
        <v>1.62</v>
      </c>
      <c r="AS348" s="30">
        <f t="shared" si="324"/>
        <v>63.85</v>
      </c>
      <c r="AT348" s="31">
        <f t="shared" si="242"/>
        <v>100</v>
      </c>
      <c r="AV348" s="21">
        <f t="shared" si="86"/>
        <v>3050</v>
      </c>
    </row>
    <row r="349" spans="2:48" ht="15.75" customHeight="1" x14ac:dyDescent="0.25">
      <c r="B349" s="32"/>
      <c r="C349" s="18" t="s">
        <v>46</v>
      </c>
      <c r="D349" s="51"/>
      <c r="E349" s="18" t="s">
        <v>48</v>
      </c>
      <c r="F349" s="51"/>
      <c r="G349" s="18">
        <v>51.53</v>
      </c>
      <c r="H349" s="18">
        <v>6.36</v>
      </c>
      <c r="I349" s="18">
        <v>41.97</v>
      </c>
      <c r="J349" s="18">
        <v>0.12</v>
      </c>
      <c r="K349" s="18">
        <v>0.02</v>
      </c>
      <c r="L349" s="22">
        <f t="shared" si="74"/>
        <v>11.14</v>
      </c>
      <c r="M349" s="18">
        <v>77.760000000000005</v>
      </c>
      <c r="N349" s="18">
        <v>9.3000000000000007</v>
      </c>
      <c r="O349" s="18">
        <v>1.8</v>
      </c>
      <c r="P349" s="18">
        <v>0.5</v>
      </c>
      <c r="Q349" s="18">
        <v>880</v>
      </c>
      <c r="R349" s="18" t="s">
        <v>51</v>
      </c>
      <c r="S349" s="53">
        <v>0</v>
      </c>
      <c r="T349" s="18">
        <v>17.62</v>
      </c>
      <c r="U349" s="21">
        <v>7.29</v>
      </c>
      <c r="V349" s="21">
        <v>14.56</v>
      </c>
      <c r="W349" s="18">
        <v>12.63</v>
      </c>
      <c r="X349" s="18">
        <v>1.24</v>
      </c>
      <c r="Y349" s="49">
        <f t="shared" si="273"/>
        <v>64.28</v>
      </c>
      <c r="Z349" s="18">
        <f t="shared" si="76"/>
        <v>0.28011204481792717</v>
      </c>
      <c r="AA349" s="18">
        <v>63.22</v>
      </c>
      <c r="AB349" s="18">
        <v>105.93</v>
      </c>
      <c r="AC349" s="21">
        <f t="shared" si="77"/>
        <v>3090</v>
      </c>
      <c r="AD349" s="18" t="s">
        <v>51</v>
      </c>
      <c r="AF349" s="1"/>
      <c r="AG349" s="29">
        <v>3.57</v>
      </c>
      <c r="AH349" s="29">
        <v>3.09</v>
      </c>
      <c r="AO349" s="30">
        <f t="shared" ref="AO349:AS349" si="325">U349</f>
        <v>7.29</v>
      </c>
      <c r="AP349" s="30">
        <f t="shared" si="325"/>
        <v>14.56</v>
      </c>
      <c r="AQ349" s="30">
        <f t="shared" si="325"/>
        <v>12.63</v>
      </c>
      <c r="AR349" s="30">
        <f t="shared" si="325"/>
        <v>1.24</v>
      </c>
      <c r="AS349" s="30">
        <f t="shared" si="325"/>
        <v>64.28</v>
      </c>
      <c r="AT349" s="31">
        <f t="shared" si="242"/>
        <v>100</v>
      </c>
      <c r="AV349" s="21">
        <f t="shared" si="86"/>
        <v>3090</v>
      </c>
    </row>
    <row r="350" spans="2:48" ht="15.75" customHeight="1" x14ac:dyDescent="0.25">
      <c r="B350" s="32"/>
      <c r="C350" s="18" t="s">
        <v>46</v>
      </c>
      <c r="D350" s="51"/>
      <c r="E350" s="18" t="s">
        <v>48</v>
      </c>
      <c r="F350" s="51"/>
      <c r="G350" s="18">
        <v>51.53</v>
      </c>
      <c r="H350" s="18">
        <v>6.36</v>
      </c>
      <c r="I350" s="18">
        <v>41.97</v>
      </c>
      <c r="J350" s="18">
        <v>0.12</v>
      </c>
      <c r="K350" s="18">
        <v>0.02</v>
      </c>
      <c r="L350" s="22">
        <f t="shared" si="74"/>
        <v>11.14</v>
      </c>
      <c r="M350" s="18">
        <v>77.760000000000005</v>
      </c>
      <c r="N350" s="18">
        <v>9.3000000000000007</v>
      </c>
      <c r="O350" s="18">
        <v>1.8</v>
      </c>
      <c r="P350" s="18">
        <v>0.5</v>
      </c>
      <c r="Q350" s="18">
        <v>880</v>
      </c>
      <c r="R350" s="18" t="s">
        <v>51</v>
      </c>
      <c r="S350" s="53">
        <v>0</v>
      </c>
      <c r="T350" s="18">
        <v>17.62</v>
      </c>
      <c r="U350" s="21">
        <v>7.38</v>
      </c>
      <c r="V350" s="21">
        <v>15.85</v>
      </c>
      <c r="W350" s="18">
        <v>12.81</v>
      </c>
      <c r="X350" s="18">
        <v>1.82</v>
      </c>
      <c r="Y350" s="49">
        <f t="shared" si="273"/>
        <v>62.14</v>
      </c>
      <c r="Z350" s="18">
        <f t="shared" si="76"/>
        <v>0.27472527472527469</v>
      </c>
      <c r="AA350" s="18">
        <v>72.59</v>
      </c>
      <c r="AB350" s="18">
        <v>115.79</v>
      </c>
      <c r="AC350" s="21">
        <f t="shared" si="77"/>
        <v>3480</v>
      </c>
      <c r="AD350" s="18" t="s">
        <v>51</v>
      </c>
      <c r="AF350" s="1"/>
      <c r="AG350" s="29">
        <v>3.64</v>
      </c>
      <c r="AH350" s="29">
        <v>3.48</v>
      </c>
      <c r="AO350" s="30">
        <f t="shared" ref="AO350:AS350" si="326">U350</f>
        <v>7.38</v>
      </c>
      <c r="AP350" s="30">
        <f t="shared" si="326"/>
        <v>15.85</v>
      </c>
      <c r="AQ350" s="30">
        <f t="shared" si="326"/>
        <v>12.81</v>
      </c>
      <c r="AR350" s="30">
        <f t="shared" si="326"/>
        <v>1.82</v>
      </c>
      <c r="AS350" s="30">
        <f t="shared" si="326"/>
        <v>62.14</v>
      </c>
      <c r="AT350" s="31">
        <f t="shared" si="242"/>
        <v>100</v>
      </c>
      <c r="AV350" s="21">
        <f t="shared" si="86"/>
        <v>3480</v>
      </c>
    </row>
    <row r="351" spans="2:48" ht="15.75" customHeight="1" x14ac:dyDescent="0.25">
      <c r="B351" s="32"/>
      <c r="C351" s="18" t="s">
        <v>46</v>
      </c>
      <c r="D351" s="51"/>
      <c r="E351" s="18" t="s">
        <v>48</v>
      </c>
      <c r="F351" s="51"/>
      <c r="G351" s="18">
        <v>51.53</v>
      </c>
      <c r="H351" s="18">
        <v>6.36</v>
      </c>
      <c r="I351" s="18">
        <v>41.97</v>
      </c>
      <c r="J351" s="18">
        <v>0.12</v>
      </c>
      <c r="K351" s="18">
        <v>0.02</v>
      </c>
      <c r="L351" s="22">
        <f t="shared" si="74"/>
        <v>11.14</v>
      </c>
      <c r="M351" s="18">
        <v>77.760000000000005</v>
      </c>
      <c r="N351" s="18">
        <v>9.3000000000000007</v>
      </c>
      <c r="O351" s="18">
        <v>1.8</v>
      </c>
      <c r="P351" s="18">
        <v>0.5</v>
      </c>
      <c r="Q351" s="18">
        <v>880</v>
      </c>
      <c r="R351" s="18" t="s">
        <v>51</v>
      </c>
      <c r="S351" s="53">
        <v>0</v>
      </c>
      <c r="T351" s="18">
        <v>17.62</v>
      </c>
      <c r="U351" s="21">
        <v>8.42</v>
      </c>
      <c r="V351" s="21">
        <v>16.48</v>
      </c>
      <c r="W351" s="18">
        <v>12.33</v>
      </c>
      <c r="X351" s="18">
        <v>2.1800000000000002</v>
      </c>
      <c r="Y351" s="49">
        <f t="shared" si="273"/>
        <v>60.59</v>
      </c>
      <c r="Z351" s="18">
        <f t="shared" si="76"/>
        <v>0.27027027027027023</v>
      </c>
      <c r="AA351" s="18">
        <v>80.989999999999995</v>
      </c>
      <c r="AB351" s="18">
        <v>119.67</v>
      </c>
      <c r="AC351" s="21">
        <f t="shared" si="77"/>
        <v>3820</v>
      </c>
      <c r="AD351" s="18" t="s">
        <v>51</v>
      </c>
      <c r="AF351" s="1"/>
      <c r="AG351" s="29">
        <v>3.7</v>
      </c>
      <c r="AH351" s="29">
        <v>3.82</v>
      </c>
      <c r="AO351" s="30">
        <f t="shared" ref="AO351:AS351" si="327">U351</f>
        <v>8.42</v>
      </c>
      <c r="AP351" s="30">
        <f t="shared" si="327"/>
        <v>16.48</v>
      </c>
      <c r="AQ351" s="30">
        <f t="shared" si="327"/>
        <v>12.33</v>
      </c>
      <c r="AR351" s="30">
        <f t="shared" si="327"/>
        <v>2.1800000000000002</v>
      </c>
      <c r="AS351" s="30">
        <f t="shared" si="327"/>
        <v>60.59</v>
      </c>
      <c r="AT351" s="31">
        <f t="shared" si="242"/>
        <v>100</v>
      </c>
      <c r="AV351" s="21">
        <f t="shared" si="86"/>
        <v>3820</v>
      </c>
    </row>
    <row r="352" spans="2:48" ht="15.75" customHeight="1" x14ac:dyDescent="0.25">
      <c r="B352" s="32"/>
      <c r="C352" s="18" t="s">
        <v>46</v>
      </c>
      <c r="D352" s="51"/>
      <c r="E352" s="18" t="s">
        <v>48</v>
      </c>
      <c r="F352" s="51"/>
      <c r="G352" s="23">
        <f t="shared" ref="G352:G360" si="328">37.6*100/(100-O352)</f>
        <v>47</v>
      </c>
      <c r="H352" s="23">
        <f t="shared" ref="H352:H360" si="329">5.42*100/(100-O352)</f>
        <v>6.7750000000000004</v>
      </c>
      <c r="I352" s="23">
        <f t="shared" ref="I352:I360" si="330">36.56*100/(100-O352)</f>
        <v>45.7</v>
      </c>
      <c r="J352" s="23">
        <f t="shared" ref="J352:J360" si="331">0.39*100/(100-O352)</f>
        <v>0.48749999999999999</v>
      </c>
      <c r="K352" s="23">
        <f t="shared" ref="K352:K360" si="332">0.03*100/(100-O352)</f>
        <v>3.7499999999999999E-2</v>
      </c>
      <c r="L352" s="22">
        <f t="shared" si="74"/>
        <v>66.400000000000006</v>
      </c>
      <c r="M352" s="18">
        <v>13.6</v>
      </c>
      <c r="N352" s="59">
        <v>0</v>
      </c>
      <c r="O352" s="18">
        <v>20</v>
      </c>
      <c r="P352" s="18">
        <v>0.25</v>
      </c>
      <c r="Q352" s="18">
        <v>665</v>
      </c>
      <c r="R352" s="18" t="s">
        <v>51</v>
      </c>
      <c r="S352" s="56">
        <v>0</v>
      </c>
      <c r="T352" s="18">
        <v>14.22</v>
      </c>
      <c r="U352" s="21">
        <v>4</v>
      </c>
      <c r="V352" s="21">
        <v>19.2</v>
      </c>
      <c r="W352" s="18">
        <v>14.45</v>
      </c>
      <c r="X352" s="18">
        <v>2.9</v>
      </c>
      <c r="Y352" s="49">
        <f t="shared" si="273"/>
        <v>59.45</v>
      </c>
      <c r="Z352" s="18">
        <f t="shared" si="76"/>
        <v>0.66666666666666663</v>
      </c>
      <c r="AA352" s="18">
        <v>53.06</v>
      </c>
      <c r="AB352" s="18">
        <v>76</v>
      </c>
      <c r="AC352" s="21">
        <f t="shared" si="77"/>
        <v>5030</v>
      </c>
      <c r="AD352" s="18" t="s">
        <v>51</v>
      </c>
      <c r="AF352" s="1"/>
      <c r="AG352" s="29">
        <v>1.5</v>
      </c>
      <c r="AH352" s="29">
        <v>5.03</v>
      </c>
      <c r="AO352" s="30">
        <f t="shared" ref="AO352:AS352" si="333">U352</f>
        <v>4</v>
      </c>
      <c r="AP352" s="30">
        <f t="shared" si="333"/>
        <v>19.2</v>
      </c>
      <c r="AQ352" s="30">
        <f t="shared" si="333"/>
        <v>14.45</v>
      </c>
      <c r="AR352" s="30">
        <f t="shared" si="333"/>
        <v>2.9</v>
      </c>
      <c r="AS352" s="30">
        <f t="shared" si="333"/>
        <v>59.45</v>
      </c>
      <c r="AT352" s="31">
        <f t="shared" si="242"/>
        <v>100</v>
      </c>
      <c r="AV352" s="21">
        <f t="shared" si="86"/>
        <v>5030</v>
      </c>
    </row>
    <row r="353" spans="2:48" ht="15.75" customHeight="1" x14ac:dyDescent="0.25">
      <c r="B353" s="32"/>
      <c r="C353" s="18" t="s">
        <v>46</v>
      </c>
      <c r="D353" s="51"/>
      <c r="E353" s="18" t="s">
        <v>48</v>
      </c>
      <c r="F353" s="51"/>
      <c r="G353" s="23">
        <f t="shared" si="328"/>
        <v>47</v>
      </c>
      <c r="H353" s="23">
        <f t="shared" si="329"/>
        <v>6.7750000000000004</v>
      </c>
      <c r="I353" s="23">
        <f t="shared" si="330"/>
        <v>45.7</v>
      </c>
      <c r="J353" s="23">
        <f t="shared" si="331"/>
        <v>0.48749999999999999</v>
      </c>
      <c r="K353" s="23">
        <f t="shared" si="332"/>
        <v>3.7499999999999999E-2</v>
      </c>
      <c r="L353" s="22">
        <f t="shared" si="74"/>
        <v>66.400000000000006</v>
      </c>
      <c r="M353" s="18">
        <v>13.6</v>
      </c>
      <c r="N353" s="59">
        <v>0</v>
      </c>
      <c r="O353" s="18">
        <v>20</v>
      </c>
      <c r="P353" s="18">
        <v>0.3</v>
      </c>
      <c r="Q353" s="18">
        <v>744</v>
      </c>
      <c r="R353" s="18" t="s">
        <v>51</v>
      </c>
      <c r="S353" s="56">
        <v>0</v>
      </c>
      <c r="T353" s="18">
        <v>14.22</v>
      </c>
      <c r="U353" s="21">
        <v>3.78</v>
      </c>
      <c r="V353" s="21">
        <v>14.95</v>
      </c>
      <c r="W353" s="18">
        <v>16.25</v>
      </c>
      <c r="X353" s="18">
        <v>2.27</v>
      </c>
      <c r="Y353" s="49">
        <f t="shared" si="273"/>
        <v>62.749999999999993</v>
      </c>
      <c r="Z353" s="18">
        <f t="shared" si="76"/>
        <v>0.5780346820809249</v>
      </c>
      <c r="AA353" s="18">
        <v>46.6</v>
      </c>
      <c r="AB353" s="18">
        <v>78.3</v>
      </c>
      <c r="AC353" s="21">
        <f t="shared" si="77"/>
        <v>3830</v>
      </c>
      <c r="AD353" s="18" t="s">
        <v>51</v>
      </c>
      <c r="AF353" s="1"/>
      <c r="AG353" s="29">
        <v>1.73</v>
      </c>
      <c r="AH353" s="29">
        <v>3.83</v>
      </c>
      <c r="AO353" s="30">
        <f t="shared" ref="AO353:AS353" si="334">U353</f>
        <v>3.78</v>
      </c>
      <c r="AP353" s="30">
        <f t="shared" si="334"/>
        <v>14.95</v>
      </c>
      <c r="AQ353" s="30">
        <f t="shared" si="334"/>
        <v>16.25</v>
      </c>
      <c r="AR353" s="30">
        <f t="shared" si="334"/>
        <v>2.27</v>
      </c>
      <c r="AS353" s="30">
        <f t="shared" si="334"/>
        <v>62.749999999999993</v>
      </c>
      <c r="AT353" s="31">
        <f t="shared" si="242"/>
        <v>100</v>
      </c>
      <c r="AV353" s="21">
        <f t="shared" si="86"/>
        <v>3830</v>
      </c>
    </row>
    <row r="354" spans="2:48" ht="15.75" customHeight="1" x14ac:dyDescent="0.25">
      <c r="B354" s="32"/>
      <c r="C354" s="18" t="s">
        <v>46</v>
      </c>
      <c r="D354" s="51"/>
      <c r="E354" s="18" t="s">
        <v>48</v>
      </c>
      <c r="F354" s="51"/>
      <c r="G354" s="23">
        <f t="shared" si="328"/>
        <v>47</v>
      </c>
      <c r="H354" s="23">
        <f t="shared" si="329"/>
        <v>6.7750000000000004</v>
      </c>
      <c r="I354" s="23">
        <f t="shared" si="330"/>
        <v>45.7</v>
      </c>
      <c r="J354" s="23">
        <f t="shared" si="331"/>
        <v>0.48749999999999999</v>
      </c>
      <c r="K354" s="23">
        <f t="shared" si="332"/>
        <v>3.7499999999999999E-2</v>
      </c>
      <c r="L354" s="22">
        <f t="shared" si="74"/>
        <v>66.400000000000006</v>
      </c>
      <c r="M354" s="18">
        <v>13.6</v>
      </c>
      <c r="N354" s="59">
        <v>0</v>
      </c>
      <c r="O354" s="18">
        <v>20</v>
      </c>
      <c r="P354" s="18">
        <v>0.35</v>
      </c>
      <c r="Q354" s="18">
        <v>811</v>
      </c>
      <c r="R354" s="18" t="s">
        <v>51</v>
      </c>
      <c r="S354" s="56">
        <v>0</v>
      </c>
      <c r="T354" s="18">
        <v>14.22</v>
      </c>
      <c r="U354" s="21">
        <v>3.39</v>
      </c>
      <c r="V354" s="21">
        <v>12.75</v>
      </c>
      <c r="W354" s="18">
        <v>17.14</v>
      </c>
      <c r="X354" s="18">
        <v>1.98</v>
      </c>
      <c r="Y354" s="49">
        <f t="shared" si="273"/>
        <v>64.740000000000009</v>
      </c>
      <c r="Z354" s="18">
        <f t="shared" si="76"/>
        <v>0.50505050505050508</v>
      </c>
      <c r="AA354" s="18">
        <v>45.67</v>
      </c>
      <c r="AB354" s="18">
        <v>81</v>
      </c>
      <c r="AC354" s="21">
        <f t="shared" si="77"/>
        <v>3280</v>
      </c>
      <c r="AD354" s="18" t="s">
        <v>51</v>
      </c>
      <c r="AF354" s="1"/>
      <c r="AG354" s="29">
        <v>1.98</v>
      </c>
      <c r="AH354" s="29">
        <v>3.28</v>
      </c>
      <c r="AO354" s="30">
        <f t="shared" ref="AO354:AS354" si="335">U354</f>
        <v>3.39</v>
      </c>
      <c r="AP354" s="30">
        <f t="shared" si="335"/>
        <v>12.75</v>
      </c>
      <c r="AQ354" s="30">
        <f t="shared" si="335"/>
        <v>17.14</v>
      </c>
      <c r="AR354" s="30">
        <f t="shared" si="335"/>
        <v>1.98</v>
      </c>
      <c r="AS354" s="30">
        <f t="shared" si="335"/>
        <v>64.740000000000009</v>
      </c>
      <c r="AT354" s="31">
        <f t="shared" si="242"/>
        <v>100</v>
      </c>
      <c r="AV354" s="21">
        <f t="shared" si="86"/>
        <v>3280</v>
      </c>
    </row>
    <row r="355" spans="2:48" ht="15.75" customHeight="1" x14ac:dyDescent="0.25">
      <c r="B355" s="32"/>
      <c r="C355" s="18" t="s">
        <v>46</v>
      </c>
      <c r="D355" s="51"/>
      <c r="E355" s="18" t="s">
        <v>48</v>
      </c>
      <c r="F355" s="51"/>
      <c r="G355" s="23">
        <f t="shared" si="328"/>
        <v>47</v>
      </c>
      <c r="H355" s="23">
        <f t="shared" si="329"/>
        <v>6.7750000000000004</v>
      </c>
      <c r="I355" s="23">
        <f t="shared" si="330"/>
        <v>45.7</v>
      </c>
      <c r="J355" s="23">
        <f t="shared" si="331"/>
        <v>0.48749999999999999</v>
      </c>
      <c r="K355" s="23">
        <f t="shared" si="332"/>
        <v>3.7499999999999999E-2</v>
      </c>
      <c r="L355" s="22">
        <f t="shared" si="74"/>
        <v>66.400000000000006</v>
      </c>
      <c r="M355" s="18">
        <v>13.6</v>
      </c>
      <c r="N355" s="59">
        <v>0</v>
      </c>
      <c r="O355" s="18">
        <v>20</v>
      </c>
      <c r="P355" s="18">
        <v>0.25</v>
      </c>
      <c r="Q355" s="18">
        <v>670</v>
      </c>
      <c r="R355" s="18" t="s">
        <v>51</v>
      </c>
      <c r="S355" s="56">
        <v>0</v>
      </c>
      <c r="T355" s="18">
        <v>14.22</v>
      </c>
      <c r="U355" s="21">
        <v>3.77</v>
      </c>
      <c r="V355" s="21">
        <v>18.29</v>
      </c>
      <c r="W355" s="18">
        <v>14.5</v>
      </c>
      <c r="X355" s="18">
        <v>2.36</v>
      </c>
      <c r="Y355" s="49">
        <f t="shared" si="273"/>
        <v>61.08</v>
      </c>
      <c r="Z355" s="18">
        <f t="shared" si="76"/>
        <v>0.67114093959731547</v>
      </c>
      <c r="AA355" s="18">
        <v>45.89</v>
      </c>
      <c r="AB355" s="18">
        <v>70.400000000000006</v>
      </c>
      <c r="AC355" s="21">
        <f t="shared" si="77"/>
        <v>4380</v>
      </c>
      <c r="AD355" s="18" t="s">
        <v>51</v>
      </c>
      <c r="AF355" s="1"/>
      <c r="AG355" s="29">
        <v>1.49</v>
      </c>
      <c r="AH355" s="29">
        <v>4.38</v>
      </c>
      <c r="AO355" s="30">
        <f t="shared" ref="AO355:AS355" si="336">U355</f>
        <v>3.77</v>
      </c>
      <c r="AP355" s="30">
        <f t="shared" si="336"/>
        <v>18.29</v>
      </c>
      <c r="AQ355" s="30">
        <f t="shared" si="336"/>
        <v>14.5</v>
      </c>
      <c r="AR355" s="30">
        <f t="shared" si="336"/>
        <v>2.36</v>
      </c>
      <c r="AS355" s="30">
        <f t="shared" si="336"/>
        <v>61.08</v>
      </c>
      <c r="AT355" s="31">
        <f t="shared" si="242"/>
        <v>100</v>
      </c>
      <c r="AV355" s="21">
        <f t="shared" si="86"/>
        <v>4380</v>
      </c>
    </row>
    <row r="356" spans="2:48" ht="15.75" customHeight="1" x14ac:dyDescent="0.25">
      <c r="B356" s="32"/>
      <c r="C356" s="18" t="s">
        <v>46</v>
      </c>
      <c r="D356" s="51"/>
      <c r="E356" s="18" t="s">
        <v>48</v>
      </c>
      <c r="F356" s="51"/>
      <c r="G356" s="23">
        <f t="shared" si="328"/>
        <v>47</v>
      </c>
      <c r="H356" s="23">
        <f t="shared" si="329"/>
        <v>6.7750000000000004</v>
      </c>
      <c r="I356" s="23">
        <f t="shared" si="330"/>
        <v>45.7</v>
      </c>
      <c r="J356" s="23">
        <f t="shared" si="331"/>
        <v>0.48749999999999999</v>
      </c>
      <c r="K356" s="23">
        <f t="shared" si="332"/>
        <v>3.7499999999999999E-2</v>
      </c>
      <c r="L356" s="22">
        <f t="shared" si="74"/>
        <v>66.400000000000006</v>
      </c>
      <c r="M356" s="18">
        <v>13.6</v>
      </c>
      <c r="N356" s="59">
        <v>0</v>
      </c>
      <c r="O356" s="18">
        <v>20</v>
      </c>
      <c r="P356" s="18">
        <v>0.3</v>
      </c>
      <c r="Q356" s="18">
        <v>750</v>
      </c>
      <c r="R356" s="18" t="s">
        <v>51</v>
      </c>
      <c r="S356" s="56">
        <v>0</v>
      </c>
      <c r="T356" s="18">
        <v>14.22</v>
      </c>
      <c r="U356" s="21">
        <v>3.4</v>
      </c>
      <c r="V356" s="21">
        <v>14.23</v>
      </c>
      <c r="W356" s="18">
        <v>16.46</v>
      </c>
      <c r="X356" s="18">
        <v>2</v>
      </c>
      <c r="Y356" s="49">
        <f t="shared" si="273"/>
        <v>63.91</v>
      </c>
      <c r="Z356" s="18">
        <f t="shared" si="76"/>
        <v>0.58479532163742687</v>
      </c>
      <c r="AA356" s="18">
        <v>42.57</v>
      </c>
      <c r="AB356" s="18">
        <v>72.599999999999994</v>
      </c>
      <c r="AC356" s="21">
        <f t="shared" si="77"/>
        <v>3540</v>
      </c>
      <c r="AD356" s="18" t="s">
        <v>51</v>
      </c>
      <c r="AF356" s="1"/>
      <c r="AG356" s="29">
        <v>1.71</v>
      </c>
      <c r="AH356" s="29">
        <v>3.54</v>
      </c>
      <c r="AO356" s="30">
        <f t="shared" ref="AO356:AS356" si="337">U356</f>
        <v>3.4</v>
      </c>
      <c r="AP356" s="30">
        <f t="shared" si="337"/>
        <v>14.23</v>
      </c>
      <c r="AQ356" s="30">
        <f t="shared" si="337"/>
        <v>16.46</v>
      </c>
      <c r="AR356" s="30">
        <f t="shared" si="337"/>
        <v>2</v>
      </c>
      <c r="AS356" s="30">
        <f t="shared" si="337"/>
        <v>63.91</v>
      </c>
      <c r="AT356" s="31">
        <f t="shared" si="242"/>
        <v>100</v>
      </c>
      <c r="AV356" s="21">
        <f t="shared" si="86"/>
        <v>3540</v>
      </c>
    </row>
    <row r="357" spans="2:48" ht="15.75" customHeight="1" x14ac:dyDescent="0.25">
      <c r="B357" s="32"/>
      <c r="C357" s="18" t="s">
        <v>46</v>
      </c>
      <c r="D357" s="51"/>
      <c r="E357" s="18" t="s">
        <v>48</v>
      </c>
      <c r="F357" s="51"/>
      <c r="G357" s="23">
        <f t="shared" si="328"/>
        <v>47</v>
      </c>
      <c r="H357" s="23">
        <f t="shared" si="329"/>
        <v>6.7750000000000004</v>
      </c>
      <c r="I357" s="23">
        <f t="shared" si="330"/>
        <v>45.7</v>
      </c>
      <c r="J357" s="23">
        <f t="shared" si="331"/>
        <v>0.48749999999999999</v>
      </c>
      <c r="K357" s="23">
        <f t="shared" si="332"/>
        <v>3.7499999999999999E-2</v>
      </c>
      <c r="L357" s="22">
        <f t="shared" si="74"/>
        <v>66.400000000000006</v>
      </c>
      <c r="M357" s="18">
        <v>13.6</v>
      </c>
      <c r="N357" s="59">
        <v>0</v>
      </c>
      <c r="O357" s="18">
        <v>20</v>
      </c>
      <c r="P357" s="18">
        <v>0.35</v>
      </c>
      <c r="Q357" s="18">
        <v>822</v>
      </c>
      <c r="R357" s="18" t="s">
        <v>51</v>
      </c>
      <c r="S357" s="56">
        <v>0</v>
      </c>
      <c r="T357" s="18">
        <v>14.22</v>
      </c>
      <c r="U357" s="21">
        <v>3.26</v>
      </c>
      <c r="V357" s="21">
        <v>12.5</v>
      </c>
      <c r="W357" s="18">
        <v>17.23</v>
      </c>
      <c r="X357" s="18">
        <v>1.85</v>
      </c>
      <c r="Y357" s="49">
        <f t="shared" si="273"/>
        <v>65.16</v>
      </c>
      <c r="Z357" s="18">
        <f t="shared" si="76"/>
        <v>0.50761421319796951</v>
      </c>
      <c r="AA357" s="18">
        <v>43.64</v>
      </c>
      <c r="AB357" s="18">
        <v>78.599999999999994</v>
      </c>
      <c r="AC357" s="21">
        <f t="shared" si="77"/>
        <v>3150</v>
      </c>
      <c r="AD357" s="18" t="s">
        <v>51</v>
      </c>
      <c r="AF357" s="1"/>
      <c r="AG357" s="29">
        <v>1.97</v>
      </c>
      <c r="AH357" s="29">
        <v>3.15</v>
      </c>
      <c r="AO357" s="30">
        <f t="shared" ref="AO357:AS357" si="338">U357</f>
        <v>3.26</v>
      </c>
      <c r="AP357" s="30">
        <f t="shared" si="338"/>
        <v>12.5</v>
      </c>
      <c r="AQ357" s="30">
        <f t="shared" si="338"/>
        <v>17.23</v>
      </c>
      <c r="AR357" s="30">
        <f t="shared" si="338"/>
        <v>1.85</v>
      </c>
      <c r="AS357" s="30">
        <f t="shared" si="338"/>
        <v>65.16</v>
      </c>
      <c r="AT357" s="31">
        <f t="shared" si="242"/>
        <v>100</v>
      </c>
      <c r="AV357" s="21">
        <f t="shared" si="86"/>
        <v>3150</v>
      </c>
    </row>
    <row r="358" spans="2:48" ht="15.75" customHeight="1" x14ac:dyDescent="0.25">
      <c r="B358" s="32"/>
      <c r="C358" s="18" t="s">
        <v>46</v>
      </c>
      <c r="D358" s="51"/>
      <c r="E358" s="18" t="s">
        <v>48</v>
      </c>
      <c r="F358" s="51"/>
      <c r="G358" s="23">
        <f t="shared" si="328"/>
        <v>47</v>
      </c>
      <c r="H358" s="23">
        <f t="shared" si="329"/>
        <v>6.7750000000000004</v>
      </c>
      <c r="I358" s="23">
        <f t="shared" si="330"/>
        <v>45.7</v>
      </c>
      <c r="J358" s="23">
        <f t="shared" si="331"/>
        <v>0.48749999999999999</v>
      </c>
      <c r="K358" s="23">
        <f t="shared" si="332"/>
        <v>3.7499999999999999E-2</v>
      </c>
      <c r="L358" s="22">
        <f t="shared" si="74"/>
        <v>66.400000000000006</v>
      </c>
      <c r="M358" s="18">
        <v>13.6</v>
      </c>
      <c r="N358" s="59">
        <v>0</v>
      </c>
      <c r="O358" s="18">
        <v>20</v>
      </c>
      <c r="P358" s="18">
        <v>0.25</v>
      </c>
      <c r="Q358" s="18">
        <v>700</v>
      </c>
      <c r="R358" s="18" t="s">
        <v>51</v>
      </c>
      <c r="S358" s="56">
        <v>0</v>
      </c>
      <c r="T358" s="18">
        <v>14.22</v>
      </c>
      <c r="U358" s="21">
        <v>3.41</v>
      </c>
      <c r="V358" s="21">
        <v>15.13</v>
      </c>
      <c r="W358" s="18">
        <v>14.82</v>
      </c>
      <c r="X358" s="18">
        <v>2</v>
      </c>
      <c r="Y358" s="49">
        <f t="shared" si="273"/>
        <v>64.64</v>
      </c>
      <c r="Z358" s="18">
        <f t="shared" si="76"/>
        <v>0.76923076923076916</v>
      </c>
      <c r="AA358" s="18">
        <v>34.28</v>
      </c>
      <c r="AB358" s="18">
        <v>55</v>
      </c>
      <c r="AC358" s="21">
        <f t="shared" si="77"/>
        <v>3750</v>
      </c>
      <c r="AD358" s="18" t="s">
        <v>51</v>
      </c>
      <c r="AF358" s="1"/>
      <c r="AG358" s="29">
        <v>1.3</v>
      </c>
      <c r="AH358" s="29">
        <v>3.75</v>
      </c>
      <c r="AO358" s="30">
        <f t="shared" ref="AO358:AS358" si="339">U358</f>
        <v>3.41</v>
      </c>
      <c r="AP358" s="30">
        <f t="shared" si="339"/>
        <v>15.13</v>
      </c>
      <c r="AQ358" s="30">
        <f t="shared" si="339"/>
        <v>14.82</v>
      </c>
      <c r="AR358" s="30">
        <f t="shared" si="339"/>
        <v>2</v>
      </c>
      <c r="AS358" s="30">
        <f t="shared" si="339"/>
        <v>64.64</v>
      </c>
      <c r="AT358" s="31">
        <f t="shared" si="242"/>
        <v>100</v>
      </c>
      <c r="AV358" s="21">
        <f t="shared" si="86"/>
        <v>3750</v>
      </c>
    </row>
    <row r="359" spans="2:48" ht="15.75" customHeight="1" x14ac:dyDescent="0.25">
      <c r="B359" s="32"/>
      <c r="C359" s="18" t="s">
        <v>46</v>
      </c>
      <c r="D359" s="51"/>
      <c r="E359" s="18" t="s">
        <v>48</v>
      </c>
      <c r="F359" s="51"/>
      <c r="G359" s="23">
        <f t="shared" si="328"/>
        <v>47</v>
      </c>
      <c r="H359" s="23">
        <f t="shared" si="329"/>
        <v>6.7750000000000004</v>
      </c>
      <c r="I359" s="23">
        <f t="shared" si="330"/>
        <v>45.7</v>
      </c>
      <c r="J359" s="23">
        <f t="shared" si="331"/>
        <v>0.48749999999999999</v>
      </c>
      <c r="K359" s="23">
        <f t="shared" si="332"/>
        <v>3.7499999999999999E-2</v>
      </c>
      <c r="L359" s="22">
        <f t="shared" si="74"/>
        <v>66.400000000000006</v>
      </c>
      <c r="M359" s="18">
        <v>13.6</v>
      </c>
      <c r="N359" s="59">
        <v>0</v>
      </c>
      <c r="O359" s="18">
        <v>20</v>
      </c>
      <c r="P359" s="18">
        <v>0.3</v>
      </c>
      <c r="Q359" s="18">
        <v>766</v>
      </c>
      <c r="R359" s="18" t="s">
        <v>51</v>
      </c>
      <c r="S359" s="56">
        <v>0</v>
      </c>
      <c r="T359" s="18">
        <v>14.22</v>
      </c>
      <c r="U359" s="21">
        <v>3.32</v>
      </c>
      <c r="V359" s="21">
        <v>13</v>
      </c>
      <c r="W359" s="18">
        <v>16.62</v>
      </c>
      <c r="X359" s="18">
        <v>1.91</v>
      </c>
      <c r="Y359" s="49">
        <f t="shared" si="273"/>
        <v>65.150000000000006</v>
      </c>
      <c r="Z359" s="18">
        <f t="shared" si="76"/>
        <v>0.66666666666666663</v>
      </c>
      <c r="AA359" s="18">
        <v>35.44</v>
      </c>
      <c r="AB359" s="18">
        <v>66</v>
      </c>
      <c r="AC359" s="21">
        <f t="shared" si="77"/>
        <v>3360</v>
      </c>
      <c r="AD359" s="18" t="s">
        <v>51</v>
      </c>
      <c r="AF359" s="1"/>
      <c r="AG359" s="29">
        <v>1.5</v>
      </c>
      <c r="AH359" s="29">
        <v>3.36</v>
      </c>
      <c r="AO359" s="30">
        <f t="shared" ref="AO359:AS359" si="340">U359</f>
        <v>3.32</v>
      </c>
      <c r="AP359" s="30">
        <f t="shared" si="340"/>
        <v>13</v>
      </c>
      <c r="AQ359" s="30">
        <f t="shared" si="340"/>
        <v>16.62</v>
      </c>
      <c r="AR359" s="30">
        <f t="shared" si="340"/>
        <v>1.91</v>
      </c>
      <c r="AS359" s="30">
        <f t="shared" si="340"/>
        <v>65.150000000000006</v>
      </c>
      <c r="AT359" s="31">
        <f t="shared" si="242"/>
        <v>100</v>
      </c>
      <c r="AV359" s="21">
        <f t="shared" si="86"/>
        <v>3360</v>
      </c>
    </row>
    <row r="360" spans="2:48" ht="15.75" customHeight="1" x14ac:dyDescent="0.25">
      <c r="B360" s="32"/>
      <c r="C360" s="18" t="s">
        <v>46</v>
      </c>
      <c r="D360" s="51"/>
      <c r="E360" s="18" t="s">
        <v>48</v>
      </c>
      <c r="F360" s="51"/>
      <c r="G360" s="23">
        <f t="shared" si="328"/>
        <v>47</v>
      </c>
      <c r="H360" s="23">
        <f t="shared" si="329"/>
        <v>6.7750000000000004</v>
      </c>
      <c r="I360" s="23">
        <f t="shared" si="330"/>
        <v>45.7</v>
      </c>
      <c r="J360" s="23">
        <f t="shared" si="331"/>
        <v>0.48749999999999999</v>
      </c>
      <c r="K360" s="23">
        <f t="shared" si="332"/>
        <v>3.7499999999999999E-2</v>
      </c>
      <c r="L360" s="22">
        <f t="shared" si="74"/>
        <v>66.400000000000006</v>
      </c>
      <c r="M360" s="18">
        <v>13.6</v>
      </c>
      <c r="N360" s="59">
        <v>0</v>
      </c>
      <c r="O360" s="18">
        <v>20</v>
      </c>
      <c r="P360" s="18">
        <v>0.35</v>
      </c>
      <c r="Q360" s="18">
        <v>828</v>
      </c>
      <c r="R360" s="18" t="s">
        <v>51</v>
      </c>
      <c r="S360" s="56">
        <v>0</v>
      </c>
      <c r="T360" s="18">
        <v>14.22</v>
      </c>
      <c r="U360" s="21">
        <v>3.25</v>
      </c>
      <c r="V360" s="21">
        <v>12.29</v>
      </c>
      <c r="W360" s="18">
        <v>17.420000000000002</v>
      </c>
      <c r="X360" s="18">
        <v>1.84</v>
      </c>
      <c r="Y360" s="49">
        <f t="shared" si="273"/>
        <v>65.199999999999989</v>
      </c>
      <c r="Z360" s="18">
        <f t="shared" si="76"/>
        <v>0.58823529411764708</v>
      </c>
      <c r="AA360" s="18">
        <v>36.94</v>
      </c>
      <c r="AB360" s="18">
        <v>67</v>
      </c>
      <c r="AC360" s="21">
        <f t="shared" si="77"/>
        <v>3090</v>
      </c>
      <c r="AD360" s="18" t="s">
        <v>51</v>
      </c>
      <c r="AF360" s="1"/>
      <c r="AG360" s="29">
        <v>1.7</v>
      </c>
      <c r="AH360" s="29">
        <v>3.09</v>
      </c>
      <c r="AO360" s="30">
        <f t="shared" ref="AO360:AS360" si="341">U360</f>
        <v>3.25</v>
      </c>
      <c r="AP360" s="30">
        <f t="shared" si="341"/>
        <v>12.29</v>
      </c>
      <c r="AQ360" s="30">
        <f t="shared" si="341"/>
        <v>17.420000000000002</v>
      </c>
      <c r="AR360" s="30">
        <f t="shared" si="341"/>
        <v>1.84</v>
      </c>
      <c r="AS360" s="30">
        <f t="shared" si="341"/>
        <v>65.199999999999989</v>
      </c>
      <c r="AT360" s="31">
        <f t="shared" si="242"/>
        <v>100</v>
      </c>
      <c r="AV360" s="21">
        <f t="shared" si="86"/>
        <v>3090</v>
      </c>
    </row>
    <row r="361" spans="2:48" ht="15.75" customHeight="1" x14ac:dyDescent="0.25">
      <c r="B361" s="32"/>
      <c r="C361" s="18" t="s">
        <v>46</v>
      </c>
      <c r="D361" s="51"/>
      <c r="E361" s="18" t="s">
        <v>48</v>
      </c>
      <c r="F361" s="51"/>
      <c r="G361" s="60">
        <v>77.55</v>
      </c>
      <c r="H361" s="60">
        <v>4.3</v>
      </c>
      <c r="I361" s="60">
        <v>17.88</v>
      </c>
      <c r="J361" s="60">
        <v>0.22</v>
      </c>
      <c r="K361" s="60">
        <v>0.05</v>
      </c>
      <c r="L361" s="61">
        <f t="shared" si="74"/>
        <v>0</v>
      </c>
      <c r="M361" s="60">
        <v>91.1</v>
      </c>
      <c r="N361" s="60">
        <v>6.2</v>
      </c>
      <c r="O361" s="60">
        <v>2.7</v>
      </c>
      <c r="P361" s="18">
        <v>0.25</v>
      </c>
      <c r="Q361" s="18">
        <v>975</v>
      </c>
      <c r="R361" s="18" t="s">
        <v>51</v>
      </c>
      <c r="S361" s="56">
        <v>0</v>
      </c>
      <c r="T361" s="18">
        <v>15.38</v>
      </c>
      <c r="U361" s="21">
        <v>12.39</v>
      </c>
      <c r="V361" s="21">
        <v>13.96</v>
      </c>
      <c r="W361" s="18">
        <v>14.08</v>
      </c>
      <c r="X361" s="18">
        <v>0.56000000000000005</v>
      </c>
      <c r="Y361" s="49">
        <f t="shared" si="273"/>
        <v>59.01</v>
      </c>
      <c r="Z361" s="18">
        <f t="shared" si="76"/>
        <v>0.38610038610038611</v>
      </c>
      <c r="AA361" s="18">
        <v>44.23</v>
      </c>
      <c r="AB361" s="18">
        <v>56.12</v>
      </c>
      <c r="AC361" s="21">
        <f t="shared" si="77"/>
        <v>3690</v>
      </c>
      <c r="AD361" s="18" t="s">
        <v>51</v>
      </c>
      <c r="AF361" s="1"/>
      <c r="AG361" s="29">
        <v>2.59</v>
      </c>
      <c r="AH361" s="29">
        <v>3.69</v>
      </c>
      <c r="AO361" s="30">
        <f t="shared" ref="AO361:AS361" si="342">U361</f>
        <v>12.39</v>
      </c>
      <c r="AP361" s="30">
        <f t="shared" si="342"/>
        <v>13.96</v>
      </c>
      <c r="AQ361" s="30">
        <f t="shared" si="342"/>
        <v>14.08</v>
      </c>
      <c r="AR361" s="30">
        <f t="shared" si="342"/>
        <v>0.56000000000000005</v>
      </c>
      <c r="AS361" s="30">
        <f t="shared" si="342"/>
        <v>59.01</v>
      </c>
      <c r="AT361" s="31">
        <f t="shared" si="242"/>
        <v>100</v>
      </c>
      <c r="AV361" s="21">
        <f t="shared" si="86"/>
        <v>3690</v>
      </c>
    </row>
    <row r="362" spans="2:48" ht="15.75" customHeight="1" x14ac:dyDescent="0.25">
      <c r="B362" s="32"/>
      <c r="C362" s="18" t="s">
        <v>46</v>
      </c>
      <c r="D362" s="51"/>
      <c r="E362" s="18" t="s">
        <v>48</v>
      </c>
      <c r="F362" s="51"/>
      <c r="G362" s="60">
        <v>77.55</v>
      </c>
      <c r="H362" s="60">
        <v>4.3</v>
      </c>
      <c r="I362" s="60">
        <v>17.88</v>
      </c>
      <c r="J362" s="60">
        <v>0.22</v>
      </c>
      <c r="K362" s="60">
        <v>0.05</v>
      </c>
      <c r="L362" s="61">
        <f t="shared" si="74"/>
        <v>0</v>
      </c>
      <c r="M362" s="60">
        <v>91.1</v>
      </c>
      <c r="N362" s="60">
        <v>6.2</v>
      </c>
      <c r="O362" s="60">
        <v>2.7</v>
      </c>
      <c r="P362" s="18">
        <v>0.25</v>
      </c>
      <c r="Q362" s="18">
        <v>975</v>
      </c>
      <c r="R362" s="18" t="s">
        <v>51</v>
      </c>
      <c r="S362" s="56">
        <v>0</v>
      </c>
      <c r="T362" s="18">
        <v>15.38</v>
      </c>
      <c r="U362" s="21">
        <v>13.01</v>
      </c>
      <c r="V362" s="21">
        <v>14.44</v>
      </c>
      <c r="W362" s="18">
        <v>13.66</v>
      </c>
      <c r="X362" s="18">
        <v>0.69</v>
      </c>
      <c r="Y362" s="49">
        <f t="shared" si="273"/>
        <v>58.2</v>
      </c>
      <c r="Z362" s="18">
        <f t="shared" si="76"/>
        <v>0.38910505836575876</v>
      </c>
      <c r="AA362" s="18">
        <v>46.34</v>
      </c>
      <c r="AB362" s="18">
        <v>56.17</v>
      </c>
      <c r="AC362" s="21">
        <f t="shared" si="77"/>
        <v>3890</v>
      </c>
      <c r="AD362" s="18" t="s">
        <v>51</v>
      </c>
      <c r="AF362" s="1"/>
      <c r="AG362" s="29">
        <v>2.57</v>
      </c>
      <c r="AH362" s="29">
        <v>3.89</v>
      </c>
      <c r="AO362" s="30">
        <f t="shared" ref="AO362:AS362" si="343">U362</f>
        <v>13.01</v>
      </c>
      <c r="AP362" s="30">
        <f t="shared" si="343"/>
        <v>14.44</v>
      </c>
      <c r="AQ362" s="30">
        <f t="shared" si="343"/>
        <v>13.66</v>
      </c>
      <c r="AR362" s="30">
        <f t="shared" si="343"/>
        <v>0.69</v>
      </c>
      <c r="AS362" s="30">
        <f t="shared" si="343"/>
        <v>58.2</v>
      </c>
      <c r="AT362" s="31">
        <f t="shared" si="242"/>
        <v>100</v>
      </c>
      <c r="AV362" s="21">
        <f t="shared" si="86"/>
        <v>3890</v>
      </c>
    </row>
    <row r="363" spans="2:48" ht="15.75" customHeight="1" x14ac:dyDescent="0.25">
      <c r="B363" s="32"/>
      <c r="C363" s="18" t="s">
        <v>46</v>
      </c>
      <c r="D363" s="51"/>
      <c r="E363" s="18" t="s">
        <v>48</v>
      </c>
      <c r="F363" s="51"/>
      <c r="G363" s="60">
        <v>77.55</v>
      </c>
      <c r="H363" s="60">
        <v>4.3</v>
      </c>
      <c r="I363" s="60">
        <v>17.88</v>
      </c>
      <c r="J363" s="60">
        <v>0.22</v>
      </c>
      <c r="K363" s="60">
        <v>0.05</v>
      </c>
      <c r="L363" s="61">
        <f t="shared" si="74"/>
        <v>0</v>
      </c>
      <c r="M363" s="60">
        <v>91.1</v>
      </c>
      <c r="N363" s="60">
        <v>6.2</v>
      </c>
      <c r="O363" s="60">
        <v>2.7</v>
      </c>
      <c r="P363" s="18">
        <v>0.25</v>
      </c>
      <c r="Q363" s="18">
        <v>975</v>
      </c>
      <c r="R363" s="18" t="s">
        <v>51</v>
      </c>
      <c r="S363" s="56">
        <v>0</v>
      </c>
      <c r="T363" s="18">
        <v>15.38</v>
      </c>
      <c r="U363" s="21">
        <v>11.36</v>
      </c>
      <c r="V363" s="21">
        <v>12.31</v>
      </c>
      <c r="W363" s="18">
        <v>15.42</v>
      </c>
      <c r="X363" s="18">
        <v>0.56999999999999995</v>
      </c>
      <c r="Y363" s="49">
        <f t="shared" si="273"/>
        <v>60.339999999999996</v>
      </c>
      <c r="Z363" s="18">
        <f t="shared" si="76"/>
        <v>0.38610038610038611</v>
      </c>
      <c r="AA363" s="18">
        <v>40.07</v>
      </c>
      <c r="AB363" s="18">
        <v>55.54</v>
      </c>
      <c r="AC363" s="21">
        <f t="shared" si="77"/>
        <v>3350</v>
      </c>
      <c r="AD363" s="18" t="s">
        <v>51</v>
      </c>
      <c r="AF363" s="1"/>
      <c r="AG363" s="29">
        <v>2.59</v>
      </c>
      <c r="AH363" s="29">
        <v>3.35</v>
      </c>
      <c r="AO363" s="30">
        <f t="shared" ref="AO363:AS363" si="344">U363</f>
        <v>11.36</v>
      </c>
      <c r="AP363" s="30">
        <f t="shared" si="344"/>
        <v>12.31</v>
      </c>
      <c r="AQ363" s="30">
        <f t="shared" si="344"/>
        <v>15.42</v>
      </c>
      <c r="AR363" s="30">
        <f t="shared" si="344"/>
        <v>0.56999999999999995</v>
      </c>
      <c r="AS363" s="30">
        <f t="shared" si="344"/>
        <v>60.339999999999996</v>
      </c>
      <c r="AT363" s="31">
        <f t="shared" si="242"/>
        <v>100</v>
      </c>
      <c r="AV363" s="21">
        <f t="shared" si="86"/>
        <v>3350</v>
      </c>
    </row>
    <row r="364" spans="2:48" ht="15.75" customHeight="1" x14ac:dyDescent="0.25">
      <c r="B364" s="32"/>
      <c r="C364" s="18" t="s">
        <v>46</v>
      </c>
      <c r="D364" s="51"/>
      <c r="E364" s="18" t="s">
        <v>48</v>
      </c>
      <c r="F364" s="51"/>
      <c r="G364" s="60">
        <v>77.55</v>
      </c>
      <c r="H364" s="60">
        <v>4.3</v>
      </c>
      <c r="I364" s="60">
        <v>17.88</v>
      </c>
      <c r="J364" s="60">
        <v>0.22</v>
      </c>
      <c r="K364" s="60">
        <v>0.05</v>
      </c>
      <c r="L364" s="61">
        <f t="shared" si="74"/>
        <v>0</v>
      </c>
      <c r="M364" s="60">
        <v>91.1</v>
      </c>
      <c r="N364" s="60">
        <v>6.2</v>
      </c>
      <c r="O364" s="60">
        <v>2.7</v>
      </c>
      <c r="P364" s="18">
        <v>0.25</v>
      </c>
      <c r="Q364" s="18">
        <v>975</v>
      </c>
      <c r="R364" s="18" t="s">
        <v>51</v>
      </c>
      <c r="S364" s="56">
        <v>0</v>
      </c>
      <c r="T364" s="18">
        <v>15.38</v>
      </c>
      <c r="U364" s="21">
        <v>12.74</v>
      </c>
      <c r="V364" s="21">
        <v>12.79</v>
      </c>
      <c r="W364" s="18">
        <v>13.9</v>
      </c>
      <c r="X364" s="18">
        <v>0.94</v>
      </c>
      <c r="Y364" s="49">
        <f t="shared" si="273"/>
        <v>59.63</v>
      </c>
      <c r="Z364" s="18">
        <f t="shared" si="76"/>
        <v>0.37174721189591081</v>
      </c>
      <c r="AA364" s="18">
        <v>46.6</v>
      </c>
      <c r="AB364" s="18">
        <v>56.36</v>
      </c>
      <c r="AC364" s="21">
        <f t="shared" si="77"/>
        <v>3740</v>
      </c>
      <c r="AD364" s="18" t="s">
        <v>51</v>
      </c>
      <c r="AF364" s="1"/>
      <c r="AG364" s="29">
        <v>2.69</v>
      </c>
      <c r="AH364" s="29">
        <v>3.74</v>
      </c>
      <c r="AO364" s="30">
        <f t="shared" ref="AO364:AS364" si="345">U364</f>
        <v>12.74</v>
      </c>
      <c r="AP364" s="30">
        <f t="shared" si="345"/>
        <v>12.79</v>
      </c>
      <c r="AQ364" s="30">
        <f t="shared" si="345"/>
        <v>13.9</v>
      </c>
      <c r="AR364" s="30">
        <f t="shared" si="345"/>
        <v>0.94</v>
      </c>
      <c r="AS364" s="30">
        <f t="shared" si="345"/>
        <v>59.63</v>
      </c>
      <c r="AT364" s="31">
        <f t="shared" si="242"/>
        <v>100</v>
      </c>
      <c r="AV364" s="21">
        <f t="shared" si="86"/>
        <v>3740</v>
      </c>
    </row>
    <row r="365" spans="2:48" ht="15.75" customHeight="1" x14ac:dyDescent="0.25">
      <c r="B365" s="32"/>
      <c r="C365" s="18" t="s">
        <v>46</v>
      </c>
      <c r="D365" s="51"/>
      <c r="E365" s="18" t="s">
        <v>48</v>
      </c>
      <c r="F365" s="51"/>
      <c r="G365" s="60">
        <v>77.55</v>
      </c>
      <c r="H365" s="60">
        <v>4.3</v>
      </c>
      <c r="I365" s="60">
        <v>17.88</v>
      </c>
      <c r="J365" s="60">
        <v>0.22</v>
      </c>
      <c r="K365" s="60">
        <v>0.05</v>
      </c>
      <c r="L365" s="61">
        <f t="shared" si="74"/>
        <v>0</v>
      </c>
      <c r="M365" s="60">
        <v>91.1</v>
      </c>
      <c r="N365" s="60">
        <v>6.2</v>
      </c>
      <c r="O365" s="60">
        <v>2.7</v>
      </c>
      <c r="P365" s="18">
        <v>0.25</v>
      </c>
      <c r="Q365" s="18">
        <v>975</v>
      </c>
      <c r="R365" s="18" t="s">
        <v>51</v>
      </c>
      <c r="S365" s="56">
        <v>0</v>
      </c>
      <c r="T365" s="18">
        <v>15.38</v>
      </c>
      <c r="U365" s="21">
        <v>11.89</v>
      </c>
      <c r="V365" s="21">
        <v>16.02</v>
      </c>
      <c r="W365" s="18">
        <v>13.62</v>
      </c>
      <c r="X365" s="18">
        <v>0.77</v>
      </c>
      <c r="Y365" s="49">
        <f t="shared" si="273"/>
        <v>57.699999999999996</v>
      </c>
      <c r="Z365" s="18">
        <f t="shared" si="76"/>
        <v>0.3546099290780142</v>
      </c>
      <c r="AA365" s="18">
        <v>52.04</v>
      </c>
      <c r="AB365" s="18">
        <v>65.099999999999994</v>
      </c>
      <c r="AC365" s="21">
        <f t="shared" si="77"/>
        <v>3990</v>
      </c>
      <c r="AD365" s="18" t="s">
        <v>51</v>
      </c>
      <c r="AF365" s="1"/>
      <c r="AG365" s="29">
        <v>2.82</v>
      </c>
      <c r="AH365" s="29">
        <v>3.99</v>
      </c>
      <c r="AO365" s="30">
        <f t="shared" ref="AO365:AS365" si="346">U365</f>
        <v>11.89</v>
      </c>
      <c r="AP365" s="30">
        <f t="shared" si="346"/>
        <v>16.02</v>
      </c>
      <c r="AQ365" s="30">
        <f t="shared" si="346"/>
        <v>13.62</v>
      </c>
      <c r="AR365" s="30">
        <f t="shared" si="346"/>
        <v>0.77</v>
      </c>
      <c r="AS365" s="30">
        <f t="shared" si="346"/>
        <v>57.699999999999996</v>
      </c>
      <c r="AT365" s="31">
        <f t="shared" si="242"/>
        <v>100</v>
      </c>
      <c r="AV365" s="21">
        <f t="shared" si="86"/>
        <v>3990</v>
      </c>
    </row>
    <row r="366" spans="2:48" ht="15.75" customHeight="1" x14ac:dyDescent="0.25">
      <c r="B366" s="32"/>
      <c r="C366" s="18" t="s">
        <v>46</v>
      </c>
      <c r="D366" s="51"/>
      <c r="E366" s="18" t="s">
        <v>48</v>
      </c>
      <c r="F366" s="51"/>
      <c r="G366" s="60">
        <v>77.55</v>
      </c>
      <c r="H366" s="60">
        <v>4.3</v>
      </c>
      <c r="I366" s="60">
        <v>17.88</v>
      </c>
      <c r="J366" s="60">
        <v>0.22</v>
      </c>
      <c r="K366" s="60">
        <v>0.05</v>
      </c>
      <c r="L366" s="61">
        <f t="shared" si="74"/>
        <v>0</v>
      </c>
      <c r="M366" s="60">
        <v>91.1</v>
      </c>
      <c r="N366" s="60">
        <v>6.2</v>
      </c>
      <c r="O366" s="60">
        <v>2.7</v>
      </c>
      <c r="P366" s="18">
        <v>0.25</v>
      </c>
      <c r="Q366" s="18">
        <v>975</v>
      </c>
      <c r="R366" s="18" t="s">
        <v>51</v>
      </c>
      <c r="S366" s="56">
        <v>0</v>
      </c>
      <c r="T366" s="18">
        <v>15.38</v>
      </c>
      <c r="U366" s="21">
        <v>12.43</v>
      </c>
      <c r="V366" s="21">
        <v>13.79</v>
      </c>
      <c r="W366" s="18">
        <v>13.9</v>
      </c>
      <c r="X366" s="18">
        <v>0.68</v>
      </c>
      <c r="Y366" s="49">
        <f t="shared" si="273"/>
        <v>59.2</v>
      </c>
      <c r="Z366" s="18">
        <f t="shared" si="76"/>
        <v>0.36496350364963503</v>
      </c>
      <c r="AA366" s="18">
        <v>47.22</v>
      </c>
      <c r="AB366" s="18">
        <v>58.92</v>
      </c>
      <c r="AC366" s="21">
        <f t="shared" si="77"/>
        <v>3730</v>
      </c>
      <c r="AD366" s="18" t="s">
        <v>51</v>
      </c>
      <c r="AF366" s="1"/>
      <c r="AG366" s="29">
        <v>2.74</v>
      </c>
      <c r="AH366" s="29">
        <v>3.73</v>
      </c>
      <c r="AO366" s="30">
        <f t="shared" ref="AO366:AS366" si="347">U366</f>
        <v>12.43</v>
      </c>
      <c r="AP366" s="30">
        <f t="shared" si="347"/>
        <v>13.79</v>
      </c>
      <c r="AQ366" s="30">
        <f t="shared" si="347"/>
        <v>13.9</v>
      </c>
      <c r="AR366" s="30">
        <f t="shared" si="347"/>
        <v>0.68</v>
      </c>
      <c r="AS366" s="30">
        <f t="shared" si="347"/>
        <v>59.2</v>
      </c>
      <c r="AT366" s="31">
        <f t="shared" si="242"/>
        <v>100</v>
      </c>
      <c r="AV366" s="21">
        <f t="shared" si="86"/>
        <v>3730</v>
      </c>
    </row>
    <row r="367" spans="2:48" ht="15.75" customHeight="1" x14ac:dyDescent="0.25">
      <c r="B367" s="32"/>
      <c r="C367" s="18" t="s">
        <v>46</v>
      </c>
      <c r="D367" s="51"/>
      <c r="E367" s="18" t="s">
        <v>48</v>
      </c>
      <c r="F367" s="51"/>
      <c r="G367" s="60">
        <v>77.55</v>
      </c>
      <c r="H367" s="60">
        <v>4.3</v>
      </c>
      <c r="I367" s="60">
        <v>17.88</v>
      </c>
      <c r="J367" s="60">
        <v>0.22</v>
      </c>
      <c r="K367" s="60">
        <v>0.05</v>
      </c>
      <c r="L367" s="61">
        <f t="shared" si="74"/>
        <v>0</v>
      </c>
      <c r="M367" s="60">
        <v>91.1</v>
      </c>
      <c r="N367" s="60">
        <v>6.2</v>
      </c>
      <c r="O367" s="60">
        <v>2.7</v>
      </c>
      <c r="P367" s="18">
        <v>0.25</v>
      </c>
      <c r="Q367" s="18">
        <v>975</v>
      </c>
      <c r="R367" s="18" t="s">
        <v>51</v>
      </c>
      <c r="S367" s="56">
        <v>0</v>
      </c>
      <c r="T367" s="18">
        <v>15.38</v>
      </c>
      <c r="U367" s="21">
        <v>13.48</v>
      </c>
      <c r="V367" s="21">
        <v>14.77</v>
      </c>
      <c r="W367" s="18">
        <v>13.86</v>
      </c>
      <c r="X367" s="18">
        <v>0.93</v>
      </c>
      <c r="Y367" s="49">
        <f t="shared" si="273"/>
        <v>56.96</v>
      </c>
      <c r="Z367" s="18">
        <f t="shared" si="76"/>
        <v>0.38022813688212931</v>
      </c>
      <c r="AA367" s="18">
        <v>49.78</v>
      </c>
      <c r="AB367" s="18">
        <v>58.83</v>
      </c>
      <c r="AC367" s="21">
        <f t="shared" si="77"/>
        <v>4100</v>
      </c>
      <c r="AD367" s="18" t="s">
        <v>51</v>
      </c>
      <c r="AF367" s="1"/>
      <c r="AG367" s="29">
        <v>2.63</v>
      </c>
      <c r="AH367" s="29">
        <v>4.0999999999999996</v>
      </c>
      <c r="AO367" s="30">
        <f t="shared" ref="AO367:AS367" si="348">U367</f>
        <v>13.48</v>
      </c>
      <c r="AP367" s="30">
        <f t="shared" si="348"/>
        <v>14.77</v>
      </c>
      <c r="AQ367" s="30">
        <f t="shared" si="348"/>
        <v>13.86</v>
      </c>
      <c r="AR367" s="30">
        <f t="shared" si="348"/>
        <v>0.93</v>
      </c>
      <c r="AS367" s="30">
        <f t="shared" si="348"/>
        <v>56.96</v>
      </c>
      <c r="AT367" s="31">
        <f t="shared" si="242"/>
        <v>100</v>
      </c>
      <c r="AV367" s="21">
        <f t="shared" si="86"/>
        <v>4100</v>
      </c>
    </row>
    <row r="368" spans="2:48" ht="15.75" customHeight="1" x14ac:dyDescent="0.25">
      <c r="B368" s="32"/>
      <c r="C368" s="18" t="s">
        <v>46</v>
      </c>
      <c r="D368" s="51"/>
      <c r="E368" s="18" t="s">
        <v>48</v>
      </c>
      <c r="F368" s="51"/>
      <c r="G368" s="60">
        <v>77.55</v>
      </c>
      <c r="H368" s="60">
        <v>4.3</v>
      </c>
      <c r="I368" s="60">
        <v>17.88</v>
      </c>
      <c r="J368" s="60">
        <v>0.22</v>
      </c>
      <c r="K368" s="60">
        <v>0.05</v>
      </c>
      <c r="L368" s="61">
        <f t="shared" si="74"/>
        <v>0</v>
      </c>
      <c r="M368" s="60">
        <v>91.1</v>
      </c>
      <c r="N368" s="60">
        <v>6.2</v>
      </c>
      <c r="O368" s="60">
        <v>2.7</v>
      </c>
      <c r="P368" s="18">
        <v>0.25</v>
      </c>
      <c r="Q368" s="18">
        <v>975</v>
      </c>
      <c r="R368" s="18" t="s">
        <v>51</v>
      </c>
      <c r="S368" s="56">
        <v>0</v>
      </c>
      <c r="T368" s="18">
        <v>15.38</v>
      </c>
      <c r="U368" s="21">
        <v>12.6</v>
      </c>
      <c r="V368" s="21">
        <v>15.64</v>
      </c>
      <c r="W368" s="18">
        <v>14.75</v>
      </c>
      <c r="X368" s="18">
        <v>0.61</v>
      </c>
      <c r="Y368" s="49">
        <f t="shared" si="273"/>
        <v>56.4</v>
      </c>
      <c r="Z368" s="18">
        <f t="shared" si="76"/>
        <v>0.36630036630036628</v>
      </c>
      <c r="AA368" s="18">
        <v>50.11</v>
      </c>
      <c r="AB368" s="18">
        <v>64.25</v>
      </c>
      <c r="AC368" s="21">
        <f t="shared" si="77"/>
        <v>3960</v>
      </c>
      <c r="AD368" s="18" t="s">
        <v>51</v>
      </c>
      <c r="AF368" s="1"/>
      <c r="AG368" s="29">
        <v>2.73</v>
      </c>
      <c r="AH368" s="29">
        <v>3.96</v>
      </c>
      <c r="AO368" s="30">
        <f t="shared" ref="AO368:AS368" si="349">U368</f>
        <v>12.6</v>
      </c>
      <c r="AP368" s="30">
        <f t="shared" si="349"/>
        <v>15.64</v>
      </c>
      <c r="AQ368" s="30">
        <f t="shared" si="349"/>
        <v>14.75</v>
      </c>
      <c r="AR368" s="30">
        <f t="shared" si="349"/>
        <v>0.61</v>
      </c>
      <c r="AS368" s="30">
        <f t="shared" si="349"/>
        <v>56.4</v>
      </c>
      <c r="AT368" s="31">
        <f t="shared" si="242"/>
        <v>100</v>
      </c>
      <c r="AV368" s="21">
        <f t="shared" si="86"/>
        <v>3960</v>
      </c>
    </row>
    <row r="369" spans="2:48" ht="15.75" customHeight="1" x14ac:dyDescent="0.25">
      <c r="B369" s="32"/>
      <c r="C369" s="18" t="s">
        <v>46</v>
      </c>
      <c r="D369" s="51"/>
      <c r="E369" s="18" t="s">
        <v>48</v>
      </c>
      <c r="F369" s="51"/>
      <c r="G369" s="60">
        <v>77.55</v>
      </c>
      <c r="H369" s="60">
        <v>4.3</v>
      </c>
      <c r="I369" s="60">
        <v>17.88</v>
      </c>
      <c r="J369" s="60">
        <v>0.22</v>
      </c>
      <c r="K369" s="60">
        <v>0.05</v>
      </c>
      <c r="L369" s="61">
        <f t="shared" si="74"/>
        <v>0</v>
      </c>
      <c r="M369" s="60">
        <v>91.1</v>
      </c>
      <c r="N369" s="60">
        <v>6.2</v>
      </c>
      <c r="O369" s="60">
        <v>2.7</v>
      </c>
      <c r="P369" s="18">
        <v>0.25</v>
      </c>
      <c r="Q369" s="18">
        <v>975</v>
      </c>
      <c r="R369" s="18" t="s">
        <v>51</v>
      </c>
      <c r="S369" s="56">
        <v>0</v>
      </c>
      <c r="T369" s="18">
        <v>15.38</v>
      </c>
      <c r="U369" s="21">
        <v>11.61</v>
      </c>
      <c r="V369" s="21">
        <v>14.49</v>
      </c>
      <c r="W369" s="18">
        <v>15.08</v>
      </c>
      <c r="X369" s="18">
        <v>0.55000000000000004</v>
      </c>
      <c r="Y369" s="49">
        <f t="shared" si="273"/>
        <v>58.27</v>
      </c>
      <c r="Z369" s="18">
        <f t="shared" si="76"/>
        <v>0.37878787878787878</v>
      </c>
      <c r="AA369" s="18">
        <v>44.63</v>
      </c>
      <c r="AB369" s="18">
        <v>60.25</v>
      </c>
      <c r="AC369" s="21">
        <f t="shared" si="77"/>
        <v>3660</v>
      </c>
      <c r="AD369" s="18" t="s">
        <v>51</v>
      </c>
      <c r="AF369" s="1"/>
      <c r="AG369" s="29">
        <v>2.64</v>
      </c>
      <c r="AH369" s="29">
        <v>3.66</v>
      </c>
      <c r="AO369" s="30">
        <f t="shared" ref="AO369:AS369" si="350">U369</f>
        <v>11.61</v>
      </c>
      <c r="AP369" s="30">
        <f t="shared" si="350"/>
        <v>14.49</v>
      </c>
      <c r="AQ369" s="30">
        <f t="shared" si="350"/>
        <v>15.08</v>
      </c>
      <c r="AR369" s="30">
        <f t="shared" si="350"/>
        <v>0.55000000000000004</v>
      </c>
      <c r="AS369" s="30">
        <f t="shared" si="350"/>
        <v>58.27</v>
      </c>
      <c r="AT369" s="31">
        <f t="shared" si="242"/>
        <v>100</v>
      </c>
      <c r="AV369" s="21">
        <f t="shared" si="86"/>
        <v>3660</v>
      </c>
    </row>
    <row r="370" spans="2:48" ht="15.75" customHeight="1" x14ac:dyDescent="0.25">
      <c r="B370" s="32"/>
      <c r="C370" s="18" t="s">
        <v>46</v>
      </c>
      <c r="D370" s="51"/>
      <c r="E370" s="18" t="s">
        <v>48</v>
      </c>
      <c r="F370" s="51"/>
      <c r="G370" s="60">
        <v>77.55</v>
      </c>
      <c r="H370" s="60">
        <v>4.3</v>
      </c>
      <c r="I370" s="60">
        <v>17.88</v>
      </c>
      <c r="J370" s="60">
        <v>0.22</v>
      </c>
      <c r="K370" s="60">
        <v>0.05</v>
      </c>
      <c r="L370" s="61">
        <f t="shared" si="74"/>
        <v>0</v>
      </c>
      <c r="M370" s="60">
        <v>91.1</v>
      </c>
      <c r="N370" s="60">
        <v>6.2</v>
      </c>
      <c r="O370" s="60">
        <v>2.7</v>
      </c>
      <c r="P370" s="18">
        <v>0.25</v>
      </c>
      <c r="Q370" s="18">
        <v>975</v>
      </c>
      <c r="R370" s="18" t="s">
        <v>51</v>
      </c>
      <c r="S370" s="56">
        <v>0</v>
      </c>
      <c r="T370" s="18">
        <v>15.38</v>
      </c>
      <c r="U370" s="21">
        <v>11.44</v>
      </c>
      <c r="V370" s="21">
        <v>17.649999999999999</v>
      </c>
      <c r="W370" s="18">
        <v>13.58</v>
      </c>
      <c r="X370" s="18">
        <v>0.68</v>
      </c>
      <c r="Y370" s="49">
        <f t="shared" si="273"/>
        <v>56.650000000000006</v>
      </c>
      <c r="Z370" s="18">
        <f t="shared" si="76"/>
        <v>0.38759689922480617</v>
      </c>
      <c r="AA370" s="18">
        <v>48.98</v>
      </c>
      <c r="AB370" s="18">
        <v>62.46</v>
      </c>
      <c r="AC370" s="21">
        <f t="shared" si="77"/>
        <v>4100</v>
      </c>
      <c r="AD370" s="18" t="s">
        <v>51</v>
      </c>
      <c r="AF370" s="1"/>
      <c r="AG370" s="29">
        <v>2.58</v>
      </c>
      <c r="AH370" s="29">
        <v>4.0999999999999996</v>
      </c>
      <c r="AO370" s="30">
        <f t="shared" ref="AO370:AS370" si="351">U370</f>
        <v>11.44</v>
      </c>
      <c r="AP370" s="30">
        <f t="shared" si="351"/>
        <v>17.649999999999999</v>
      </c>
      <c r="AQ370" s="30">
        <f t="shared" si="351"/>
        <v>13.58</v>
      </c>
      <c r="AR370" s="30">
        <f t="shared" si="351"/>
        <v>0.68</v>
      </c>
      <c r="AS370" s="30">
        <f t="shared" si="351"/>
        <v>56.650000000000006</v>
      </c>
      <c r="AT370" s="31">
        <f t="shared" si="242"/>
        <v>100</v>
      </c>
      <c r="AV370" s="21">
        <f t="shared" si="86"/>
        <v>4100</v>
      </c>
    </row>
    <row r="371" spans="2:48" ht="15.75" customHeight="1" x14ac:dyDescent="0.25">
      <c r="B371" s="32"/>
      <c r="C371" s="18" t="s">
        <v>46</v>
      </c>
      <c r="D371" s="51"/>
      <c r="E371" s="18" t="s">
        <v>48</v>
      </c>
      <c r="F371" s="51"/>
      <c r="G371" s="60">
        <v>77.55</v>
      </c>
      <c r="H371" s="60">
        <v>4.3</v>
      </c>
      <c r="I371" s="60">
        <v>17.88</v>
      </c>
      <c r="J371" s="60">
        <v>0.22</v>
      </c>
      <c r="K371" s="60">
        <v>0.05</v>
      </c>
      <c r="L371" s="61">
        <f t="shared" si="74"/>
        <v>0</v>
      </c>
      <c r="M371" s="60">
        <v>91.1</v>
      </c>
      <c r="N371" s="60">
        <v>6.2</v>
      </c>
      <c r="O371" s="60">
        <v>2.7</v>
      </c>
      <c r="P371" s="18">
        <v>0.25</v>
      </c>
      <c r="Q371" s="18">
        <v>975</v>
      </c>
      <c r="R371" s="18" t="s">
        <v>51</v>
      </c>
      <c r="S371" s="56">
        <v>0</v>
      </c>
      <c r="T371" s="18">
        <v>15.38</v>
      </c>
      <c r="U371" s="21">
        <v>11.55</v>
      </c>
      <c r="V371" s="21">
        <v>16.579999999999998</v>
      </c>
      <c r="W371" s="18">
        <v>14.22</v>
      </c>
      <c r="X371" s="18">
        <v>0.51</v>
      </c>
      <c r="Y371" s="49">
        <f t="shared" si="273"/>
        <v>57.14</v>
      </c>
      <c r="Z371" s="18">
        <f t="shared" si="76"/>
        <v>0.37735849056603776</v>
      </c>
      <c r="AA371" s="18">
        <v>47.95</v>
      </c>
      <c r="AB371" s="18">
        <v>62.99</v>
      </c>
      <c r="AC371" s="21">
        <f t="shared" si="77"/>
        <v>3910</v>
      </c>
      <c r="AD371" s="18" t="s">
        <v>51</v>
      </c>
      <c r="AF371" s="1"/>
      <c r="AG371" s="29">
        <v>2.65</v>
      </c>
      <c r="AH371" s="29">
        <v>3.91</v>
      </c>
      <c r="AO371" s="30">
        <f t="shared" ref="AO371:AS371" si="352">U371</f>
        <v>11.55</v>
      </c>
      <c r="AP371" s="30">
        <f t="shared" si="352"/>
        <v>16.579999999999998</v>
      </c>
      <c r="AQ371" s="30">
        <f t="shared" si="352"/>
        <v>14.22</v>
      </c>
      <c r="AR371" s="30">
        <f t="shared" si="352"/>
        <v>0.51</v>
      </c>
      <c r="AS371" s="30">
        <f t="shared" si="352"/>
        <v>57.14</v>
      </c>
      <c r="AT371" s="31">
        <f t="shared" si="242"/>
        <v>100</v>
      </c>
      <c r="AV371" s="21">
        <f t="shared" si="86"/>
        <v>3910</v>
      </c>
    </row>
    <row r="372" spans="2:48" ht="15.75" customHeight="1" x14ac:dyDescent="0.25">
      <c r="B372" s="32"/>
      <c r="C372" s="18" t="s">
        <v>46</v>
      </c>
      <c r="D372" s="51"/>
      <c r="E372" s="18" t="s">
        <v>48</v>
      </c>
      <c r="F372" s="51"/>
      <c r="G372" s="60">
        <v>77.55</v>
      </c>
      <c r="H372" s="60">
        <v>4.3</v>
      </c>
      <c r="I372" s="60">
        <v>17.88</v>
      </c>
      <c r="J372" s="60">
        <v>0.22</v>
      </c>
      <c r="K372" s="60">
        <v>0.05</v>
      </c>
      <c r="L372" s="61">
        <f t="shared" si="74"/>
        <v>0</v>
      </c>
      <c r="M372" s="60">
        <v>91.1</v>
      </c>
      <c r="N372" s="60">
        <v>6.2</v>
      </c>
      <c r="O372" s="60">
        <v>2.7</v>
      </c>
      <c r="P372" s="18">
        <v>0.25</v>
      </c>
      <c r="Q372" s="18">
        <v>975</v>
      </c>
      <c r="R372" s="18" t="s">
        <v>51</v>
      </c>
      <c r="S372" s="56">
        <v>0</v>
      </c>
      <c r="T372" s="18">
        <v>15.38</v>
      </c>
      <c r="U372" s="21">
        <v>11.64</v>
      </c>
      <c r="V372" s="21">
        <v>17.190000000000001</v>
      </c>
      <c r="W372" s="18">
        <v>13.41</v>
      </c>
      <c r="X372" s="18">
        <v>0.62</v>
      </c>
      <c r="Y372" s="49">
        <f t="shared" si="273"/>
        <v>57.14</v>
      </c>
      <c r="Z372" s="18">
        <f t="shared" si="76"/>
        <v>0.38461538461538458</v>
      </c>
      <c r="AA372" s="18">
        <v>48.53</v>
      </c>
      <c r="AB372" s="18">
        <v>61.42</v>
      </c>
      <c r="AC372" s="21">
        <f t="shared" si="77"/>
        <v>4040</v>
      </c>
      <c r="AD372" s="18" t="s">
        <v>51</v>
      </c>
      <c r="AF372" s="1"/>
      <c r="AG372" s="29">
        <v>2.6</v>
      </c>
      <c r="AH372" s="29">
        <v>4.04</v>
      </c>
      <c r="AO372" s="30">
        <f t="shared" ref="AO372:AS372" si="353">U372</f>
        <v>11.64</v>
      </c>
      <c r="AP372" s="30">
        <f t="shared" si="353"/>
        <v>17.190000000000001</v>
      </c>
      <c r="AQ372" s="30">
        <f t="shared" si="353"/>
        <v>13.41</v>
      </c>
      <c r="AR372" s="30">
        <f t="shared" si="353"/>
        <v>0.62</v>
      </c>
      <c r="AS372" s="30">
        <f t="shared" si="353"/>
        <v>57.14</v>
      </c>
      <c r="AT372" s="31">
        <f t="shared" si="242"/>
        <v>100</v>
      </c>
      <c r="AV372" s="21">
        <f t="shared" si="86"/>
        <v>4040</v>
      </c>
    </row>
    <row r="373" spans="2:48" ht="15.75" customHeight="1" x14ac:dyDescent="0.25">
      <c r="B373" s="32"/>
      <c r="C373" s="18" t="s">
        <v>46</v>
      </c>
      <c r="D373" s="51"/>
      <c r="E373" s="18" t="s">
        <v>48</v>
      </c>
      <c r="F373" s="51"/>
      <c r="G373" s="60">
        <v>77.55</v>
      </c>
      <c r="H373" s="60">
        <v>4.3</v>
      </c>
      <c r="I373" s="60">
        <v>17.88</v>
      </c>
      <c r="J373" s="60">
        <v>0.22</v>
      </c>
      <c r="K373" s="60">
        <v>0.05</v>
      </c>
      <c r="L373" s="61">
        <f t="shared" si="74"/>
        <v>0</v>
      </c>
      <c r="M373" s="60">
        <v>91.1</v>
      </c>
      <c r="N373" s="60">
        <v>6.2</v>
      </c>
      <c r="O373" s="60">
        <v>2.7</v>
      </c>
      <c r="P373" s="18">
        <v>0.25</v>
      </c>
      <c r="Q373" s="18">
        <v>975</v>
      </c>
      <c r="R373" s="18" t="s">
        <v>51</v>
      </c>
      <c r="S373" s="56">
        <v>0</v>
      </c>
      <c r="T373" s="18">
        <v>15.38</v>
      </c>
      <c r="U373" s="21">
        <v>11.62</v>
      </c>
      <c r="V373" s="21">
        <v>19.760000000000002</v>
      </c>
      <c r="W373" s="18">
        <v>12.39</v>
      </c>
      <c r="X373" s="18">
        <v>0.93</v>
      </c>
      <c r="Y373" s="49">
        <f t="shared" si="273"/>
        <v>55.3</v>
      </c>
      <c r="Z373" s="18">
        <f t="shared" si="76"/>
        <v>0.38610038610038611</v>
      </c>
      <c r="AA373" s="18">
        <v>54.05</v>
      </c>
      <c r="AB373" s="18">
        <v>65.05</v>
      </c>
      <c r="AC373" s="21">
        <f t="shared" si="77"/>
        <v>4510</v>
      </c>
      <c r="AD373" s="18" t="s">
        <v>51</v>
      </c>
      <c r="AF373" s="1"/>
      <c r="AG373" s="29">
        <v>2.59</v>
      </c>
      <c r="AH373" s="29">
        <v>4.51</v>
      </c>
      <c r="AO373" s="30">
        <f t="shared" ref="AO373:AS373" si="354">U373</f>
        <v>11.62</v>
      </c>
      <c r="AP373" s="30">
        <f t="shared" si="354"/>
        <v>19.760000000000002</v>
      </c>
      <c r="AQ373" s="30">
        <f t="shared" si="354"/>
        <v>12.39</v>
      </c>
      <c r="AR373" s="30">
        <f t="shared" si="354"/>
        <v>0.93</v>
      </c>
      <c r="AS373" s="30">
        <f t="shared" si="354"/>
        <v>55.3</v>
      </c>
      <c r="AT373" s="31">
        <f t="shared" si="242"/>
        <v>100</v>
      </c>
      <c r="AV373" s="21">
        <f t="shared" si="86"/>
        <v>4510</v>
      </c>
    </row>
    <row r="374" spans="2:48" ht="15.75" customHeight="1" x14ac:dyDescent="0.25">
      <c r="B374" s="32"/>
      <c r="C374" s="18" t="s">
        <v>46</v>
      </c>
      <c r="D374" s="51"/>
      <c r="E374" s="18" t="s">
        <v>48</v>
      </c>
      <c r="F374" s="51"/>
      <c r="G374" s="60">
        <v>77.55</v>
      </c>
      <c r="H374" s="60">
        <v>4.3</v>
      </c>
      <c r="I374" s="60">
        <v>17.88</v>
      </c>
      <c r="J374" s="60">
        <v>0.22</v>
      </c>
      <c r="K374" s="60">
        <v>0.05</v>
      </c>
      <c r="L374" s="61">
        <f t="shared" si="74"/>
        <v>0</v>
      </c>
      <c r="M374" s="60">
        <v>91.1</v>
      </c>
      <c r="N374" s="60">
        <v>6.2</v>
      </c>
      <c r="O374" s="60">
        <v>2.7</v>
      </c>
      <c r="P374" s="18">
        <v>0.25</v>
      </c>
      <c r="Q374" s="18">
        <v>975</v>
      </c>
      <c r="R374" s="18" t="s">
        <v>51</v>
      </c>
      <c r="S374" s="56">
        <v>0</v>
      </c>
      <c r="T374" s="18">
        <v>15.38</v>
      </c>
      <c r="U374" s="21">
        <v>11.9</v>
      </c>
      <c r="V374" s="21">
        <v>16</v>
      </c>
      <c r="W374" s="18">
        <v>14.41</v>
      </c>
      <c r="X374" s="18">
        <v>0.84</v>
      </c>
      <c r="Y374" s="49">
        <f t="shared" si="273"/>
        <v>56.849999999999994</v>
      </c>
      <c r="Z374" s="18">
        <f t="shared" si="76"/>
        <v>0.38314176245210729</v>
      </c>
      <c r="AA374" s="18">
        <v>48.36</v>
      </c>
      <c r="AB374" s="18">
        <v>61.74</v>
      </c>
      <c r="AC374" s="21">
        <f t="shared" si="77"/>
        <v>4010</v>
      </c>
      <c r="AD374" s="18" t="s">
        <v>51</v>
      </c>
      <c r="AF374" s="1"/>
      <c r="AG374" s="29">
        <v>2.61</v>
      </c>
      <c r="AH374" s="29">
        <v>4.01</v>
      </c>
      <c r="AO374" s="30">
        <f t="shared" ref="AO374:AS374" si="355">U374</f>
        <v>11.9</v>
      </c>
      <c r="AP374" s="30">
        <f t="shared" si="355"/>
        <v>16</v>
      </c>
      <c r="AQ374" s="30">
        <f t="shared" si="355"/>
        <v>14.41</v>
      </c>
      <c r="AR374" s="30">
        <f t="shared" si="355"/>
        <v>0.84</v>
      </c>
      <c r="AS374" s="30">
        <f t="shared" si="355"/>
        <v>56.849999999999994</v>
      </c>
      <c r="AT374" s="31">
        <f t="shared" si="242"/>
        <v>100</v>
      </c>
      <c r="AV374" s="21">
        <f t="shared" si="86"/>
        <v>4010</v>
      </c>
    </row>
    <row r="375" spans="2:48" ht="15.75" customHeight="1" x14ac:dyDescent="0.25">
      <c r="B375" s="32"/>
      <c r="C375" s="18" t="s">
        <v>46</v>
      </c>
      <c r="D375" s="51"/>
      <c r="E375" s="18" t="s">
        <v>48</v>
      </c>
      <c r="F375" s="51"/>
      <c r="G375" s="60">
        <v>77.55</v>
      </c>
      <c r="H375" s="60">
        <v>4.3</v>
      </c>
      <c r="I375" s="60">
        <v>17.88</v>
      </c>
      <c r="J375" s="60">
        <v>0.22</v>
      </c>
      <c r="K375" s="60">
        <v>0.05</v>
      </c>
      <c r="L375" s="61">
        <f t="shared" si="74"/>
        <v>0</v>
      </c>
      <c r="M375" s="60">
        <v>91.1</v>
      </c>
      <c r="N375" s="60">
        <v>6.2</v>
      </c>
      <c r="O375" s="60">
        <v>2.7</v>
      </c>
      <c r="P375" s="18">
        <v>0.25</v>
      </c>
      <c r="Q375" s="18">
        <v>975</v>
      </c>
      <c r="R375" s="18" t="s">
        <v>51</v>
      </c>
      <c r="S375" s="56">
        <v>0</v>
      </c>
      <c r="T375" s="18">
        <v>15.38</v>
      </c>
      <c r="U375" s="21">
        <v>12.27</v>
      </c>
      <c r="V375" s="21">
        <v>17.68</v>
      </c>
      <c r="W375" s="18">
        <v>13.14</v>
      </c>
      <c r="X375" s="18">
        <v>0.75</v>
      </c>
      <c r="Y375" s="49">
        <f t="shared" si="273"/>
        <v>56.16</v>
      </c>
      <c r="Z375" s="18">
        <f t="shared" si="76"/>
        <v>0.38461538461538458</v>
      </c>
      <c r="AA375" s="18">
        <v>51.11</v>
      </c>
      <c r="AB375" s="18">
        <v>62.31</v>
      </c>
      <c r="AC375" s="21">
        <f t="shared" si="77"/>
        <v>4240</v>
      </c>
      <c r="AD375" s="18" t="s">
        <v>51</v>
      </c>
      <c r="AF375" s="1"/>
      <c r="AG375" s="29">
        <v>2.6</v>
      </c>
      <c r="AH375" s="29">
        <v>4.24</v>
      </c>
      <c r="AO375" s="30">
        <f t="shared" ref="AO375:AS375" si="356">U375</f>
        <v>12.27</v>
      </c>
      <c r="AP375" s="30">
        <f t="shared" si="356"/>
        <v>17.68</v>
      </c>
      <c r="AQ375" s="30">
        <f t="shared" si="356"/>
        <v>13.14</v>
      </c>
      <c r="AR375" s="30">
        <f t="shared" si="356"/>
        <v>0.75</v>
      </c>
      <c r="AS375" s="30">
        <f t="shared" si="356"/>
        <v>56.16</v>
      </c>
      <c r="AT375" s="31">
        <f t="shared" si="242"/>
        <v>100</v>
      </c>
      <c r="AV375" s="21">
        <f t="shared" si="86"/>
        <v>4240</v>
      </c>
    </row>
    <row r="376" spans="2:48" ht="15.75" customHeight="1" x14ac:dyDescent="0.25">
      <c r="B376" s="32"/>
      <c r="C376" s="18" t="s">
        <v>46</v>
      </c>
      <c r="D376" s="51"/>
      <c r="E376" s="18" t="s">
        <v>48</v>
      </c>
      <c r="F376" s="51"/>
      <c r="G376" s="60">
        <v>77.55</v>
      </c>
      <c r="H376" s="60">
        <v>4.3</v>
      </c>
      <c r="I376" s="60">
        <v>17.88</v>
      </c>
      <c r="J376" s="60">
        <v>0.22</v>
      </c>
      <c r="K376" s="60">
        <v>0.05</v>
      </c>
      <c r="L376" s="61">
        <f t="shared" si="74"/>
        <v>0</v>
      </c>
      <c r="M376" s="60">
        <v>91.1</v>
      </c>
      <c r="N376" s="60">
        <v>6.2</v>
      </c>
      <c r="O376" s="60">
        <v>2.7</v>
      </c>
      <c r="P376" s="18">
        <v>0.25</v>
      </c>
      <c r="Q376" s="18">
        <v>975</v>
      </c>
      <c r="R376" s="18" t="s">
        <v>51</v>
      </c>
      <c r="S376" s="56">
        <v>0</v>
      </c>
      <c r="T376" s="18">
        <v>15.38</v>
      </c>
      <c r="U376" s="21">
        <v>11.29</v>
      </c>
      <c r="V376" s="21">
        <v>18.420000000000002</v>
      </c>
      <c r="W376" s="18">
        <v>12.87</v>
      </c>
      <c r="X376" s="18">
        <v>0.85</v>
      </c>
      <c r="Y376" s="49">
        <f t="shared" si="273"/>
        <v>56.57</v>
      </c>
      <c r="Z376" s="18">
        <f t="shared" si="76"/>
        <v>0.37313432835820892</v>
      </c>
      <c r="AA376" s="18">
        <v>52.72</v>
      </c>
      <c r="AB376" s="18">
        <v>65.3</v>
      </c>
      <c r="AC376" s="21">
        <f t="shared" si="77"/>
        <v>4250</v>
      </c>
      <c r="AD376" s="18" t="s">
        <v>51</v>
      </c>
      <c r="AF376" s="1"/>
      <c r="AG376" s="29">
        <v>2.68</v>
      </c>
      <c r="AH376" s="29">
        <v>4.25</v>
      </c>
      <c r="AO376" s="30">
        <f t="shared" ref="AO376:AS376" si="357">U376</f>
        <v>11.29</v>
      </c>
      <c r="AP376" s="30">
        <f t="shared" si="357"/>
        <v>18.420000000000002</v>
      </c>
      <c r="AQ376" s="30">
        <f t="shared" si="357"/>
        <v>12.87</v>
      </c>
      <c r="AR376" s="30">
        <f t="shared" si="357"/>
        <v>0.85</v>
      </c>
      <c r="AS376" s="30">
        <f t="shared" si="357"/>
        <v>56.57</v>
      </c>
      <c r="AT376" s="31">
        <f t="shared" si="242"/>
        <v>100</v>
      </c>
      <c r="AV376" s="21">
        <f t="shared" si="86"/>
        <v>4250</v>
      </c>
    </row>
    <row r="377" spans="2:48" ht="15.75" customHeight="1" x14ac:dyDescent="0.25">
      <c r="B377" s="32"/>
      <c r="C377" s="18" t="s">
        <v>46</v>
      </c>
      <c r="D377" s="51"/>
      <c r="E377" s="18" t="s">
        <v>48</v>
      </c>
      <c r="F377" s="51"/>
      <c r="G377" s="60">
        <v>77.55</v>
      </c>
      <c r="H377" s="60">
        <v>4.3</v>
      </c>
      <c r="I377" s="60">
        <v>17.88</v>
      </c>
      <c r="J377" s="60">
        <v>0.22</v>
      </c>
      <c r="K377" s="60">
        <v>0.05</v>
      </c>
      <c r="L377" s="61">
        <f t="shared" si="74"/>
        <v>0</v>
      </c>
      <c r="M377" s="60">
        <v>91.1</v>
      </c>
      <c r="N377" s="60">
        <v>6.2</v>
      </c>
      <c r="O377" s="60">
        <v>2.7</v>
      </c>
      <c r="P377" s="18">
        <v>0.25</v>
      </c>
      <c r="Q377" s="18">
        <v>975</v>
      </c>
      <c r="R377" s="18" t="s">
        <v>51</v>
      </c>
      <c r="S377" s="56">
        <v>0</v>
      </c>
      <c r="T377" s="18">
        <v>15.38</v>
      </c>
      <c r="U377" s="21">
        <v>10.75</v>
      </c>
      <c r="V377" s="21">
        <v>15.5</v>
      </c>
      <c r="W377" s="18">
        <v>14.19</v>
      </c>
      <c r="X377" s="18">
        <v>0.9</v>
      </c>
      <c r="Y377" s="49">
        <f t="shared" si="273"/>
        <v>58.660000000000004</v>
      </c>
      <c r="Z377" s="18">
        <f t="shared" si="76"/>
        <v>0.3968253968253968</v>
      </c>
      <c r="AA377" s="18">
        <v>44.6</v>
      </c>
      <c r="AB377" s="18">
        <v>58.54</v>
      </c>
      <c r="AC377" s="21">
        <f t="shared" si="77"/>
        <v>3820</v>
      </c>
      <c r="AD377" s="18" t="s">
        <v>51</v>
      </c>
      <c r="AF377" s="1"/>
      <c r="AG377" s="29">
        <v>2.52</v>
      </c>
      <c r="AH377" s="29">
        <v>3.82</v>
      </c>
      <c r="AO377" s="30">
        <f t="shared" ref="AO377:AS377" si="358">U377</f>
        <v>10.75</v>
      </c>
      <c r="AP377" s="30">
        <f t="shared" si="358"/>
        <v>15.5</v>
      </c>
      <c r="AQ377" s="30">
        <f t="shared" si="358"/>
        <v>14.19</v>
      </c>
      <c r="AR377" s="30">
        <f t="shared" si="358"/>
        <v>0.9</v>
      </c>
      <c r="AS377" s="30">
        <f t="shared" si="358"/>
        <v>58.660000000000004</v>
      </c>
      <c r="AT377" s="31">
        <f t="shared" si="242"/>
        <v>100</v>
      </c>
      <c r="AV377" s="21">
        <f t="shared" si="86"/>
        <v>3820</v>
      </c>
    </row>
    <row r="378" spans="2:48" ht="15.75" customHeight="1" x14ac:dyDescent="0.25">
      <c r="B378" s="32"/>
      <c r="C378" s="18" t="s">
        <v>46</v>
      </c>
      <c r="D378" s="51"/>
      <c r="E378" s="18" t="s">
        <v>48</v>
      </c>
      <c r="F378" s="51"/>
      <c r="G378" s="60">
        <v>77.55</v>
      </c>
      <c r="H378" s="60">
        <v>4.3</v>
      </c>
      <c r="I378" s="60">
        <v>17.88</v>
      </c>
      <c r="J378" s="60">
        <v>0.22</v>
      </c>
      <c r="K378" s="60">
        <v>0.05</v>
      </c>
      <c r="L378" s="61">
        <f t="shared" si="74"/>
        <v>0</v>
      </c>
      <c r="M378" s="60">
        <v>91.1</v>
      </c>
      <c r="N378" s="60">
        <v>6.2</v>
      </c>
      <c r="O378" s="60">
        <v>2.7</v>
      </c>
      <c r="P378" s="18">
        <v>0.25</v>
      </c>
      <c r="Q378" s="18">
        <v>975</v>
      </c>
      <c r="R378" s="18" t="s">
        <v>51</v>
      </c>
      <c r="S378" s="56">
        <v>0</v>
      </c>
      <c r="T378" s="18">
        <v>15.38</v>
      </c>
      <c r="U378" s="21">
        <v>10.9</v>
      </c>
      <c r="V378" s="21">
        <v>15.32</v>
      </c>
      <c r="W378" s="18">
        <v>14.05</v>
      </c>
      <c r="X378" s="18">
        <v>0.88</v>
      </c>
      <c r="Y378" s="49">
        <f t="shared" si="273"/>
        <v>58.85</v>
      </c>
      <c r="Z378" s="18">
        <f t="shared" si="76"/>
        <v>0.40322580645161293</v>
      </c>
      <c r="AA378" s="18">
        <v>43.58</v>
      </c>
      <c r="AB378" s="18">
        <v>56.75</v>
      </c>
      <c r="AC378" s="21">
        <f t="shared" si="77"/>
        <v>3810</v>
      </c>
      <c r="AD378" s="18" t="s">
        <v>51</v>
      </c>
      <c r="AF378" s="1"/>
      <c r="AG378" s="29">
        <v>2.48</v>
      </c>
      <c r="AH378" s="29">
        <v>3.81</v>
      </c>
      <c r="AO378" s="30">
        <f t="shared" ref="AO378:AS378" si="359">U378</f>
        <v>10.9</v>
      </c>
      <c r="AP378" s="30">
        <f t="shared" si="359"/>
        <v>15.32</v>
      </c>
      <c r="AQ378" s="30">
        <f t="shared" si="359"/>
        <v>14.05</v>
      </c>
      <c r="AR378" s="30">
        <f t="shared" si="359"/>
        <v>0.88</v>
      </c>
      <c r="AS378" s="30">
        <f t="shared" si="359"/>
        <v>58.85</v>
      </c>
      <c r="AT378" s="31">
        <f t="shared" si="242"/>
        <v>100</v>
      </c>
      <c r="AV378" s="21">
        <f t="shared" si="86"/>
        <v>3810</v>
      </c>
    </row>
    <row r="379" spans="2:48" ht="15.75" customHeight="1" x14ac:dyDescent="0.25">
      <c r="B379" s="32"/>
      <c r="C379" s="18" t="s">
        <v>46</v>
      </c>
      <c r="D379" s="51"/>
      <c r="E379" s="18" t="s">
        <v>48</v>
      </c>
      <c r="F379" s="51"/>
      <c r="G379" s="62">
        <v>79.34</v>
      </c>
      <c r="H379" s="62">
        <v>5.72</v>
      </c>
      <c r="I379" s="62">
        <v>48.9</v>
      </c>
      <c r="J379" s="62">
        <v>1.2</v>
      </c>
      <c r="K379" s="62">
        <v>0.66</v>
      </c>
      <c r="L379" s="63">
        <f t="shared" si="74"/>
        <v>70.7</v>
      </c>
      <c r="M379" s="62">
        <v>15</v>
      </c>
      <c r="N379" s="62">
        <v>9.8000000000000007</v>
      </c>
      <c r="O379" s="62">
        <v>4.5</v>
      </c>
      <c r="P379" s="18">
        <v>0.2</v>
      </c>
      <c r="Q379" s="18">
        <v>849</v>
      </c>
      <c r="R379" s="18" t="s">
        <v>51</v>
      </c>
      <c r="S379" s="56">
        <v>0</v>
      </c>
      <c r="T379" s="18">
        <v>14</v>
      </c>
      <c r="U379" s="21">
        <v>6</v>
      </c>
      <c r="V379" s="21">
        <v>10</v>
      </c>
      <c r="W379" s="18">
        <v>10</v>
      </c>
      <c r="X379" s="18">
        <v>4</v>
      </c>
      <c r="Y379" s="49">
        <f t="shared" si="273"/>
        <v>70</v>
      </c>
      <c r="Z379" s="18">
        <f t="shared" si="76"/>
        <v>0.56818181818181823</v>
      </c>
      <c r="AA379" s="18">
        <v>40</v>
      </c>
      <c r="AB379" s="18">
        <v>71</v>
      </c>
      <c r="AC379" s="21">
        <f t="shared" si="77"/>
        <v>4530</v>
      </c>
      <c r="AD379" s="18" t="s">
        <v>51</v>
      </c>
      <c r="AF379" s="1"/>
      <c r="AG379" s="29">
        <v>1.76</v>
      </c>
      <c r="AH379" s="29">
        <v>4.53</v>
      </c>
      <c r="AO379" s="30">
        <f t="shared" ref="AO379:AS379" si="360">U379</f>
        <v>6</v>
      </c>
      <c r="AP379" s="30">
        <f t="shared" si="360"/>
        <v>10</v>
      </c>
      <c r="AQ379" s="30">
        <f t="shared" si="360"/>
        <v>10</v>
      </c>
      <c r="AR379" s="30">
        <f t="shared" si="360"/>
        <v>4</v>
      </c>
      <c r="AS379" s="30">
        <f t="shared" si="360"/>
        <v>70</v>
      </c>
      <c r="AT379" s="31">
        <f t="shared" si="242"/>
        <v>100</v>
      </c>
      <c r="AV379" s="21">
        <f t="shared" si="86"/>
        <v>4530</v>
      </c>
    </row>
    <row r="380" spans="2:48" ht="15.75" customHeight="1" x14ac:dyDescent="0.25">
      <c r="B380" s="32"/>
      <c r="C380" s="18" t="s">
        <v>46</v>
      </c>
      <c r="D380" s="51"/>
      <c r="E380" s="18" t="s">
        <v>48</v>
      </c>
      <c r="F380" s="51"/>
      <c r="G380" s="23">
        <f t="shared" ref="G380:G388" si="361">37.6*100/(100-O380)</f>
        <v>47</v>
      </c>
      <c r="H380" s="23">
        <f t="shared" ref="H380:H388" si="362">5.43*100/(100-O380)</f>
        <v>6.7874999999999996</v>
      </c>
      <c r="I380" s="23">
        <f t="shared" ref="I380:I388" si="363">36.56*100/(100-O380)</f>
        <v>45.7</v>
      </c>
      <c r="J380" s="23">
        <f t="shared" ref="J380:J388" si="364">0.38*100/(100-O380)</f>
        <v>0.47499999999999998</v>
      </c>
      <c r="K380" s="23">
        <f t="shared" ref="K380:K388" si="365">0.03*100/(100-O380)</f>
        <v>3.7499999999999999E-2</v>
      </c>
      <c r="L380" s="22">
        <f t="shared" si="74"/>
        <v>13.599999999999994</v>
      </c>
      <c r="M380" s="18">
        <v>66.400000000000006</v>
      </c>
      <c r="N380" s="59">
        <v>0</v>
      </c>
      <c r="O380" s="18">
        <v>20</v>
      </c>
      <c r="P380" s="18">
        <v>0.25</v>
      </c>
      <c r="Q380" s="18">
        <v>665</v>
      </c>
      <c r="R380" s="18" t="s">
        <v>51</v>
      </c>
      <c r="S380" s="56">
        <v>0</v>
      </c>
      <c r="T380" s="18">
        <v>13.55</v>
      </c>
      <c r="U380" s="21">
        <v>4</v>
      </c>
      <c r="V380" s="21">
        <v>19.2</v>
      </c>
      <c r="W380" s="18">
        <v>14.45</v>
      </c>
      <c r="X380" s="18">
        <v>2.9</v>
      </c>
      <c r="Y380" s="49">
        <f t="shared" si="273"/>
        <v>59.45</v>
      </c>
      <c r="Z380" s="18">
        <f t="shared" si="76"/>
        <v>0.66666666666666663</v>
      </c>
      <c r="AA380" s="18">
        <v>55.68</v>
      </c>
      <c r="AB380" s="18">
        <v>76</v>
      </c>
      <c r="AC380" s="21">
        <f t="shared" si="77"/>
        <v>5030</v>
      </c>
      <c r="AD380" s="18" t="s">
        <v>51</v>
      </c>
      <c r="AF380" s="1"/>
      <c r="AG380" s="29">
        <v>1.5</v>
      </c>
      <c r="AH380" s="29">
        <v>5.03</v>
      </c>
      <c r="AO380" s="30">
        <f t="shared" ref="AO380:AS380" si="366">U380</f>
        <v>4</v>
      </c>
      <c r="AP380" s="30">
        <f t="shared" si="366"/>
        <v>19.2</v>
      </c>
      <c r="AQ380" s="30">
        <f t="shared" si="366"/>
        <v>14.45</v>
      </c>
      <c r="AR380" s="30">
        <f t="shared" si="366"/>
        <v>2.9</v>
      </c>
      <c r="AS380" s="30">
        <f t="shared" si="366"/>
        <v>59.45</v>
      </c>
      <c r="AT380" s="31">
        <f t="shared" si="242"/>
        <v>100</v>
      </c>
      <c r="AV380" s="21">
        <f t="shared" si="86"/>
        <v>5030</v>
      </c>
    </row>
    <row r="381" spans="2:48" ht="15.75" customHeight="1" x14ac:dyDescent="0.25">
      <c r="B381" s="32"/>
      <c r="C381" s="18" t="s">
        <v>46</v>
      </c>
      <c r="D381" s="51"/>
      <c r="E381" s="18" t="s">
        <v>48</v>
      </c>
      <c r="F381" s="51"/>
      <c r="G381" s="23">
        <f t="shared" si="361"/>
        <v>47</v>
      </c>
      <c r="H381" s="23">
        <f t="shared" si="362"/>
        <v>6.7874999999999996</v>
      </c>
      <c r="I381" s="23">
        <f t="shared" si="363"/>
        <v>45.7</v>
      </c>
      <c r="J381" s="23">
        <f t="shared" si="364"/>
        <v>0.47499999999999998</v>
      </c>
      <c r="K381" s="23">
        <f t="shared" si="365"/>
        <v>3.7499999999999999E-2</v>
      </c>
      <c r="L381" s="22">
        <f t="shared" si="74"/>
        <v>13.599999999999994</v>
      </c>
      <c r="M381" s="18">
        <v>66.400000000000006</v>
      </c>
      <c r="N381" s="59">
        <v>0</v>
      </c>
      <c r="O381" s="18">
        <v>20</v>
      </c>
      <c r="P381" s="18">
        <v>0.3</v>
      </c>
      <c r="Q381" s="18">
        <v>744</v>
      </c>
      <c r="R381" s="18" t="s">
        <v>51</v>
      </c>
      <c r="S381" s="56">
        <v>0</v>
      </c>
      <c r="T381" s="18">
        <v>13.55</v>
      </c>
      <c r="U381" s="21">
        <v>3.78</v>
      </c>
      <c r="V381" s="21">
        <v>14.45</v>
      </c>
      <c r="W381" s="18">
        <v>16.25</v>
      </c>
      <c r="X381" s="18">
        <v>2.37</v>
      </c>
      <c r="Y381" s="49">
        <f t="shared" si="273"/>
        <v>63.15</v>
      </c>
      <c r="Z381" s="18">
        <f t="shared" si="76"/>
        <v>0.5780346820809249</v>
      </c>
      <c r="AA381" s="18">
        <v>48.9</v>
      </c>
      <c r="AB381" s="18">
        <v>78.3</v>
      </c>
      <c r="AC381" s="21">
        <f t="shared" si="77"/>
        <v>3830</v>
      </c>
      <c r="AD381" s="18" t="s">
        <v>51</v>
      </c>
      <c r="AF381" s="1"/>
      <c r="AG381" s="29">
        <v>1.73</v>
      </c>
      <c r="AH381" s="29">
        <v>3.83</v>
      </c>
      <c r="AO381" s="30">
        <f t="shared" ref="AO381:AS381" si="367">U381</f>
        <v>3.78</v>
      </c>
      <c r="AP381" s="30">
        <f t="shared" si="367"/>
        <v>14.45</v>
      </c>
      <c r="AQ381" s="30">
        <f t="shared" si="367"/>
        <v>16.25</v>
      </c>
      <c r="AR381" s="30">
        <f t="shared" si="367"/>
        <v>2.37</v>
      </c>
      <c r="AS381" s="30">
        <f t="shared" si="367"/>
        <v>63.15</v>
      </c>
      <c r="AT381" s="31">
        <f t="shared" si="242"/>
        <v>100</v>
      </c>
      <c r="AV381" s="21">
        <f t="shared" si="86"/>
        <v>3830</v>
      </c>
    </row>
    <row r="382" spans="2:48" ht="15.75" customHeight="1" x14ac:dyDescent="0.25">
      <c r="B382" s="32"/>
      <c r="C382" s="18" t="s">
        <v>46</v>
      </c>
      <c r="D382" s="51"/>
      <c r="E382" s="18" t="s">
        <v>48</v>
      </c>
      <c r="F382" s="51"/>
      <c r="G382" s="23">
        <f t="shared" si="361"/>
        <v>47</v>
      </c>
      <c r="H382" s="23">
        <f t="shared" si="362"/>
        <v>6.7874999999999996</v>
      </c>
      <c r="I382" s="23">
        <f t="shared" si="363"/>
        <v>45.7</v>
      </c>
      <c r="J382" s="23">
        <f t="shared" si="364"/>
        <v>0.47499999999999998</v>
      </c>
      <c r="K382" s="23">
        <f t="shared" si="365"/>
        <v>3.7499999999999999E-2</v>
      </c>
      <c r="L382" s="22">
        <f t="shared" si="74"/>
        <v>13.599999999999994</v>
      </c>
      <c r="M382" s="18">
        <v>66.400000000000006</v>
      </c>
      <c r="N382" s="59">
        <v>0</v>
      </c>
      <c r="O382" s="18">
        <v>20</v>
      </c>
      <c r="P382" s="18">
        <v>0.35</v>
      </c>
      <c r="Q382" s="18">
        <v>811</v>
      </c>
      <c r="R382" s="18" t="s">
        <v>51</v>
      </c>
      <c r="S382" s="56">
        <v>0</v>
      </c>
      <c r="T382" s="18">
        <v>13.55</v>
      </c>
      <c r="U382" s="21">
        <v>3.39</v>
      </c>
      <c r="V382" s="21">
        <v>12.75</v>
      </c>
      <c r="W382" s="18">
        <v>17.14</v>
      </c>
      <c r="X382" s="18">
        <v>1.98</v>
      </c>
      <c r="Y382" s="49">
        <f t="shared" si="273"/>
        <v>64.740000000000009</v>
      </c>
      <c r="Z382" s="18">
        <f t="shared" si="76"/>
        <v>0.50505050505050508</v>
      </c>
      <c r="AA382" s="18">
        <v>47.93</v>
      </c>
      <c r="AB382" s="18">
        <v>81</v>
      </c>
      <c r="AC382" s="21">
        <f t="shared" si="77"/>
        <v>3280</v>
      </c>
      <c r="AD382" s="18" t="s">
        <v>51</v>
      </c>
      <c r="AF382" s="1"/>
      <c r="AG382" s="29">
        <v>1.98</v>
      </c>
      <c r="AH382" s="29">
        <v>3.28</v>
      </c>
      <c r="AO382" s="30">
        <f t="shared" ref="AO382:AS382" si="368">U382</f>
        <v>3.39</v>
      </c>
      <c r="AP382" s="30">
        <f t="shared" si="368"/>
        <v>12.75</v>
      </c>
      <c r="AQ382" s="30">
        <f t="shared" si="368"/>
        <v>17.14</v>
      </c>
      <c r="AR382" s="30">
        <f t="shared" si="368"/>
        <v>1.98</v>
      </c>
      <c r="AS382" s="30">
        <f t="shared" si="368"/>
        <v>64.740000000000009</v>
      </c>
      <c r="AT382" s="31">
        <f t="shared" si="242"/>
        <v>100</v>
      </c>
      <c r="AV382" s="21">
        <f t="shared" si="86"/>
        <v>3280</v>
      </c>
    </row>
    <row r="383" spans="2:48" ht="15.75" customHeight="1" x14ac:dyDescent="0.25">
      <c r="B383" s="32"/>
      <c r="C383" s="18" t="s">
        <v>46</v>
      </c>
      <c r="D383" s="51"/>
      <c r="E383" s="18" t="s">
        <v>48</v>
      </c>
      <c r="F383" s="51"/>
      <c r="G383" s="23">
        <f t="shared" si="361"/>
        <v>47</v>
      </c>
      <c r="H383" s="23">
        <f t="shared" si="362"/>
        <v>6.7874999999999996</v>
      </c>
      <c r="I383" s="23">
        <f t="shared" si="363"/>
        <v>45.7</v>
      </c>
      <c r="J383" s="23">
        <f t="shared" si="364"/>
        <v>0.47499999999999998</v>
      </c>
      <c r="K383" s="23">
        <f t="shared" si="365"/>
        <v>3.7499999999999999E-2</v>
      </c>
      <c r="L383" s="22">
        <f t="shared" si="74"/>
        <v>13.599999999999994</v>
      </c>
      <c r="M383" s="18">
        <v>66.400000000000006</v>
      </c>
      <c r="N383" s="59">
        <v>0</v>
      </c>
      <c r="O383" s="18">
        <v>20</v>
      </c>
      <c r="P383" s="18">
        <v>0.25</v>
      </c>
      <c r="Q383" s="18">
        <v>670</v>
      </c>
      <c r="R383" s="18" t="s">
        <v>51</v>
      </c>
      <c r="S383" s="56">
        <v>0</v>
      </c>
      <c r="T383" s="18">
        <v>13.55</v>
      </c>
      <c r="U383" s="21">
        <v>3.77</v>
      </c>
      <c r="V383" s="21">
        <v>18.29</v>
      </c>
      <c r="W383" s="18">
        <v>14.5</v>
      </c>
      <c r="X383" s="18">
        <v>2.36</v>
      </c>
      <c r="Y383" s="49">
        <f t="shared" si="273"/>
        <v>61.08</v>
      </c>
      <c r="Z383" s="18">
        <f t="shared" si="76"/>
        <v>0.67114093959731547</v>
      </c>
      <c r="AA383" s="18">
        <v>48.16</v>
      </c>
      <c r="AB383" s="18">
        <v>70.400000000000006</v>
      </c>
      <c r="AC383" s="21">
        <f t="shared" si="77"/>
        <v>4380</v>
      </c>
      <c r="AD383" s="18" t="s">
        <v>51</v>
      </c>
      <c r="AF383" s="1"/>
      <c r="AG383" s="29">
        <v>1.49</v>
      </c>
      <c r="AH383" s="29">
        <v>4.38</v>
      </c>
      <c r="AO383" s="30">
        <f t="shared" ref="AO383:AS383" si="369">U383</f>
        <v>3.77</v>
      </c>
      <c r="AP383" s="30">
        <f t="shared" si="369"/>
        <v>18.29</v>
      </c>
      <c r="AQ383" s="30">
        <f t="shared" si="369"/>
        <v>14.5</v>
      </c>
      <c r="AR383" s="30">
        <f t="shared" si="369"/>
        <v>2.36</v>
      </c>
      <c r="AS383" s="30">
        <f t="shared" si="369"/>
        <v>61.08</v>
      </c>
      <c r="AT383" s="31">
        <f t="shared" si="242"/>
        <v>100</v>
      </c>
      <c r="AV383" s="21">
        <f t="shared" si="86"/>
        <v>4380</v>
      </c>
    </row>
    <row r="384" spans="2:48" ht="15.75" customHeight="1" x14ac:dyDescent="0.25">
      <c r="B384" s="32"/>
      <c r="C384" s="18" t="s">
        <v>46</v>
      </c>
      <c r="D384" s="51"/>
      <c r="E384" s="18" t="s">
        <v>48</v>
      </c>
      <c r="F384" s="51"/>
      <c r="G384" s="23">
        <f t="shared" si="361"/>
        <v>47</v>
      </c>
      <c r="H384" s="23">
        <f t="shared" si="362"/>
        <v>6.7874999999999996</v>
      </c>
      <c r="I384" s="23">
        <f t="shared" si="363"/>
        <v>45.7</v>
      </c>
      <c r="J384" s="23">
        <f t="shared" si="364"/>
        <v>0.47499999999999998</v>
      </c>
      <c r="K384" s="23">
        <f t="shared" si="365"/>
        <v>3.7499999999999999E-2</v>
      </c>
      <c r="L384" s="22">
        <f t="shared" si="74"/>
        <v>13.599999999999994</v>
      </c>
      <c r="M384" s="18">
        <v>66.400000000000006</v>
      </c>
      <c r="N384" s="59">
        <v>0</v>
      </c>
      <c r="O384" s="18">
        <v>20</v>
      </c>
      <c r="P384" s="18">
        <v>0.3</v>
      </c>
      <c r="Q384" s="18">
        <v>750</v>
      </c>
      <c r="R384" s="18" t="s">
        <v>51</v>
      </c>
      <c r="S384" s="56">
        <v>0</v>
      </c>
      <c r="T384" s="18">
        <v>13.55</v>
      </c>
      <c r="U384" s="21">
        <v>3.4</v>
      </c>
      <c r="V384" s="21">
        <v>14.43</v>
      </c>
      <c r="W384" s="18">
        <v>16.46</v>
      </c>
      <c r="X384" s="18">
        <v>2</v>
      </c>
      <c r="Y384" s="49">
        <f t="shared" si="273"/>
        <v>63.71</v>
      </c>
      <c r="Z384" s="18">
        <f t="shared" si="76"/>
        <v>0.58479532163742687</v>
      </c>
      <c r="AA384" s="18">
        <v>44.67</v>
      </c>
      <c r="AB384" s="18">
        <v>72.599999999999994</v>
      </c>
      <c r="AC384" s="21">
        <f t="shared" si="77"/>
        <v>3540</v>
      </c>
      <c r="AD384" s="18" t="s">
        <v>51</v>
      </c>
      <c r="AF384" s="1"/>
      <c r="AG384" s="29">
        <v>1.71</v>
      </c>
      <c r="AH384" s="29">
        <v>3.54</v>
      </c>
      <c r="AO384" s="30">
        <f t="shared" ref="AO384:AS384" si="370">U384</f>
        <v>3.4</v>
      </c>
      <c r="AP384" s="30">
        <f t="shared" si="370"/>
        <v>14.43</v>
      </c>
      <c r="AQ384" s="30">
        <f t="shared" si="370"/>
        <v>16.46</v>
      </c>
      <c r="AR384" s="30">
        <f t="shared" si="370"/>
        <v>2</v>
      </c>
      <c r="AS384" s="30">
        <f t="shared" si="370"/>
        <v>63.71</v>
      </c>
      <c r="AT384" s="31">
        <f t="shared" si="242"/>
        <v>100</v>
      </c>
      <c r="AV384" s="21">
        <f t="shared" si="86"/>
        <v>3540</v>
      </c>
    </row>
    <row r="385" spans="2:48" ht="15.75" customHeight="1" x14ac:dyDescent="0.25">
      <c r="B385" s="32"/>
      <c r="C385" s="18" t="s">
        <v>46</v>
      </c>
      <c r="D385" s="51"/>
      <c r="E385" s="18" t="s">
        <v>48</v>
      </c>
      <c r="F385" s="51"/>
      <c r="G385" s="23">
        <f t="shared" si="361"/>
        <v>47</v>
      </c>
      <c r="H385" s="23">
        <f t="shared" si="362"/>
        <v>6.7874999999999996</v>
      </c>
      <c r="I385" s="23">
        <f t="shared" si="363"/>
        <v>45.7</v>
      </c>
      <c r="J385" s="23">
        <f t="shared" si="364"/>
        <v>0.47499999999999998</v>
      </c>
      <c r="K385" s="23">
        <f t="shared" si="365"/>
        <v>3.7499999999999999E-2</v>
      </c>
      <c r="L385" s="22">
        <f t="shared" si="74"/>
        <v>13.599999999999994</v>
      </c>
      <c r="M385" s="18">
        <v>66.400000000000006</v>
      </c>
      <c r="N385" s="59">
        <v>0</v>
      </c>
      <c r="O385" s="18">
        <v>20</v>
      </c>
      <c r="P385" s="18">
        <v>0.35</v>
      </c>
      <c r="Q385" s="18">
        <v>822</v>
      </c>
      <c r="R385" s="18" t="s">
        <v>51</v>
      </c>
      <c r="S385" s="56">
        <v>0</v>
      </c>
      <c r="T385" s="18">
        <v>13.55</v>
      </c>
      <c r="U385" s="21">
        <v>3.26</v>
      </c>
      <c r="V385" s="21">
        <v>12.5</v>
      </c>
      <c r="W385" s="18">
        <v>17.23</v>
      </c>
      <c r="X385" s="18">
        <v>1.85</v>
      </c>
      <c r="Y385" s="49">
        <f t="shared" si="273"/>
        <v>65.16</v>
      </c>
      <c r="Z385" s="18">
        <f t="shared" si="76"/>
        <v>0.50761421319796951</v>
      </c>
      <c r="AA385" s="18">
        <v>45.8</v>
      </c>
      <c r="AB385" s="18">
        <v>78.599999999999994</v>
      </c>
      <c r="AC385" s="21">
        <f t="shared" si="77"/>
        <v>3150</v>
      </c>
      <c r="AD385" s="18" t="s">
        <v>51</v>
      </c>
      <c r="AF385" s="1"/>
      <c r="AG385" s="29">
        <v>1.97</v>
      </c>
      <c r="AH385" s="29">
        <v>3.15</v>
      </c>
      <c r="AO385" s="30">
        <f t="shared" ref="AO385:AS385" si="371">U385</f>
        <v>3.26</v>
      </c>
      <c r="AP385" s="30">
        <f t="shared" si="371"/>
        <v>12.5</v>
      </c>
      <c r="AQ385" s="30">
        <f t="shared" si="371"/>
        <v>17.23</v>
      </c>
      <c r="AR385" s="30">
        <f t="shared" si="371"/>
        <v>1.85</v>
      </c>
      <c r="AS385" s="30">
        <f t="shared" si="371"/>
        <v>65.16</v>
      </c>
      <c r="AT385" s="31">
        <f t="shared" si="242"/>
        <v>100</v>
      </c>
      <c r="AV385" s="21">
        <f t="shared" si="86"/>
        <v>3150</v>
      </c>
    </row>
    <row r="386" spans="2:48" ht="15.75" customHeight="1" x14ac:dyDescent="0.25">
      <c r="B386" s="32"/>
      <c r="C386" s="18" t="s">
        <v>46</v>
      </c>
      <c r="D386" s="51"/>
      <c r="E386" s="18" t="s">
        <v>48</v>
      </c>
      <c r="F386" s="51"/>
      <c r="G386" s="23">
        <f t="shared" si="361"/>
        <v>47</v>
      </c>
      <c r="H386" s="23">
        <f t="shared" si="362"/>
        <v>6.7874999999999996</v>
      </c>
      <c r="I386" s="23">
        <f t="shared" si="363"/>
        <v>45.7</v>
      </c>
      <c r="J386" s="23">
        <f t="shared" si="364"/>
        <v>0.47499999999999998</v>
      </c>
      <c r="K386" s="23">
        <f t="shared" si="365"/>
        <v>3.7499999999999999E-2</v>
      </c>
      <c r="L386" s="22">
        <f t="shared" si="74"/>
        <v>13.599999999999994</v>
      </c>
      <c r="M386" s="18">
        <v>66.400000000000006</v>
      </c>
      <c r="N386" s="59">
        <v>0</v>
      </c>
      <c r="O386" s="18">
        <v>20</v>
      </c>
      <c r="P386" s="18">
        <v>0.25</v>
      </c>
      <c r="Q386" s="18">
        <v>700</v>
      </c>
      <c r="R386" s="18" t="s">
        <v>51</v>
      </c>
      <c r="S386" s="56">
        <v>0</v>
      </c>
      <c r="T386" s="18">
        <v>13.55</v>
      </c>
      <c r="U386" s="21">
        <v>3.41</v>
      </c>
      <c r="V386" s="21">
        <v>15.13</v>
      </c>
      <c r="W386" s="18">
        <v>14.82</v>
      </c>
      <c r="X386" s="18">
        <v>2</v>
      </c>
      <c r="Y386" s="49">
        <f t="shared" si="273"/>
        <v>64.64</v>
      </c>
      <c r="Z386" s="18">
        <f t="shared" si="76"/>
        <v>0.76923076923076916</v>
      </c>
      <c r="AA386" s="18">
        <v>35.979999999999997</v>
      </c>
      <c r="AB386" s="18">
        <v>55</v>
      </c>
      <c r="AC386" s="21">
        <f t="shared" si="77"/>
        <v>3750</v>
      </c>
      <c r="AD386" s="18" t="s">
        <v>51</v>
      </c>
      <c r="AF386" s="1"/>
      <c r="AG386" s="29">
        <v>1.3</v>
      </c>
      <c r="AH386" s="29">
        <v>3.75</v>
      </c>
      <c r="AO386" s="30">
        <f t="shared" ref="AO386:AS386" si="372">U386</f>
        <v>3.41</v>
      </c>
      <c r="AP386" s="30">
        <f t="shared" si="372"/>
        <v>15.13</v>
      </c>
      <c r="AQ386" s="30">
        <f t="shared" si="372"/>
        <v>14.82</v>
      </c>
      <c r="AR386" s="30">
        <f t="shared" si="372"/>
        <v>2</v>
      </c>
      <c r="AS386" s="30">
        <f t="shared" si="372"/>
        <v>64.64</v>
      </c>
      <c r="AT386" s="31">
        <f t="shared" si="242"/>
        <v>100</v>
      </c>
      <c r="AV386" s="21">
        <f t="shared" si="86"/>
        <v>3750</v>
      </c>
    </row>
    <row r="387" spans="2:48" ht="15.75" customHeight="1" x14ac:dyDescent="0.25">
      <c r="B387" s="32"/>
      <c r="C387" s="18" t="s">
        <v>46</v>
      </c>
      <c r="D387" s="51"/>
      <c r="E387" s="18" t="s">
        <v>48</v>
      </c>
      <c r="F387" s="51"/>
      <c r="G387" s="23">
        <f t="shared" si="361"/>
        <v>47</v>
      </c>
      <c r="H387" s="23">
        <f t="shared" si="362"/>
        <v>6.7874999999999996</v>
      </c>
      <c r="I387" s="23">
        <f t="shared" si="363"/>
        <v>45.7</v>
      </c>
      <c r="J387" s="23">
        <f t="shared" si="364"/>
        <v>0.47499999999999998</v>
      </c>
      <c r="K387" s="23">
        <f t="shared" si="365"/>
        <v>3.7499999999999999E-2</v>
      </c>
      <c r="L387" s="22">
        <f t="shared" si="74"/>
        <v>13.599999999999994</v>
      </c>
      <c r="M387" s="18">
        <v>66.400000000000006</v>
      </c>
      <c r="N387" s="59">
        <v>0</v>
      </c>
      <c r="O387" s="18">
        <v>20</v>
      </c>
      <c r="P387" s="18">
        <v>0.3</v>
      </c>
      <c r="Q387" s="18">
        <v>766</v>
      </c>
      <c r="R387" s="18" t="s">
        <v>51</v>
      </c>
      <c r="S387" s="56">
        <v>0</v>
      </c>
      <c r="T387" s="18">
        <v>13.55</v>
      </c>
      <c r="U387" s="21">
        <v>3.32</v>
      </c>
      <c r="V387" s="21">
        <v>13</v>
      </c>
      <c r="W387" s="18">
        <v>16.62</v>
      </c>
      <c r="X387" s="18">
        <v>1.91</v>
      </c>
      <c r="Y387" s="49">
        <f t="shared" si="273"/>
        <v>65.150000000000006</v>
      </c>
      <c r="Z387" s="18">
        <f t="shared" si="76"/>
        <v>0.66666666666666663</v>
      </c>
      <c r="AA387" s="18">
        <v>37.200000000000003</v>
      </c>
      <c r="AB387" s="18">
        <v>60</v>
      </c>
      <c r="AC387" s="21">
        <f t="shared" si="77"/>
        <v>3360</v>
      </c>
      <c r="AD387" s="18" t="s">
        <v>51</v>
      </c>
      <c r="AF387" s="1"/>
      <c r="AG387" s="29">
        <v>1.5</v>
      </c>
      <c r="AH387" s="29">
        <v>3.36</v>
      </c>
      <c r="AO387" s="30">
        <f t="shared" ref="AO387:AS387" si="373">U387</f>
        <v>3.32</v>
      </c>
      <c r="AP387" s="30">
        <f t="shared" si="373"/>
        <v>13</v>
      </c>
      <c r="AQ387" s="30">
        <f t="shared" si="373"/>
        <v>16.62</v>
      </c>
      <c r="AR387" s="30">
        <f t="shared" si="373"/>
        <v>1.91</v>
      </c>
      <c r="AS387" s="30">
        <f t="shared" si="373"/>
        <v>65.150000000000006</v>
      </c>
      <c r="AT387" s="31">
        <f t="shared" si="242"/>
        <v>100</v>
      </c>
      <c r="AV387" s="21">
        <f t="shared" si="86"/>
        <v>3360</v>
      </c>
    </row>
    <row r="388" spans="2:48" ht="15.75" customHeight="1" x14ac:dyDescent="0.25">
      <c r="B388" s="32"/>
      <c r="C388" s="18" t="s">
        <v>46</v>
      </c>
      <c r="D388" s="51"/>
      <c r="E388" s="18" t="s">
        <v>48</v>
      </c>
      <c r="F388" s="51"/>
      <c r="G388" s="23">
        <f t="shared" si="361"/>
        <v>47</v>
      </c>
      <c r="H388" s="23">
        <f t="shared" si="362"/>
        <v>6.7874999999999996</v>
      </c>
      <c r="I388" s="23">
        <f t="shared" si="363"/>
        <v>45.7</v>
      </c>
      <c r="J388" s="23">
        <f t="shared" si="364"/>
        <v>0.47499999999999998</v>
      </c>
      <c r="K388" s="23">
        <f t="shared" si="365"/>
        <v>3.7499999999999999E-2</v>
      </c>
      <c r="L388" s="22">
        <f t="shared" si="74"/>
        <v>13.599999999999994</v>
      </c>
      <c r="M388" s="18">
        <v>66.400000000000006</v>
      </c>
      <c r="N388" s="59">
        <v>0</v>
      </c>
      <c r="O388" s="18">
        <v>20</v>
      </c>
      <c r="P388" s="18">
        <v>0.35</v>
      </c>
      <c r="Q388" s="18">
        <v>828</v>
      </c>
      <c r="R388" s="18" t="s">
        <v>51</v>
      </c>
      <c r="S388" s="56">
        <v>0</v>
      </c>
      <c r="T388" s="18">
        <v>13.55</v>
      </c>
      <c r="U388" s="21">
        <v>3.25</v>
      </c>
      <c r="V388" s="21">
        <v>12</v>
      </c>
      <c r="W388" s="18">
        <v>17.420000000000002</v>
      </c>
      <c r="X388" s="18">
        <v>1.84</v>
      </c>
      <c r="Y388" s="49">
        <f t="shared" si="273"/>
        <v>65.489999999999995</v>
      </c>
      <c r="Z388" s="18">
        <f t="shared" si="76"/>
        <v>0.58823529411764708</v>
      </c>
      <c r="AA388" s="18">
        <v>38.78</v>
      </c>
      <c r="AB388" s="18">
        <v>67</v>
      </c>
      <c r="AC388" s="21">
        <f t="shared" si="77"/>
        <v>3090</v>
      </c>
      <c r="AD388" s="18" t="s">
        <v>51</v>
      </c>
      <c r="AF388" s="1"/>
      <c r="AG388" s="29">
        <v>1.7</v>
      </c>
      <c r="AH388" s="29">
        <v>3.09</v>
      </c>
      <c r="AO388" s="30">
        <f t="shared" ref="AO388:AS388" si="374">U388</f>
        <v>3.25</v>
      </c>
      <c r="AP388" s="30">
        <f t="shared" si="374"/>
        <v>12</v>
      </c>
      <c r="AQ388" s="30">
        <f t="shared" si="374"/>
        <v>17.420000000000002</v>
      </c>
      <c r="AR388" s="30">
        <f t="shared" si="374"/>
        <v>1.84</v>
      </c>
      <c r="AS388" s="30">
        <f t="shared" si="374"/>
        <v>65.489999999999995</v>
      </c>
      <c r="AT388" s="31">
        <f t="shared" si="242"/>
        <v>100</v>
      </c>
      <c r="AV388" s="21">
        <f t="shared" si="86"/>
        <v>3090</v>
      </c>
    </row>
    <row r="389" spans="2:48" ht="15.75" customHeight="1" x14ac:dyDescent="0.25">
      <c r="B389" s="32"/>
      <c r="C389" s="18" t="s">
        <v>46</v>
      </c>
      <c r="D389" s="51"/>
      <c r="E389" s="18" t="s">
        <v>48</v>
      </c>
      <c r="F389" s="51"/>
      <c r="G389" s="18">
        <v>44.48</v>
      </c>
      <c r="H389" s="18">
        <v>6.49</v>
      </c>
      <c r="I389" s="18">
        <v>48.23</v>
      </c>
      <c r="J389" s="18">
        <v>0.73</v>
      </c>
      <c r="K389" s="18">
        <v>7.0000000000000007E-2</v>
      </c>
      <c r="L389" s="22">
        <f t="shared" si="74"/>
        <v>15.059999999999988</v>
      </c>
      <c r="M389" s="18">
        <v>75.23</v>
      </c>
      <c r="N389" s="18">
        <v>8.48</v>
      </c>
      <c r="O389" s="18">
        <v>1.23</v>
      </c>
      <c r="P389" s="18">
        <v>0.28000000000000003</v>
      </c>
      <c r="Q389" s="18">
        <v>702</v>
      </c>
      <c r="R389" s="18" t="s">
        <v>51</v>
      </c>
      <c r="S389" s="53">
        <v>0</v>
      </c>
      <c r="T389" s="18">
        <v>17.88</v>
      </c>
      <c r="U389" s="21">
        <v>33.909999999999997</v>
      </c>
      <c r="V389" s="21">
        <v>25.75</v>
      </c>
      <c r="W389" s="18">
        <v>21.83</v>
      </c>
      <c r="X389" s="18">
        <v>8.14</v>
      </c>
      <c r="Y389" s="27">
        <f t="shared" ref="Y389:Y397" si="375">(AK389/AM389)*100</f>
        <v>37.853272505419262</v>
      </c>
      <c r="Z389" s="18">
        <f t="shared" si="76"/>
        <v>1.075268817204301</v>
      </c>
      <c r="AA389" s="18">
        <v>62.41</v>
      </c>
      <c r="AB389" s="18">
        <v>78.11</v>
      </c>
      <c r="AC389" s="21">
        <f t="shared" si="77"/>
        <v>14280</v>
      </c>
      <c r="AD389" s="18" t="s">
        <v>51</v>
      </c>
      <c r="AF389" s="1"/>
      <c r="AG389" s="29">
        <v>0.93</v>
      </c>
      <c r="AH389" s="29">
        <v>14.28</v>
      </c>
      <c r="AK389" s="1">
        <f t="shared" ref="AK389:AK397" si="376">0.79*((P389*(((G389/12)+(H389/4))-((I389/16)/2)))/0.21)+(J389/14)/2</f>
        <v>4.0518894841269848</v>
      </c>
      <c r="AL389" s="1">
        <f t="shared" ref="AL389:AL397" si="377">(100*G389)/(12*(V389+W389+X389))</f>
        <v>6.652309164871979</v>
      </c>
      <c r="AM389" s="1">
        <f t="shared" ref="AM389:AM397" si="378">AL389+AK389</f>
        <v>10.704198648998965</v>
      </c>
      <c r="AN389" s="1"/>
      <c r="AO389" s="30">
        <f t="shared" ref="AO389:AO397" si="379">((AL389*(U389/100))/AM389)*100</f>
        <v>21.073955293412325</v>
      </c>
      <c r="AP389" s="30">
        <f t="shared" ref="AP389:AP397" si="380">((AL389*(V389/100))/AM389)*100</f>
        <v>16.00278232985454</v>
      </c>
      <c r="AQ389" s="30">
        <f t="shared" ref="AQ389:AQ397" si="381">((AL389*(W389/100))/AM389)*100</f>
        <v>13.566630612066973</v>
      </c>
      <c r="AR389" s="30">
        <f t="shared" ref="AR389:AR397" si="382">((AL389*(X389/100))/AM389)*100</f>
        <v>5.0587436180588714</v>
      </c>
      <c r="AS389" s="30">
        <f t="shared" ref="AS389:AS397" si="383">Y389</f>
        <v>37.853272505419262</v>
      </c>
      <c r="AT389" s="31">
        <f t="shared" si="242"/>
        <v>93.555384358811978</v>
      </c>
      <c r="AV389" s="21">
        <f t="shared" si="86"/>
        <v>14280</v>
      </c>
    </row>
    <row r="390" spans="2:48" ht="15.75" customHeight="1" x14ac:dyDescent="0.25">
      <c r="B390" s="32"/>
      <c r="C390" s="18" t="s">
        <v>46</v>
      </c>
      <c r="D390" s="51"/>
      <c r="E390" s="18" t="s">
        <v>48</v>
      </c>
      <c r="F390" s="51"/>
      <c r="G390" s="18">
        <v>44.48</v>
      </c>
      <c r="H390" s="18">
        <v>6.49</v>
      </c>
      <c r="I390" s="18">
        <v>48.23</v>
      </c>
      <c r="J390" s="18">
        <v>0.73</v>
      </c>
      <c r="K390" s="18">
        <v>7.0000000000000007E-2</v>
      </c>
      <c r="L390" s="22">
        <f t="shared" si="74"/>
        <v>15.059999999999988</v>
      </c>
      <c r="M390" s="18">
        <v>75.23</v>
      </c>
      <c r="N390" s="18">
        <v>8.48</v>
      </c>
      <c r="O390" s="18">
        <v>1.23</v>
      </c>
      <c r="P390" s="18">
        <v>0.28000000000000003</v>
      </c>
      <c r="Q390" s="18">
        <v>760</v>
      </c>
      <c r="R390" s="18" t="s">
        <v>51</v>
      </c>
      <c r="S390" s="53">
        <v>0</v>
      </c>
      <c r="T390" s="18">
        <v>17.88</v>
      </c>
      <c r="U390" s="21">
        <v>40.229999999999997</v>
      </c>
      <c r="V390" s="21">
        <v>18.420000000000002</v>
      </c>
      <c r="W390" s="18">
        <v>25.36</v>
      </c>
      <c r="X390" s="18">
        <v>8.11</v>
      </c>
      <c r="Y390" s="27">
        <f t="shared" si="375"/>
        <v>36.193078312594587</v>
      </c>
      <c r="Z390" s="18">
        <f t="shared" si="76"/>
        <v>0.89285714285714279</v>
      </c>
      <c r="AA390" s="18">
        <v>70.09</v>
      </c>
      <c r="AB390" s="18">
        <v>83.73</v>
      </c>
      <c r="AC390" s="21">
        <f t="shared" si="77"/>
        <v>12810</v>
      </c>
      <c r="AD390" s="18" t="s">
        <v>51</v>
      </c>
      <c r="AF390" s="1"/>
      <c r="AG390" s="29">
        <v>1.1200000000000001</v>
      </c>
      <c r="AH390" s="29">
        <v>12.81</v>
      </c>
      <c r="AK390" s="1">
        <f t="shared" si="376"/>
        <v>4.0518894841269848</v>
      </c>
      <c r="AL390" s="29">
        <f t="shared" si="377"/>
        <v>7.1433159889509854</v>
      </c>
      <c r="AM390" s="29">
        <f t="shared" si="378"/>
        <v>11.195205473077969</v>
      </c>
      <c r="AO390" s="30">
        <f t="shared" si="379"/>
        <v>25.669524594843196</v>
      </c>
      <c r="AP390" s="30">
        <f t="shared" si="380"/>
        <v>11.75323497482008</v>
      </c>
      <c r="AQ390" s="30">
        <f t="shared" si="381"/>
        <v>16.181435339926011</v>
      </c>
      <c r="AR390" s="30">
        <f t="shared" si="382"/>
        <v>5.1747413488485785</v>
      </c>
      <c r="AS390" s="30">
        <f t="shared" si="383"/>
        <v>36.193078312594587</v>
      </c>
      <c r="AT390" s="31">
        <f t="shared" si="242"/>
        <v>94.972014571032446</v>
      </c>
      <c r="AV390" s="21">
        <f t="shared" si="86"/>
        <v>12810</v>
      </c>
    </row>
    <row r="391" spans="2:48" ht="15.75" customHeight="1" x14ac:dyDescent="0.25">
      <c r="B391" s="32"/>
      <c r="C391" s="18" t="s">
        <v>46</v>
      </c>
      <c r="D391" s="51"/>
      <c r="E391" s="18" t="s">
        <v>48</v>
      </c>
      <c r="F391" s="51"/>
      <c r="G391" s="18">
        <v>44.48</v>
      </c>
      <c r="H391" s="18">
        <v>6.49</v>
      </c>
      <c r="I391" s="18">
        <v>48.23</v>
      </c>
      <c r="J391" s="18">
        <v>0.73</v>
      </c>
      <c r="K391" s="18">
        <v>7.0000000000000007E-2</v>
      </c>
      <c r="L391" s="22">
        <f t="shared" ref="L391:L432" si="384">100-SUM(M391,N391,O391)</f>
        <v>15.059999999999988</v>
      </c>
      <c r="M391" s="18">
        <v>75.23</v>
      </c>
      <c r="N391" s="18">
        <v>8.48</v>
      </c>
      <c r="O391" s="18">
        <v>1.23</v>
      </c>
      <c r="P391" s="18">
        <v>0.28000000000000003</v>
      </c>
      <c r="Q391" s="18">
        <v>846</v>
      </c>
      <c r="R391" s="18" t="s">
        <v>51</v>
      </c>
      <c r="S391" s="53">
        <v>0</v>
      </c>
      <c r="T391" s="18">
        <v>17.88</v>
      </c>
      <c r="U391" s="21">
        <v>46.31</v>
      </c>
      <c r="V391" s="21">
        <v>26.9</v>
      </c>
      <c r="W391" s="18">
        <v>16.989999999999998</v>
      </c>
      <c r="X391" s="18">
        <v>6.41</v>
      </c>
      <c r="Y391" s="27">
        <f t="shared" si="375"/>
        <v>35.477511675119786</v>
      </c>
      <c r="Z391" s="18">
        <f t="shared" ref="Z391:Z432" si="385">1/AG391</f>
        <v>0.73529411764705876</v>
      </c>
      <c r="AA391" s="18">
        <v>72.92</v>
      </c>
      <c r="AB391" s="18">
        <v>87.14</v>
      </c>
      <c r="AC391" s="21">
        <f t="shared" ref="AC391:AC432" si="386">1000*AH391</f>
        <v>11610</v>
      </c>
      <c r="AD391" s="18" t="s">
        <v>51</v>
      </c>
      <c r="AF391" s="1"/>
      <c r="AG391" s="29">
        <v>1.36</v>
      </c>
      <c r="AH391" s="29">
        <v>11.61</v>
      </c>
      <c r="AK391" s="1">
        <f t="shared" si="376"/>
        <v>4.0518894841269848</v>
      </c>
      <c r="AL391" s="29">
        <f t="shared" si="377"/>
        <v>7.3691186216037119</v>
      </c>
      <c r="AM391" s="29">
        <f t="shared" si="378"/>
        <v>11.421008105730696</v>
      </c>
      <c r="AO391" s="30">
        <f t="shared" si="379"/>
        <v>29.88036434325203</v>
      </c>
      <c r="AP391" s="30">
        <f t="shared" si="380"/>
        <v>17.356549359392776</v>
      </c>
      <c r="AQ391" s="30">
        <f t="shared" si="381"/>
        <v>10.96237076639715</v>
      </c>
      <c r="AR391" s="30">
        <f t="shared" si="382"/>
        <v>4.1358915016248226</v>
      </c>
      <c r="AS391" s="30">
        <f t="shared" si="383"/>
        <v>35.477511675119786</v>
      </c>
      <c r="AT391" s="31">
        <f t="shared" si="242"/>
        <v>97.812687645786568</v>
      </c>
      <c r="AV391" s="21">
        <f t="shared" ref="AV391:AV432" si="387">AC391</f>
        <v>11610</v>
      </c>
    </row>
    <row r="392" spans="2:48" ht="15.75" customHeight="1" x14ac:dyDescent="0.25">
      <c r="B392" s="32"/>
      <c r="C392" s="18" t="s">
        <v>46</v>
      </c>
      <c r="D392" s="51"/>
      <c r="E392" s="18" t="s">
        <v>48</v>
      </c>
      <c r="F392" s="51"/>
      <c r="G392" s="18">
        <v>49.47</v>
      </c>
      <c r="H392" s="18">
        <v>7.82</v>
      </c>
      <c r="I392" s="18">
        <v>42.53</v>
      </c>
      <c r="J392" s="18">
        <v>0.12</v>
      </c>
      <c r="K392" s="18">
        <v>0.06</v>
      </c>
      <c r="L392" s="22">
        <f t="shared" si="384"/>
        <v>13.870000000000005</v>
      </c>
      <c r="M392" s="18">
        <v>76.5</v>
      </c>
      <c r="N392" s="18">
        <v>8.61</v>
      </c>
      <c r="O392" s="18">
        <v>1.02</v>
      </c>
      <c r="P392" s="18">
        <v>0.28000000000000003</v>
      </c>
      <c r="Q392" s="18">
        <v>702</v>
      </c>
      <c r="R392" s="18" t="s">
        <v>51</v>
      </c>
      <c r="S392" s="53">
        <v>0</v>
      </c>
      <c r="T392" s="18">
        <v>18.21</v>
      </c>
      <c r="U392" s="21">
        <v>21.31</v>
      </c>
      <c r="V392" s="21">
        <v>13.74</v>
      </c>
      <c r="W392" s="18">
        <v>33.18</v>
      </c>
      <c r="X392" s="18">
        <v>12.25</v>
      </c>
      <c r="Y392" s="27">
        <f t="shared" si="375"/>
        <v>41.809866452543275</v>
      </c>
      <c r="Z392" s="18">
        <f t="shared" si="385"/>
        <v>1.8867924528301885</v>
      </c>
      <c r="AA392" s="18">
        <v>33.43</v>
      </c>
      <c r="AB392" s="18">
        <v>51.61</v>
      </c>
      <c r="AC392" s="21">
        <f t="shared" si="386"/>
        <v>15310</v>
      </c>
      <c r="AD392" s="18" t="s">
        <v>51</v>
      </c>
      <c r="AF392" s="1"/>
      <c r="AG392" s="29">
        <v>0.53</v>
      </c>
      <c r="AH392" s="29">
        <v>15.31</v>
      </c>
      <c r="AK392" s="1">
        <f t="shared" si="376"/>
        <v>5.0059732142857145</v>
      </c>
      <c r="AL392" s="29">
        <f t="shared" si="377"/>
        <v>6.9672131147540988</v>
      </c>
      <c r="AM392" s="29">
        <f t="shared" si="378"/>
        <v>11.973186329039812</v>
      </c>
      <c r="AO392" s="30">
        <f t="shared" si="379"/>
        <v>12.400317458963029</v>
      </c>
      <c r="AP392" s="30">
        <f t="shared" si="380"/>
        <v>7.9953243494205548</v>
      </c>
      <c r="AQ392" s="30">
        <f t="shared" si="381"/>
        <v>19.307486311046141</v>
      </c>
      <c r="AR392" s="30">
        <f t="shared" si="382"/>
        <v>7.1282913595634492</v>
      </c>
      <c r="AS392" s="30">
        <f t="shared" si="383"/>
        <v>41.809866452543275</v>
      </c>
      <c r="AT392" s="31">
        <f t="shared" si="242"/>
        <v>88.641285931536444</v>
      </c>
      <c r="AV392" s="21">
        <f t="shared" si="387"/>
        <v>15310</v>
      </c>
    </row>
    <row r="393" spans="2:48" ht="15.75" customHeight="1" x14ac:dyDescent="0.25">
      <c r="B393" s="32"/>
      <c r="C393" s="18" t="s">
        <v>46</v>
      </c>
      <c r="D393" s="51"/>
      <c r="E393" s="18" t="s">
        <v>48</v>
      </c>
      <c r="F393" s="51"/>
      <c r="G393" s="18">
        <v>49.47</v>
      </c>
      <c r="H393" s="18">
        <v>7.82</v>
      </c>
      <c r="I393" s="18">
        <v>42.53</v>
      </c>
      <c r="J393" s="18">
        <v>0.12</v>
      </c>
      <c r="K393" s="18">
        <v>0.06</v>
      </c>
      <c r="L393" s="22">
        <f t="shared" si="384"/>
        <v>13.870000000000005</v>
      </c>
      <c r="M393" s="18">
        <v>76.5</v>
      </c>
      <c r="N393" s="18">
        <v>8.61</v>
      </c>
      <c r="O393" s="18">
        <v>1.02</v>
      </c>
      <c r="P393" s="18">
        <v>0.28000000000000003</v>
      </c>
      <c r="Q393" s="18">
        <v>760</v>
      </c>
      <c r="R393" s="18" t="s">
        <v>51</v>
      </c>
      <c r="S393" s="53">
        <v>0</v>
      </c>
      <c r="T393" s="18">
        <v>18.21</v>
      </c>
      <c r="U393" s="21">
        <v>24.73</v>
      </c>
      <c r="V393" s="21">
        <v>17.57</v>
      </c>
      <c r="W393" s="18">
        <v>29.14</v>
      </c>
      <c r="X393" s="18">
        <v>11.13</v>
      </c>
      <c r="Y393" s="27">
        <f t="shared" si="375"/>
        <v>41.257815780432992</v>
      </c>
      <c r="Z393" s="18">
        <f t="shared" si="385"/>
        <v>1.4285714285714286</v>
      </c>
      <c r="AA393" s="18">
        <v>43.16</v>
      </c>
      <c r="AB393" s="18">
        <v>64.819999999999993</v>
      </c>
      <c r="AC393" s="21">
        <f t="shared" si="386"/>
        <v>14940</v>
      </c>
      <c r="AD393" s="18" t="s">
        <v>51</v>
      </c>
      <c r="AF393" s="1"/>
      <c r="AG393" s="29">
        <v>0.7</v>
      </c>
      <c r="AH393" s="29">
        <v>14.94</v>
      </c>
      <c r="AK393" s="1">
        <f t="shared" si="376"/>
        <v>5.0059732142857145</v>
      </c>
      <c r="AL393" s="29">
        <f t="shared" si="377"/>
        <v>7.1274204702627939</v>
      </c>
      <c r="AM393" s="29">
        <f t="shared" si="378"/>
        <v>12.133393684548508</v>
      </c>
      <c r="AO393" s="30">
        <f t="shared" si="379"/>
        <v>14.526942157498921</v>
      </c>
      <c r="AP393" s="30">
        <f t="shared" si="380"/>
        <v>10.321001767377922</v>
      </c>
      <c r="AQ393" s="30">
        <f t="shared" si="381"/>
        <v>17.117472481581828</v>
      </c>
      <c r="AR393" s="30">
        <f t="shared" si="382"/>
        <v>6.5380051036378077</v>
      </c>
      <c r="AS393" s="30">
        <f t="shared" si="383"/>
        <v>41.257815780432992</v>
      </c>
      <c r="AT393" s="31">
        <f t="shared" si="242"/>
        <v>89.761237290529465</v>
      </c>
      <c r="AV393" s="21">
        <f t="shared" si="387"/>
        <v>14940</v>
      </c>
    </row>
    <row r="394" spans="2:48" ht="15.75" customHeight="1" x14ac:dyDescent="0.25">
      <c r="B394" s="32"/>
      <c r="C394" s="18" t="s">
        <v>46</v>
      </c>
      <c r="D394" s="51"/>
      <c r="E394" s="18" t="s">
        <v>48</v>
      </c>
      <c r="F394" s="51"/>
      <c r="G394" s="18">
        <v>49.47</v>
      </c>
      <c r="H394" s="18">
        <v>7.82</v>
      </c>
      <c r="I394" s="18">
        <v>42.53</v>
      </c>
      <c r="J394" s="18">
        <v>0.12</v>
      </c>
      <c r="K394" s="18">
        <v>0.06</v>
      </c>
      <c r="L394" s="22">
        <f t="shared" si="384"/>
        <v>13.870000000000005</v>
      </c>
      <c r="M394" s="18">
        <v>76.5</v>
      </c>
      <c r="N394" s="18">
        <v>8.61</v>
      </c>
      <c r="O394" s="18">
        <v>1.02</v>
      </c>
      <c r="P394" s="18">
        <v>0.28000000000000003</v>
      </c>
      <c r="Q394" s="18">
        <v>846</v>
      </c>
      <c r="R394" s="18" t="s">
        <v>51</v>
      </c>
      <c r="S394" s="53">
        <v>0</v>
      </c>
      <c r="T394" s="18">
        <v>18.21</v>
      </c>
      <c r="U394" s="21">
        <v>27.14</v>
      </c>
      <c r="V394" s="21">
        <v>22.32</v>
      </c>
      <c r="W394" s="18">
        <v>25.43</v>
      </c>
      <c r="X394" s="18">
        <v>10.35</v>
      </c>
      <c r="Y394" s="27">
        <f t="shared" si="375"/>
        <v>41.36655762321999</v>
      </c>
      <c r="Z394" s="18">
        <f t="shared" si="385"/>
        <v>1.2820512820512819</v>
      </c>
      <c r="AA394" s="18">
        <v>48.3</v>
      </c>
      <c r="AB394" s="18">
        <v>71.3</v>
      </c>
      <c r="AC394" s="21">
        <f t="shared" si="386"/>
        <v>14510</v>
      </c>
      <c r="AD394" s="18" t="s">
        <v>51</v>
      </c>
      <c r="AF394" s="1"/>
      <c r="AG394" s="29">
        <v>0.78</v>
      </c>
      <c r="AH394" s="29">
        <v>14.51</v>
      </c>
      <c r="AK394" s="1">
        <f t="shared" si="376"/>
        <v>5.0059732142857145</v>
      </c>
      <c r="AL394" s="29">
        <f t="shared" si="377"/>
        <v>7.0955249569707393</v>
      </c>
      <c r="AM394" s="29">
        <f t="shared" si="378"/>
        <v>12.101498171256454</v>
      </c>
      <c r="AO394" s="30">
        <f t="shared" si="379"/>
        <v>15.913116261058097</v>
      </c>
      <c r="AP394" s="30">
        <f t="shared" si="380"/>
        <v>13.086984338497299</v>
      </c>
      <c r="AQ394" s="30">
        <f t="shared" si="381"/>
        <v>14.910484396415152</v>
      </c>
      <c r="AR394" s="30">
        <f t="shared" si="382"/>
        <v>6.0685612859967302</v>
      </c>
      <c r="AS394" s="30">
        <f t="shared" si="383"/>
        <v>41.36655762321999</v>
      </c>
      <c r="AT394" s="31">
        <f t="shared" si="242"/>
        <v>91.345703905187264</v>
      </c>
      <c r="AV394" s="21">
        <f t="shared" si="387"/>
        <v>14510</v>
      </c>
    </row>
    <row r="395" spans="2:48" ht="15.75" customHeight="1" x14ac:dyDescent="0.25">
      <c r="B395" s="32"/>
      <c r="C395" s="18" t="s">
        <v>46</v>
      </c>
      <c r="D395" s="51"/>
      <c r="E395" s="18" t="s">
        <v>48</v>
      </c>
      <c r="F395" s="51"/>
      <c r="G395" s="18">
        <v>49.47</v>
      </c>
      <c r="H395" s="18">
        <v>7.82</v>
      </c>
      <c r="I395" s="18">
        <v>42.53</v>
      </c>
      <c r="J395" s="18">
        <v>0.12</v>
      </c>
      <c r="K395" s="18">
        <v>0.06</v>
      </c>
      <c r="L395" s="22">
        <f t="shared" si="384"/>
        <v>13.870000000000005</v>
      </c>
      <c r="M395" s="18">
        <v>76.5</v>
      </c>
      <c r="N395" s="18">
        <v>8.61</v>
      </c>
      <c r="O395" s="18">
        <v>1.02</v>
      </c>
      <c r="P395" s="18">
        <v>0.28000000000000003</v>
      </c>
      <c r="Q395" s="18">
        <v>846</v>
      </c>
      <c r="R395" s="18" t="s">
        <v>51</v>
      </c>
      <c r="S395" s="53">
        <v>0</v>
      </c>
      <c r="T395" s="18">
        <v>18.21</v>
      </c>
      <c r="U395" s="21">
        <v>24.42</v>
      </c>
      <c r="V395" s="21">
        <v>17.309999999999999</v>
      </c>
      <c r="W395" s="18">
        <v>31.6</v>
      </c>
      <c r="X395" s="18">
        <v>11.37</v>
      </c>
      <c r="Y395" s="27">
        <f t="shared" si="375"/>
        <v>42.262718692376495</v>
      </c>
      <c r="Z395" s="18">
        <f t="shared" si="385"/>
        <v>1.4084507042253522</v>
      </c>
      <c r="AA395" s="18">
        <v>45.62</v>
      </c>
      <c r="AB395" s="18">
        <v>64.47</v>
      </c>
      <c r="AC395" s="21">
        <f t="shared" si="386"/>
        <v>14800</v>
      </c>
      <c r="AD395" s="18" t="s">
        <v>51</v>
      </c>
      <c r="AF395" s="1"/>
      <c r="AG395" s="29">
        <v>0.71</v>
      </c>
      <c r="AH395" s="29">
        <v>14.8</v>
      </c>
      <c r="AK395" s="1">
        <f t="shared" si="376"/>
        <v>5.0059732142857145</v>
      </c>
      <c r="AL395" s="29">
        <f t="shared" si="377"/>
        <v>6.8389183808891847</v>
      </c>
      <c r="AM395" s="29">
        <f t="shared" si="378"/>
        <v>11.8448915951749</v>
      </c>
      <c r="AO395" s="30">
        <f t="shared" si="379"/>
        <v>14.099444095321658</v>
      </c>
      <c r="AP395" s="30">
        <f t="shared" si="380"/>
        <v>9.9943233943496264</v>
      </c>
      <c r="AQ395" s="30">
        <f t="shared" si="381"/>
        <v>18.244980893209025</v>
      </c>
      <c r="AR395" s="30">
        <f t="shared" si="382"/>
        <v>6.5647288846767919</v>
      </c>
      <c r="AS395" s="30">
        <f t="shared" si="383"/>
        <v>42.262718692376495</v>
      </c>
      <c r="AT395" s="31">
        <f t="shared" si="242"/>
        <v>91.166195959933589</v>
      </c>
      <c r="AV395" s="21">
        <f t="shared" si="387"/>
        <v>14800</v>
      </c>
    </row>
    <row r="396" spans="2:48" ht="15.75" customHeight="1" x14ac:dyDescent="0.25">
      <c r="B396" s="32"/>
      <c r="C396" s="18" t="s">
        <v>46</v>
      </c>
      <c r="D396" s="51"/>
      <c r="E396" s="18" t="s">
        <v>48</v>
      </c>
      <c r="F396" s="51"/>
      <c r="G396" s="18">
        <v>49.47</v>
      </c>
      <c r="H396" s="18">
        <v>7.82</v>
      </c>
      <c r="I396" s="18">
        <v>42.53</v>
      </c>
      <c r="J396" s="18">
        <v>0.12</v>
      </c>
      <c r="K396" s="18">
        <v>0.06</v>
      </c>
      <c r="L396" s="22">
        <f t="shared" si="384"/>
        <v>13.870000000000005</v>
      </c>
      <c r="M396" s="18">
        <v>76.5</v>
      </c>
      <c r="N396" s="18">
        <v>8.61</v>
      </c>
      <c r="O396" s="18">
        <v>1.02</v>
      </c>
      <c r="P396" s="18">
        <v>0.28000000000000003</v>
      </c>
      <c r="Q396" s="18">
        <v>846</v>
      </c>
      <c r="R396" s="18" t="s">
        <v>51</v>
      </c>
      <c r="S396" s="53">
        <v>0</v>
      </c>
      <c r="T396" s="18">
        <v>18.21</v>
      </c>
      <c r="U396" s="21">
        <v>28.92</v>
      </c>
      <c r="V396" s="21">
        <v>22.8</v>
      </c>
      <c r="W396" s="18">
        <v>25.91</v>
      </c>
      <c r="X396" s="18">
        <v>9.33</v>
      </c>
      <c r="Y396" s="27">
        <f t="shared" si="375"/>
        <v>41.34149910076691</v>
      </c>
      <c r="Z396" s="18">
        <f t="shared" si="385"/>
        <v>1.2048192771084338</v>
      </c>
      <c r="AA396" s="18">
        <v>51.35</v>
      </c>
      <c r="AB396" s="18">
        <v>74.47</v>
      </c>
      <c r="AC396" s="21">
        <f t="shared" si="386"/>
        <v>14570</v>
      </c>
      <c r="AD396" s="18" t="s">
        <v>51</v>
      </c>
      <c r="AF396" s="1"/>
      <c r="AG396" s="29">
        <v>0.83</v>
      </c>
      <c r="AH396" s="29">
        <v>14.57</v>
      </c>
      <c r="AK396" s="1">
        <f t="shared" si="376"/>
        <v>5.0059732142857145</v>
      </c>
      <c r="AL396" s="29">
        <f t="shared" si="377"/>
        <v>7.1028600964851822</v>
      </c>
      <c r="AM396" s="29">
        <f t="shared" si="378"/>
        <v>12.108833310770898</v>
      </c>
      <c r="AO396" s="30">
        <f t="shared" si="379"/>
        <v>16.964038460058209</v>
      </c>
      <c r="AP396" s="30">
        <f t="shared" si="380"/>
        <v>13.374138205025144</v>
      </c>
      <c r="AQ396" s="30">
        <f t="shared" si="381"/>
        <v>15.198417582991292</v>
      </c>
      <c r="AR396" s="30">
        <f t="shared" si="382"/>
        <v>5.4728381338984464</v>
      </c>
      <c r="AS396" s="30">
        <f t="shared" si="383"/>
        <v>41.34149910076691</v>
      </c>
      <c r="AT396" s="31">
        <f t="shared" si="242"/>
        <v>92.350931482740009</v>
      </c>
      <c r="AV396" s="21">
        <f t="shared" si="387"/>
        <v>14570</v>
      </c>
    </row>
    <row r="397" spans="2:48" ht="15.75" customHeight="1" x14ac:dyDescent="0.25">
      <c r="B397" s="32"/>
      <c r="C397" s="18" t="s">
        <v>46</v>
      </c>
      <c r="D397" s="51"/>
      <c r="E397" s="18" t="s">
        <v>48</v>
      </c>
      <c r="F397" s="51"/>
      <c r="G397" s="18">
        <v>49.47</v>
      </c>
      <c r="H397" s="18">
        <v>7.82</v>
      </c>
      <c r="I397" s="18">
        <v>42.53</v>
      </c>
      <c r="J397" s="18">
        <v>0.12</v>
      </c>
      <c r="K397" s="18">
        <v>0.06</v>
      </c>
      <c r="L397" s="22">
        <f t="shared" si="384"/>
        <v>13.870000000000005</v>
      </c>
      <c r="M397" s="18">
        <v>76.5</v>
      </c>
      <c r="N397" s="18">
        <v>8.61</v>
      </c>
      <c r="O397" s="18">
        <v>1.02</v>
      </c>
      <c r="P397" s="18">
        <v>0.28000000000000003</v>
      </c>
      <c r="Q397" s="18">
        <v>846</v>
      </c>
      <c r="R397" s="18" t="s">
        <v>51</v>
      </c>
      <c r="S397" s="53">
        <v>0</v>
      </c>
      <c r="T397" s="18">
        <v>18.21</v>
      </c>
      <c r="U397" s="21">
        <v>33.909999999999997</v>
      </c>
      <c r="V397" s="21">
        <v>25.73</v>
      </c>
      <c r="W397" s="18">
        <v>21.83</v>
      </c>
      <c r="X397" s="18">
        <v>9.14</v>
      </c>
      <c r="Y397" s="27">
        <f t="shared" si="375"/>
        <v>40.776224193201536</v>
      </c>
      <c r="Z397" s="18">
        <f t="shared" si="385"/>
        <v>1.075268817204301</v>
      </c>
      <c r="AA397" s="18">
        <v>56.21</v>
      </c>
      <c r="AB397" s="18">
        <v>78.11</v>
      </c>
      <c r="AC397" s="21">
        <f t="shared" si="386"/>
        <v>14280</v>
      </c>
      <c r="AD397" s="18" t="s">
        <v>51</v>
      </c>
      <c r="AF397" s="1"/>
      <c r="AG397" s="29">
        <v>0.93</v>
      </c>
      <c r="AH397" s="29">
        <v>14.28</v>
      </c>
      <c r="AK397" s="1">
        <f t="shared" si="376"/>
        <v>5.0059732142857145</v>
      </c>
      <c r="AL397" s="29">
        <f t="shared" si="377"/>
        <v>7.2707231040564366</v>
      </c>
      <c r="AM397" s="29">
        <f t="shared" si="378"/>
        <v>12.27669631834215</v>
      </c>
      <c r="AO397" s="30">
        <f t="shared" si="379"/>
        <v>20.082782376085355</v>
      </c>
      <c r="AP397" s="30">
        <f t="shared" si="380"/>
        <v>15.238277515089246</v>
      </c>
      <c r="AQ397" s="30">
        <f t="shared" si="381"/>
        <v>12.928550258624105</v>
      </c>
      <c r="AR397" s="30">
        <f t="shared" si="382"/>
        <v>5.41305310874138</v>
      </c>
      <c r="AS397" s="30">
        <f t="shared" si="383"/>
        <v>40.776224193201536</v>
      </c>
      <c r="AT397" s="31">
        <f t="shared" si="242"/>
        <v>94.438887451741621</v>
      </c>
      <c r="AV397" s="21">
        <f t="shared" si="387"/>
        <v>14280</v>
      </c>
    </row>
    <row r="398" spans="2:48" ht="15.75" customHeight="1" x14ac:dyDescent="0.25">
      <c r="B398" s="32"/>
      <c r="C398" s="18" t="s">
        <v>46</v>
      </c>
      <c r="D398" s="51"/>
      <c r="E398" s="18" t="s">
        <v>48</v>
      </c>
      <c r="F398" s="51"/>
      <c r="G398" s="18">
        <v>50.28</v>
      </c>
      <c r="H398" s="18">
        <v>6.14</v>
      </c>
      <c r="I398" s="18">
        <v>42.59</v>
      </c>
      <c r="J398" s="18">
        <v>0.96</v>
      </c>
      <c r="K398" s="18">
        <v>0.03</v>
      </c>
      <c r="L398" s="22">
        <f t="shared" si="384"/>
        <v>0</v>
      </c>
      <c r="M398" s="18">
        <v>93.2</v>
      </c>
      <c r="N398" s="18">
        <v>6.3</v>
      </c>
      <c r="O398" s="18">
        <v>0.5</v>
      </c>
      <c r="P398" s="18">
        <v>0.2</v>
      </c>
      <c r="Q398" s="18">
        <v>755</v>
      </c>
      <c r="R398" s="18" t="s">
        <v>51</v>
      </c>
      <c r="S398" s="53">
        <v>0</v>
      </c>
      <c r="T398" s="18">
        <v>17.100000000000001</v>
      </c>
      <c r="U398" s="21">
        <v>8.6999999999999993</v>
      </c>
      <c r="V398" s="21">
        <v>15.8</v>
      </c>
      <c r="W398" s="18">
        <v>1.03</v>
      </c>
      <c r="X398" s="18">
        <v>5.0999999999999996</v>
      </c>
      <c r="Y398" s="49">
        <f t="shared" ref="Y398:Y432" si="388">100-SUM(U398:X398)</f>
        <v>69.37</v>
      </c>
      <c r="Z398" s="18">
        <f t="shared" si="385"/>
        <v>0.970873786407767</v>
      </c>
      <c r="AA398" s="18">
        <v>59</v>
      </c>
      <c r="AB398" s="18">
        <v>93</v>
      </c>
      <c r="AC398" s="21">
        <f t="shared" si="386"/>
        <v>4760</v>
      </c>
      <c r="AD398" s="18" t="s">
        <v>51</v>
      </c>
      <c r="AF398" s="1"/>
      <c r="AG398" s="29">
        <v>1.03</v>
      </c>
      <c r="AH398" s="29">
        <v>4.76</v>
      </c>
      <c r="AO398" s="30">
        <f t="shared" ref="AO398:AS398" si="389">U398</f>
        <v>8.6999999999999993</v>
      </c>
      <c r="AP398" s="30">
        <f t="shared" si="389"/>
        <v>15.8</v>
      </c>
      <c r="AQ398" s="30">
        <f t="shared" si="389"/>
        <v>1.03</v>
      </c>
      <c r="AR398" s="30">
        <f t="shared" si="389"/>
        <v>5.0999999999999996</v>
      </c>
      <c r="AS398" s="30">
        <f t="shared" si="389"/>
        <v>69.37</v>
      </c>
      <c r="AT398" s="31">
        <f t="shared" si="242"/>
        <v>100</v>
      </c>
      <c r="AV398" s="21">
        <f t="shared" si="387"/>
        <v>4760</v>
      </c>
    </row>
    <row r="399" spans="2:48" ht="15.75" customHeight="1" x14ac:dyDescent="0.25">
      <c r="B399" s="32"/>
      <c r="C399" s="18" t="s">
        <v>46</v>
      </c>
      <c r="D399" s="51"/>
      <c r="E399" s="18" t="s">
        <v>48</v>
      </c>
      <c r="F399" s="51"/>
      <c r="G399" s="18">
        <v>50.28</v>
      </c>
      <c r="H399" s="18">
        <v>6.14</v>
      </c>
      <c r="I399" s="18">
        <v>42.59</v>
      </c>
      <c r="J399" s="18">
        <v>0.96</v>
      </c>
      <c r="K399" s="18">
        <v>0.03</v>
      </c>
      <c r="L399" s="22">
        <f t="shared" si="384"/>
        <v>0</v>
      </c>
      <c r="M399" s="18">
        <v>93.2</v>
      </c>
      <c r="N399" s="18">
        <v>6.3</v>
      </c>
      <c r="O399" s="18">
        <v>0.5</v>
      </c>
      <c r="P399" s="18">
        <v>0.22</v>
      </c>
      <c r="Q399" s="18">
        <v>840</v>
      </c>
      <c r="R399" s="18" t="s">
        <v>51</v>
      </c>
      <c r="S399" s="53">
        <v>0</v>
      </c>
      <c r="T399" s="18">
        <v>17.100000000000001</v>
      </c>
      <c r="U399" s="21">
        <v>11.9</v>
      </c>
      <c r="V399" s="21">
        <v>15.4</v>
      </c>
      <c r="W399" s="18">
        <v>1.1100000000000001</v>
      </c>
      <c r="X399" s="18">
        <v>4.8</v>
      </c>
      <c r="Y399" s="49">
        <f t="shared" si="388"/>
        <v>66.789999999999992</v>
      </c>
      <c r="Z399" s="18">
        <f t="shared" si="385"/>
        <v>0.9009009009009008</v>
      </c>
      <c r="AA399" s="18">
        <v>62</v>
      </c>
      <c r="AB399" s="18">
        <v>90</v>
      </c>
      <c r="AC399" s="21">
        <f t="shared" si="386"/>
        <v>4950</v>
      </c>
      <c r="AD399" s="18" t="s">
        <v>51</v>
      </c>
      <c r="AF399" s="1"/>
      <c r="AG399" s="29">
        <v>1.1100000000000001</v>
      </c>
      <c r="AH399" s="29">
        <v>4.95</v>
      </c>
      <c r="AO399" s="30">
        <f t="shared" ref="AO399:AS399" si="390">U399</f>
        <v>11.9</v>
      </c>
      <c r="AP399" s="30">
        <f t="shared" si="390"/>
        <v>15.4</v>
      </c>
      <c r="AQ399" s="30">
        <f t="shared" si="390"/>
        <v>1.1100000000000001</v>
      </c>
      <c r="AR399" s="30">
        <f t="shared" si="390"/>
        <v>4.8</v>
      </c>
      <c r="AS399" s="30">
        <f t="shared" si="390"/>
        <v>66.789999999999992</v>
      </c>
      <c r="AT399" s="31">
        <f t="shared" si="242"/>
        <v>100</v>
      </c>
      <c r="AV399" s="21">
        <f t="shared" si="387"/>
        <v>4950</v>
      </c>
    </row>
    <row r="400" spans="2:48" ht="15.75" customHeight="1" x14ac:dyDescent="0.25">
      <c r="B400" s="32"/>
      <c r="C400" s="18" t="s">
        <v>46</v>
      </c>
      <c r="D400" s="51"/>
      <c r="E400" s="18" t="s">
        <v>48</v>
      </c>
      <c r="F400" s="51"/>
      <c r="G400" s="18">
        <v>50.28</v>
      </c>
      <c r="H400" s="18">
        <v>6.14</v>
      </c>
      <c r="I400" s="18">
        <v>42.59</v>
      </c>
      <c r="J400" s="18">
        <v>0.96</v>
      </c>
      <c r="K400" s="18">
        <v>0.03</v>
      </c>
      <c r="L400" s="22">
        <f t="shared" si="384"/>
        <v>0</v>
      </c>
      <c r="M400" s="18">
        <v>93.2</v>
      </c>
      <c r="N400" s="18">
        <v>6.3</v>
      </c>
      <c r="O400" s="18">
        <v>0.5</v>
      </c>
      <c r="P400" s="18">
        <v>0.45</v>
      </c>
      <c r="Q400" s="18">
        <v>755</v>
      </c>
      <c r="R400" s="18" t="s">
        <v>51</v>
      </c>
      <c r="S400" s="53">
        <v>0</v>
      </c>
      <c r="T400" s="18">
        <v>17.100000000000001</v>
      </c>
      <c r="U400" s="21">
        <v>13.3</v>
      </c>
      <c r="V400" s="21">
        <v>13.8</v>
      </c>
      <c r="W400" s="18">
        <v>1.1399999999999999</v>
      </c>
      <c r="X400" s="18">
        <v>4.5999999999999996</v>
      </c>
      <c r="Y400" s="49">
        <f t="shared" si="388"/>
        <v>67.16</v>
      </c>
      <c r="Z400" s="18">
        <f t="shared" si="385"/>
        <v>0.87719298245614041</v>
      </c>
      <c r="AA400" s="18">
        <v>61</v>
      </c>
      <c r="AB400" s="18">
        <v>92</v>
      </c>
      <c r="AC400" s="21">
        <f t="shared" si="386"/>
        <v>4830</v>
      </c>
      <c r="AD400" s="18" t="s">
        <v>51</v>
      </c>
      <c r="AF400" s="1"/>
      <c r="AG400" s="29">
        <v>1.1399999999999999</v>
      </c>
      <c r="AH400" s="29">
        <v>4.83</v>
      </c>
      <c r="AO400" s="30">
        <f t="shared" ref="AO400:AS400" si="391">U400</f>
        <v>13.3</v>
      </c>
      <c r="AP400" s="30">
        <f t="shared" si="391"/>
        <v>13.8</v>
      </c>
      <c r="AQ400" s="30">
        <f t="shared" si="391"/>
        <v>1.1399999999999999</v>
      </c>
      <c r="AR400" s="30">
        <f t="shared" si="391"/>
        <v>4.5999999999999996</v>
      </c>
      <c r="AS400" s="30">
        <f t="shared" si="391"/>
        <v>67.16</v>
      </c>
      <c r="AT400" s="31">
        <f t="shared" si="242"/>
        <v>100</v>
      </c>
      <c r="AV400" s="21">
        <f t="shared" si="387"/>
        <v>4830</v>
      </c>
    </row>
    <row r="401" spans="2:48" ht="15.75" customHeight="1" x14ac:dyDescent="0.25">
      <c r="B401" s="32"/>
      <c r="C401" s="18" t="s">
        <v>46</v>
      </c>
      <c r="D401" s="51"/>
      <c r="E401" s="18" t="s">
        <v>48</v>
      </c>
      <c r="F401" s="51"/>
      <c r="G401" s="18">
        <v>50.28</v>
      </c>
      <c r="H401" s="18">
        <v>6.14</v>
      </c>
      <c r="I401" s="18">
        <v>42.59</v>
      </c>
      <c r="J401" s="18">
        <v>0.96</v>
      </c>
      <c r="K401" s="18">
        <v>0.03</v>
      </c>
      <c r="L401" s="22">
        <f t="shared" si="384"/>
        <v>0</v>
      </c>
      <c r="M401" s="18">
        <v>93.2</v>
      </c>
      <c r="N401" s="18">
        <v>6.3</v>
      </c>
      <c r="O401" s="18">
        <v>0.5</v>
      </c>
      <c r="P401" s="18">
        <v>0.23</v>
      </c>
      <c r="Q401" s="18">
        <v>840</v>
      </c>
      <c r="R401" s="18" t="s">
        <v>51</v>
      </c>
      <c r="S401" s="53">
        <v>0</v>
      </c>
      <c r="T401" s="18">
        <v>17.100000000000001</v>
      </c>
      <c r="U401" s="21">
        <v>14</v>
      </c>
      <c r="V401" s="21">
        <v>15</v>
      </c>
      <c r="W401" s="18">
        <v>0.97</v>
      </c>
      <c r="X401" s="18">
        <v>4.7</v>
      </c>
      <c r="Y401" s="49">
        <f t="shared" si="388"/>
        <v>65.33</v>
      </c>
      <c r="Z401" s="18">
        <f t="shared" si="385"/>
        <v>1.0309278350515465</v>
      </c>
      <c r="AA401" s="18">
        <v>54</v>
      </c>
      <c r="AB401" s="18">
        <v>90</v>
      </c>
      <c r="AC401" s="21">
        <f t="shared" si="386"/>
        <v>5090</v>
      </c>
      <c r="AD401" s="18" t="s">
        <v>51</v>
      </c>
      <c r="AF401" s="1"/>
      <c r="AG401" s="29">
        <v>0.97</v>
      </c>
      <c r="AH401" s="29">
        <v>5.09</v>
      </c>
      <c r="AO401" s="30">
        <f t="shared" ref="AO401:AS401" si="392">U401</f>
        <v>14</v>
      </c>
      <c r="AP401" s="30">
        <f t="shared" si="392"/>
        <v>15</v>
      </c>
      <c r="AQ401" s="30">
        <f t="shared" si="392"/>
        <v>0.97</v>
      </c>
      <c r="AR401" s="30">
        <f t="shared" si="392"/>
        <v>4.7</v>
      </c>
      <c r="AS401" s="30">
        <f t="shared" si="392"/>
        <v>65.33</v>
      </c>
      <c r="AT401" s="31">
        <f t="shared" si="242"/>
        <v>100</v>
      </c>
      <c r="AV401" s="21">
        <f t="shared" si="387"/>
        <v>5090</v>
      </c>
    </row>
    <row r="402" spans="2:48" ht="15.75" customHeight="1" x14ac:dyDescent="0.25">
      <c r="B402" s="32"/>
      <c r="C402" s="18" t="s">
        <v>46</v>
      </c>
      <c r="D402" s="51"/>
      <c r="E402" s="18" t="s">
        <v>48</v>
      </c>
      <c r="F402" s="51"/>
      <c r="G402" s="18">
        <v>50.28</v>
      </c>
      <c r="H402" s="18">
        <v>6.14</v>
      </c>
      <c r="I402" s="18">
        <v>42.59</v>
      </c>
      <c r="J402" s="18">
        <v>0.96</v>
      </c>
      <c r="K402" s="18">
        <v>0.03</v>
      </c>
      <c r="L402" s="22">
        <f t="shared" si="384"/>
        <v>0</v>
      </c>
      <c r="M402" s="18">
        <v>93.2</v>
      </c>
      <c r="N402" s="18">
        <v>6.3</v>
      </c>
      <c r="O402" s="18">
        <v>0.5</v>
      </c>
      <c r="P402" s="18">
        <v>0.42</v>
      </c>
      <c r="Q402" s="18">
        <v>755</v>
      </c>
      <c r="R402" s="18" t="s">
        <v>51</v>
      </c>
      <c r="S402" s="53">
        <v>0</v>
      </c>
      <c r="T402" s="18">
        <v>17.100000000000001</v>
      </c>
      <c r="U402" s="21">
        <v>16.2</v>
      </c>
      <c r="V402" s="21">
        <v>11.9</v>
      </c>
      <c r="W402" s="18">
        <v>1.06</v>
      </c>
      <c r="X402" s="18">
        <v>5.3</v>
      </c>
      <c r="Y402" s="49">
        <f t="shared" si="388"/>
        <v>65.539999999999992</v>
      </c>
      <c r="Z402" s="18">
        <f t="shared" si="385"/>
        <v>0.94339622641509424</v>
      </c>
      <c r="AA402" s="18">
        <v>57</v>
      </c>
      <c r="AB402" s="18">
        <v>91</v>
      </c>
      <c r="AC402" s="21">
        <f t="shared" si="386"/>
        <v>5150</v>
      </c>
      <c r="AD402" s="18" t="s">
        <v>51</v>
      </c>
      <c r="AF402" s="1"/>
      <c r="AG402" s="29">
        <v>1.06</v>
      </c>
      <c r="AH402" s="29">
        <v>5.15</v>
      </c>
      <c r="AO402" s="30">
        <f t="shared" ref="AO402:AS402" si="393">U402</f>
        <v>16.2</v>
      </c>
      <c r="AP402" s="30">
        <f t="shared" si="393"/>
        <v>11.9</v>
      </c>
      <c r="AQ402" s="30">
        <f t="shared" si="393"/>
        <v>1.06</v>
      </c>
      <c r="AR402" s="30">
        <f t="shared" si="393"/>
        <v>5.3</v>
      </c>
      <c r="AS402" s="30">
        <f t="shared" si="393"/>
        <v>65.539999999999992</v>
      </c>
      <c r="AT402" s="31">
        <f t="shared" si="242"/>
        <v>100</v>
      </c>
      <c r="AV402" s="21">
        <f t="shared" si="387"/>
        <v>5150</v>
      </c>
    </row>
    <row r="403" spans="2:48" ht="15.75" customHeight="1" x14ac:dyDescent="0.25">
      <c r="B403" s="32"/>
      <c r="C403" s="18" t="s">
        <v>46</v>
      </c>
      <c r="D403" s="51"/>
      <c r="E403" s="18" t="s">
        <v>48</v>
      </c>
      <c r="F403" s="51"/>
      <c r="G403" s="18">
        <v>50.28</v>
      </c>
      <c r="H403" s="18">
        <v>6.14</v>
      </c>
      <c r="I403" s="18">
        <v>42.59</v>
      </c>
      <c r="J403" s="18">
        <v>0.96</v>
      </c>
      <c r="K403" s="18">
        <v>0.03</v>
      </c>
      <c r="L403" s="22">
        <f t="shared" si="384"/>
        <v>0</v>
      </c>
      <c r="M403" s="18">
        <v>93.2</v>
      </c>
      <c r="N403" s="18">
        <v>6.3</v>
      </c>
      <c r="O403" s="18">
        <v>0.5</v>
      </c>
      <c r="P403" s="18">
        <v>0.32</v>
      </c>
      <c r="Q403" s="18">
        <v>840</v>
      </c>
      <c r="R403" s="18" t="s">
        <v>51</v>
      </c>
      <c r="S403" s="53">
        <v>0</v>
      </c>
      <c r="T403" s="18">
        <v>17.100000000000001</v>
      </c>
      <c r="U403" s="21">
        <v>16.399999999999999</v>
      </c>
      <c r="V403" s="21">
        <v>18.899999999999999</v>
      </c>
      <c r="W403" s="18">
        <v>1.1299999999999999</v>
      </c>
      <c r="X403" s="18">
        <v>5.55</v>
      </c>
      <c r="Y403" s="49">
        <f t="shared" si="388"/>
        <v>58.02</v>
      </c>
      <c r="Z403" s="18">
        <f t="shared" si="385"/>
        <v>0.88495575221238942</v>
      </c>
      <c r="AA403" s="18">
        <v>64</v>
      </c>
      <c r="AB403" s="18">
        <v>94</v>
      </c>
      <c r="AC403" s="21">
        <f t="shared" si="386"/>
        <v>6120</v>
      </c>
      <c r="AD403" s="18" t="s">
        <v>51</v>
      </c>
      <c r="AF403" s="1"/>
      <c r="AG403" s="29">
        <v>1.1299999999999999</v>
      </c>
      <c r="AH403" s="29">
        <v>6.12</v>
      </c>
      <c r="AO403" s="30">
        <f t="shared" ref="AO403:AS403" si="394">U403</f>
        <v>16.399999999999999</v>
      </c>
      <c r="AP403" s="30">
        <f t="shared" si="394"/>
        <v>18.899999999999999</v>
      </c>
      <c r="AQ403" s="30">
        <f t="shared" si="394"/>
        <v>1.1299999999999999</v>
      </c>
      <c r="AR403" s="30">
        <f t="shared" si="394"/>
        <v>5.55</v>
      </c>
      <c r="AS403" s="30">
        <f t="shared" si="394"/>
        <v>58.02</v>
      </c>
      <c r="AT403" s="31">
        <f t="shared" si="242"/>
        <v>100</v>
      </c>
      <c r="AV403" s="21">
        <f t="shared" si="387"/>
        <v>6120</v>
      </c>
    </row>
    <row r="404" spans="2:48" ht="15.75" customHeight="1" x14ac:dyDescent="0.25">
      <c r="B404" s="32"/>
      <c r="C404" s="18" t="s">
        <v>46</v>
      </c>
      <c r="D404" s="51"/>
      <c r="E404" s="18" t="s">
        <v>48</v>
      </c>
      <c r="F404" s="51"/>
      <c r="G404" s="18">
        <v>50.28</v>
      </c>
      <c r="H404" s="18">
        <v>6.14</v>
      </c>
      <c r="I404" s="18">
        <v>42.59</v>
      </c>
      <c r="J404" s="18">
        <v>0.96</v>
      </c>
      <c r="K404" s="18">
        <v>0.03</v>
      </c>
      <c r="L404" s="22">
        <f t="shared" si="384"/>
        <v>0</v>
      </c>
      <c r="M404" s="18">
        <v>93.2</v>
      </c>
      <c r="N404" s="18">
        <v>6.3</v>
      </c>
      <c r="O404" s="18">
        <v>0.5</v>
      </c>
      <c r="P404" s="18">
        <v>0.6</v>
      </c>
      <c r="Q404" s="18">
        <v>755</v>
      </c>
      <c r="R404" s="18" t="s">
        <v>51</v>
      </c>
      <c r="S404" s="53">
        <v>0</v>
      </c>
      <c r="T404" s="18">
        <v>17.100000000000001</v>
      </c>
      <c r="U404" s="21">
        <v>18.3</v>
      </c>
      <c r="V404" s="21">
        <v>15.7</v>
      </c>
      <c r="W404" s="18">
        <v>1.08</v>
      </c>
      <c r="X404" s="18">
        <v>5.7</v>
      </c>
      <c r="Y404" s="49">
        <f t="shared" si="388"/>
        <v>59.22</v>
      </c>
      <c r="Z404" s="18">
        <f t="shared" si="385"/>
        <v>0.92592592592592582</v>
      </c>
      <c r="AA404" s="18">
        <v>60</v>
      </c>
      <c r="AB404" s="18">
        <v>95</v>
      </c>
      <c r="AC404" s="21">
        <f t="shared" si="386"/>
        <v>6000</v>
      </c>
      <c r="AD404" s="18" t="s">
        <v>51</v>
      </c>
      <c r="AF404" s="1"/>
      <c r="AG404" s="29">
        <v>1.08</v>
      </c>
      <c r="AH404" s="29">
        <v>6</v>
      </c>
      <c r="AO404" s="30">
        <f t="shared" ref="AO404:AS404" si="395">U404</f>
        <v>18.3</v>
      </c>
      <c r="AP404" s="30">
        <f t="shared" si="395"/>
        <v>15.7</v>
      </c>
      <c r="AQ404" s="30">
        <f t="shared" si="395"/>
        <v>1.08</v>
      </c>
      <c r="AR404" s="30">
        <f t="shared" si="395"/>
        <v>5.7</v>
      </c>
      <c r="AS404" s="30">
        <f t="shared" si="395"/>
        <v>59.22</v>
      </c>
      <c r="AT404" s="31">
        <f t="shared" si="242"/>
        <v>100</v>
      </c>
      <c r="AV404" s="21">
        <f t="shared" si="387"/>
        <v>6000</v>
      </c>
    </row>
    <row r="405" spans="2:48" ht="15.75" customHeight="1" x14ac:dyDescent="0.25">
      <c r="B405" s="32"/>
      <c r="C405" s="18" t="s">
        <v>46</v>
      </c>
      <c r="D405" s="51"/>
      <c r="E405" s="18" t="s">
        <v>48</v>
      </c>
      <c r="F405" s="51"/>
      <c r="G405" s="18">
        <v>50.28</v>
      </c>
      <c r="H405" s="18">
        <v>6.14</v>
      </c>
      <c r="I405" s="18">
        <v>42.59</v>
      </c>
      <c r="J405" s="18">
        <v>0.96</v>
      </c>
      <c r="K405" s="18">
        <v>0.03</v>
      </c>
      <c r="L405" s="22">
        <f t="shared" si="384"/>
        <v>0</v>
      </c>
      <c r="M405" s="18">
        <v>93.2</v>
      </c>
      <c r="N405" s="18">
        <v>6.3</v>
      </c>
      <c r="O405" s="18">
        <v>0.5</v>
      </c>
      <c r="P405" s="18">
        <v>0.31</v>
      </c>
      <c r="Q405" s="18">
        <v>840</v>
      </c>
      <c r="R405" s="18" t="s">
        <v>51</v>
      </c>
      <c r="S405" s="53">
        <v>0</v>
      </c>
      <c r="T405" s="18">
        <v>17.100000000000001</v>
      </c>
      <c r="U405" s="21">
        <v>20</v>
      </c>
      <c r="V405" s="21">
        <v>20.8</v>
      </c>
      <c r="W405" s="18">
        <v>0.98</v>
      </c>
      <c r="X405" s="18">
        <v>6.7</v>
      </c>
      <c r="Y405" s="49">
        <f t="shared" si="388"/>
        <v>51.52</v>
      </c>
      <c r="Z405" s="18">
        <f t="shared" si="385"/>
        <v>1.0204081632653061</v>
      </c>
      <c r="AA405" s="18">
        <v>61</v>
      </c>
      <c r="AB405" s="18">
        <v>96</v>
      </c>
      <c r="AC405" s="21">
        <f t="shared" si="386"/>
        <v>7180</v>
      </c>
      <c r="AD405" s="18" t="s">
        <v>51</v>
      </c>
      <c r="AF405" s="1"/>
      <c r="AG405" s="29">
        <v>0.98</v>
      </c>
      <c r="AH405" s="29">
        <v>7.18</v>
      </c>
      <c r="AO405" s="30">
        <f t="shared" ref="AO405:AS405" si="396">U405</f>
        <v>20</v>
      </c>
      <c r="AP405" s="30">
        <f t="shared" si="396"/>
        <v>20.8</v>
      </c>
      <c r="AQ405" s="30">
        <f t="shared" si="396"/>
        <v>0.98</v>
      </c>
      <c r="AR405" s="30">
        <f t="shared" si="396"/>
        <v>6.7</v>
      </c>
      <c r="AS405" s="30">
        <f t="shared" si="396"/>
        <v>51.52</v>
      </c>
      <c r="AT405" s="31">
        <f t="shared" si="242"/>
        <v>100</v>
      </c>
      <c r="AV405" s="21">
        <f t="shared" si="387"/>
        <v>7180</v>
      </c>
    </row>
    <row r="406" spans="2:48" ht="15.75" customHeight="1" x14ac:dyDescent="0.25">
      <c r="B406" s="32"/>
      <c r="C406" s="18" t="s">
        <v>46</v>
      </c>
      <c r="D406" s="51"/>
      <c r="E406" s="18" t="s">
        <v>48</v>
      </c>
      <c r="F406" s="51"/>
      <c r="G406" s="18">
        <v>50.28</v>
      </c>
      <c r="H406" s="18">
        <v>6.14</v>
      </c>
      <c r="I406" s="18">
        <v>42.59</v>
      </c>
      <c r="J406" s="18">
        <v>0.96</v>
      </c>
      <c r="K406" s="18">
        <v>0.03</v>
      </c>
      <c r="L406" s="22">
        <f t="shared" si="384"/>
        <v>0</v>
      </c>
      <c r="M406" s="18">
        <v>93.2</v>
      </c>
      <c r="N406" s="18">
        <v>6.3</v>
      </c>
      <c r="O406" s="18">
        <v>0.5</v>
      </c>
      <c r="P406" s="18">
        <v>0.57999999999999996</v>
      </c>
      <c r="Q406" s="18">
        <v>755</v>
      </c>
      <c r="R406" s="18" t="s">
        <v>51</v>
      </c>
      <c r="S406" s="53">
        <v>0</v>
      </c>
      <c r="T406" s="18">
        <v>17.100000000000001</v>
      </c>
      <c r="U406" s="21">
        <v>17.5</v>
      </c>
      <c r="V406" s="21">
        <v>15.3</v>
      </c>
      <c r="W406" s="18">
        <v>20.3</v>
      </c>
      <c r="X406" s="18">
        <v>7.1</v>
      </c>
      <c r="Y406" s="49">
        <f t="shared" si="388"/>
        <v>39.800000000000004</v>
      </c>
      <c r="Z406" s="18">
        <f t="shared" si="385"/>
        <v>0.96153846153846145</v>
      </c>
      <c r="AA406" s="18">
        <v>60</v>
      </c>
      <c r="AB406" s="18">
        <v>96</v>
      </c>
      <c r="AC406" s="21">
        <f t="shared" si="386"/>
        <v>6880</v>
      </c>
      <c r="AD406" s="18" t="s">
        <v>51</v>
      </c>
      <c r="AF406" s="1"/>
      <c r="AG406" s="29">
        <v>1.04</v>
      </c>
      <c r="AH406" s="29">
        <v>6.88</v>
      </c>
      <c r="AO406" s="30">
        <f t="shared" ref="AO406:AS406" si="397">U406</f>
        <v>17.5</v>
      </c>
      <c r="AP406" s="30">
        <f t="shared" si="397"/>
        <v>15.3</v>
      </c>
      <c r="AQ406" s="30">
        <f t="shared" si="397"/>
        <v>20.3</v>
      </c>
      <c r="AR406" s="30">
        <f t="shared" si="397"/>
        <v>7.1</v>
      </c>
      <c r="AS406" s="30">
        <f t="shared" si="397"/>
        <v>39.800000000000004</v>
      </c>
      <c r="AT406" s="31">
        <f t="shared" si="242"/>
        <v>100</v>
      </c>
      <c r="AV406" s="21">
        <f t="shared" si="387"/>
        <v>6880</v>
      </c>
    </row>
    <row r="407" spans="2:48" ht="15.75" customHeight="1" x14ac:dyDescent="0.25">
      <c r="B407" s="32"/>
      <c r="C407" s="18" t="s">
        <v>46</v>
      </c>
      <c r="D407" s="51"/>
      <c r="E407" s="18" t="s">
        <v>48</v>
      </c>
      <c r="F407" s="51"/>
      <c r="G407" s="18">
        <v>50.28</v>
      </c>
      <c r="H407" s="18">
        <v>6.14</v>
      </c>
      <c r="I407" s="18">
        <v>42.59</v>
      </c>
      <c r="J407" s="18">
        <v>0.96</v>
      </c>
      <c r="K407" s="18">
        <v>0.03</v>
      </c>
      <c r="L407" s="22">
        <f t="shared" si="384"/>
        <v>0</v>
      </c>
      <c r="M407" s="18">
        <v>93.2</v>
      </c>
      <c r="N407" s="18">
        <v>6.3</v>
      </c>
      <c r="O407" s="18">
        <v>0.5</v>
      </c>
      <c r="P407" s="18">
        <v>0.33</v>
      </c>
      <c r="Q407" s="18">
        <v>840</v>
      </c>
      <c r="R407" s="18" t="s">
        <v>51</v>
      </c>
      <c r="S407" s="53">
        <v>0</v>
      </c>
      <c r="T407" s="18">
        <v>17.100000000000001</v>
      </c>
      <c r="U407" s="21">
        <v>16.600000000000001</v>
      </c>
      <c r="V407" s="21">
        <v>20</v>
      </c>
      <c r="W407" s="18">
        <v>16.8</v>
      </c>
      <c r="X407" s="18">
        <v>5.6</v>
      </c>
      <c r="Y407" s="49">
        <f t="shared" si="388"/>
        <v>40.999999999999993</v>
      </c>
      <c r="Z407" s="18">
        <f t="shared" si="385"/>
        <v>0.87719298245614041</v>
      </c>
      <c r="AA407" s="18">
        <v>66</v>
      </c>
      <c r="AB407" s="18">
        <v>95</v>
      </c>
      <c r="AC407" s="21">
        <f t="shared" si="386"/>
        <v>6140</v>
      </c>
      <c r="AD407" s="18" t="s">
        <v>51</v>
      </c>
      <c r="AF407" s="1"/>
      <c r="AG407" s="29">
        <v>1.1399999999999999</v>
      </c>
      <c r="AH407" s="29">
        <v>6.14</v>
      </c>
      <c r="AO407" s="30">
        <f t="shared" ref="AO407:AS407" si="398">U407</f>
        <v>16.600000000000001</v>
      </c>
      <c r="AP407" s="30">
        <f t="shared" si="398"/>
        <v>20</v>
      </c>
      <c r="AQ407" s="30">
        <f t="shared" si="398"/>
        <v>16.8</v>
      </c>
      <c r="AR407" s="30">
        <f t="shared" si="398"/>
        <v>5.6</v>
      </c>
      <c r="AS407" s="30">
        <f t="shared" si="398"/>
        <v>40.999999999999993</v>
      </c>
      <c r="AT407" s="31">
        <f t="shared" si="242"/>
        <v>100</v>
      </c>
      <c r="AV407" s="21">
        <f t="shared" si="387"/>
        <v>6140</v>
      </c>
    </row>
    <row r="408" spans="2:48" ht="15.75" customHeight="1" x14ac:dyDescent="0.25">
      <c r="B408" s="32"/>
      <c r="C408" s="18" t="s">
        <v>46</v>
      </c>
      <c r="D408" s="51"/>
      <c r="E408" s="18" t="s">
        <v>48</v>
      </c>
      <c r="F408" s="51"/>
      <c r="G408" s="18">
        <v>50.28</v>
      </c>
      <c r="H408" s="18">
        <v>6.14</v>
      </c>
      <c r="I408" s="18">
        <v>42.59</v>
      </c>
      <c r="J408" s="18">
        <v>0.96</v>
      </c>
      <c r="K408" s="18">
        <v>0.03</v>
      </c>
      <c r="L408" s="22">
        <f t="shared" si="384"/>
        <v>0</v>
      </c>
      <c r="M408" s="18">
        <v>93.2</v>
      </c>
      <c r="N408" s="18">
        <v>6.3</v>
      </c>
      <c r="O408" s="18">
        <v>0.5</v>
      </c>
      <c r="P408" s="18">
        <v>0.56000000000000005</v>
      </c>
      <c r="Q408" s="18">
        <v>755</v>
      </c>
      <c r="R408" s="18" t="s">
        <v>51</v>
      </c>
      <c r="S408" s="53">
        <v>0</v>
      </c>
      <c r="T408" s="18">
        <v>17.100000000000001</v>
      </c>
      <c r="U408" s="21">
        <v>21.8</v>
      </c>
      <c r="V408" s="21">
        <v>17.5</v>
      </c>
      <c r="W408" s="18">
        <v>18</v>
      </c>
      <c r="X408" s="18">
        <v>6.1</v>
      </c>
      <c r="Y408" s="49">
        <f t="shared" si="388"/>
        <v>36.6</v>
      </c>
      <c r="Z408" s="18">
        <f t="shared" si="385"/>
        <v>1</v>
      </c>
      <c r="AA408" s="18">
        <v>60</v>
      </c>
      <c r="AB408" s="18">
        <v>90</v>
      </c>
      <c r="AC408" s="21">
        <f t="shared" si="386"/>
        <v>6000</v>
      </c>
      <c r="AD408" s="18" t="s">
        <v>51</v>
      </c>
      <c r="AF408" s="1"/>
      <c r="AG408" s="29">
        <v>1</v>
      </c>
      <c r="AH408" s="29">
        <v>6</v>
      </c>
      <c r="AO408" s="30">
        <f t="shared" ref="AO408:AS408" si="399">U408</f>
        <v>21.8</v>
      </c>
      <c r="AP408" s="30">
        <f t="shared" si="399"/>
        <v>17.5</v>
      </c>
      <c r="AQ408" s="30">
        <f t="shared" si="399"/>
        <v>18</v>
      </c>
      <c r="AR408" s="30">
        <f t="shared" si="399"/>
        <v>6.1</v>
      </c>
      <c r="AS408" s="30">
        <f t="shared" si="399"/>
        <v>36.6</v>
      </c>
      <c r="AT408" s="31">
        <f t="shared" si="242"/>
        <v>100</v>
      </c>
      <c r="AV408" s="21">
        <f t="shared" si="387"/>
        <v>6000</v>
      </c>
    </row>
    <row r="409" spans="2:48" ht="15.75" customHeight="1" x14ac:dyDescent="0.25">
      <c r="B409" s="32"/>
      <c r="C409" s="18" t="s">
        <v>46</v>
      </c>
      <c r="D409" s="51"/>
      <c r="E409" s="18" t="s">
        <v>48</v>
      </c>
      <c r="F409" s="51"/>
      <c r="G409" s="18">
        <v>50.28</v>
      </c>
      <c r="H409" s="18">
        <v>6.14</v>
      </c>
      <c r="I409" s="18">
        <v>42.59</v>
      </c>
      <c r="J409" s="18">
        <v>0.96</v>
      </c>
      <c r="K409" s="18">
        <v>0.03</v>
      </c>
      <c r="L409" s="22">
        <f t="shared" si="384"/>
        <v>0</v>
      </c>
      <c r="M409" s="18">
        <v>93.2</v>
      </c>
      <c r="N409" s="18">
        <v>6.3</v>
      </c>
      <c r="O409" s="18">
        <v>0.5</v>
      </c>
      <c r="P409" s="18">
        <v>0.31</v>
      </c>
      <c r="Q409" s="18">
        <v>840</v>
      </c>
      <c r="R409" s="18" t="s">
        <v>51</v>
      </c>
      <c r="S409" s="53">
        <v>0</v>
      </c>
      <c r="T409" s="18">
        <v>17.100000000000001</v>
      </c>
      <c r="U409" s="21">
        <v>22.4</v>
      </c>
      <c r="V409" s="21">
        <v>23.9</v>
      </c>
      <c r="W409" s="18">
        <v>12.6</v>
      </c>
      <c r="X409" s="18">
        <v>7.3</v>
      </c>
      <c r="Y409" s="49">
        <f t="shared" si="388"/>
        <v>33.799999999999997</v>
      </c>
      <c r="Z409" s="18">
        <f t="shared" si="385"/>
        <v>1.0309278350515465</v>
      </c>
      <c r="AA409" s="18">
        <v>64</v>
      </c>
      <c r="AB409" s="18">
        <v>96</v>
      </c>
      <c r="AC409" s="21">
        <f t="shared" si="386"/>
        <v>8060.0000000000009</v>
      </c>
      <c r="AD409" s="18" t="s">
        <v>51</v>
      </c>
      <c r="AF409" s="1"/>
      <c r="AG409" s="29">
        <v>0.97</v>
      </c>
      <c r="AH409" s="29">
        <v>8.06</v>
      </c>
      <c r="AO409" s="30">
        <f t="shared" ref="AO409:AS409" si="400">U409</f>
        <v>22.4</v>
      </c>
      <c r="AP409" s="30">
        <f t="shared" si="400"/>
        <v>23.9</v>
      </c>
      <c r="AQ409" s="30">
        <f t="shared" si="400"/>
        <v>12.6</v>
      </c>
      <c r="AR409" s="30">
        <f t="shared" si="400"/>
        <v>7.3</v>
      </c>
      <c r="AS409" s="30">
        <f t="shared" si="400"/>
        <v>33.799999999999997</v>
      </c>
      <c r="AT409" s="31">
        <f t="shared" si="242"/>
        <v>100</v>
      </c>
      <c r="AV409" s="21">
        <f t="shared" si="387"/>
        <v>8060.0000000000009</v>
      </c>
    </row>
    <row r="410" spans="2:48" ht="15.75" customHeight="1" x14ac:dyDescent="0.25">
      <c r="B410" s="32"/>
      <c r="C410" s="18" t="s">
        <v>46</v>
      </c>
      <c r="D410" s="51"/>
      <c r="E410" s="18" t="s">
        <v>48</v>
      </c>
      <c r="F410" s="51"/>
      <c r="G410" s="18">
        <v>50.28</v>
      </c>
      <c r="H410" s="18">
        <v>6.14</v>
      </c>
      <c r="I410" s="18">
        <v>42.59</v>
      </c>
      <c r="J410" s="18">
        <v>0.96</v>
      </c>
      <c r="K410" s="18">
        <v>0.03</v>
      </c>
      <c r="L410" s="22">
        <f t="shared" si="384"/>
        <v>0</v>
      </c>
      <c r="M410" s="18">
        <v>93.2</v>
      </c>
      <c r="N410" s="18">
        <v>6.3</v>
      </c>
      <c r="O410" s="18">
        <v>0.5</v>
      </c>
      <c r="P410" s="18">
        <v>0.61</v>
      </c>
      <c r="Q410" s="18">
        <v>755</v>
      </c>
      <c r="R410" s="18" t="s">
        <v>51</v>
      </c>
      <c r="S410" s="53">
        <v>0</v>
      </c>
      <c r="T410" s="18">
        <v>17.100000000000001</v>
      </c>
      <c r="U410" s="21">
        <v>25.1</v>
      </c>
      <c r="V410" s="21">
        <v>19.3</v>
      </c>
      <c r="W410" s="18">
        <v>16.2</v>
      </c>
      <c r="X410" s="18">
        <v>7.4</v>
      </c>
      <c r="Y410" s="49">
        <f t="shared" si="388"/>
        <v>31.999999999999986</v>
      </c>
      <c r="Z410" s="18">
        <f t="shared" si="385"/>
        <v>0.96153846153846145</v>
      </c>
      <c r="AA410" s="18">
        <v>65</v>
      </c>
      <c r="AB410" s="18">
        <v>96</v>
      </c>
      <c r="AC410" s="21">
        <f t="shared" si="386"/>
        <v>7810</v>
      </c>
      <c r="AD410" s="18" t="s">
        <v>51</v>
      </c>
      <c r="AF410" s="1"/>
      <c r="AG410" s="29">
        <v>1.04</v>
      </c>
      <c r="AH410" s="29">
        <v>7.81</v>
      </c>
      <c r="AO410" s="30">
        <f t="shared" ref="AO410:AS410" si="401">U410</f>
        <v>25.1</v>
      </c>
      <c r="AP410" s="30">
        <f t="shared" si="401"/>
        <v>19.3</v>
      </c>
      <c r="AQ410" s="30">
        <f t="shared" si="401"/>
        <v>16.2</v>
      </c>
      <c r="AR410" s="30">
        <f t="shared" si="401"/>
        <v>7.4</v>
      </c>
      <c r="AS410" s="30">
        <f t="shared" si="401"/>
        <v>31.999999999999986</v>
      </c>
      <c r="AT410" s="31">
        <f t="shared" si="242"/>
        <v>100</v>
      </c>
      <c r="AV410" s="21">
        <f t="shared" si="387"/>
        <v>7810</v>
      </c>
    </row>
    <row r="411" spans="2:48" ht="15.75" customHeight="1" x14ac:dyDescent="0.25">
      <c r="B411" s="32"/>
      <c r="C411" s="18" t="s">
        <v>46</v>
      </c>
      <c r="D411" s="51"/>
      <c r="E411" s="18" t="s">
        <v>48</v>
      </c>
      <c r="F411" s="51"/>
      <c r="G411" s="18">
        <v>50.28</v>
      </c>
      <c r="H411" s="18">
        <v>6.14</v>
      </c>
      <c r="I411" s="18">
        <v>42.59</v>
      </c>
      <c r="J411" s="18">
        <v>0.96</v>
      </c>
      <c r="K411" s="18">
        <v>0.03</v>
      </c>
      <c r="L411" s="22">
        <f t="shared" si="384"/>
        <v>0</v>
      </c>
      <c r="M411" s="18">
        <v>93.2</v>
      </c>
      <c r="N411" s="18">
        <v>6.3</v>
      </c>
      <c r="O411" s="18">
        <v>0.5</v>
      </c>
      <c r="P411" s="18">
        <v>0.1</v>
      </c>
      <c r="Q411" s="18">
        <v>840</v>
      </c>
      <c r="R411" s="18" t="s">
        <v>51</v>
      </c>
      <c r="S411" s="53">
        <v>0</v>
      </c>
      <c r="T411" s="18">
        <v>17.100000000000001</v>
      </c>
      <c r="U411" s="21">
        <v>18.3</v>
      </c>
      <c r="V411" s="21">
        <v>27.4</v>
      </c>
      <c r="W411" s="18">
        <v>16.2</v>
      </c>
      <c r="X411" s="18">
        <v>7.3</v>
      </c>
      <c r="Y411" s="49">
        <f t="shared" si="388"/>
        <v>30.799999999999997</v>
      </c>
      <c r="Z411" s="18">
        <f t="shared" si="385"/>
        <v>0.95238095238095233</v>
      </c>
      <c r="AA411" s="18">
        <v>67</v>
      </c>
      <c r="AB411" s="18">
        <v>97</v>
      </c>
      <c r="AC411" s="21">
        <f t="shared" si="386"/>
        <v>8060.0000000000009</v>
      </c>
      <c r="AD411" s="18" t="s">
        <v>51</v>
      </c>
      <c r="AF411" s="1"/>
      <c r="AG411" s="29">
        <v>1.05</v>
      </c>
      <c r="AH411" s="29">
        <v>8.06</v>
      </c>
      <c r="AO411" s="30">
        <f t="shared" ref="AO411:AS411" si="402">U411</f>
        <v>18.3</v>
      </c>
      <c r="AP411" s="30">
        <f t="shared" si="402"/>
        <v>27.4</v>
      </c>
      <c r="AQ411" s="30">
        <f t="shared" si="402"/>
        <v>16.2</v>
      </c>
      <c r="AR411" s="30">
        <f t="shared" si="402"/>
        <v>7.3</v>
      </c>
      <c r="AS411" s="30">
        <f t="shared" si="402"/>
        <v>30.799999999999997</v>
      </c>
      <c r="AT411" s="31">
        <f t="shared" si="242"/>
        <v>100</v>
      </c>
      <c r="AV411" s="21">
        <f t="shared" si="387"/>
        <v>8060.0000000000009</v>
      </c>
    </row>
    <row r="412" spans="2:48" ht="15.75" customHeight="1" x14ac:dyDescent="0.25">
      <c r="B412" s="32"/>
      <c r="C412" s="18" t="s">
        <v>46</v>
      </c>
      <c r="D412" s="51"/>
      <c r="E412" s="18" t="s">
        <v>48</v>
      </c>
      <c r="F412" s="51"/>
      <c r="G412" s="18">
        <v>50.28</v>
      </c>
      <c r="H412" s="18">
        <v>6.14</v>
      </c>
      <c r="I412" s="18">
        <v>42.59</v>
      </c>
      <c r="J412" s="18">
        <v>0.96</v>
      </c>
      <c r="K412" s="18">
        <v>0.03</v>
      </c>
      <c r="L412" s="22">
        <f t="shared" si="384"/>
        <v>0</v>
      </c>
      <c r="M412" s="18">
        <v>93.2</v>
      </c>
      <c r="N412" s="18">
        <v>6.3</v>
      </c>
      <c r="O412" s="18">
        <v>0.5</v>
      </c>
      <c r="P412" s="18">
        <v>0.28999999999999998</v>
      </c>
      <c r="Q412" s="18">
        <v>755</v>
      </c>
      <c r="R412" s="18" t="s">
        <v>51</v>
      </c>
      <c r="S412" s="53">
        <v>0</v>
      </c>
      <c r="T412" s="18">
        <v>17.100000000000001</v>
      </c>
      <c r="U412" s="21">
        <v>23.1</v>
      </c>
      <c r="V412" s="21">
        <v>25.1</v>
      </c>
      <c r="W412" s="18">
        <v>13.7</v>
      </c>
      <c r="X412" s="18">
        <v>6.5</v>
      </c>
      <c r="Y412" s="49">
        <f t="shared" si="388"/>
        <v>31.599999999999994</v>
      </c>
      <c r="Z412" s="18">
        <f t="shared" si="385"/>
        <v>0.9174311926605504</v>
      </c>
      <c r="AA412" s="18">
        <v>69</v>
      </c>
      <c r="AB412" s="18">
        <v>96</v>
      </c>
      <c r="AC412" s="21">
        <f t="shared" si="386"/>
        <v>8000</v>
      </c>
      <c r="AD412" s="18" t="s">
        <v>51</v>
      </c>
      <c r="AF412" s="1"/>
      <c r="AG412" s="29">
        <v>1.0900000000000001</v>
      </c>
      <c r="AH412" s="29">
        <v>8</v>
      </c>
      <c r="AO412" s="30">
        <f t="shared" ref="AO412:AS412" si="403">U412</f>
        <v>23.1</v>
      </c>
      <c r="AP412" s="30">
        <f t="shared" si="403"/>
        <v>25.1</v>
      </c>
      <c r="AQ412" s="30">
        <f t="shared" si="403"/>
        <v>13.7</v>
      </c>
      <c r="AR412" s="30">
        <f t="shared" si="403"/>
        <v>6.5</v>
      </c>
      <c r="AS412" s="30">
        <f t="shared" si="403"/>
        <v>31.599999999999994</v>
      </c>
      <c r="AT412" s="31">
        <f t="shared" si="242"/>
        <v>100</v>
      </c>
      <c r="AV412" s="21">
        <f t="shared" si="387"/>
        <v>8000</v>
      </c>
    </row>
    <row r="413" spans="2:48" ht="15.75" customHeight="1" x14ac:dyDescent="0.25">
      <c r="B413" s="32"/>
      <c r="C413" s="18" t="s">
        <v>46</v>
      </c>
      <c r="D413" s="51"/>
      <c r="E413" s="18" t="s">
        <v>48</v>
      </c>
      <c r="F413" s="51"/>
      <c r="G413" s="18">
        <v>50.28</v>
      </c>
      <c r="H413" s="18">
        <v>6.14</v>
      </c>
      <c r="I413" s="18">
        <v>42.59</v>
      </c>
      <c r="J413" s="18">
        <v>0.96</v>
      </c>
      <c r="K413" s="18">
        <v>0.03</v>
      </c>
      <c r="L413" s="22">
        <f t="shared" si="384"/>
        <v>0</v>
      </c>
      <c r="M413" s="18">
        <v>93.2</v>
      </c>
      <c r="N413" s="18">
        <v>6.3</v>
      </c>
      <c r="O413" s="18">
        <v>0.5</v>
      </c>
      <c r="P413" s="18">
        <v>0.36</v>
      </c>
      <c r="Q413" s="18">
        <v>840</v>
      </c>
      <c r="R413" s="18" t="s">
        <v>51</v>
      </c>
      <c r="S413" s="53">
        <v>0</v>
      </c>
      <c r="T413" s="18">
        <v>17.100000000000001</v>
      </c>
      <c r="U413" s="21">
        <v>22.3</v>
      </c>
      <c r="V413" s="21">
        <v>23.9</v>
      </c>
      <c r="W413" s="18">
        <v>14.6</v>
      </c>
      <c r="X413" s="18">
        <v>6.7</v>
      </c>
      <c r="Y413" s="49">
        <f t="shared" si="388"/>
        <v>32.5</v>
      </c>
      <c r="Z413" s="18">
        <f t="shared" si="385"/>
        <v>0.9174311926605504</v>
      </c>
      <c r="AA413" s="18">
        <v>69</v>
      </c>
      <c r="AB413" s="18">
        <v>96</v>
      </c>
      <c r="AC413" s="21">
        <f t="shared" si="386"/>
        <v>7830</v>
      </c>
      <c r="AD413" s="18" t="s">
        <v>51</v>
      </c>
      <c r="AF413" s="1"/>
      <c r="AG413" s="29">
        <v>1.0900000000000001</v>
      </c>
      <c r="AH413" s="29">
        <v>7.83</v>
      </c>
      <c r="AO413" s="30">
        <f t="shared" ref="AO413:AS413" si="404">U413</f>
        <v>22.3</v>
      </c>
      <c r="AP413" s="30">
        <f t="shared" si="404"/>
        <v>23.9</v>
      </c>
      <c r="AQ413" s="30">
        <f t="shared" si="404"/>
        <v>14.6</v>
      </c>
      <c r="AR413" s="30">
        <f t="shared" si="404"/>
        <v>6.7</v>
      </c>
      <c r="AS413" s="30">
        <f t="shared" si="404"/>
        <v>32.5</v>
      </c>
      <c r="AT413" s="31">
        <f t="shared" si="242"/>
        <v>100</v>
      </c>
      <c r="AV413" s="21">
        <f t="shared" si="387"/>
        <v>7830</v>
      </c>
    </row>
    <row r="414" spans="2:48" ht="15.75" customHeight="1" x14ac:dyDescent="0.25">
      <c r="B414" s="32"/>
      <c r="C414" s="18" t="s">
        <v>46</v>
      </c>
      <c r="D414" s="51"/>
      <c r="E414" s="18" t="s">
        <v>48</v>
      </c>
      <c r="F414" s="51"/>
      <c r="G414" s="18">
        <v>50.28</v>
      </c>
      <c r="H414" s="18">
        <v>6.14</v>
      </c>
      <c r="I414" s="18">
        <v>42.59</v>
      </c>
      <c r="J414" s="18">
        <v>0.96</v>
      </c>
      <c r="K414" s="18">
        <v>0.03</v>
      </c>
      <c r="L414" s="22">
        <f t="shared" si="384"/>
        <v>0</v>
      </c>
      <c r="M414" s="18">
        <v>93.2</v>
      </c>
      <c r="N414" s="18">
        <v>6.3</v>
      </c>
      <c r="O414" s="18">
        <v>0.5</v>
      </c>
      <c r="P414" s="18">
        <v>0.54</v>
      </c>
      <c r="Q414" s="18">
        <v>755</v>
      </c>
      <c r="R414" s="18" t="s">
        <v>51</v>
      </c>
      <c r="S414" s="53">
        <v>0</v>
      </c>
      <c r="T414" s="18">
        <v>17.100000000000001</v>
      </c>
      <c r="U414" s="21">
        <v>24.5</v>
      </c>
      <c r="V414" s="21">
        <v>20.2</v>
      </c>
      <c r="W414" s="18">
        <v>16.7</v>
      </c>
      <c r="X414" s="18">
        <v>6.8</v>
      </c>
      <c r="Y414" s="49">
        <f t="shared" si="388"/>
        <v>31.799999999999997</v>
      </c>
      <c r="Z414" s="18">
        <f t="shared" si="385"/>
        <v>0.95238095238095233</v>
      </c>
      <c r="AA414" s="18">
        <v>64</v>
      </c>
      <c r="AB414" s="18">
        <v>97</v>
      </c>
      <c r="AC414" s="21">
        <f t="shared" si="386"/>
        <v>7670</v>
      </c>
      <c r="AD414" s="18" t="s">
        <v>51</v>
      </c>
      <c r="AF414" s="1"/>
      <c r="AG414" s="29">
        <v>1.05</v>
      </c>
      <c r="AH414" s="29">
        <v>7.67</v>
      </c>
      <c r="AO414" s="30">
        <f t="shared" ref="AO414:AS414" si="405">U414</f>
        <v>24.5</v>
      </c>
      <c r="AP414" s="30">
        <f t="shared" si="405"/>
        <v>20.2</v>
      </c>
      <c r="AQ414" s="30">
        <f t="shared" si="405"/>
        <v>16.7</v>
      </c>
      <c r="AR414" s="30">
        <f t="shared" si="405"/>
        <v>6.8</v>
      </c>
      <c r="AS414" s="30">
        <f t="shared" si="405"/>
        <v>31.799999999999997</v>
      </c>
      <c r="AT414" s="31">
        <f t="shared" si="242"/>
        <v>100</v>
      </c>
      <c r="AV414" s="21">
        <f t="shared" si="387"/>
        <v>7670</v>
      </c>
    </row>
    <row r="415" spans="2:48" ht="15.75" customHeight="1" x14ac:dyDescent="0.25">
      <c r="B415" s="32"/>
      <c r="C415" s="18" t="s">
        <v>46</v>
      </c>
      <c r="D415" s="51"/>
      <c r="E415" s="18" t="s">
        <v>48</v>
      </c>
      <c r="F415" s="51"/>
      <c r="G415" s="18">
        <v>50.28</v>
      </c>
      <c r="H415" s="18">
        <v>6.14</v>
      </c>
      <c r="I415" s="18">
        <v>42.59</v>
      </c>
      <c r="J415" s="18">
        <v>0.96</v>
      </c>
      <c r="K415" s="18">
        <v>0.03</v>
      </c>
      <c r="L415" s="22">
        <f t="shared" si="384"/>
        <v>0</v>
      </c>
      <c r="M415" s="18">
        <v>93.2</v>
      </c>
      <c r="N415" s="18">
        <v>6.3</v>
      </c>
      <c r="O415" s="18">
        <v>0.5</v>
      </c>
      <c r="P415" s="18">
        <v>0.56999999999999995</v>
      </c>
      <c r="Q415" s="18">
        <v>840</v>
      </c>
      <c r="R415" s="18" t="s">
        <v>51</v>
      </c>
      <c r="S415" s="53">
        <v>0</v>
      </c>
      <c r="T415" s="18">
        <v>17.100000000000001</v>
      </c>
      <c r="U415" s="21">
        <v>25.7</v>
      </c>
      <c r="V415" s="21">
        <v>19.3</v>
      </c>
      <c r="W415" s="18">
        <v>17</v>
      </c>
      <c r="X415" s="18">
        <v>6.7</v>
      </c>
      <c r="Y415" s="49">
        <f t="shared" si="388"/>
        <v>31.299999999999997</v>
      </c>
      <c r="Z415" s="18">
        <f t="shared" si="385"/>
        <v>0.90909090909090906</v>
      </c>
      <c r="AA415" s="18">
        <v>66</v>
      </c>
      <c r="AB415" s="18">
        <v>96</v>
      </c>
      <c r="AC415" s="21">
        <f t="shared" si="386"/>
        <v>7620</v>
      </c>
      <c r="AD415" s="18" t="s">
        <v>51</v>
      </c>
      <c r="AF415" s="1"/>
      <c r="AG415" s="29">
        <v>1.1000000000000001</v>
      </c>
      <c r="AH415" s="29">
        <v>7.62</v>
      </c>
      <c r="AO415" s="30">
        <f t="shared" ref="AO415:AS415" si="406">U415</f>
        <v>25.7</v>
      </c>
      <c r="AP415" s="30">
        <f t="shared" si="406"/>
        <v>19.3</v>
      </c>
      <c r="AQ415" s="30">
        <f t="shared" si="406"/>
        <v>17</v>
      </c>
      <c r="AR415" s="30">
        <f t="shared" si="406"/>
        <v>6.7</v>
      </c>
      <c r="AS415" s="30">
        <f t="shared" si="406"/>
        <v>31.299999999999997</v>
      </c>
      <c r="AT415" s="31">
        <f t="shared" si="242"/>
        <v>100</v>
      </c>
      <c r="AV415" s="21">
        <f t="shared" si="387"/>
        <v>7620</v>
      </c>
    </row>
    <row r="416" spans="2:48" ht="15.75" customHeight="1" x14ac:dyDescent="0.25">
      <c r="B416" s="32"/>
      <c r="C416" s="18" t="s">
        <v>46</v>
      </c>
      <c r="D416" s="51"/>
      <c r="E416" s="18" t="s">
        <v>48</v>
      </c>
      <c r="F416" s="51"/>
      <c r="G416" s="18">
        <v>50.28</v>
      </c>
      <c r="H416" s="18">
        <v>6.14</v>
      </c>
      <c r="I416" s="18">
        <v>42.59</v>
      </c>
      <c r="J416" s="18">
        <v>0.96</v>
      </c>
      <c r="K416" s="18">
        <v>0.03</v>
      </c>
      <c r="L416" s="22">
        <f t="shared" si="384"/>
        <v>0</v>
      </c>
      <c r="M416" s="18">
        <v>93.2</v>
      </c>
      <c r="N416" s="18">
        <v>6.3</v>
      </c>
      <c r="O416" s="18">
        <v>0.5</v>
      </c>
      <c r="P416" s="18">
        <v>0.3</v>
      </c>
      <c r="Q416" s="18">
        <v>755</v>
      </c>
      <c r="R416" s="18" t="s">
        <v>51</v>
      </c>
      <c r="S416" s="53">
        <v>0</v>
      </c>
      <c r="T416" s="18">
        <v>17.100000000000001</v>
      </c>
      <c r="U416" s="21">
        <v>25.7</v>
      </c>
      <c r="V416" s="21">
        <v>28.5</v>
      </c>
      <c r="W416" s="18">
        <v>9.1999999999999993</v>
      </c>
      <c r="X416" s="18">
        <v>8.1</v>
      </c>
      <c r="Y416" s="49">
        <f t="shared" si="388"/>
        <v>28.5</v>
      </c>
      <c r="Z416" s="18">
        <f t="shared" si="385"/>
        <v>1.0416666666666667</v>
      </c>
      <c r="AA416" s="18">
        <v>68</v>
      </c>
      <c r="AB416" s="18">
        <v>97</v>
      </c>
      <c r="AC416" s="21">
        <f t="shared" si="386"/>
        <v>9280</v>
      </c>
      <c r="AD416" s="18" t="s">
        <v>51</v>
      </c>
      <c r="AF416" s="1"/>
      <c r="AG416" s="29">
        <v>0.96</v>
      </c>
      <c r="AH416" s="29">
        <v>9.2799999999999994</v>
      </c>
      <c r="AO416" s="30">
        <f t="shared" ref="AO416:AS416" si="407">U416</f>
        <v>25.7</v>
      </c>
      <c r="AP416" s="30">
        <f t="shared" si="407"/>
        <v>28.5</v>
      </c>
      <c r="AQ416" s="30">
        <f t="shared" si="407"/>
        <v>9.1999999999999993</v>
      </c>
      <c r="AR416" s="30">
        <f t="shared" si="407"/>
        <v>8.1</v>
      </c>
      <c r="AS416" s="30">
        <f t="shared" si="407"/>
        <v>28.5</v>
      </c>
      <c r="AT416" s="31">
        <f t="shared" si="242"/>
        <v>100</v>
      </c>
      <c r="AV416" s="21">
        <f t="shared" si="387"/>
        <v>9280</v>
      </c>
    </row>
    <row r="417" spans="1:50" ht="15.75" customHeight="1" x14ac:dyDescent="0.25">
      <c r="B417" s="32"/>
      <c r="C417" s="18" t="s">
        <v>46</v>
      </c>
      <c r="D417" s="51"/>
      <c r="E417" s="18" t="s">
        <v>48</v>
      </c>
      <c r="F417" s="51"/>
      <c r="G417" s="18">
        <v>50.28</v>
      </c>
      <c r="H417" s="18">
        <v>6.14</v>
      </c>
      <c r="I417" s="18">
        <v>42.59</v>
      </c>
      <c r="J417" s="18">
        <v>0.96</v>
      </c>
      <c r="K417" s="18">
        <v>0.03</v>
      </c>
      <c r="L417" s="22">
        <f t="shared" si="384"/>
        <v>0</v>
      </c>
      <c r="M417" s="18">
        <v>93.2</v>
      </c>
      <c r="N417" s="18">
        <v>6.3</v>
      </c>
      <c r="O417" s="18">
        <v>0.5</v>
      </c>
      <c r="P417" s="18">
        <v>0.56000000000000005</v>
      </c>
      <c r="Q417" s="18">
        <v>840</v>
      </c>
      <c r="R417" s="18" t="s">
        <v>51</v>
      </c>
      <c r="S417" s="53">
        <v>0</v>
      </c>
      <c r="T417" s="18">
        <v>17.100000000000001</v>
      </c>
      <c r="U417" s="21">
        <v>27.5</v>
      </c>
      <c r="V417" s="21">
        <v>23.5</v>
      </c>
      <c r="W417" s="18">
        <v>14.6</v>
      </c>
      <c r="X417" s="18">
        <v>7.7</v>
      </c>
      <c r="Y417" s="49">
        <f t="shared" si="388"/>
        <v>26.700000000000003</v>
      </c>
      <c r="Z417" s="18">
        <f t="shared" si="385"/>
        <v>1.0204081632653061</v>
      </c>
      <c r="AA417" s="18">
        <v>63</v>
      </c>
      <c r="AB417" s="18">
        <v>97</v>
      </c>
      <c r="AC417" s="21">
        <f t="shared" si="386"/>
        <v>8700</v>
      </c>
      <c r="AD417" s="18" t="s">
        <v>51</v>
      </c>
      <c r="AF417" s="1"/>
      <c r="AG417" s="29">
        <v>0.98</v>
      </c>
      <c r="AH417" s="29">
        <v>8.6999999999999993</v>
      </c>
      <c r="AO417" s="30">
        <f t="shared" ref="AO417:AS417" si="408">U417</f>
        <v>27.5</v>
      </c>
      <c r="AP417" s="30">
        <f t="shared" si="408"/>
        <v>23.5</v>
      </c>
      <c r="AQ417" s="30">
        <f t="shared" si="408"/>
        <v>14.6</v>
      </c>
      <c r="AR417" s="30">
        <f t="shared" si="408"/>
        <v>7.7</v>
      </c>
      <c r="AS417" s="30">
        <f t="shared" si="408"/>
        <v>26.700000000000003</v>
      </c>
      <c r="AT417" s="31">
        <f t="shared" si="242"/>
        <v>100</v>
      </c>
      <c r="AV417" s="21">
        <f t="shared" si="387"/>
        <v>8700</v>
      </c>
    </row>
    <row r="418" spans="1:50" ht="15.75" customHeight="1" x14ac:dyDescent="0.25">
      <c r="B418" s="32"/>
      <c r="C418" s="18" t="s">
        <v>46</v>
      </c>
      <c r="D418" s="51"/>
      <c r="E418" s="18" t="s">
        <v>48</v>
      </c>
      <c r="F418" s="51"/>
      <c r="G418" s="18">
        <v>42.72</v>
      </c>
      <c r="H418" s="18">
        <v>6.07</v>
      </c>
      <c r="I418" s="18">
        <v>50.3</v>
      </c>
      <c r="J418" s="18">
        <v>0.77</v>
      </c>
      <c r="K418" s="18">
        <v>0.14000000000000001</v>
      </c>
      <c r="L418" s="22">
        <f t="shared" si="384"/>
        <v>17.299999999999983</v>
      </c>
      <c r="M418" s="18">
        <v>64.400000000000006</v>
      </c>
      <c r="N418" s="18">
        <v>10.4</v>
      </c>
      <c r="O418" s="18">
        <v>7.9</v>
      </c>
      <c r="P418" s="18">
        <v>0.36</v>
      </c>
      <c r="Q418" s="18">
        <v>740</v>
      </c>
      <c r="R418" s="18" t="s">
        <v>51</v>
      </c>
      <c r="S418" s="53">
        <v>0</v>
      </c>
      <c r="T418" s="18">
        <v>16.36</v>
      </c>
      <c r="U418" s="21">
        <v>8.74</v>
      </c>
      <c r="V418" s="21">
        <v>9.84</v>
      </c>
      <c r="W418" s="18">
        <v>7.1</v>
      </c>
      <c r="X418" s="18">
        <v>3.97</v>
      </c>
      <c r="Y418" s="49">
        <f t="shared" si="388"/>
        <v>70.349999999999994</v>
      </c>
      <c r="Z418" s="18">
        <f t="shared" si="385"/>
        <v>0.68493150684931503</v>
      </c>
      <c r="AA418" s="18">
        <v>35.229999999999997</v>
      </c>
      <c r="AB418" s="18">
        <v>39</v>
      </c>
      <c r="AC418" s="21">
        <f t="shared" si="386"/>
        <v>3610</v>
      </c>
      <c r="AD418" s="18" t="s">
        <v>51</v>
      </c>
      <c r="AF418" s="1"/>
      <c r="AG418" s="29">
        <v>1.46</v>
      </c>
      <c r="AH418" s="29">
        <v>3.61</v>
      </c>
      <c r="AO418" s="30">
        <f t="shared" ref="AO418:AS418" si="409">U418</f>
        <v>8.74</v>
      </c>
      <c r="AP418" s="30">
        <f t="shared" si="409"/>
        <v>9.84</v>
      </c>
      <c r="AQ418" s="30">
        <f t="shared" si="409"/>
        <v>7.1</v>
      </c>
      <c r="AR418" s="30">
        <f t="shared" si="409"/>
        <v>3.97</v>
      </c>
      <c r="AS418" s="30">
        <f t="shared" si="409"/>
        <v>70.349999999999994</v>
      </c>
      <c r="AT418" s="31">
        <f t="shared" si="242"/>
        <v>100</v>
      </c>
      <c r="AV418" s="21">
        <f t="shared" si="387"/>
        <v>3610</v>
      </c>
    </row>
    <row r="419" spans="1:50" ht="15.75" customHeight="1" x14ac:dyDescent="0.25">
      <c r="B419" s="32"/>
      <c r="C419" s="18" t="s">
        <v>46</v>
      </c>
      <c r="D419" s="51"/>
      <c r="E419" s="18" t="s">
        <v>48</v>
      </c>
      <c r="F419" s="51"/>
      <c r="G419" s="18">
        <v>42.72</v>
      </c>
      <c r="H419" s="18">
        <v>6.07</v>
      </c>
      <c r="I419" s="18">
        <v>50.3</v>
      </c>
      <c r="J419" s="18">
        <v>0.77</v>
      </c>
      <c r="K419" s="18">
        <v>0.14000000000000001</v>
      </c>
      <c r="L419" s="22">
        <f t="shared" si="384"/>
        <v>17.299999999999983</v>
      </c>
      <c r="M419" s="18">
        <v>64.400000000000006</v>
      </c>
      <c r="N419" s="18">
        <v>10.4</v>
      </c>
      <c r="O419" s="18">
        <v>7.9</v>
      </c>
      <c r="P419" s="18">
        <v>0.36</v>
      </c>
      <c r="Q419" s="18">
        <v>700</v>
      </c>
      <c r="R419" s="18" t="s">
        <v>51</v>
      </c>
      <c r="S419" s="53">
        <v>0</v>
      </c>
      <c r="T419" s="18">
        <v>16.36</v>
      </c>
      <c r="U419" s="21">
        <v>7.68</v>
      </c>
      <c r="V419" s="21">
        <v>9.49</v>
      </c>
      <c r="W419" s="18">
        <v>7.2</v>
      </c>
      <c r="X419" s="18">
        <v>3.89</v>
      </c>
      <c r="Y419" s="49">
        <f t="shared" si="388"/>
        <v>71.739999999999995</v>
      </c>
      <c r="Z419" s="18">
        <f t="shared" si="385"/>
        <v>0.69930069930069938</v>
      </c>
      <c r="AA419" s="18">
        <v>32.71</v>
      </c>
      <c r="AB419" s="18">
        <v>37.700000000000003</v>
      </c>
      <c r="AC419" s="21">
        <f t="shared" si="386"/>
        <v>3420</v>
      </c>
      <c r="AD419" s="18" t="s">
        <v>51</v>
      </c>
      <c r="AF419" s="1"/>
      <c r="AG419" s="29">
        <v>1.43</v>
      </c>
      <c r="AH419" s="29">
        <v>3.42</v>
      </c>
      <c r="AO419" s="30">
        <f t="shared" ref="AO419:AS419" si="410">U419</f>
        <v>7.68</v>
      </c>
      <c r="AP419" s="30">
        <f t="shared" si="410"/>
        <v>9.49</v>
      </c>
      <c r="AQ419" s="30">
        <f t="shared" si="410"/>
        <v>7.2</v>
      </c>
      <c r="AR419" s="30">
        <f t="shared" si="410"/>
        <v>3.89</v>
      </c>
      <c r="AS419" s="30">
        <f t="shared" si="410"/>
        <v>71.739999999999995</v>
      </c>
      <c r="AT419" s="31">
        <f t="shared" si="242"/>
        <v>100</v>
      </c>
      <c r="AV419" s="21">
        <f t="shared" si="387"/>
        <v>3420</v>
      </c>
    </row>
    <row r="420" spans="1:50" ht="15.75" customHeight="1" x14ac:dyDescent="0.25">
      <c r="B420" s="32"/>
      <c r="C420" s="18" t="s">
        <v>46</v>
      </c>
      <c r="D420" s="51"/>
      <c r="E420" s="18" t="s">
        <v>48</v>
      </c>
      <c r="F420" s="51"/>
      <c r="G420" s="18">
        <v>42.72</v>
      </c>
      <c r="H420" s="18">
        <v>6.07</v>
      </c>
      <c r="I420" s="18">
        <v>50.3</v>
      </c>
      <c r="J420" s="18">
        <v>0.77</v>
      </c>
      <c r="K420" s="18">
        <v>0.14000000000000001</v>
      </c>
      <c r="L420" s="22">
        <f t="shared" si="384"/>
        <v>17.299999999999983</v>
      </c>
      <c r="M420" s="18">
        <v>64.400000000000006</v>
      </c>
      <c r="N420" s="18">
        <v>10.4</v>
      </c>
      <c r="O420" s="18">
        <v>7.9</v>
      </c>
      <c r="P420" s="18">
        <v>0.36</v>
      </c>
      <c r="Q420" s="18">
        <v>740</v>
      </c>
      <c r="R420" s="18" t="s">
        <v>51</v>
      </c>
      <c r="S420" s="53">
        <v>0</v>
      </c>
      <c r="T420" s="18">
        <v>16.36</v>
      </c>
      <c r="U420" s="21">
        <v>6.9</v>
      </c>
      <c r="V420" s="21">
        <v>9.1</v>
      </c>
      <c r="W420" s="18">
        <v>7.8</v>
      </c>
      <c r="X420" s="18">
        <v>8.1</v>
      </c>
      <c r="Y420" s="49">
        <f t="shared" si="388"/>
        <v>68.099999999999994</v>
      </c>
      <c r="Z420" s="18">
        <f t="shared" si="385"/>
        <v>0.59171597633136097</v>
      </c>
      <c r="AA420" s="18">
        <v>59.2</v>
      </c>
      <c r="AB420" s="18">
        <v>54.8</v>
      </c>
      <c r="AC420" s="21">
        <f t="shared" si="386"/>
        <v>4800</v>
      </c>
      <c r="AD420" s="18" t="s">
        <v>51</v>
      </c>
      <c r="AF420" s="1"/>
      <c r="AG420" s="29">
        <v>1.69</v>
      </c>
      <c r="AH420" s="29">
        <v>4.8</v>
      </c>
      <c r="AO420" s="30">
        <f t="shared" ref="AO420:AS420" si="411">U420</f>
        <v>6.9</v>
      </c>
      <c r="AP420" s="30">
        <f t="shared" si="411"/>
        <v>9.1</v>
      </c>
      <c r="AQ420" s="30">
        <f t="shared" si="411"/>
        <v>7.8</v>
      </c>
      <c r="AR420" s="30">
        <f t="shared" si="411"/>
        <v>8.1</v>
      </c>
      <c r="AS420" s="30">
        <f t="shared" si="411"/>
        <v>68.099999999999994</v>
      </c>
      <c r="AT420" s="31">
        <f t="shared" si="242"/>
        <v>100</v>
      </c>
      <c r="AV420" s="21">
        <f t="shared" si="387"/>
        <v>4800</v>
      </c>
    </row>
    <row r="421" spans="1:50" ht="15.75" customHeight="1" x14ac:dyDescent="0.25">
      <c r="B421" s="32"/>
      <c r="C421" s="18" t="s">
        <v>46</v>
      </c>
      <c r="D421" s="51"/>
      <c r="E421" s="18" t="s">
        <v>48</v>
      </c>
      <c r="F421" s="51"/>
      <c r="G421" s="18">
        <v>42.72</v>
      </c>
      <c r="H421" s="18">
        <v>6.07</v>
      </c>
      <c r="I421" s="18">
        <v>50.3</v>
      </c>
      <c r="J421" s="18">
        <v>0.77</v>
      </c>
      <c r="K421" s="18">
        <v>0.14000000000000001</v>
      </c>
      <c r="L421" s="22">
        <f t="shared" si="384"/>
        <v>17.299999999999983</v>
      </c>
      <c r="M421" s="18">
        <v>64.400000000000006</v>
      </c>
      <c r="N421" s="18">
        <v>10.4</v>
      </c>
      <c r="O421" s="18">
        <v>7.9</v>
      </c>
      <c r="P421" s="18">
        <v>0.36</v>
      </c>
      <c r="Q421" s="18">
        <v>700</v>
      </c>
      <c r="R421" s="18" t="s">
        <v>51</v>
      </c>
      <c r="S421" s="53">
        <v>0</v>
      </c>
      <c r="T421" s="18">
        <v>16.36</v>
      </c>
      <c r="U421" s="21">
        <v>5.9</v>
      </c>
      <c r="V421" s="21">
        <v>7.6</v>
      </c>
      <c r="W421" s="18">
        <v>8.9</v>
      </c>
      <c r="X421" s="18">
        <v>5.4</v>
      </c>
      <c r="Y421" s="49">
        <f t="shared" si="388"/>
        <v>72.2</v>
      </c>
      <c r="Z421" s="18">
        <f t="shared" si="385"/>
        <v>0.64516129032258063</v>
      </c>
      <c r="AA421" s="18">
        <v>39.9</v>
      </c>
      <c r="AB421" s="18">
        <v>40.700000000000003</v>
      </c>
      <c r="AC421" s="21">
        <f t="shared" si="386"/>
        <v>3530</v>
      </c>
      <c r="AD421" s="18" t="s">
        <v>51</v>
      </c>
      <c r="AF421" s="1"/>
      <c r="AG421" s="29">
        <v>1.55</v>
      </c>
      <c r="AH421" s="29">
        <v>3.53</v>
      </c>
      <c r="AO421" s="30">
        <f t="shared" ref="AO421:AS421" si="412">U421</f>
        <v>5.9</v>
      </c>
      <c r="AP421" s="30">
        <f t="shared" si="412"/>
        <v>7.6</v>
      </c>
      <c r="AQ421" s="30">
        <f t="shared" si="412"/>
        <v>8.9</v>
      </c>
      <c r="AR421" s="30">
        <f t="shared" si="412"/>
        <v>5.4</v>
      </c>
      <c r="AS421" s="30">
        <f t="shared" si="412"/>
        <v>72.2</v>
      </c>
      <c r="AT421" s="31">
        <f t="shared" si="242"/>
        <v>100</v>
      </c>
      <c r="AV421" s="21">
        <f t="shared" si="387"/>
        <v>3530</v>
      </c>
    </row>
    <row r="422" spans="1:50" ht="15.75" customHeight="1" x14ac:dyDescent="0.25">
      <c r="B422" s="32"/>
      <c r="C422" s="18" t="s">
        <v>46</v>
      </c>
      <c r="D422" s="51"/>
      <c r="E422" s="18" t="s">
        <v>48</v>
      </c>
      <c r="F422" s="51"/>
      <c r="G422" s="18">
        <v>42.72</v>
      </c>
      <c r="H422" s="18">
        <v>6.07</v>
      </c>
      <c r="I422" s="18">
        <v>50.3</v>
      </c>
      <c r="J422" s="18">
        <v>0.77</v>
      </c>
      <c r="K422" s="18">
        <v>0.14000000000000001</v>
      </c>
      <c r="L422" s="22">
        <f t="shared" si="384"/>
        <v>17.299999999999983</v>
      </c>
      <c r="M422" s="18">
        <v>64.400000000000006</v>
      </c>
      <c r="N422" s="18">
        <v>10.4</v>
      </c>
      <c r="O422" s="18">
        <v>7.9</v>
      </c>
      <c r="P422" s="18">
        <v>0.36</v>
      </c>
      <c r="Q422" s="18">
        <v>740</v>
      </c>
      <c r="R422" s="18" t="s">
        <v>51</v>
      </c>
      <c r="S422" s="53">
        <v>0</v>
      </c>
      <c r="T422" s="18">
        <v>16.36</v>
      </c>
      <c r="U422" s="21">
        <v>7.46</v>
      </c>
      <c r="V422" s="21">
        <v>10.7</v>
      </c>
      <c r="W422" s="18">
        <v>9.1999999999999993</v>
      </c>
      <c r="X422" s="18">
        <v>5.6</v>
      </c>
      <c r="Y422" s="49">
        <f t="shared" si="388"/>
        <v>67.039999999999992</v>
      </c>
      <c r="Z422" s="18">
        <f t="shared" si="385"/>
        <v>0.625</v>
      </c>
      <c r="AA422" s="18">
        <v>47.57</v>
      </c>
      <c r="AB422" s="18">
        <v>50.6</v>
      </c>
      <c r="AC422" s="21">
        <f t="shared" si="386"/>
        <v>4160</v>
      </c>
      <c r="AD422" s="18" t="s">
        <v>51</v>
      </c>
      <c r="AF422" s="1"/>
      <c r="AG422" s="29">
        <v>1.6</v>
      </c>
      <c r="AH422" s="29">
        <v>4.16</v>
      </c>
      <c r="AO422" s="30">
        <f t="shared" ref="AO422:AS422" si="413">U422</f>
        <v>7.46</v>
      </c>
      <c r="AP422" s="30">
        <f t="shared" si="413"/>
        <v>10.7</v>
      </c>
      <c r="AQ422" s="30">
        <f t="shared" si="413"/>
        <v>9.1999999999999993</v>
      </c>
      <c r="AR422" s="30">
        <f t="shared" si="413"/>
        <v>5.6</v>
      </c>
      <c r="AS422" s="30">
        <f t="shared" si="413"/>
        <v>67.039999999999992</v>
      </c>
      <c r="AT422" s="31">
        <f t="shared" si="242"/>
        <v>100</v>
      </c>
      <c r="AV422" s="21">
        <f t="shared" si="387"/>
        <v>4160</v>
      </c>
    </row>
    <row r="423" spans="1:50" ht="15.75" customHeight="1" x14ac:dyDescent="0.25">
      <c r="B423" s="32"/>
      <c r="C423" s="18" t="s">
        <v>46</v>
      </c>
      <c r="D423" s="51"/>
      <c r="E423" s="18" t="s">
        <v>48</v>
      </c>
      <c r="F423" s="51"/>
      <c r="G423" s="18">
        <v>42.72</v>
      </c>
      <c r="H423" s="18">
        <v>6.07</v>
      </c>
      <c r="I423" s="18">
        <v>50.3</v>
      </c>
      <c r="J423" s="18">
        <v>0.77</v>
      </c>
      <c r="K423" s="18">
        <v>0.14000000000000001</v>
      </c>
      <c r="L423" s="22">
        <f t="shared" si="384"/>
        <v>17.299999999999983</v>
      </c>
      <c r="M423" s="18">
        <v>64.400000000000006</v>
      </c>
      <c r="N423" s="18">
        <v>10.4</v>
      </c>
      <c r="O423" s="18">
        <v>7.9</v>
      </c>
      <c r="P423" s="18">
        <v>0.36</v>
      </c>
      <c r="Q423" s="18">
        <v>700</v>
      </c>
      <c r="R423" s="18" t="s">
        <v>51</v>
      </c>
      <c r="S423" s="53">
        <v>0</v>
      </c>
      <c r="T423" s="18">
        <v>16.36</v>
      </c>
      <c r="U423" s="21">
        <v>6.6</v>
      </c>
      <c r="V423" s="21">
        <v>9.84</v>
      </c>
      <c r="W423" s="18">
        <v>9.0500000000000007</v>
      </c>
      <c r="X423" s="18">
        <v>4.5999999999999996</v>
      </c>
      <c r="Y423" s="49">
        <f t="shared" si="388"/>
        <v>69.91</v>
      </c>
      <c r="Z423" s="18">
        <f t="shared" si="385"/>
        <v>0.64935064935064934</v>
      </c>
      <c r="AA423" s="18">
        <v>39.75</v>
      </c>
      <c r="AB423" s="18">
        <v>44.9</v>
      </c>
      <c r="AC423" s="21">
        <f t="shared" si="386"/>
        <v>3630</v>
      </c>
      <c r="AD423" s="18" t="s">
        <v>51</v>
      </c>
      <c r="AF423" s="1"/>
      <c r="AG423" s="29">
        <v>1.54</v>
      </c>
      <c r="AH423" s="29">
        <v>3.63</v>
      </c>
      <c r="AO423" s="30">
        <f t="shared" ref="AO423:AS423" si="414">U423</f>
        <v>6.6</v>
      </c>
      <c r="AP423" s="30">
        <f t="shared" si="414"/>
        <v>9.84</v>
      </c>
      <c r="AQ423" s="30">
        <f t="shared" si="414"/>
        <v>9.0500000000000007</v>
      </c>
      <c r="AR423" s="30">
        <f t="shared" si="414"/>
        <v>4.5999999999999996</v>
      </c>
      <c r="AS423" s="30">
        <f t="shared" si="414"/>
        <v>69.91</v>
      </c>
      <c r="AT423" s="31">
        <f t="shared" si="242"/>
        <v>100</v>
      </c>
      <c r="AV423" s="21">
        <f t="shared" si="387"/>
        <v>3630</v>
      </c>
    </row>
    <row r="424" spans="1:50" ht="15.75" customHeight="1" x14ac:dyDescent="0.25">
      <c r="B424" s="32"/>
      <c r="C424" s="18" t="s">
        <v>46</v>
      </c>
      <c r="D424" s="51"/>
      <c r="E424" s="18" t="s">
        <v>48</v>
      </c>
      <c r="F424" s="51"/>
      <c r="G424" s="23">
        <f t="shared" ref="G424:G431" si="415">38.02*100/(100-O424)</f>
        <v>45.170488297493172</v>
      </c>
      <c r="H424" s="23">
        <f t="shared" ref="H424:H431" si="416">6.02*100/(100-O424)</f>
        <v>7.1521919923963404</v>
      </c>
      <c r="I424" s="23">
        <f t="shared" ref="I424:I431" si="417">39.48*100/(100-O424)</f>
        <v>46.905073066413202</v>
      </c>
      <c r="J424" s="23">
        <f t="shared" ref="J424:J431" si="418">0.47*100/(100-O424)</f>
        <v>0.55839372698110967</v>
      </c>
      <c r="K424" s="23">
        <f t="shared" ref="K424:K431" si="419">0.18*100/(100-O424)</f>
        <v>0.21385291671616966</v>
      </c>
      <c r="L424" s="22">
        <f t="shared" si="384"/>
        <v>11.960000000000008</v>
      </c>
      <c r="M424" s="18">
        <v>60.01</v>
      </c>
      <c r="N424" s="18">
        <v>12.2</v>
      </c>
      <c r="O424" s="18">
        <v>15.83</v>
      </c>
      <c r="P424" s="18">
        <v>0.18</v>
      </c>
      <c r="Q424" s="18">
        <v>620</v>
      </c>
      <c r="R424" s="18" t="s">
        <v>51</v>
      </c>
      <c r="S424" s="53">
        <v>0</v>
      </c>
      <c r="T424" s="18">
        <v>16.38</v>
      </c>
      <c r="U424" s="21">
        <v>11</v>
      </c>
      <c r="V424" s="21">
        <v>9.1</v>
      </c>
      <c r="W424" s="18">
        <v>12.92</v>
      </c>
      <c r="X424" s="18">
        <v>0.6</v>
      </c>
      <c r="Y424" s="49">
        <f t="shared" si="388"/>
        <v>66.38</v>
      </c>
      <c r="Z424" s="18">
        <f t="shared" si="385"/>
        <v>0.36363636363636365</v>
      </c>
      <c r="AA424" s="18">
        <v>46.98</v>
      </c>
      <c r="AB424" s="18">
        <v>67.900000000000006</v>
      </c>
      <c r="AC424" s="21">
        <f t="shared" si="386"/>
        <v>3000</v>
      </c>
      <c r="AD424" s="18" t="s">
        <v>51</v>
      </c>
      <c r="AF424" s="1"/>
      <c r="AG424" s="29">
        <v>2.75</v>
      </c>
      <c r="AH424" s="29">
        <v>3</v>
      </c>
      <c r="AO424" s="30">
        <f t="shared" ref="AO424:AS424" si="420">U424</f>
        <v>11</v>
      </c>
      <c r="AP424" s="30">
        <f t="shared" si="420"/>
        <v>9.1</v>
      </c>
      <c r="AQ424" s="30">
        <f t="shared" si="420"/>
        <v>12.92</v>
      </c>
      <c r="AR424" s="30">
        <f t="shared" si="420"/>
        <v>0.6</v>
      </c>
      <c r="AS424" s="30">
        <f t="shared" si="420"/>
        <v>66.38</v>
      </c>
      <c r="AT424" s="31">
        <f t="shared" si="242"/>
        <v>100</v>
      </c>
      <c r="AV424" s="21">
        <f t="shared" si="387"/>
        <v>3000</v>
      </c>
    </row>
    <row r="425" spans="1:50" ht="15.75" customHeight="1" x14ac:dyDescent="0.25">
      <c r="B425" s="32"/>
      <c r="C425" s="18" t="s">
        <v>46</v>
      </c>
      <c r="D425" s="51"/>
      <c r="E425" s="18" t="s">
        <v>48</v>
      </c>
      <c r="F425" s="51"/>
      <c r="G425" s="23">
        <f t="shared" si="415"/>
        <v>45.170488297493172</v>
      </c>
      <c r="H425" s="23">
        <f t="shared" si="416"/>
        <v>7.1521919923963404</v>
      </c>
      <c r="I425" s="23">
        <f t="shared" si="417"/>
        <v>46.905073066413202</v>
      </c>
      <c r="J425" s="23">
        <f t="shared" si="418"/>
        <v>0.55839372698110967</v>
      </c>
      <c r="K425" s="23">
        <f t="shared" si="419"/>
        <v>0.21385291671616966</v>
      </c>
      <c r="L425" s="22">
        <f t="shared" si="384"/>
        <v>11.960000000000008</v>
      </c>
      <c r="M425" s="18">
        <v>60.01</v>
      </c>
      <c r="N425" s="18">
        <v>12.2</v>
      </c>
      <c r="O425" s="18">
        <v>15.83</v>
      </c>
      <c r="P425" s="18">
        <v>0.2</v>
      </c>
      <c r="Q425" s="18">
        <v>720</v>
      </c>
      <c r="R425" s="18" t="s">
        <v>51</v>
      </c>
      <c r="S425" s="53">
        <v>0</v>
      </c>
      <c r="T425" s="18">
        <v>16.38</v>
      </c>
      <c r="U425" s="21">
        <v>12.3</v>
      </c>
      <c r="V425" s="21">
        <v>8.9</v>
      </c>
      <c r="W425" s="18">
        <v>12.3</v>
      </c>
      <c r="X425" s="18">
        <v>1.2</v>
      </c>
      <c r="Y425" s="49">
        <f t="shared" si="388"/>
        <v>65.3</v>
      </c>
      <c r="Z425" s="18">
        <f t="shared" si="385"/>
        <v>0.37735849056603776</v>
      </c>
      <c r="AA425" s="18">
        <v>52.82</v>
      </c>
      <c r="AB425" s="18">
        <v>68.599999999999994</v>
      </c>
      <c r="AC425" s="21">
        <f t="shared" si="386"/>
        <v>3500</v>
      </c>
      <c r="AD425" s="18" t="s">
        <v>51</v>
      </c>
      <c r="AF425" s="1"/>
      <c r="AG425" s="29">
        <v>2.65</v>
      </c>
      <c r="AH425" s="29">
        <v>3.5</v>
      </c>
      <c r="AO425" s="30">
        <f t="shared" ref="AO425:AS425" si="421">U425</f>
        <v>12.3</v>
      </c>
      <c r="AP425" s="30">
        <f t="shared" si="421"/>
        <v>8.9</v>
      </c>
      <c r="AQ425" s="30">
        <f t="shared" si="421"/>
        <v>12.3</v>
      </c>
      <c r="AR425" s="30">
        <f t="shared" si="421"/>
        <v>1.2</v>
      </c>
      <c r="AS425" s="30">
        <f t="shared" si="421"/>
        <v>65.3</v>
      </c>
      <c r="AT425" s="31">
        <f t="shared" si="242"/>
        <v>100</v>
      </c>
      <c r="AV425" s="21">
        <f t="shared" si="387"/>
        <v>3500</v>
      </c>
    </row>
    <row r="426" spans="1:50" ht="15.75" customHeight="1" x14ac:dyDescent="0.25">
      <c r="B426" s="32"/>
      <c r="C426" s="18" t="s">
        <v>46</v>
      </c>
      <c r="D426" s="51"/>
      <c r="E426" s="18" t="s">
        <v>48</v>
      </c>
      <c r="F426" s="51"/>
      <c r="G426" s="23">
        <f t="shared" si="415"/>
        <v>45.170488297493172</v>
      </c>
      <c r="H426" s="23">
        <f t="shared" si="416"/>
        <v>7.1521919923963404</v>
      </c>
      <c r="I426" s="23">
        <f t="shared" si="417"/>
        <v>46.905073066413202</v>
      </c>
      <c r="J426" s="23">
        <f t="shared" si="418"/>
        <v>0.55839372698110967</v>
      </c>
      <c r="K426" s="23">
        <f t="shared" si="419"/>
        <v>0.21385291671616966</v>
      </c>
      <c r="L426" s="22">
        <f t="shared" si="384"/>
        <v>11.960000000000008</v>
      </c>
      <c r="M426" s="18">
        <v>60.01</v>
      </c>
      <c r="N426" s="18">
        <v>12.2</v>
      </c>
      <c r="O426" s="18">
        <v>15.83</v>
      </c>
      <c r="P426" s="18">
        <v>0.21</v>
      </c>
      <c r="Q426" s="18">
        <v>620</v>
      </c>
      <c r="R426" s="18" t="s">
        <v>51</v>
      </c>
      <c r="S426" s="53">
        <v>0</v>
      </c>
      <c r="T426" s="18">
        <v>16.38</v>
      </c>
      <c r="U426" s="21">
        <v>13.7</v>
      </c>
      <c r="V426" s="21">
        <v>8.1999999999999993</v>
      </c>
      <c r="W426" s="18">
        <v>13.7</v>
      </c>
      <c r="X426" s="18">
        <v>0.9</v>
      </c>
      <c r="Y426" s="49">
        <f t="shared" si="388"/>
        <v>63.500000000000007</v>
      </c>
      <c r="Z426" s="18">
        <f t="shared" si="385"/>
        <v>0.37037037037037035</v>
      </c>
      <c r="AA426" s="18">
        <v>56.89</v>
      </c>
      <c r="AB426" s="18">
        <v>72.2</v>
      </c>
      <c r="AC426" s="21">
        <f t="shared" si="386"/>
        <v>3700</v>
      </c>
      <c r="AD426" s="18" t="s">
        <v>51</v>
      </c>
      <c r="AF426" s="1"/>
      <c r="AG426" s="29">
        <v>2.7</v>
      </c>
      <c r="AH426" s="29">
        <v>3.7</v>
      </c>
      <c r="AO426" s="30">
        <f t="shared" ref="AO426:AS426" si="422">U426</f>
        <v>13.7</v>
      </c>
      <c r="AP426" s="30">
        <f t="shared" si="422"/>
        <v>8.1999999999999993</v>
      </c>
      <c r="AQ426" s="30">
        <f t="shared" si="422"/>
        <v>13.7</v>
      </c>
      <c r="AR426" s="30">
        <f t="shared" si="422"/>
        <v>0.9</v>
      </c>
      <c r="AS426" s="30">
        <f t="shared" si="422"/>
        <v>63.500000000000007</v>
      </c>
      <c r="AT426" s="31">
        <f t="shared" si="242"/>
        <v>100</v>
      </c>
      <c r="AV426" s="21">
        <f t="shared" si="387"/>
        <v>3700</v>
      </c>
    </row>
    <row r="427" spans="1:50" ht="15.75" customHeight="1" x14ac:dyDescent="0.25">
      <c r="B427" s="32"/>
      <c r="C427" s="18" t="s">
        <v>46</v>
      </c>
      <c r="D427" s="51"/>
      <c r="E427" s="18" t="s">
        <v>48</v>
      </c>
      <c r="F427" s="51"/>
      <c r="G427" s="23">
        <f t="shared" si="415"/>
        <v>45.170488297493172</v>
      </c>
      <c r="H427" s="23">
        <f t="shared" si="416"/>
        <v>7.1521919923963404</v>
      </c>
      <c r="I427" s="23">
        <f t="shared" si="417"/>
        <v>46.905073066413202</v>
      </c>
      <c r="J427" s="23">
        <f t="shared" si="418"/>
        <v>0.55839372698110967</v>
      </c>
      <c r="K427" s="23">
        <f t="shared" si="419"/>
        <v>0.21385291671616966</v>
      </c>
      <c r="L427" s="22">
        <f t="shared" si="384"/>
        <v>11.960000000000008</v>
      </c>
      <c r="M427" s="18">
        <v>60.01</v>
      </c>
      <c r="N427" s="18">
        <v>12.2</v>
      </c>
      <c r="O427" s="18">
        <v>15.83</v>
      </c>
      <c r="P427" s="18">
        <v>0.2</v>
      </c>
      <c r="Q427" s="18">
        <v>720</v>
      </c>
      <c r="R427" s="18" t="s">
        <v>51</v>
      </c>
      <c r="S427" s="53">
        <v>0</v>
      </c>
      <c r="T427" s="18">
        <v>16.38</v>
      </c>
      <c r="U427" s="21">
        <v>19.100000000000001</v>
      </c>
      <c r="V427" s="21">
        <v>5.8</v>
      </c>
      <c r="W427" s="18">
        <v>19.100000000000001</v>
      </c>
      <c r="X427" s="18">
        <v>0.4</v>
      </c>
      <c r="Y427" s="49">
        <f t="shared" si="388"/>
        <v>55.6</v>
      </c>
      <c r="Z427" s="18">
        <f t="shared" si="385"/>
        <v>0.52631578947368418</v>
      </c>
      <c r="AA427" s="18">
        <v>72.489999999999995</v>
      </c>
      <c r="AB427" s="18">
        <v>87</v>
      </c>
      <c r="AC427" s="21">
        <f t="shared" si="386"/>
        <v>6700</v>
      </c>
      <c r="AD427" s="18" t="s">
        <v>51</v>
      </c>
      <c r="AF427" s="1"/>
      <c r="AG427" s="29">
        <v>1.9</v>
      </c>
      <c r="AH427" s="29">
        <v>6.7</v>
      </c>
      <c r="AO427" s="30">
        <f t="shared" ref="AO427:AS427" si="423">U427</f>
        <v>19.100000000000001</v>
      </c>
      <c r="AP427" s="30">
        <f t="shared" si="423"/>
        <v>5.8</v>
      </c>
      <c r="AQ427" s="30">
        <f t="shared" si="423"/>
        <v>19.100000000000001</v>
      </c>
      <c r="AR427" s="30">
        <f t="shared" si="423"/>
        <v>0.4</v>
      </c>
      <c r="AS427" s="30">
        <f t="shared" si="423"/>
        <v>55.6</v>
      </c>
      <c r="AT427" s="31">
        <f t="shared" si="242"/>
        <v>100</v>
      </c>
      <c r="AV427" s="21">
        <f t="shared" si="387"/>
        <v>6700</v>
      </c>
    </row>
    <row r="428" spans="1:50" ht="15.75" customHeight="1" x14ac:dyDescent="0.25">
      <c r="B428" s="32"/>
      <c r="C428" s="18" t="s">
        <v>46</v>
      </c>
      <c r="D428" s="51"/>
      <c r="E428" s="18" t="s">
        <v>48</v>
      </c>
      <c r="F428" s="51"/>
      <c r="G428" s="23">
        <f t="shared" si="415"/>
        <v>45.170488297493172</v>
      </c>
      <c r="H428" s="23">
        <f t="shared" si="416"/>
        <v>7.1521919923963404</v>
      </c>
      <c r="I428" s="23">
        <f t="shared" si="417"/>
        <v>46.905073066413202</v>
      </c>
      <c r="J428" s="23">
        <f t="shared" si="418"/>
        <v>0.55839372698110967</v>
      </c>
      <c r="K428" s="23">
        <f t="shared" si="419"/>
        <v>0.21385291671616966</v>
      </c>
      <c r="L428" s="22">
        <f t="shared" si="384"/>
        <v>11.960000000000008</v>
      </c>
      <c r="M428" s="18">
        <v>60.01</v>
      </c>
      <c r="N428" s="18">
        <v>12.2</v>
      </c>
      <c r="O428" s="18">
        <v>15.83</v>
      </c>
      <c r="P428" s="18">
        <v>0.32</v>
      </c>
      <c r="Q428" s="18">
        <v>850</v>
      </c>
      <c r="R428" s="18" t="s">
        <v>51</v>
      </c>
      <c r="S428" s="53">
        <v>0</v>
      </c>
      <c r="T428" s="18">
        <v>16.38</v>
      </c>
      <c r="U428" s="21">
        <v>6.1</v>
      </c>
      <c r="V428" s="21">
        <v>13.7</v>
      </c>
      <c r="W428" s="18">
        <v>18.5</v>
      </c>
      <c r="X428" s="18">
        <v>5.8</v>
      </c>
      <c r="Y428" s="49">
        <f t="shared" si="388"/>
        <v>55.900000000000006</v>
      </c>
      <c r="Z428" s="18">
        <f t="shared" si="385"/>
        <v>0.85470085470085477</v>
      </c>
      <c r="AA428" s="18">
        <v>33.979999999999997</v>
      </c>
      <c r="AB428" s="18">
        <v>48.5</v>
      </c>
      <c r="AC428" s="21">
        <f t="shared" si="386"/>
        <v>5100</v>
      </c>
      <c r="AD428" s="18" t="s">
        <v>51</v>
      </c>
      <c r="AF428" s="1"/>
      <c r="AG428" s="29">
        <v>1.17</v>
      </c>
      <c r="AH428" s="29">
        <v>5.0999999999999996</v>
      </c>
      <c r="AO428" s="30">
        <f t="shared" ref="AO428:AS428" si="424">U428</f>
        <v>6.1</v>
      </c>
      <c r="AP428" s="30">
        <f t="shared" si="424"/>
        <v>13.7</v>
      </c>
      <c r="AQ428" s="30">
        <f t="shared" si="424"/>
        <v>18.5</v>
      </c>
      <c r="AR428" s="30">
        <f t="shared" si="424"/>
        <v>5.8</v>
      </c>
      <c r="AS428" s="30">
        <f t="shared" si="424"/>
        <v>55.900000000000006</v>
      </c>
      <c r="AT428" s="31">
        <f t="shared" si="242"/>
        <v>100</v>
      </c>
      <c r="AV428" s="21">
        <f t="shared" si="387"/>
        <v>5100</v>
      </c>
    </row>
    <row r="429" spans="1:50" ht="15.75" customHeight="1" x14ac:dyDescent="0.25">
      <c r="B429" s="32"/>
      <c r="C429" s="18" t="s">
        <v>46</v>
      </c>
      <c r="D429" s="51"/>
      <c r="E429" s="18" t="s">
        <v>48</v>
      </c>
      <c r="F429" s="51"/>
      <c r="G429" s="23">
        <f t="shared" si="415"/>
        <v>45.170488297493172</v>
      </c>
      <c r="H429" s="23">
        <f t="shared" si="416"/>
        <v>7.1521919923963404</v>
      </c>
      <c r="I429" s="23">
        <f t="shared" si="417"/>
        <v>46.905073066413202</v>
      </c>
      <c r="J429" s="23">
        <f t="shared" si="418"/>
        <v>0.55839372698110967</v>
      </c>
      <c r="K429" s="23">
        <f t="shared" si="419"/>
        <v>0.21385291671616966</v>
      </c>
      <c r="L429" s="22">
        <f t="shared" si="384"/>
        <v>11.960000000000008</v>
      </c>
      <c r="M429" s="18">
        <v>60.01</v>
      </c>
      <c r="N429" s="18">
        <v>12.2</v>
      </c>
      <c r="O429" s="18">
        <v>15.83</v>
      </c>
      <c r="P429" s="18">
        <v>0.26</v>
      </c>
      <c r="Q429" s="18">
        <v>850</v>
      </c>
      <c r="R429" s="18" t="s">
        <v>51</v>
      </c>
      <c r="S429" s="53">
        <v>0</v>
      </c>
      <c r="T429" s="18">
        <v>16.38</v>
      </c>
      <c r="U429" s="21">
        <v>5.7</v>
      </c>
      <c r="V429" s="21">
        <v>13.4</v>
      </c>
      <c r="W429" s="18">
        <v>18.899999999999999</v>
      </c>
      <c r="X429" s="18">
        <v>6.8</v>
      </c>
      <c r="Y429" s="49">
        <f t="shared" si="388"/>
        <v>55.2</v>
      </c>
      <c r="Z429" s="18">
        <f t="shared" si="385"/>
        <v>0.77519379844961234</v>
      </c>
      <c r="AA429" s="18">
        <v>39.67</v>
      </c>
      <c r="AB429" s="18">
        <v>54.9</v>
      </c>
      <c r="AC429" s="21">
        <f t="shared" si="386"/>
        <v>5400</v>
      </c>
      <c r="AD429" s="18" t="s">
        <v>51</v>
      </c>
      <c r="AF429" s="1"/>
      <c r="AG429" s="29">
        <v>1.29</v>
      </c>
      <c r="AH429" s="29">
        <v>5.4</v>
      </c>
      <c r="AO429" s="30">
        <f t="shared" ref="AO429:AS429" si="425">U429</f>
        <v>5.7</v>
      </c>
      <c r="AP429" s="30">
        <f t="shared" si="425"/>
        <v>13.4</v>
      </c>
      <c r="AQ429" s="30">
        <f t="shared" si="425"/>
        <v>18.899999999999999</v>
      </c>
      <c r="AR429" s="30">
        <f t="shared" si="425"/>
        <v>6.8</v>
      </c>
      <c r="AS429" s="30">
        <f t="shared" si="425"/>
        <v>55.2</v>
      </c>
      <c r="AT429" s="31">
        <f t="shared" si="242"/>
        <v>100</v>
      </c>
      <c r="AV429" s="21">
        <f t="shared" si="387"/>
        <v>5400</v>
      </c>
    </row>
    <row r="430" spans="1:50" ht="15.75" customHeight="1" x14ac:dyDescent="0.25">
      <c r="B430" s="32"/>
      <c r="C430" s="18" t="s">
        <v>46</v>
      </c>
      <c r="D430" s="51"/>
      <c r="E430" s="18" t="s">
        <v>48</v>
      </c>
      <c r="F430" s="51"/>
      <c r="G430" s="23">
        <f t="shared" si="415"/>
        <v>45.170488297493172</v>
      </c>
      <c r="H430" s="23">
        <f t="shared" si="416"/>
        <v>7.1521919923963404</v>
      </c>
      <c r="I430" s="23">
        <f t="shared" si="417"/>
        <v>46.905073066413202</v>
      </c>
      <c r="J430" s="23">
        <f t="shared" si="418"/>
        <v>0.55839372698110967</v>
      </c>
      <c r="K430" s="23">
        <f t="shared" si="419"/>
        <v>0.21385291671616966</v>
      </c>
      <c r="L430" s="22">
        <f t="shared" si="384"/>
        <v>11.960000000000008</v>
      </c>
      <c r="M430" s="18">
        <v>60.01</v>
      </c>
      <c r="N430" s="18">
        <v>12.2</v>
      </c>
      <c r="O430" s="18">
        <v>15.83</v>
      </c>
      <c r="P430" s="18">
        <v>0.25</v>
      </c>
      <c r="Q430" s="18">
        <v>850</v>
      </c>
      <c r="R430" s="18" t="s">
        <v>51</v>
      </c>
      <c r="S430" s="53">
        <v>0</v>
      </c>
      <c r="T430" s="18">
        <v>16.38</v>
      </c>
      <c r="U430" s="21">
        <v>6.9</v>
      </c>
      <c r="V430" s="21">
        <v>11.9</v>
      </c>
      <c r="W430" s="18">
        <v>21.7</v>
      </c>
      <c r="X430" s="18">
        <v>5.4</v>
      </c>
      <c r="Y430" s="49">
        <f t="shared" si="388"/>
        <v>54.1</v>
      </c>
      <c r="Z430" s="18">
        <f t="shared" si="385"/>
        <v>0.69444444444444442</v>
      </c>
      <c r="AA430" s="18">
        <v>44.28</v>
      </c>
      <c r="AB430" s="18">
        <v>61</v>
      </c>
      <c r="AC430" s="21">
        <f t="shared" si="386"/>
        <v>5400</v>
      </c>
      <c r="AD430" s="18" t="s">
        <v>51</v>
      </c>
      <c r="AF430" s="1"/>
      <c r="AG430" s="29">
        <v>1.44</v>
      </c>
      <c r="AH430" s="29">
        <v>5.4</v>
      </c>
      <c r="AO430" s="30">
        <f t="shared" ref="AO430:AS430" si="426">U430</f>
        <v>6.9</v>
      </c>
      <c r="AP430" s="30">
        <f t="shared" si="426"/>
        <v>11.9</v>
      </c>
      <c r="AQ430" s="30">
        <f t="shared" si="426"/>
        <v>21.7</v>
      </c>
      <c r="AR430" s="30">
        <f t="shared" si="426"/>
        <v>5.4</v>
      </c>
      <c r="AS430" s="30">
        <f t="shared" si="426"/>
        <v>54.1</v>
      </c>
      <c r="AT430" s="31">
        <f t="shared" si="242"/>
        <v>100</v>
      </c>
      <c r="AV430" s="21">
        <f t="shared" si="387"/>
        <v>5400</v>
      </c>
    </row>
    <row r="431" spans="1:50" ht="15.75" customHeight="1" x14ac:dyDescent="0.25">
      <c r="B431" s="32"/>
      <c r="C431" s="18" t="s">
        <v>46</v>
      </c>
      <c r="D431" s="51"/>
      <c r="E431" s="18" t="s">
        <v>48</v>
      </c>
      <c r="F431" s="51"/>
      <c r="G431" s="23">
        <f t="shared" si="415"/>
        <v>45.170488297493172</v>
      </c>
      <c r="H431" s="23">
        <f t="shared" si="416"/>
        <v>7.1521919923963404</v>
      </c>
      <c r="I431" s="23">
        <f t="shared" si="417"/>
        <v>46.905073066413202</v>
      </c>
      <c r="J431" s="23">
        <f t="shared" si="418"/>
        <v>0.55839372698110967</v>
      </c>
      <c r="K431" s="23">
        <f t="shared" si="419"/>
        <v>0.21385291671616966</v>
      </c>
      <c r="L431" s="22">
        <f t="shared" si="384"/>
        <v>11.960000000000008</v>
      </c>
      <c r="M431" s="18">
        <v>60.01</v>
      </c>
      <c r="N431" s="18">
        <v>12.2</v>
      </c>
      <c r="O431" s="18">
        <v>15.83</v>
      </c>
      <c r="P431" s="18">
        <v>0.26</v>
      </c>
      <c r="Q431" s="18">
        <v>850</v>
      </c>
      <c r="R431" s="18" t="s">
        <v>51</v>
      </c>
      <c r="S431" s="53">
        <v>0</v>
      </c>
      <c r="T431" s="18">
        <v>16.38</v>
      </c>
      <c r="U431" s="21">
        <v>6</v>
      </c>
      <c r="V431" s="21">
        <v>14.4</v>
      </c>
      <c r="W431" s="18">
        <v>16.100000000000001</v>
      </c>
      <c r="X431" s="18">
        <v>6.3</v>
      </c>
      <c r="Y431" s="49">
        <f t="shared" si="388"/>
        <v>57.2</v>
      </c>
      <c r="Z431" s="18">
        <f t="shared" si="385"/>
        <v>0.80645161290322587</v>
      </c>
      <c r="AA431" s="18">
        <v>34.6</v>
      </c>
      <c r="AB431" s="18">
        <v>49.9</v>
      </c>
      <c r="AC431" s="21">
        <f t="shared" si="386"/>
        <v>4900</v>
      </c>
      <c r="AD431" s="18" t="s">
        <v>51</v>
      </c>
      <c r="AF431" s="1"/>
      <c r="AG431" s="29">
        <v>1.24</v>
      </c>
      <c r="AH431" s="29">
        <v>4.9000000000000004</v>
      </c>
      <c r="AO431" s="30">
        <f t="shared" ref="AO431:AS431" si="427">U431</f>
        <v>6</v>
      </c>
      <c r="AP431" s="30">
        <f t="shared" si="427"/>
        <v>14.4</v>
      </c>
      <c r="AQ431" s="30">
        <f t="shared" si="427"/>
        <v>16.100000000000001</v>
      </c>
      <c r="AR431" s="30">
        <f t="shared" si="427"/>
        <v>6.3</v>
      </c>
      <c r="AS431" s="30">
        <f t="shared" si="427"/>
        <v>57.2</v>
      </c>
      <c r="AT431" s="31">
        <f t="shared" si="242"/>
        <v>100</v>
      </c>
      <c r="AV431" s="21">
        <f t="shared" si="387"/>
        <v>4900</v>
      </c>
    </row>
    <row r="432" spans="1:50" ht="15.75" customHeight="1" x14ac:dyDescent="0.25">
      <c r="A432" s="1"/>
      <c r="B432" s="50"/>
      <c r="C432" s="18" t="s">
        <v>46</v>
      </c>
      <c r="D432" s="64"/>
      <c r="E432" s="18" t="s">
        <v>48</v>
      </c>
      <c r="F432" s="64"/>
      <c r="G432" s="65">
        <v>42.18</v>
      </c>
      <c r="H432" s="65">
        <v>5.7</v>
      </c>
      <c r="I432" s="65">
        <v>27.54</v>
      </c>
      <c r="J432" s="65">
        <v>1.59</v>
      </c>
      <c r="K432" s="65">
        <v>0.5</v>
      </c>
      <c r="L432" s="66">
        <f t="shared" si="384"/>
        <v>34.200000000000003</v>
      </c>
      <c r="M432" s="65">
        <v>24.5</v>
      </c>
      <c r="N432" s="65">
        <v>7.8</v>
      </c>
      <c r="O432" s="65">
        <v>33.5</v>
      </c>
      <c r="P432" s="67">
        <v>1</v>
      </c>
      <c r="Q432" s="65">
        <v>800</v>
      </c>
      <c r="R432" s="18" t="s">
        <v>51</v>
      </c>
      <c r="S432" s="56">
        <v>0</v>
      </c>
      <c r="T432" s="18">
        <v>15.7</v>
      </c>
      <c r="U432" s="21">
        <v>8.1999999999999993</v>
      </c>
      <c r="V432" s="21">
        <v>11.2</v>
      </c>
      <c r="W432" s="18">
        <v>15.4</v>
      </c>
      <c r="X432" s="18">
        <v>1.4</v>
      </c>
      <c r="Y432" s="49">
        <f t="shared" si="388"/>
        <v>63.800000000000004</v>
      </c>
      <c r="Z432" s="18">
        <f t="shared" si="385"/>
        <v>0.50505050505050508</v>
      </c>
      <c r="AA432" s="18">
        <v>30.9</v>
      </c>
      <c r="AB432" s="18">
        <v>70.41</v>
      </c>
      <c r="AC432" s="21">
        <f t="shared" si="386"/>
        <v>2740</v>
      </c>
      <c r="AD432" s="18" t="s">
        <v>51</v>
      </c>
      <c r="AE432" s="1"/>
      <c r="AF432" s="1"/>
      <c r="AG432" s="1">
        <v>1.98</v>
      </c>
      <c r="AH432" s="1">
        <v>2.74</v>
      </c>
      <c r="AI432" s="1"/>
      <c r="AJ432" s="1"/>
      <c r="AK432" s="1"/>
      <c r="AL432" s="1"/>
      <c r="AM432" s="1"/>
      <c r="AN432" s="1"/>
      <c r="AO432" s="30">
        <f t="shared" ref="AO432:AS432" si="428">U432</f>
        <v>8.1999999999999993</v>
      </c>
      <c r="AP432" s="30">
        <f t="shared" si="428"/>
        <v>11.2</v>
      </c>
      <c r="AQ432" s="30">
        <f t="shared" si="428"/>
        <v>15.4</v>
      </c>
      <c r="AR432" s="30">
        <f t="shared" si="428"/>
        <v>1.4</v>
      </c>
      <c r="AS432" s="30">
        <f t="shared" si="428"/>
        <v>63.800000000000004</v>
      </c>
      <c r="AT432" s="31">
        <f t="shared" si="242"/>
        <v>100</v>
      </c>
      <c r="AU432" s="1"/>
      <c r="AV432" s="21">
        <f t="shared" si="387"/>
        <v>2740</v>
      </c>
      <c r="AW432" s="1"/>
      <c r="AX432" s="1"/>
    </row>
    <row r="433" spans="1:48" ht="15.75" customHeight="1" x14ac:dyDescent="0.25">
      <c r="A433" s="14"/>
      <c r="B433" s="68" t="s">
        <v>73</v>
      </c>
      <c r="C433" s="18" t="s">
        <v>46</v>
      </c>
      <c r="D433" s="69" t="s">
        <v>74</v>
      </c>
      <c r="E433" s="18" t="s">
        <v>75</v>
      </c>
      <c r="F433" s="70" t="s">
        <v>55</v>
      </c>
      <c r="G433" s="23">
        <f t="shared" ref="G433:G437" si="429">38.43*100/(100-21.68)</f>
        <v>49.067926455566912</v>
      </c>
      <c r="H433" s="23">
        <f t="shared" ref="H433:H437" si="430">2.97*100/(100-21.68)</f>
        <v>3.7921348314606744</v>
      </c>
      <c r="I433" s="23">
        <f t="shared" ref="I433:I437" si="431">36.36*100/(100-21.68)</f>
        <v>46.424923391215529</v>
      </c>
      <c r="J433" s="23">
        <f t="shared" ref="J433:J437" si="432">0.49*100/(100-21.68)</f>
        <v>0.62563840653728298</v>
      </c>
      <c r="K433" s="23">
        <f t="shared" ref="K433:K437" si="433">0.07*100/(100-21.68)</f>
        <v>8.9376915219611872E-2</v>
      </c>
      <c r="L433" s="18">
        <v>14.99</v>
      </c>
      <c r="M433" s="18">
        <v>55.54</v>
      </c>
      <c r="N433" s="18">
        <v>9.9499999999999993</v>
      </c>
      <c r="O433" s="36">
        <v>19.52</v>
      </c>
      <c r="P433" s="71">
        <v>0</v>
      </c>
      <c r="Q433" s="18">
        <v>690</v>
      </c>
      <c r="R433" s="18" t="s">
        <v>51</v>
      </c>
      <c r="S433" s="21">
        <v>1.32</v>
      </c>
      <c r="T433" s="18" t="s">
        <v>51</v>
      </c>
      <c r="U433" s="21">
        <v>50.5</v>
      </c>
      <c r="V433" s="21">
        <v>14.3</v>
      </c>
      <c r="W433" s="72">
        <v>26.6</v>
      </c>
      <c r="X433" s="72">
        <v>8.6</v>
      </c>
      <c r="Y433" s="73">
        <f t="shared" ref="Y433:Y464" si="434">(AK433/AM433)*100</f>
        <v>0.26976211885882451</v>
      </c>
      <c r="Z433" s="18" t="s">
        <v>51</v>
      </c>
      <c r="AA433" s="18" t="s">
        <v>51</v>
      </c>
      <c r="AB433" s="18" t="s">
        <v>51</v>
      </c>
      <c r="AC433" s="28">
        <f t="shared" ref="AC433:AC451" si="435">((U433*0.24182)+(V433*0.283)+(X433*0.80262))*(10000/22.4)</f>
        <v>10339.884821428572</v>
      </c>
      <c r="AD433" s="18" t="s">
        <v>51</v>
      </c>
      <c r="AF433" s="1"/>
      <c r="AK433" s="1">
        <f t="shared" ref="AK433:AK464" si="436">0.79*((P433*(((G433/12)+(H433/4))-((I433/16)/2)))/0.21)+(J433/14)/2</f>
        <v>2.2344228804902964E-2</v>
      </c>
      <c r="AL433" s="29">
        <f t="shared" ref="AL433:AL464" si="437">(100*G433)/(12*(V433+W433+X433))</f>
        <v>8.2605936793883679</v>
      </c>
      <c r="AM433" s="29">
        <f t="shared" ref="AM433:AM464" si="438">AL433+AK433</f>
        <v>8.2829379081932704</v>
      </c>
      <c r="AO433" s="30">
        <f t="shared" ref="AO433:AO464" si="439">((AL433*(U433/100))/AM433)*100</f>
        <v>50.363770129976302</v>
      </c>
      <c r="AP433" s="30">
        <f t="shared" ref="AP433:AP464" si="440">((AL433*(V433/100))/AM433)*100</f>
        <v>14.261424017003192</v>
      </c>
      <c r="AQ433" s="30">
        <f t="shared" ref="AQ433:AQ464" si="441">((AL433*(W433/100))/AM433)*100</f>
        <v>26.528243276383552</v>
      </c>
      <c r="AR433" s="30">
        <f t="shared" ref="AR433:AR464" si="442">((AL433*(X433/100))/AM433)*100</f>
        <v>8.5768004577781394</v>
      </c>
      <c r="AS433" s="30">
        <f t="shared" ref="AS433:AS464" si="443">Y433</f>
        <v>0.26976211885882451</v>
      </c>
      <c r="AT433" s="31">
        <f t="shared" si="242"/>
        <v>100</v>
      </c>
      <c r="AV433" s="28">
        <f t="shared" ref="AV433:AV451" si="444">((AO433*0.24182)+(AP433*0.283)+(AR433*0.80262))*(10000/22.4)</f>
        <v>10311.991729046726</v>
      </c>
    </row>
    <row r="434" spans="1:48" ht="15.75" customHeight="1" x14ac:dyDescent="0.25">
      <c r="B434" s="68"/>
      <c r="C434" s="18" t="s">
        <v>46</v>
      </c>
      <c r="D434" s="69"/>
      <c r="E434" s="18" t="s">
        <v>75</v>
      </c>
      <c r="F434" s="70"/>
      <c r="G434" s="23">
        <f t="shared" si="429"/>
        <v>49.067926455566912</v>
      </c>
      <c r="H434" s="23">
        <f t="shared" si="430"/>
        <v>3.7921348314606744</v>
      </c>
      <c r="I434" s="23">
        <f t="shared" si="431"/>
        <v>46.424923391215529</v>
      </c>
      <c r="J434" s="23">
        <f t="shared" si="432"/>
        <v>0.62563840653728298</v>
      </c>
      <c r="K434" s="23">
        <f t="shared" si="433"/>
        <v>8.9376915219611872E-2</v>
      </c>
      <c r="L434" s="18">
        <v>14.99</v>
      </c>
      <c r="M434" s="18">
        <v>55.54</v>
      </c>
      <c r="N434" s="18">
        <v>9.9499999999999993</v>
      </c>
      <c r="O434" s="36">
        <v>19.52</v>
      </c>
      <c r="P434" s="71">
        <v>0</v>
      </c>
      <c r="Q434" s="18">
        <v>730</v>
      </c>
      <c r="R434" s="18" t="s">
        <v>51</v>
      </c>
      <c r="S434" s="21">
        <v>1.32</v>
      </c>
      <c r="T434" s="18" t="s">
        <v>51</v>
      </c>
      <c r="U434" s="21">
        <v>52.2</v>
      </c>
      <c r="V434" s="21">
        <v>16.399999999999999</v>
      </c>
      <c r="W434" s="72">
        <v>23.5</v>
      </c>
      <c r="X434" s="72">
        <v>7.9</v>
      </c>
      <c r="Y434" s="73">
        <f t="shared" si="434"/>
        <v>0.26052169742421433</v>
      </c>
      <c r="Z434" s="18" t="s">
        <v>51</v>
      </c>
      <c r="AA434" s="18" t="s">
        <v>51</v>
      </c>
      <c r="AB434" s="18" t="s">
        <v>51</v>
      </c>
      <c r="AC434" s="28">
        <f t="shared" si="435"/>
        <v>10537.902678571429</v>
      </c>
      <c r="AD434" s="18" t="s">
        <v>51</v>
      </c>
      <c r="AF434" s="1"/>
      <c r="AK434" s="1">
        <f t="shared" si="436"/>
        <v>2.2344228804902964E-2</v>
      </c>
      <c r="AL434" s="29">
        <f t="shared" si="437"/>
        <v>8.5543804838854456</v>
      </c>
      <c r="AM434" s="29">
        <f t="shared" si="438"/>
        <v>8.5767247126903481</v>
      </c>
      <c r="AO434" s="30">
        <f t="shared" si="439"/>
        <v>52.064007673944566</v>
      </c>
      <c r="AP434" s="30">
        <f t="shared" si="440"/>
        <v>16.35727444162243</v>
      </c>
      <c r="AQ434" s="30">
        <f t="shared" si="441"/>
        <v>23.438777401105309</v>
      </c>
      <c r="AR434" s="30">
        <f t="shared" si="442"/>
        <v>7.8794187859034874</v>
      </c>
      <c r="AS434" s="30">
        <f t="shared" si="443"/>
        <v>0.26052169742421433</v>
      </c>
      <c r="AT434" s="31">
        <f t="shared" si="242"/>
        <v>100</v>
      </c>
      <c r="AV434" s="28">
        <f t="shared" si="444"/>
        <v>10510.449155640305</v>
      </c>
    </row>
    <row r="435" spans="1:48" ht="15.75" customHeight="1" x14ac:dyDescent="0.25">
      <c r="B435" s="68"/>
      <c r="C435" s="18" t="s">
        <v>46</v>
      </c>
      <c r="D435" s="69"/>
      <c r="E435" s="18" t="s">
        <v>75</v>
      </c>
      <c r="F435" s="70"/>
      <c r="G435" s="23">
        <f t="shared" si="429"/>
        <v>49.067926455566912</v>
      </c>
      <c r="H435" s="23">
        <f t="shared" si="430"/>
        <v>3.7921348314606744</v>
      </c>
      <c r="I435" s="23">
        <f t="shared" si="431"/>
        <v>46.424923391215529</v>
      </c>
      <c r="J435" s="23">
        <f t="shared" si="432"/>
        <v>0.62563840653728298</v>
      </c>
      <c r="K435" s="23">
        <f t="shared" si="433"/>
        <v>8.9376915219611872E-2</v>
      </c>
      <c r="L435" s="18">
        <v>14.99</v>
      </c>
      <c r="M435" s="18">
        <v>55.54</v>
      </c>
      <c r="N435" s="18">
        <v>9.9499999999999993</v>
      </c>
      <c r="O435" s="36">
        <v>19.52</v>
      </c>
      <c r="P435" s="71">
        <v>0</v>
      </c>
      <c r="Q435" s="18">
        <v>750</v>
      </c>
      <c r="R435" s="18" t="s">
        <v>51</v>
      </c>
      <c r="S435" s="21">
        <v>1</v>
      </c>
      <c r="T435" s="18" t="s">
        <v>51</v>
      </c>
      <c r="U435" s="21">
        <v>49.5</v>
      </c>
      <c r="V435" s="21">
        <v>23.7</v>
      </c>
      <c r="W435" s="72">
        <v>21.2</v>
      </c>
      <c r="X435" s="72">
        <v>5.6</v>
      </c>
      <c r="Y435" s="73">
        <f t="shared" si="434"/>
        <v>0.27519686112095038</v>
      </c>
      <c r="Z435" s="18" t="s">
        <v>51</v>
      </c>
      <c r="AA435" s="18" t="s">
        <v>51</v>
      </c>
      <c r="AB435" s="18" t="s">
        <v>51</v>
      </c>
      <c r="AC435" s="28">
        <f t="shared" si="435"/>
        <v>10344.581249999999</v>
      </c>
      <c r="AD435" s="18" t="s">
        <v>51</v>
      </c>
      <c r="AF435" s="1"/>
      <c r="AK435" s="1">
        <f t="shared" si="436"/>
        <v>2.2344228804902964E-2</v>
      </c>
      <c r="AL435" s="29">
        <f t="shared" si="437"/>
        <v>8.0970175669252331</v>
      </c>
      <c r="AM435" s="29">
        <f t="shared" si="438"/>
        <v>8.1193617957301356</v>
      </c>
      <c r="AO435" s="30">
        <f t="shared" si="439"/>
        <v>49.36377755374513</v>
      </c>
      <c r="AP435" s="30">
        <f t="shared" si="440"/>
        <v>23.634778343914338</v>
      </c>
      <c r="AQ435" s="30">
        <f t="shared" si="441"/>
        <v>21.141658265442359</v>
      </c>
      <c r="AR435" s="30">
        <f t="shared" si="442"/>
        <v>5.5845889757772262</v>
      </c>
      <c r="AS435" s="30">
        <f t="shared" si="443"/>
        <v>0.27519686112095038</v>
      </c>
      <c r="AT435" s="31">
        <f t="shared" si="242"/>
        <v>100</v>
      </c>
      <c r="AV435" s="28">
        <f t="shared" si="444"/>
        <v>10316.113287103895</v>
      </c>
    </row>
    <row r="436" spans="1:48" ht="15.75" customHeight="1" x14ac:dyDescent="0.25">
      <c r="B436" s="68"/>
      <c r="C436" s="18" t="s">
        <v>46</v>
      </c>
      <c r="D436" s="69"/>
      <c r="E436" s="18" t="s">
        <v>75</v>
      </c>
      <c r="F436" s="70"/>
      <c r="G436" s="23">
        <f t="shared" si="429"/>
        <v>49.067926455566912</v>
      </c>
      <c r="H436" s="23">
        <f t="shared" si="430"/>
        <v>3.7921348314606744</v>
      </c>
      <c r="I436" s="23">
        <f t="shared" si="431"/>
        <v>46.424923391215529</v>
      </c>
      <c r="J436" s="23">
        <f t="shared" si="432"/>
        <v>0.62563840653728298</v>
      </c>
      <c r="K436" s="23">
        <f t="shared" si="433"/>
        <v>8.9376915219611872E-2</v>
      </c>
      <c r="L436" s="18">
        <v>14.99</v>
      </c>
      <c r="M436" s="18">
        <v>55.54</v>
      </c>
      <c r="N436" s="18">
        <v>9.9499999999999993</v>
      </c>
      <c r="O436" s="36">
        <v>19.52</v>
      </c>
      <c r="P436" s="71">
        <v>0</v>
      </c>
      <c r="Q436" s="18">
        <v>750</v>
      </c>
      <c r="R436" s="18" t="s">
        <v>51</v>
      </c>
      <c r="S436" s="21">
        <v>0.6</v>
      </c>
      <c r="T436" s="18" t="s">
        <v>51</v>
      </c>
      <c r="U436" s="21">
        <v>48.8</v>
      </c>
      <c r="V436" s="21">
        <v>27.5</v>
      </c>
      <c r="W436" s="72">
        <v>19.5</v>
      </c>
      <c r="X436" s="72">
        <v>4.2</v>
      </c>
      <c r="Y436" s="73">
        <f t="shared" si="434"/>
        <v>0.27900082828370898</v>
      </c>
      <c r="Z436" s="18" t="s">
        <v>51</v>
      </c>
      <c r="AA436" s="18" t="s">
        <v>51</v>
      </c>
      <c r="AB436" s="18" t="s">
        <v>51</v>
      </c>
      <c r="AC436" s="28">
        <f t="shared" si="435"/>
        <v>10247.464285714284</v>
      </c>
      <c r="AD436" s="18" t="s">
        <v>51</v>
      </c>
      <c r="AF436" s="1"/>
      <c r="AK436" s="1">
        <f t="shared" si="436"/>
        <v>2.2344228804902964E-2</v>
      </c>
      <c r="AL436" s="29">
        <f t="shared" si="437"/>
        <v>7.986316154877426</v>
      </c>
      <c r="AM436" s="29">
        <f t="shared" si="438"/>
        <v>8.0086603836823294</v>
      </c>
      <c r="AO436" s="30">
        <f t="shared" si="439"/>
        <v>48.663847595797542</v>
      </c>
      <c r="AP436" s="30">
        <f t="shared" si="440"/>
        <v>27.423274772221983</v>
      </c>
      <c r="AQ436" s="30">
        <f t="shared" si="441"/>
        <v>19.445594838484677</v>
      </c>
      <c r="AR436" s="30">
        <f t="shared" si="442"/>
        <v>4.1882819652120844</v>
      </c>
      <c r="AS436" s="30">
        <f t="shared" si="443"/>
        <v>0.27900082828370898</v>
      </c>
      <c r="AT436" s="31">
        <f t="shared" si="242"/>
        <v>100</v>
      </c>
      <c r="AV436" s="28">
        <f t="shared" si="444"/>
        <v>10218.873775479065</v>
      </c>
    </row>
    <row r="437" spans="1:48" ht="15.75" customHeight="1" x14ac:dyDescent="0.25">
      <c r="B437" s="68"/>
      <c r="C437" s="18" t="s">
        <v>46</v>
      </c>
      <c r="D437" s="69"/>
      <c r="E437" s="18" t="s">
        <v>75</v>
      </c>
      <c r="F437" s="70"/>
      <c r="G437" s="23">
        <f t="shared" si="429"/>
        <v>49.067926455566912</v>
      </c>
      <c r="H437" s="23">
        <f t="shared" si="430"/>
        <v>3.7921348314606744</v>
      </c>
      <c r="I437" s="23">
        <f t="shared" si="431"/>
        <v>46.424923391215529</v>
      </c>
      <c r="J437" s="23">
        <f t="shared" si="432"/>
        <v>0.62563840653728298</v>
      </c>
      <c r="K437" s="23">
        <f t="shared" si="433"/>
        <v>8.9376915219611872E-2</v>
      </c>
      <c r="L437" s="18">
        <v>14.99</v>
      </c>
      <c r="M437" s="18">
        <v>55.54</v>
      </c>
      <c r="N437" s="18">
        <v>9.9499999999999993</v>
      </c>
      <c r="O437" s="36">
        <v>19.52</v>
      </c>
      <c r="P437" s="71">
        <v>0</v>
      </c>
      <c r="Q437" s="18">
        <v>750</v>
      </c>
      <c r="R437" s="18" t="s">
        <v>51</v>
      </c>
      <c r="S437" s="21">
        <v>1.32</v>
      </c>
      <c r="T437" s="18" t="s">
        <v>51</v>
      </c>
      <c r="U437" s="21">
        <v>52.3</v>
      </c>
      <c r="V437" s="21">
        <v>17.75</v>
      </c>
      <c r="W437" s="72">
        <v>22.25</v>
      </c>
      <c r="X437" s="72">
        <v>7.4</v>
      </c>
      <c r="Y437" s="73">
        <f t="shared" si="434"/>
        <v>0.2583472317603584</v>
      </c>
      <c r="Z437" s="18" t="s">
        <v>51</v>
      </c>
      <c r="AA437" s="18" t="s">
        <v>51</v>
      </c>
      <c r="AB437" s="18" t="s">
        <v>51</v>
      </c>
      <c r="AC437" s="28">
        <f t="shared" si="435"/>
        <v>10540.1</v>
      </c>
      <c r="AD437" s="18" t="s">
        <v>51</v>
      </c>
      <c r="AF437" s="1"/>
      <c r="AK437" s="1">
        <f t="shared" si="436"/>
        <v>2.2344228804902964E-2</v>
      </c>
      <c r="AL437" s="29">
        <f t="shared" si="437"/>
        <v>8.6265693487283617</v>
      </c>
      <c r="AM437" s="29">
        <f t="shared" si="438"/>
        <v>8.6489135775332642</v>
      </c>
      <c r="AO437" s="30">
        <f t="shared" si="439"/>
        <v>52.164884397789336</v>
      </c>
      <c r="AP437" s="30">
        <f t="shared" si="440"/>
        <v>17.704143366362533</v>
      </c>
      <c r="AQ437" s="30">
        <f t="shared" si="441"/>
        <v>22.192517740933322</v>
      </c>
      <c r="AR437" s="30">
        <f t="shared" si="442"/>
        <v>7.3808823048497354</v>
      </c>
      <c r="AS437" s="30">
        <f t="shared" si="443"/>
        <v>0.2583472317603584</v>
      </c>
      <c r="AT437" s="31">
        <f t="shared" si="242"/>
        <v>99.70077504169528</v>
      </c>
      <c r="AV437" s="28">
        <f t="shared" si="444"/>
        <v>10512.869943425228</v>
      </c>
    </row>
    <row r="438" spans="1:48" ht="15.75" customHeight="1" x14ac:dyDescent="0.25">
      <c r="A438" s="14"/>
      <c r="B438" s="68" t="s">
        <v>76</v>
      </c>
      <c r="C438" s="18" t="s">
        <v>46</v>
      </c>
      <c r="D438" s="69" t="s">
        <v>77</v>
      </c>
      <c r="E438" s="18" t="s">
        <v>75</v>
      </c>
      <c r="F438" s="69" t="s">
        <v>78</v>
      </c>
      <c r="G438" s="18">
        <v>49.4</v>
      </c>
      <c r="H438" s="18">
        <v>5.8</v>
      </c>
      <c r="I438" s="18">
        <v>42.3</v>
      </c>
      <c r="J438" s="18">
        <v>1.2</v>
      </c>
      <c r="K438" s="18">
        <v>1.3</v>
      </c>
      <c r="L438" s="18">
        <v>5.2</v>
      </c>
      <c r="M438" s="18">
        <v>78.099999999999994</v>
      </c>
      <c r="N438" s="18">
        <v>5</v>
      </c>
      <c r="O438" s="18">
        <v>11.7</v>
      </c>
      <c r="P438" s="71">
        <v>0</v>
      </c>
      <c r="Q438" s="40">
        <v>650</v>
      </c>
      <c r="R438" s="18" t="s">
        <v>51</v>
      </c>
      <c r="S438" s="21">
        <v>1.5</v>
      </c>
      <c r="T438" s="18" t="s">
        <v>51</v>
      </c>
      <c r="U438" s="21">
        <v>50.763747454175103</v>
      </c>
      <c r="V438" s="21">
        <v>14.302152644050601</v>
      </c>
      <c r="W438" s="21">
        <v>28.2023563100384</v>
      </c>
      <c r="X438" s="21">
        <v>12.912132277451899</v>
      </c>
      <c r="Y438" s="73">
        <f t="shared" si="434"/>
        <v>0.57361350496351249</v>
      </c>
      <c r="Z438" s="18" t="s">
        <v>51</v>
      </c>
      <c r="AA438" s="18" t="s">
        <v>51</v>
      </c>
      <c r="AB438" s="18" t="s">
        <v>51</v>
      </c>
      <c r="AC438" s="28">
        <f t="shared" si="435"/>
        <v>11913.720632215798</v>
      </c>
      <c r="AD438" s="18" t="s">
        <v>51</v>
      </c>
      <c r="AF438" s="1"/>
      <c r="AK438" s="1">
        <f t="shared" si="436"/>
        <v>4.2857142857142858E-2</v>
      </c>
      <c r="AL438" s="29">
        <f t="shared" si="437"/>
        <v>7.4285748381365746</v>
      </c>
      <c r="AM438" s="29">
        <f t="shared" si="438"/>
        <v>7.4714319809937173</v>
      </c>
      <c r="AO438" s="30">
        <f t="shared" si="439"/>
        <v>50.472559743152381</v>
      </c>
      <c r="AP438" s="30">
        <f t="shared" si="440"/>
        <v>14.22011356498383</v>
      </c>
      <c r="AQ438" s="30">
        <f t="shared" si="441"/>
        <v>28.040583785526092</v>
      </c>
      <c r="AR438" s="30">
        <f t="shared" si="442"/>
        <v>12.838066542929683</v>
      </c>
      <c r="AS438" s="30">
        <f t="shared" si="443"/>
        <v>0.57361350496351249</v>
      </c>
      <c r="AT438" s="31">
        <f t="shared" si="242"/>
        <v>106.1449371415555</v>
      </c>
      <c r="AV438" s="28">
        <f t="shared" si="444"/>
        <v>11845.381921725784</v>
      </c>
    </row>
    <row r="439" spans="1:48" ht="15.75" customHeight="1" x14ac:dyDescent="0.25">
      <c r="B439" s="68"/>
      <c r="C439" s="18" t="s">
        <v>46</v>
      </c>
      <c r="D439" s="69"/>
      <c r="E439" s="18" t="s">
        <v>75</v>
      </c>
      <c r="F439" s="69"/>
      <c r="G439" s="18">
        <v>49.4</v>
      </c>
      <c r="H439" s="18">
        <v>5.8</v>
      </c>
      <c r="I439" s="18">
        <v>42.3</v>
      </c>
      <c r="J439" s="18">
        <v>1.2</v>
      </c>
      <c r="K439" s="18">
        <v>1.3</v>
      </c>
      <c r="L439" s="18">
        <v>5.2</v>
      </c>
      <c r="M439" s="18">
        <v>78.099999999999994</v>
      </c>
      <c r="N439" s="18">
        <v>5</v>
      </c>
      <c r="O439" s="18">
        <v>11.7</v>
      </c>
      <c r="P439" s="71">
        <v>0</v>
      </c>
      <c r="Q439" s="40">
        <v>675</v>
      </c>
      <c r="R439" s="18" t="s">
        <v>51</v>
      </c>
      <c r="S439" s="21">
        <v>1.5</v>
      </c>
      <c r="T439" s="18" t="s">
        <v>51</v>
      </c>
      <c r="U439" s="21">
        <v>52.278464680322003</v>
      </c>
      <c r="V439" s="21">
        <v>16.138080822655201</v>
      </c>
      <c r="W439" s="21">
        <v>26.402700932867901</v>
      </c>
      <c r="X439" s="21">
        <v>11.2189645221618</v>
      </c>
      <c r="Y439" s="73">
        <f t="shared" si="434"/>
        <v>0.55655856132454695</v>
      </c>
      <c r="Z439" s="18" t="s">
        <v>51</v>
      </c>
      <c r="AA439" s="18" t="s">
        <v>51</v>
      </c>
      <c r="AB439" s="18" t="s">
        <v>51</v>
      </c>
      <c r="AC439" s="28">
        <f t="shared" si="435"/>
        <v>11702.509154725176</v>
      </c>
      <c r="AD439" s="18" t="s">
        <v>51</v>
      </c>
      <c r="AF439" s="1"/>
      <c r="AK439" s="1">
        <f t="shared" si="436"/>
        <v>4.2857142857142858E-2</v>
      </c>
      <c r="AL439" s="29">
        <f t="shared" si="437"/>
        <v>7.6575262193442519</v>
      </c>
      <c r="AM439" s="29">
        <f t="shared" si="438"/>
        <v>7.7003833622013946</v>
      </c>
      <c r="AO439" s="30">
        <f t="shared" si="439"/>
        <v>51.98750440941464</v>
      </c>
      <c r="AP439" s="30">
        <f t="shared" si="440"/>
        <v>16.048262952203242</v>
      </c>
      <c r="AQ439" s="30">
        <f t="shared" si="441"/>
        <v>26.255754440405106</v>
      </c>
      <c r="AR439" s="30">
        <f t="shared" si="442"/>
        <v>11.156524414621744</v>
      </c>
      <c r="AS439" s="30">
        <f t="shared" si="443"/>
        <v>0.55655856132454695</v>
      </c>
      <c r="AT439" s="31">
        <f t="shared" si="242"/>
        <v>106.00460477796929</v>
      </c>
      <c r="AV439" s="28">
        <f t="shared" si="444"/>
        <v>11637.377838134764</v>
      </c>
    </row>
    <row r="440" spans="1:48" ht="15.75" customHeight="1" x14ac:dyDescent="0.25">
      <c r="B440" s="68"/>
      <c r="C440" s="18" t="s">
        <v>46</v>
      </c>
      <c r="D440" s="69"/>
      <c r="E440" s="18" t="s">
        <v>75</v>
      </c>
      <c r="F440" s="69"/>
      <c r="G440" s="18">
        <v>49.4</v>
      </c>
      <c r="H440" s="18">
        <v>5.8</v>
      </c>
      <c r="I440" s="18">
        <v>42.3</v>
      </c>
      <c r="J440" s="18">
        <v>1.2</v>
      </c>
      <c r="K440" s="18">
        <v>1.3</v>
      </c>
      <c r="L440" s="18">
        <v>5.2</v>
      </c>
      <c r="M440" s="18">
        <v>78.099999999999994</v>
      </c>
      <c r="N440" s="18">
        <v>5</v>
      </c>
      <c r="O440" s="18">
        <v>11.7</v>
      </c>
      <c r="P440" s="71">
        <v>0</v>
      </c>
      <c r="Q440" s="40">
        <v>700</v>
      </c>
      <c r="R440" s="18" t="s">
        <v>51</v>
      </c>
      <c r="S440" s="21">
        <v>1.5</v>
      </c>
      <c r="T440" s="18" t="s">
        <v>51</v>
      </c>
      <c r="U440" s="21">
        <v>53.4726993235181</v>
      </c>
      <c r="V440" s="21">
        <v>17.866793009872499</v>
      </c>
      <c r="W440" s="21">
        <v>24.709970199281798</v>
      </c>
      <c r="X440" s="21">
        <v>9.8474447410334207</v>
      </c>
      <c r="Y440" s="73">
        <f t="shared" si="434"/>
        <v>0.54280718363359137</v>
      </c>
      <c r="Z440" s="18" t="s">
        <v>51</v>
      </c>
      <c r="AA440" s="18" t="s">
        <v>51</v>
      </c>
      <c r="AB440" s="18" t="s">
        <v>51</v>
      </c>
      <c r="AC440" s="28">
        <f t="shared" si="435"/>
        <v>11558.404763506835</v>
      </c>
      <c r="AD440" s="18" t="s">
        <v>51</v>
      </c>
      <c r="AF440" s="1"/>
      <c r="AK440" s="1">
        <f t="shared" si="436"/>
        <v>4.2857142857142858E-2</v>
      </c>
      <c r="AL440" s="29">
        <f t="shared" si="437"/>
        <v>7.8526063199242406</v>
      </c>
      <c r="AM440" s="29">
        <f t="shared" si="438"/>
        <v>7.8954634627813833</v>
      </c>
      <c r="AO440" s="30">
        <f t="shared" si="439"/>
        <v>53.182445670307267</v>
      </c>
      <c r="AP440" s="30">
        <f t="shared" si="440"/>
        <v>17.769810773929969</v>
      </c>
      <c r="AQ440" s="30">
        <f t="shared" si="441"/>
        <v>24.575842705966373</v>
      </c>
      <c r="AR440" s="30">
        <f t="shared" si="442"/>
        <v>9.7939921035747428</v>
      </c>
      <c r="AS440" s="30">
        <f t="shared" si="443"/>
        <v>0.54280718363359137</v>
      </c>
      <c r="AT440" s="31">
        <f t="shared" si="242"/>
        <v>105.86489843741194</v>
      </c>
      <c r="AV440" s="28">
        <f t="shared" si="444"/>
        <v>11495.664912137076</v>
      </c>
    </row>
    <row r="441" spans="1:48" ht="15.75" customHeight="1" x14ac:dyDescent="0.25">
      <c r="B441" s="68"/>
      <c r="C441" s="18" t="s">
        <v>46</v>
      </c>
      <c r="D441" s="69"/>
      <c r="E441" s="18" t="s">
        <v>75</v>
      </c>
      <c r="F441" s="69"/>
      <c r="G441" s="18">
        <v>49.4</v>
      </c>
      <c r="H441" s="18">
        <v>5.8</v>
      </c>
      <c r="I441" s="18">
        <v>42.3</v>
      </c>
      <c r="J441" s="18">
        <v>1.2</v>
      </c>
      <c r="K441" s="18">
        <v>1.3</v>
      </c>
      <c r="L441" s="18">
        <v>5.2</v>
      </c>
      <c r="M441" s="18">
        <v>78.099999999999994</v>
      </c>
      <c r="N441" s="18">
        <v>5</v>
      </c>
      <c r="O441" s="18">
        <v>11.7</v>
      </c>
      <c r="P441" s="71">
        <v>0</v>
      </c>
      <c r="Q441" s="40">
        <v>725</v>
      </c>
      <c r="R441" s="18" t="s">
        <v>51</v>
      </c>
      <c r="S441" s="21">
        <v>1.5</v>
      </c>
      <c r="T441" s="18" t="s">
        <v>51</v>
      </c>
      <c r="U441" s="21">
        <v>54.880783253883202</v>
      </c>
      <c r="V441" s="21">
        <v>19.4882892057026</v>
      </c>
      <c r="W441" s="21">
        <v>23.337430700843999</v>
      </c>
      <c r="X441" s="21">
        <v>8.9028951647363694</v>
      </c>
      <c r="Y441" s="73">
        <f t="shared" si="434"/>
        <v>0.53564350139574846</v>
      </c>
      <c r="Z441" s="18" t="s">
        <v>51</v>
      </c>
      <c r="AA441" s="18" t="s">
        <v>51</v>
      </c>
      <c r="AB441" s="18" t="s">
        <v>51</v>
      </c>
      <c r="AC441" s="28">
        <f t="shared" si="435"/>
        <v>11576.829718209186</v>
      </c>
      <c r="AD441" s="18" t="s">
        <v>51</v>
      </c>
      <c r="AF441" s="1"/>
      <c r="AK441" s="1">
        <f t="shared" si="436"/>
        <v>4.2857142857142858E-2</v>
      </c>
      <c r="AL441" s="29">
        <f t="shared" si="437"/>
        <v>7.9582000426530382</v>
      </c>
      <c r="AM441" s="29">
        <f t="shared" si="438"/>
        <v>8.0010571855101809</v>
      </c>
      <c r="AO441" s="30">
        <f t="shared" si="439"/>
        <v>54.586817904868688</v>
      </c>
      <c r="AP441" s="30">
        <f t="shared" si="440"/>
        <v>19.383901451039044</v>
      </c>
      <c r="AQ441" s="30">
        <f t="shared" si="441"/>
        <v>23.212425269902191</v>
      </c>
      <c r="AR441" s="30">
        <f t="shared" si="442"/>
        <v>8.8552073853503828</v>
      </c>
      <c r="AS441" s="30">
        <f t="shared" si="443"/>
        <v>0.53564350139574846</v>
      </c>
      <c r="AT441" s="31">
        <f t="shared" si="242"/>
        <v>106.57399551255605</v>
      </c>
      <c r="AV441" s="28">
        <f t="shared" si="444"/>
        <v>11514.819182155947</v>
      </c>
    </row>
    <row r="442" spans="1:48" ht="15.75" customHeight="1" x14ac:dyDescent="0.25">
      <c r="B442" s="68"/>
      <c r="C442" s="18" t="s">
        <v>46</v>
      </c>
      <c r="D442" s="69"/>
      <c r="E442" s="18" t="s">
        <v>75</v>
      </c>
      <c r="F442" s="69"/>
      <c r="G442" s="18">
        <v>49.4</v>
      </c>
      <c r="H442" s="18">
        <v>5.8</v>
      </c>
      <c r="I442" s="18">
        <v>42.3</v>
      </c>
      <c r="J442" s="18">
        <v>1.2</v>
      </c>
      <c r="K442" s="18">
        <v>1.3</v>
      </c>
      <c r="L442" s="18">
        <v>5.2</v>
      </c>
      <c r="M442" s="18">
        <v>78.099999999999994</v>
      </c>
      <c r="N442" s="18">
        <v>5</v>
      </c>
      <c r="O442" s="18">
        <v>11.7</v>
      </c>
      <c r="P442" s="71">
        <v>0</v>
      </c>
      <c r="Q442" s="40">
        <v>750</v>
      </c>
      <c r="R442" s="18" t="s">
        <v>51</v>
      </c>
      <c r="S442" s="21">
        <v>1.5</v>
      </c>
      <c r="T442" s="18" t="s">
        <v>51</v>
      </c>
      <c r="U442" s="21">
        <v>55.539957657452597</v>
      </c>
      <c r="V442" s="21">
        <v>20.575599205314099</v>
      </c>
      <c r="W442" s="21">
        <v>21.751624610842502</v>
      </c>
      <c r="X442" s="21">
        <v>8.1721948756083602</v>
      </c>
      <c r="Y442" s="73">
        <f t="shared" si="434"/>
        <v>0.52298188884018182</v>
      </c>
      <c r="Z442" s="18" t="s">
        <v>51</v>
      </c>
      <c r="AA442" s="18" t="s">
        <v>51</v>
      </c>
      <c r="AB442" s="18" t="s">
        <v>51</v>
      </c>
      <c r="AC442" s="28">
        <f t="shared" si="435"/>
        <v>11523.542047718687</v>
      </c>
      <c r="AD442" s="18" t="s">
        <v>51</v>
      </c>
      <c r="AF442" s="1"/>
      <c r="AK442" s="1">
        <f t="shared" si="436"/>
        <v>4.2857142857142858E-2</v>
      </c>
      <c r="AL442" s="29">
        <f t="shared" si="437"/>
        <v>8.1519090185843641</v>
      </c>
      <c r="AM442" s="29">
        <f t="shared" si="438"/>
        <v>8.1947661614415068</v>
      </c>
      <c r="AO442" s="30">
        <f t="shared" si="439"/>
        <v>55.249493737834612</v>
      </c>
      <c r="AP442" s="30">
        <f t="shared" si="440"/>
        <v>20.467992547949962</v>
      </c>
      <c r="AQ442" s="30">
        <f t="shared" si="441"/>
        <v>21.637867553599293</v>
      </c>
      <c r="AR442" s="30">
        <f t="shared" si="442"/>
        <v>8.1294557764882018</v>
      </c>
      <c r="AS442" s="30">
        <f t="shared" si="443"/>
        <v>0.52298188884018182</v>
      </c>
      <c r="AT442" s="31">
        <f t="shared" si="242"/>
        <v>106.00779150471224</v>
      </c>
      <c r="AV442" s="28">
        <f t="shared" si="444"/>
        <v>11463.276009856236</v>
      </c>
    </row>
    <row r="443" spans="1:48" ht="15.75" customHeight="1" x14ac:dyDescent="0.25">
      <c r="B443" s="68"/>
      <c r="C443" s="18" t="s">
        <v>46</v>
      </c>
      <c r="D443" s="69"/>
      <c r="E443" s="18" t="s">
        <v>75</v>
      </c>
      <c r="F443" s="69"/>
      <c r="G443" s="18">
        <v>49.4</v>
      </c>
      <c r="H443" s="18">
        <v>5.8</v>
      </c>
      <c r="I443" s="18">
        <v>42.3</v>
      </c>
      <c r="J443" s="18">
        <v>1.2</v>
      </c>
      <c r="K443" s="18">
        <v>1.3</v>
      </c>
      <c r="L443" s="18">
        <v>5.2</v>
      </c>
      <c r="M443" s="18">
        <v>78.099999999999994</v>
      </c>
      <c r="N443" s="18">
        <v>5</v>
      </c>
      <c r="O443" s="18">
        <v>11.7</v>
      </c>
      <c r="P443" s="71">
        <v>0</v>
      </c>
      <c r="Q443" s="40">
        <v>775</v>
      </c>
      <c r="R443" s="18" t="s">
        <v>51</v>
      </c>
      <c r="S443" s="21">
        <v>1.5</v>
      </c>
      <c r="T443" s="18" t="s">
        <v>51</v>
      </c>
      <c r="U443" s="21">
        <v>56.413418369895098</v>
      </c>
      <c r="V443" s="21">
        <v>21.983391787876599</v>
      </c>
      <c r="W443" s="21">
        <v>21.021215669517201</v>
      </c>
      <c r="X443" s="21">
        <v>7.0139416860436103</v>
      </c>
      <c r="Y443" s="73">
        <f t="shared" si="434"/>
        <v>0.51802770711578228</v>
      </c>
      <c r="Z443" s="18" t="s">
        <v>51</v>
      </c>
      <c r="AA443" s="18" t="s">
        <v>51</v>
      </c>
      <c r="AB443" s="18" t="s">
        <v>51</v>
      </c>
      <c r="AC443" s="28">
        <f t="shared" si="435"/>
        <v>11380.679724209569</v>
      </c>
      <c r="AD443" s="18" t="s">
        <v>51</v>
      </c>
      <c r="AF443" s="1"/>
      <c r="AK443" s="1">
        <f t="shared" si="436"/>
        <v>4.2857142857142858E-2</v>
      </c>
      <c r="AL443" s="29">
        <f t="shared" si="437"/>
        <v>8.2302800404333318</v>
      </c>
      <c r="AM443" s="29">
        <f t="shared" si="438"/>
        <v>8.2731371832904745</v>
      </c>
      <c r="AO443" s="30">
        <f t="shared" si="439"/>
        <v>56.121181232207896</v>
      </c>
      <c r="AP443" s="30">
        <f t="shared" si="440"/>
        <v>21.869511727451584</v>
      </c>
      <c r="AQ443" s="30">
        <f t="shared" si="441"/>
        <v>20.912319947976542</v>
      </c>
      <c r="AR443" s="30">
        <f t="shared" si="442"/>
        <v>6.9776075247489606</v>
      </c>
      <c r="AS443" s="30">
        <f t="shared" si="443"/>
        <v>0.51802770711578228</v>
      </c>
      <c r="AT443" s="31">
        <f t="shared" si="242"/>
        <v>106.39864813950076</v>
      </c>
      <c r="AV443" s="28">
        <f t="shared" si="444"/>
        <v>11321.724649980055</v>
      </c>
    </row>
    <row r="444" spans="1:48" ht="15.75" customHeight="1" x14ac:dyDescent="0.25">
      <c r="B444" s="68"/>
      <c r="C444" s="18" t="s">
        <v>46</v>
      </c>
      <c r="D444" s="69"/>
      <c r="E444" s="18" t="s">
        <v>75</v>
      </c>
      <c r="F444" s="69"/>
      <c r="G444" s="18">
        <v>49.4</v>
      </c>
      <c r="H444" s="18">
        <v>5.8</v>
      </c>
      <c r="I444" s="18">
        <v>42.3</v>
      </c>
      <c r="J444" s="18">
        <v>1.2</v>
      </c>
      <c r="K444" s="18">
        <v>1.3</v>
      </c>
      <c r="L444" s="18">
        <v>5.2</v>
      </c>
      <c r="M444" s="18">
        <v>78.099999999999994</v>
      </c>
      <c r="N444" s="18">
        <v>5</v>
      </c>
      <c r="O444" s="18">
        <v>11.7</v>
      </c>
      <c r="P444" s="71">
        <v>0</v>
      </c>
      <c r="Q444" s="40">
        <v>800</v>
      </c>
      <c r="R444" s="18" t="s">
        <v>51</v>
      </c>
      <c r="S444" s="21">
        <v>1.5</v>
      </c>
      <c r="T444" s="18" t="s">
        <v>51</v>
      </c>
      <c r="U444" s="21">
        <v>57.072301425661898</v>
      </c>
      <c r="V444" s="21">
        <v>23.498254687924799</v>
      </c>
      <c r="W444" s="21">
        <v>19.969450101832901</v>
      </c>
      <c r="X444" s="21">
        <v>6.1763167533310703</v>
      </c>
      <c r="Y444" s="73">
        <f t="shared" si="434"/>
        <v>0.51416877659204896</v>
      </c>
      <c r="Z444" s="18" t="s">
        <v>51</v>
      </c>
      <c r="AA444" s="18" t="s">
        <v>51</v>
      </c>
      <c r="AB444" s="18" t="s">
        <v>51</v>
      </c>
      <c r="AC444" s="28">
        <f t="shared" si="435"/>
        <v>11343.064892854849</v>
      </c>
      <c r="AD444" s="18" t="s">
        <v>51</v>
      </c>
      <c r="AF444" s="1"/>
      <c r="AK444" s="1">
        <f t="shared" si="436"/>
        <v>4.2857142857142858E-2</v>
      </c>
      <c r="AL444" s="29">
        <f t="shared" si="437"/>
        <v>8.2923714451569666</v>
      </c>
      <c r="AM444" s="29">
        <f t="shared" si="438"/>
        <v>8.3352285880141093</v>
      </c>
      <c r="AO444" s="30">
        <f t="shared" si="439"/>
        <v>56.778853471648652</v>
      </c>
      <c r="AP444" s="30">
        <f t="shared" si="440"/>
        <v>23.377433999275414</v>
      </c>
      <c r="AQ444" s="30">
        <f t="shared" si="441"/>
        <v>19.866773424552147</v>
      </c>
      <c r="AR444" s="30">
        <f t="shared" si="442"/>
        <v>6.1445600610420188</v>
      </c>
      <c r="AS444" s="30">
        <f t="shared" si="443"/>
        <v>0.51416877659204896</v>
      </c>
      <c r="AT444" s="31">
        <f t="shared" si="242"/>
        <v>106.68178973311028</v>
      </c>
      <c r="AV444" s="28">
        <f t="shared" si="444"/>
        <v>11284.742394867215</v>
      </c>
    </row>
    <row r="445" spans="1:48" ht="15.75" customHeight="1" x14ac:dyDescent="0.25">
      <c r="B445" s="68"/>
      <c r="C445" s="18" t="s">
        <v>46</v>
      </c>
      <c r="D445" s="69"/>
      <c r="E445" s="18" t="s">
        <v>75</v>
      </c>
      <c r="F445" s="69"/>
      <c r="G445" s="18">
        <v>49.4</v>
      </c>
      <c r="H445" s="18">
        <v>5.8</v>
      </c>
      <c r="I445" s="18">
        <v>42.3</v>
      </c>
      <c r="J445" s="18">
        <v>1.2</v>
      </c>
      <c r="K445" s="18">
        <v>1.3</v>
      </c>
      <c r="L445" s="18">
        <v>5.2</v>
      </c>
      <c r="M445" s="18">
        <v>78.099999999999994</v>
      </c>
      <c r="N445" s="18">
        <v>5</v>
      </c>
      <c r="O445" s="18">
        <v>11.7</v>
      </c>
      <c r="P445" s="71">
        <v>0</v>
      </c>
      <c r="Q445" s="18">
        <v>800</v>
      </c>
      <c r="R445" s="18" t="s">
        <v>51</v>
      </c>
      <c r="S445" s="21">
        <v>0.5</v>
      </c>
      <c r="T445" s="18" t="s">
        <v>51</v>
      </c>
      <c r="U445" s="21">
        <v>54.25</v>
      </c>
      <c r="V445" s="21">
        <v>27.744557190416501</v>
      </c>
      <c r="W445" s="21">
        <v>14.8941672634678</v>
      </c>
      <c r="X445" s="21">
        <v>3.1564487147259501</v>
      </c>
      <c r="Y445" s="73">
        <f t="shared" si="434"/>
        <v>0.47449496402939262</v>
      </c>
      <c r="Z445" s="18" t="s">
        <v>51</v>
      </c>
      <c r="AA445" s="18" t="s">
        <v>51</v>
      </c>
      <c r="AB445" s="18" t="s">
        <v>51</v>
      </c>
      <c r="AC445" s="28">
        <f t="shared" si="435"/>
        <v>10492.800692991612</v>
      </c>
      <c r="AD445" s="18" t="s">
        <v>51</v>
      </c>
      <c r="AF445" s="1"/>
      <c r="AK445" s="1">
        <f t="shared" si="436"/>
        <v>4.2857142857142858E-2</v>
      </c>
      <c r="AL445" s="29">
        <f t="shared" si="437"/>
        <v>8.9893025439816139</v>
      </c>
      <c r="AM445" s="29">
        <f t="shared" si="438"/>
        <v>9.0321596868387566</v>
      </c>
      <c r="AO445" s="30">
        <f t="shared" si="439"/>
        <v>53.992586482014048</v>
      </c>
      <c r="AP445" s="30">
        <f t="shared" si="440"/>
        <v>27.612910663755724</v>
      </c>
      <c r="AQ445" s="30">
        <f t="shared" si="441"/>
        <v>14.823495189868533</v>
      </c>
      <c r="AR445" s="30">
        <f t="shared" si="442"/>
        <v>3.1414715245324047</v>
      </c>
      <c r="AS445" s="30">
        <f t="shared" si="443"/>
        <v>0.47449496402939262</v>
      </c>
      <c r="AT445" s="31">
        <f t="shared" si="242"/>
        <v>100.04495882420011</v>
      </c>
      <c r="AV445" s="28">
        <f t="shared" si="444"/>
        <v>10443.012882117726</v>
      </c>
    </row>
    <row r="446" spans="1:48" ht="15.75" customHeight="1" x14ac:dyDescent="0.25">
      <c r="B446" s="68"/>
      <c r="C446" s="18" t="s">
        <v>46</v>
      </c>
      <c r="D446" s="69"/>
      <c r="E446" s="18" t="s">
        <v>75</v>
      </c>
      <c r="F446" s="69"/>
      <c r="G446" s="18">
        <v>49.4</v>
      </c>
      <c r="H446" s="18">
        <v>5.8</v>
      </c>
      <c r="I446" s="18">
        <v>42.3</v>
      </c>
      <c r="J446" s="18">
        <v>1.2</v>
      </c>
      <c r="K446" s="18">
        <v>1.3</v>
      </c>
      <c r="L446" s="18">
        <v>5.2</v>
      </c>
      <c r="M446" s="18">
        <v>78.099999999999994</v>
      </c>
      <c r="N446" s="18">
        <v>5</v>
      </c>
      <c r="O446" s="18">
        <v>11.7</v>
      </c>
      <c r="P446" s="71">
        <v>0</v>
      </c>
      <c r="Q446" s="18">
        <v>800</v>
      </c>
      <c r="R446" s="18" t="s">
        <v>51</v>
      </c>
      <c r="S446" s="21">
        <v>0.75</v>
      </c>
      <c r="T446" s="18" t="s">
        <v>51</v>
      </c>
      <c r="U446" s="21">
        <v>54.75</v>
      </c>
      <c r="V446" s="21">
        <v>26.425229727679799</v>
      </c>
      <c r="W446" s="21">
        <v>15.8097596880719</v>
      </c>
      <c r="X446" s="21">
        <v>3.2907763781433501</v>
      </c>
      <c r="Y446" s="73">
        <f t="shared" si="434"/>
        <v>0.47171673595979463</v>
      </c>
      <c r="Z446" s="18" t="s">
        <v>51</v>
      </c>
      <c r="AA446" s="18" t="s">
        <v>51</v>
      </c>
      <c r="AB446" s="18" t="s">
        <v>51</v>
      </c>
      <c r="AC446" s="28">
        <f t="shared" si="435"/>
        <v>10428.226763195893</v>
      </c>
      <c r="AD446" s="18" t="s">
        <v>51</v>
      </c>
      <c r="AF446" s="1"/>
      <c r="AK446" s="1">
        <f t="shared" si="436"/>
        <v>4.2857142857142858E-2</v>
      </c>
      <c r="AL446" s="29">
        <f t="shared" si="437"/>
        <v>9.0424984508853825</v>
      </c>
      <c r="AM446" s="29">
        <f t="shared" si="438"/>
        <v>9.0853555937425252</v>
      </c>
      <c r="AO446" s="30">
        <f t="shared" si="439"/>
        <v>54.491735087062011</v>
      </c>
      <c r="AP446" s="30">
        <f t="shared" si="440"/>
        <v>26.300577496538512</v>
      </c>
      <c r="AQ446" s="30">
        <f t="shared" si="441"/>
        <v>15.735182405708242</v>
      </c>
      <c r="AR446" s="30">
        <f t="shared" si="442"/>
        <v>3.2752532352246364</v>
      </c>
      <c r="AS446" s="30">
        <f t="shared" si="443"/>
        <v>0.47171673595979463</v>
      </c>
      <c r="AT446" s="31">
        <f t="shared" si="242"/>
        <v>100.27446496049319</v>
      </c>
      <c r="AV446" s="28">
        <f t="shared" si="444"/>
        <v>10379.03507229006</v>
      </c>
    </row>
    <row r="447" spans="1:48" ht="15.75" customHeight="1" x14ac:dyDescent="0.25">
      <c r="B447" s="68"/>
      <c r="C447" s="18" t="s">
        <v>46</v>
      </c>
      <c r="D447" s="69"/>
      <c r="E447" s="18" t="s">
        <v>75</v>
      </c>
      <c r="F447" s="69"/>
      <c r="G447" s="18">
        <v>49.4</v>
      </c>
      <c r="H447" s="18">
        <v>5.8</v>
      </c>
      <c r="I447" s="18">
        <v>42.3</v>
      </c>
      <c r="J447" s="18">
        <v>1.2</v>
      </c>
      <c r="K447" s="18">
        <v>1.3</v>
      </c>
      <c r="L447" s="18">
        <v>5.2</v>
      </c>
      <c r="M447" s="18">
        <v>78.099999999999994</v>
      </c>
      <c r="N447" s="18">
        <v>5</v>
      </c>
      <c r="O447" s="18">
        <v>11.7</v>
      </c>
      <c r="P447" s="71">
        <v>0</v>
      </c>
      <c r="Q447" s="18">
        <v>800</v>
      </c>
      <c r="R447" s="18" t="s">
        <v>51</v>
      </c>
      <c r="S447" s="21">
        <v>1</v>
      </c>
      <c r="T447" s="18" t="s">
        <v>51</v>
      </c>
      <c r="U447" s="21">
        <v>55.375</v>
      </c>
      <c r="V447" s="21">
        <v>24.723169164198399</v>
      </c>
      <c r="W447" s="21">
        <v>16.725551046391299</v>
      </c>
      <c r="X447" s="21">
        <v>3.45579048310662</v>
      </c>
      <c r="Y447" s="73">
        <f t="shared" si="434"/>
        <v>0.46530953328061286</v>
      </c>
      <c r="Z447" s="18" t="s">
        <v>51</v>
      </c>
      <c r="AA447" s="18" t="s">
        <v>51</v>
      </c>
      <c r="AB447" s="18" t="s">
        <v>51</v>
      </c>
      <c r="AC447" s="28">
        <f t="shared" si="435"/>
        <v>10339.788362062136</v>
      </c>
      <c r="AD447" s="18" t="s">
        <v>51</v>
      </c>
      <c r="AF447" s="1"/>
      <c r="AK447" s="1">
        <f t="shared" si="436"/>
        <v>4.2857142857142858E-2</v>
      </c>
      <c r="AL447" s="29">
        <f t="shared" si="437"/>
        <v>9.1676016575425319</v>
      </c>
      <c r="AM447" s="29">
        <f t="shared" si="438"/>
        <v>9.2104588003996746</v>
      </c>
      <c r="AO447" s="30">
        <f t="shared" si="439"/>
        <v>55.117334845945855</v>
      </c>
      <c r="AP447" s="30">
        <f t="shared" si="440"/>
        <v>24.608129901148292</v>
      </c>
      <c r="AQ447" s="30">
        <f t="shared" si="441"/>
        <v>16.647725462878725</v>
      </c>
      <c r="AR447" s="30">
        <f t="shared" si="442"/>
        <v>3.4397103605385211</v>
      </c>
      <c r="AS447" s="30">
        <f t="shared" si="443"/>
        <v>0.46530953328061286</v>
      </c>
      <c r="AT447" s="31">
        <f t="shared" si="242"/>
        <v>100.27821010379202</v>
      </c>
      <c r="AV447" s="28">
        <f t="shared" si="444"/>
        <v>10291.676341092421</v>
      </c>
    </row>
    <row r="448" spans="1:48" ht="15.75" customHeight="1" x14ac:dyDescent="0.25">
      <c r="B448" s="68"/>
      <c r="C448" s="18" t="s">
        <v>46</v>
      </c>
      <c r="D448" s="69"/>
      <c r="E448" s="18" t="s">
        <v>75</v>
      </c>
      <c r="F448" s="69"/>
      <c r="G448" s="18">
        <v>49.4</v>
      </c>
      <c r="H448" s="18">
        <v>5.8</v>
      </c>
      <c r="I448" s="18">
        <v>42.3</v>
      </c>
      <c r="J448" s="18">
        <v>1.2</v>
      </c>
      <c r="K448" s="18">
        <v>1.3</v>
      </c>
      <c r="L448" s="18">
        <v>5.2</v>
      </c>
      <c r="M448" s="18">
        <v>78.099999999999994</v>
      </c>
      <c r="N448" s="18">
        <v>5</v>
      </c>
      <c r="O448" s="18">
        <v>11.7</v>
      </c>
      <c r="P448" s="71">
        <v>0</v>
      </c>
      <c r="Q448" s="18">
        <v>800</v>
      </c>
      <c r="R448" s="18" t="s">
        <v>51</v>
      </c>
      <c r="S448" s="21">
        <v>1.25</v>
      </c>
      <c r="T448" s="18" t="s">
        <v>51</v>
      </c>
      <c r="U448" s="21">
        <v>55.75</v>
      </c>
      <c r="V448" s="21">
        <v>23.340252440981299</v>
      </c>
      <c r="W448" s="21">
        <v>17.535111800747899</v>
      </c>
      <c r="X448" s="21">
        <v>3.6411380796767401</v>
      </c>
      <c r="Y448" s="73">
        <f t="shared" si="434"/>
        <v>0.46130746023879626</v>
      </c>
      <c r="Z448" s="18" t="s">
        <v>51</v>
      </c>
      <c r="AA448" s="18" t="s">
        <v>51</v>
      </c>
      <c r="AB448" s="18" t="s">
        <v>51</v>
      </c>
      <c r="AC448" s="28">
        <f t="shared" si="435"/>
        <v>10271.967270673149</v>
      </c>
      <c r="AD448" s="18" t="s">
        <v>51</v>
      </c>
      <c r="AF448" s="1"/>
      <c r="AK448" s="1">
        <f t="shared" si="436"/>
        <v>4.2857142857142858E-2</v>
      </c>
      <c r="AL448" s="29">
        <f t="shared" si="437"/>
        <v>9.2475069962698981</v>
      </c>
      <c r="AM448" s="29">
        <f t="shared" si="438"/>
        <v>9.2903641391270408</v>
      </c>
      <c r="AO448" s="30">
        <f t="shared" si="439"/>
        <v>55.492821090916863</v>
      </c>
      <c r="AP448" s="30">
        <f t="shared" si="440"/>
        <v>23.232582115232482</v>
      </c>
      <c r="AQ448" s="30">
        <f t="shared" si="441"/>
        <v>17.454221021849836</v>
      </c>
      <c r="AR448" s="30">
        <f t="shared" si="442"/>
        <v>3.6243412380775957</v>
      </c>
      <c r="AS448" s="30">
        <f t="shared" si="443"/>
        <v>0.46130746023879626</v>
      </c>
      <c r="AT448" s="31">
        <f t="shared" si="242"/>
        <v>100.26527292631556</v>
      </c>
      <c r="AV448" s="28">
        <f t="shared" si="444"/>
        <v>10224.581919340244</v>
      </c>
    </row>
    <row r="449" spans="1:48" ht="15.75" customHeight="1" x14ac:dyDescent="0.25">
      <c r="B449" s="68"/>
      <c r="C449" s="18" t="s">
        <v>46</v>
      </c>
      <c r="D449" s="69"/>
      <c r="E449" s="18" t="s">
        <v>75</v>
      </c>
      <c r="F449" s="69"/>
      <c r="G449" s="18">
        <v>49.4</v>
      </c>
      <c r="H449" s="18">
        <v>5.8</v>
      </c>
      <c r="I449" s="18">
        <v>42.3</v>
      </c>
      <c r="J449" s="18">
        <v>1.2</v>
      </c>
      <c r="K449" s="18">
        <v>1.3</v>
      </c>
      <c r="L449" s="18">
        <v>5.2</v>
      </c>
      <c r="M449" s="18">
        <v>78.099999999999994</v>
      </c>
      <c r="N449" s="18">
        <v>5</v>
      </c>
      <c r="O449" s="18">
        <v>11.7</v>
      </c>
      <c r="P449" s="71">
        <v>0</v>
      </c>
      <c r="Q449" s="18">
        <v>800</v>
      </c>
      <c r="R449" s="18" t="s">
        <v>51</v>
      </c>
      <c r="S449" s="21">
        <v>1.5</v>
      </c>
      <c r="T449" s="18" t="s">
        <v>51</v>
      </c>
      <c r="U449" s="21">
        <v>56.25</v>
      </c>
      <c r="V449" s="21">
        <v>21.957335717764199</v>
      </c>
      <c r="W449" s="21">
        <v>18.344871488819901</v>
      </c>
      <c r="X449" s="21">
        <v>3.8060963233993399</v>
      </c>
      <c r="Y449" s="73">
        <f t="shared" si="434"/>
        <v>0.45709678776482704</v>
      </c>
      <c r="Z449" s="18" t="s">
        <v>51</v>
      </c>
      <c r="AA449" s="18" t="s">
        <v>51</v>
      </c>
      <c r="AB449" s="18" t="s">
        <v>51</v>
      </c>
      <c r="AC449" s="28">
        <f t="shared" si="435"/>
        <v>10210.334838934843</v>
      </c>
      <c r="AD449" s="18" t="s">
        <v>51</v>
      </c>
      <c r="AF449" s="1"/>
      <c r="AK449" s="1">
        <f t="shared" si="436"/>
        <v>4.2857142857142858E-2</v>
      </c>
      <c r="AL449" s="29">
        <f t="shared" si="437"/>
        <v>9.3330877345311762</v>
      </c>
      <c r="AM449" s="29">
        <f t="shared" si="438"/>
        <v>9.3759448773883189</v>
      </c>
      <c r="AO449" s="30">
        <f t="shared" si="439"/>
        <v>55.992883056882278</v>
      </c>
      <c r="AP449" s="30">
        <f t="shared" si="440"/>
        <v>21.85696944151956</v>
      </c>
      <c r="AQ449" s="30">
        <f t="shared" si="441"/>
        <v>18.261017670524922</v>
      </c>
      <c r="AR449" s="30">
        <f t="shared" si="442"/>
        <v>3.7886987793658462</v>
      </c>
      <c r="AS449" s="30">
        <f t="shared" si="443"/>
        <v>0.45709678776482704</v>
      </c>
      <c r="AT449" s="31">
        <f t="shared" si="242"/>
        <v>100.35666573605744</v>
      </c>
      <c r="AV449" s="28">
        <f t="shared" si="444"/>
        <v>10163.663726366036</v>
      </c>
    </row>
    <row r="450" spans="1:48" ht="15.75" customHeight="1" x14ac:dyDescent="0.25">
      <c r="B450" s="68"/>
      <c r="C450" s="18" t="s">
        <v>46</v>
      </c>
      <c r="D450" s="69"/>
      <c r="E450" s="18" t="s">
        <v>75</v>
      </c>
      <c r="F450" s="69"/>
      <c r="G450" s="18">
        <v>49.4</v>
      </c>
      <c r="H450" s="18">
        <v>5.8</v>
      </c>
      <c r="I450" s="18">
        <v>42.3</v>
      </c>
      <c r="J450" s="18">
        <v>1.2</v>
      </c>
      <c r="K450" s="18">
        <v>1.3</v>
      </c>
      <c r="L450" s="18">
        <v>5.2</v>
      </c>
      <c r="M450" s="18">
        <v>78.099999999999994</v>
      </c>
      <c r="N450" s="18">
        <v>5</v>
      </c>
      <c r="O450" s="18">
        <v>11.7</v>
      </c>
      <c r="P450" s="71">
        <v>0</v>
      </c>
      <c r="Q450" s="18">
        <v>800</v>
      </c>
      <c r="R450" s="18" t="s">
        <v>51</v>
      </c>
      <c r="S450" s="21">
        <v>1.75</v>
      </c>
      <c r="T450" s="18" t="s">
        <v>51</v>
      </c>
      <c r="U450" s="21">
        <v>56.375</v>
      </c>
      <c r="V450" s="21">
        <v>20.382693182816102</v>
      </c>
      <c r="W450" s="21">
        <v>19.471930452773101</v>
      </c>
      <c r="X450" s="21">
        <v>4.0016851474271196</v>
      </c>
      <c r="Y450" s="73">
        <f t="shared" si="434"/>
        <v>0.45449722117361913</v>
      </c>
      <c r="Z450" s="18" t="s">
        <v>51</v>
      </c>
      <c r="AA450" s="18" t="s">
        <v>51</v>
      </c>
      <c r="AB450" s="18" t="s">
        <v>51</v>
      </c>
      <c r="AC450" s="28">
        <f t="shared" si="435"/>
        <v>10094.971965966479</v>
      </c>
      <c r="AD450" s="18" t="s">
        <v>51</v>
      </c>
      <c r="AF450" s="1"/>
      <c r="AK450" s="1">
        <f t="shared" si="436"/>
        <v>4.2857142857142858E-2</v>
      </c>
      <c r="AL450" s="29">
        <f t="shared" si="437"/>
        <v>9.3867148898333088</v>
      </c>
      <c r="AM450" s="29">
        <f t="shared" si="438"/>
        <v>9.4295720326904515</v>
      </c>
      <c r="AO450" s="30">
        <f t="shared" si="439"/>
        <v>56.11877719156336</v>
      </c>
      <c r="AP450" s="30">
        <f t="shared" si="440"/>
        <v>20.290054408699859</v>
      </c>
      <c r="AQ450" s="30">
        <f t="shared" si="441"/>
        <v>19.383431069956387</v>
      </c>
      <c r="AR450" s="30">
        <f t="shared" si="442"/>
        <v>3.9834975996319457</v>
      </c>
      <c r="AS450" s="30">
        <f t="shared" si="443"/>
        <v>0.45449722117361913</v>
      </c>
      <c r="AT450" s="31">
        <f t="shared" si="242"/>
        <v>100.23025749102518</v>
      </c>
      <c r="AV450" s="28">
        <f t="shared" si="444"/>
        <v>10049.090598902903</v>
      </c>
    </row>
    <row r="451" spans="1:48" ht="15.75" customHeight="1" x14ac:dyDescent="0.25">
      <c r="B451" s="68"/>
      <c r="C451" s="18" t="s">
        <v>46</v>
      </c>
      <c r="D451" s="69"/>
      <c r="E451" s="18" t="s">
        <v>75</v>
      </c>
      <c r="F451" s="69"/>
      <c r="G451" s="18">
        <v>49.4</v>
      </c>
      <c r="H451" s="18">
        <v>5.8</v>
      </c>
      <c r="I451" s="18">
        <v>42.3</v>
      </c>
      <c r="J451" s="18">
        <v>1.2</v>
      </c>
      <c r="K451" s="18">
        <v>1.3</v>
      </c>
      <c r="L451" s="18">
        <v>5.2</v>
      </c>
      <c r="M451" s="18">
        <v>78.099999999999994</v>
      </c>
      <c r="N451" s="18">
        <v>5</v>
      </c>
      <c r="O451" s="18">
        <v>11.7</v>
      </c>
      <c r="P451" s="71">
        <v>0</v>
      </c>
      <c r="Q451" s="18">
        <v>800</v>
      </c>
      <c r="R451" s="18" t="s">
        <v>51</v>
      </c>
      <c r="S451" s="21">
        <v>2</v>
      </c>
      <c r="T451" s="18" t="s">
        <v>51</v>
      </c>
      <c r="U451" s="21">
        <v>56.375</v>
      </c>
      <c r="V451" s="21">
        <v>18.552975083228802</v>
      </c>
      <c r="W451" s="21">
        <v>21.126760563380198</v>
      </c>
      <c r="X451" s="21">
        <v>4.1972367306277798</v>
      </c>
      <c r="Y451" s="73">
        <f t="shared" si="434"/>
        <v>0.4547103910019939</v>
      </c>
      <c r="Z451" s="18" t="s">
        <v>51</v>
      </c>
      <c r="AA451" s="18" t="s">
        <v>51</v>
      </c>
      <c r="AB451" s="18" t="s">
        <v>51</v>
      </c>
      <c r="AC451" s="28">
        <f t="shared" si="435"/>
        <v>9933.8752648617065</v>
      </c>
      <c r="AD451" s="18" t="s">
        <v>51</v>
      </c>
      <c r="AF451" s="1"/>
      <c r="AK451" s="1">
        <f t="shared" si="436"/>
        <v>4.2857142857142858E-2</v>
      </c>
      <c r="AL451" s="29">
        <f t="shared" si="437"/>
        <v>9.3822942733450283</v>
      </c>
      <c r="AM451" s="29">
        <f t="shared" si="438"/>
        <v>9.425151416202171</v>
      </c>
      <c r="AO451" s="30">
        <f t="shared" si="439"/>
        <v>56.118657017072628</v>
      </c>
      <c r="AP451" s="30">
        <f t="shared" si="440"/>
        <v>18.468612777685347</v>
      </c>
      <c r="AQ451" s="30">
        <f t="shared" si="441"/>
        <v>21.030694987816396</v>
      </c>
      <c r="AR451" s="30">
        <f t="shared" si="442"/>
        <v>4.1781514590786628</v>
      </c>
      <c r="AS451" s="30">
        <f t="shared" si="443"/>
        <v>0.4547103910019939</v>
      </c>
      <c r="AT451" s="31">
        <f t="shared" si="242"/>
        <v>100.25082663265503</v>
      </c>
      <c r="AV451" s="28">
        <f t="shared" si="444"/>
        <v>9888.704901803203</v>
      </c>
    </row>
    <row r="452" spans="1:48" ht="15.75" customHeight="1" x14ac:dyDescent="0.25">
      <c r="A452" s="14"/>
      <c r="B452" s="15" t="s">
        <v>79</v>
      </c>
      <c r="C452" s="69" t="s">
        <v>46</v>
      </c>
      <c r="D452" s="52" t="s">
        <v>80</v>
      </c>
      <c r="E452" s="18" t="s">
        <v>75</v>
      </c>
      <c r="F452" s="74" t="s">
        <v>51</v>
      </c>
      <c r="G452" s="23">
        <f t="shared" ref="G452:G460" si="445">50.65*100/(100-O452)</f>
        <v>51.296333805955037</v>
      </c>
      <c r="H452" s="23">
        <f t="shared" ref="H452:H460" si="446">6.03*100/(100-O452)</f>
        <v>6.1069475389912906</v>
      </c>
      <c r="I452" s="23">
        <f t="shared" ref="I452:I460" si="447">42.06*100/(100-O452)</f>
        <v>42.596718655053678</v>
      </c>
      <c r="J452" s="18">
        <v>0</v>
      </c>
      <c r="K452" s="18">
        <v>0</v>
      </c>
      <c r="L452" s="58">
        <f t="shared" ref="L452:L460" si="448">100-SUM(M452,N452,O452)</f>
        <v>20.079999999999998</v>
      </c>
      <c r="M452" s="18">
        <v>78.66</v>
      </c>
      <c r="N452" s="59">
        <v>0</v>
      </c>
      <c r="O452" s="18">
        <v>1.26</v>
      </c>
      <c r="P452" s="71">
        <v>0</v>
      </c>
      <c r="Q452" s="18">
        <v>770</v>
      </c>
      <c r="R452" s="16" t="s">
        <v>81</v>
      </c>
      <c r="S452" s="21">
        <v>1</v>
      </c>
      <c r="T452" s="18" t="s">
        <v>51</v>
      </c>
      <c r="U452" s="21">
        <v>43.6</v>
      </c>
      <c r="V452" s="21">
        <v>33.200000000000003</v>
      </c>
      <c r="W452" s="21">
        <v>11.7</v>
      </c>
      <c r="X452" s="21">
        <v>11.5</v>
      </c>
      <c r="Y452" s="73">
        <f t="shared" si="434"/>
        <v>0</v>
      </c>
      <c r="Z452" s="18">
        <v>1.1000000000000001</v>
      </c>
      <c r="AA452" s="18" t="s">
        <v>51</v>
      </c>
      <c r="AB452" s="18" t="s">
        <v>51</v>
      </c>
      <c r="AC452" s="21">
        <v>13018</v>
      </c>
      <c r="AD452" s="75" t="s">
        <v>51</v>
      </c>
      <c r="AF452" s="1"/>
      <c r="AK452" s="1">
        <f t="shared" si="436"/>
        <v>0</v>
      </c>
      <c r="AL452" s="1">
        <f t="shared" si="437"/>
        <v>7.5792455387049396</v>
      </c>
      <c r="AM452" s="1">
        <f t="shared" si="438"/>
        <v>7.5792455387049396</v>
      </c>
      <c r="AN452" s="1"/>
      <c r="AO452" s="30">
        <f t="shared" si="439"/>
        <v>43.6</v>
      </c>
      <c r="AP452" s="30">
        <f t="shared" si="440"/>
        <v>33.200000000000003</v>
      </c>
      <c r="AQ452" s="30">
        <f t="shared" si="441"/>
        <v>11.7</v>
      </c>
      <c r="AR452" s="30">
        <f t="shared" si="442"/>
        <v>11.5</v>
      </c>
      <c r="AS452" s="30">
        <f t="shared" si="443"/>
        <v>0</v>
      </c>
      <c r="AT452" s="31">
        <f t="shared" si="242"/>
        <v>100.00000000000001</v>
      </c>
      <c r="AV452" s="21">
        <f t="shared" ref="AV452:AV460" si="449">AC452</f>
        <v>13018</v>
      </c>
    </row>
    <row r="453" spans="1:48" ht="15.75" customHeight="1" x14ac:dyDescent="0.25">
      <c r="B453" s="32"/>
      <c r="C453" s="69" t="s">
        <v>46</v>
      </c>
      <c r="D453" s="51"/>
      <c r="E453" s="18" t="s">
        <v>75</v>
      </c>
      <c r="F453" s="76"/>
      <c r="G453" s="23">
        <f t="shared" si="445"/>
        <v>51.296333805955037</v>
      </c>
      <c r="H453" s="23">
        <f t="shared" si="446"/>
        <v>6.1069475389912906</v>
      </c>
      <c r="I453" s="23">
        <f t="shared" si="447"/>
        <v>42.596718655053678</v>
      </c>
      <c r="J453" s="18">
        <v>0</v>
      </c>
      <c r="K453" s="18">
        <v>0</v>
      </c>
      <c r="L453" s="58">
        <f t="shared" si="448"/>
        <v>20.079999999999998</v>
      </c>
      <c r="M453" s="18">
        <v>78.66</v>
      </c>
      <c r="N453" s="59">
        <v>0</v>
      </c>
      <c r="O453" s="18">
        <v>1.26</v>
      </c>
      <c r="P453" s="71">
        <v>0</v>
      </c>
      <c r="Q453" s="18">
        <v>770</v>
      </c>
      <c r="R453" s="18" t="s">
        <v>82</v>
      </c>
      <c r="S453" s="21">
        <v>1</v>
      </c>
      <c r="T453" s="18" t="s">
        <v>51</v>
      </c>
      <c r="U453" s="21">
        <v>55.5</v>
      </c>
      <c r="V453" s="21">
        <v>24</v>
      </c>
      <c r="W453" s="21">
        <v>14.1</v>
      </c>
      <c r="X453" s="21">
        <v>6.4</v>
      </c>
      <c r="Y453" s="73">
        <f t="shared" si="434"/>
        <v>0</v>
      </c>
      <c r="Z453" s="18">
        <v>1.9</v>
      </c>
      <c r="AA453" s="18" t="s">
        <v>51</v>
      </c>
      <c r="AB453" s="18" t="s">
        <v>51</v>
      </c>
      <c r="AC453" s="21">
        <v>10935</v>
      </c>
      <c r="AD453" s="75" t="s">
        <v>51</v>
      </c>
      <c r="AF453" s="1"/>
      <c r="AK453" s="1">
        <f t="shared" si="436"/>
        <v>0</v>
      </c>
      <c r="AL453" s="1">
        <f t="shared" si="437"/>
        <v>9.6060550198417669</v>
      </c>
      <c r="AM453" s="1">
        <f t="shared" si="438"/>
        <v>9.6060550198417669</v>
      </c>
      <c r="AN453" s="1"/>
      <c r="AO453" s="30">
        <f t="shared" si="439"/>
        <v>55.500000000000007</v>
      </c>
      <c r="AP453" s="30">
        <f t="shared" si="440"/>
        <v>23.999999999999996</v>
      </c>
      <c r="AQ453" s="30">
        <f t="shared" si="441"/>
        <v>14.099999999999998</v>
      </c>
      <c r="AR453" s="30">
        <f t="shared" si="442"/>
        <v>6.4</v>
      </c>
      <c r="AS453" s="30">
        <f t="shared" si="443"/>
        <v>0</v>
      </c>
      <c r="AT453" s="31">
        <f t="shared" si="242"/>
        <v>100</v>
      </c>
      <c r="AV453" s="21">
        <f t="shared" si="449"/>
        <v>10935</v>
      </c>
    </row>
    <row r="454" spans="1:48" ht="15.75" customHeight="1" x14ac:dyDescent="0.25">
      <c r="B454" s="32"/>
      <c r="C454" s="69" t="s">
        <v>46</v>
      </c>
      <c r="D454" s="51"/>
      <c r="E454" s="18" t="s">
        <v>75</v>
      </c>
      <c r="F454" s="76"/>
      <c r="G454" s="23">
        <f t="shared" si="445"/>
        <v>51.296333805955037</v>
      </c>
      <c r="H454" s="23">
        <f t="shared" si="446"/>
        <v>6.1069475389912906</v>
      </c>
      <c r="I454" s="23">
        <f t="shared" si="447"/>
        <v>42.596718655053678</v>
      </c>
      <c r="J454" s="18">
        <v>0</v>
      </c>
      <c r="K454" s="18">
        <v>0</v>
      </c>
      <c r="L454" s="58">
        <f t="shared" si="448"/>
        <v>20.079999999999998</v>
      </c>
      <c r="M454" s="18">
        <v>78.66</v>
      </c>
      <c r="N454" s="59">
        <v>0</v>
      </c>
      <c r="O454" s="18">
        <v>1.26</v>
      </c>
      <c r="P454" s="71">
        <v>0</v>
      </c>
      <c r="Q454" s="18">
        <v>770</v>
      </c>
      <c r="R454" s="18" t="s">
        <v>62</v>
      </c>
      <c r="S454" s="21">
        <v>1</v>
      </c>
      <c r="T454" s="18" t="s">
        <v>51</v>
      </c>
      <c r="U454" s="21">
        <v>52.2</v>
      </c>
      <c r="V454" s="21">
        <v>23</v>
      </c>
      <c r="W454" s="21">
        <v>16.899999999999999</v>
      </c>
      <c r="X454" s="21">
        <v>7.9</v>
      </c>
      <c r="Y454" s="73">
        <f t="shared" si="434"/>
        <v>0</v>
      </c>
      <c r="Z454" s="18">
        <v>1.7</v>
      </c>
      <c r="AA454" s="18" t="s">
        <v>51</v>
      </c>
      <c r="AB454" s="18" t="s">
        <v>51</v>
      </c>
      <c r="AC454" s="21">
        <v>11369</v>
      </c>
      <c r="AD454" s="75" t="s">
        <v>51</v>
      </c>
      <c r="AF454" s="1"/>
      <c r="AK454" s="1">
        <f t="shared" si="436"/>
        <v>0</v>
      </c>
      <c r="AL454" s="1">
        <f t="shared" si="437"/>
        <v>8.9428754891832369</v>
      </c>
      <c r="AM454" s="1">
        <f t="shared" si="438"/>
        <v>8.9428754891832369</v>
      </c>
      <c r="AN454" s="1"/>
      <c r="AO454" s="30">
        <f t="shared" si="439"/>
        <v>52.2</v>
      </c>
      <c r="AP454" s="30">
        <f t="shared" si="440"/>
        <v>23.000000000000004</v>
      </c>
      <c r="AQ454" s="30">
        <f t="shared" si="441"/>
        <v>16.899999999999999</v>
      </c>
      <c r="AR454" s="30">
        <f t="shared" si="442"/>
        <v>7.9</v>
      </c>
      <c r="AS454" s="30">
        <f t="shared" si="443"/>
        <v>0</v>
      </c>
      <c r="AT454" s="31">
        <f t="shared" si="242"/>
        <v>100</v>
      </c>
      <c r="AV454" s="21">
        <f t="shared" si="449"/>
        <v>11369</v>
      </c>
    </row>
    <row r="455" spans="1:48" ht="15.75" customHeight="1" x14ac:dyDescent="0.25">
      <c r="B455" s="32"/>
      <c r="C455" s="69" t="s">
        <v>46</v>
      </c>
      <c r="D455" s="51"/>
      <c r="E455" s="18" t="s">
        <v>75</v>
      </c>
      <c r="F455" s="76"/>
      <c r="G455" s="23">
        <f t="shared" si="445"/>
        <v>51.296333805955037</v>
      </c>
      <c r="H455" s="23">
        <f t="shared" si="446"/>
        <v>6.1069475389912906</v>
      </c>
      <c r="I455" s="23">
        <f t="shared" si="447"/>
        <v>42.596718655053678</v>
      </c>
      <c r="J455" s="18">
        <v>0</v>
      </c>
      <c r="K455" s="18">
        <v>0</v>
      </c>
      <c r="L455" s="58">
        <f t="shared" si="448"/>
        <v>20.079999999999998</v>
      </c>
      <c r="M455" s="18">
        <v>78.66</v>
      </c>
      <c r="N455" s="59">
        <v>0</v>
      </c>
      <c r="O455" s="18">
        <v>1.26</v>
      </c>
      <c r="P455" s="71">
        <v>0</v>
      </c>
      <c r="Q455" s="18">
        <v>700</v>
      </c>
      <c r="R455" s="18" t="s">
        <v>62</v>
      </c>
      <c r="S455" s="21">
        <v>0.5</v>
      </c>
      <c r="T455" s="18" t="s">
        <v>51</v>
      </c>
      <c r="U455" s="21">
        <v>44.92</v>
      </c>
      <c r="V455" s="21">
        <v>20.29</v>
      </c>
      <c r="W455" s="21">
        <v>25.85</v>
      </c>
      <c r="X455" s="21">
        <v>8.43</v>
      </c>
      <c r="Y455" s="73">
        <f t="shared" si="434"/>
        <v>0</v>
      </c>
      <c r="Z455" s="18">
        <v>1.21</v>
      </c>
      <c r="AA455" s="18" t="s">
        <v>51</v>
      </c>
      <c r="AB455" s="18" t="s">
        <v>51</v>
      </c>
      <c r="AC455" s="21">
        <v>11369</v>
      </c>
      <c r="AD455" s="75" t="s">
        <v>51</v>
      </c>
      <c r="AF455" s="1"/>
      <c r="AK455" s="1">
        <f t="shared" si="436"/>
        <v>0</v>
      </c>
      <c r="AL455" s="1">
        <f t="shared" si="437"/>
        <v>7.8334148503382561</v>
      </c>
      <c r="AM455" s="1">
        <f t="shared" si="438"/>
        <v>7.8334148503382561</v>
      </c>
      <c r="AN455" s="1"/>
      <c r="AO455" s="30">
        <f t="shared" si="439"/>
        <v>44.92</v>
      </c>
      <c r="AP455" s="30">
        <f t="shared" si="440"/>
        <v>20.29</v>
      </c>
      <c r="AQ455" s="30">
        <f t="shared" si="441"/>
        <v>25.85</v>
      </c>
      <c r="AR455" s="30">
        <f t="shared" si="442"/>
        <v>8.43</v>
      </c>
      <c r="AS455" s="30">
        <f t="shared" si="443"/>
        <v>0</v>
      </c>
      <c r="AT455" s="31">
        <f t="shared" si="242"/>
        <v>99.490000000000009</v>
      </c>
      <c r="AV455" s="21">
        <f t="shared" si="449"/>
        <v>11369</v>
      </c>
    </row>
    <row r="456" spans="1:48" ht="15.75" customHeight="1" x14ac:dyDescent="0.25">
      <c r="B456" s="32"/>
      <c r="C456" s="69" t="s">
        <v>46</v>
      </c>
      <c r="D456" s="51"/>
      <c r="E456" s="18" t="s">
        <v>75</v>
      </c>
      <c r="F456" s="76"/>
      <c r="G456" s="23">
        <f t="shared" si="445"/>
        <v>51.296333805955037</v>
      </c>
      <c r="H456" s="23">
        <f t="shared" si="446"/>
        <v>6.1069475389912906</v>
      </c>
      <c r="I456" s="23">
        <f t="shared" si="447"/>
        <v>42.596718655053678</v>
      </c>
      <c r="J456" s="18">
        <v>0</v>
      </c>
      <c r="K456" s="18">
        <v>0</v>
      </c>
      <c r="L456" s="58">
        <f t="shared" si="448"/>
        <v>20.079999999999998</v>
      </c>
      <c r="M456" s="18">
        <v>78.66</v>
      </c>
      <c r="N456" s="59">
        <v>0</v>
      </c>
      <c r="O456" s="18">
        <v>1.26</v>
      </c>
      <c r="P456" s="71">
        <v>0</v>
      </c>
      <c r="Q456" s="18">
        <v>700</v>
      </c>
      <c r="R456" s="18" t="s">
        <v>62</v>
      </c>
      <c r="S456" s="21">
        <v>0.7</v>
      </c>
      <c r="T456" s="18" t="s">
        <v>51</v>
      </c>
      <c r="U456" s="21">
        <v>44.92</v>
      </c>
      <c r="V456" s="21">
        <v>20.29</v>
      </c>
      <c r="W456" s="21">
        <v>25.85</v>
      </c>
      <c r="X456" s="21">
        <v>8.43</v>
      </c>
      <c r="Y456" s="73">
        <f t="shared" si="434"/>
        <v>0</v>
      </c>
      <c r="Z456" s="18">
        <v>1.1200000000000001</v>
      </c>
      <c r="AA456" s="18" t="s">
        <v>51</v>
      </c>
      <c r="AB456" s="18" t="s">
        <v>51</v>
      </c>
      <c r="AC456" s="21">
        <v>11369</v>
      </c>
      <c r="AD456" s="75" t="s">
        <v>51</v>
      </c>
      <c r="AF456" s="1"/>
      <c r="AK456" s="1">
        <f t="shared" si="436"/>
        <v>0</v>
      </c>
      <c r="AL456" s="1">
        <f t="shared" si="437"/>
        <v>7.8334148503382561</v>
      </c>
      <c r="AM456" s="1">
        <f t="shared" si="438"/>
        <v>7.8334148503382561</v>
      </c>
      <c r="AN456" s="1"/>
      <c r="AO456" s="30">
        <f t="shared" si="439"/>
        <v>44.92</v>
      </c>
      <c r="AP456" s="30">
        <f t="shared" si="440"/>
        <v>20.29</v>
      </c>
      <c r="AQ456" s="30">
        <f t="shared" si="441"/>
        <v>25.85</v>
      </c>
      <c r="AR456" s="30">
        <f t="shared" si="442"/>
        <v>8.43</v>
      </c>
      <c r="AS456" s="30">
        <f t="shared" si="443"/>
        <v>0</v>
      </c>
      <c r="AT456" s="31">
        <f t="shared" si="242"/>
        <v>99.490000000000009</v>
      </c>
      <c r="AV456" s="21">
        <f t="shared" si="449"/>
        <v>11369</v>
      </c>
    </row>
    <row r="457" spans="1:48" ht="15.75" customHeight="1" x14ac:dyDescent="0.25">
      <c r="A457" s="1"/>
      <c r="B457" s="32"/>
      <c r="C457" s="69" t="s">
        <v>46</v>
      </c>
      <c r="D457" s="51"/>
      <c r="E457" s="18" t="s">
        <v>75</v>
      </c>
      <c r="F457" s="76"/>
      <c r="G457" s="23">
        <f t="shared" si="445"/>
        <v>51.296333805955037</v>
      </c>
      <c r="H457" s="23">
        <f t="shared" si="446"/>
        <v>6.1069475389912906</v>
      </c>
      <c r="I457" s="23">
        <f t="shared" si="447"/>
        <v>42.596718655053678</v>
      </c>
      <c r="J457" s="18">
        <v>0</v>
      </c>
      <c r="K457" s="18">
        <v>0</v>
      </c>
      <c r="L457" s="58">
        <f t="shared" si="448"/>
        <v>20.079999999999998</v>
      </c>
      <c r="M457" s="18">
        <v>78.66</v>
      </c>
      <c r="N457" s="59">
        <v>0</v>
      </c>
      <c r="O457" s="18">
        <v>1.26</v>
      </c>
      <c r="P457" s="71">
        <v>0</v>
      </c>
      <c r="Q457" s="18">
        <v>700</v>
      </c>
      <c r="R457" s="18" t="s">
        <v>62</v>
      </c>
      <c r="S457" s="21">
        <v>1</v>
      </c>
      <c r="T457" s="18" t="s">
        <v>51</v>
      </c>
      <c r="U457" s="21">
        <v>44.92</v>
      </c>
      <c r="V457" s="21">
        <v>20.29</v>
      </c>
      <c r="W457" s="21">
        <v>25.85</v>
      </c>
      <c r="X457" s="21">
        <v>8.43</v>
      </c>
      <c r="Y457" s="73">
        <f t="shared" si="434"/>
        <v>0</v>
      </c>
      <c r="Z457" s="18">
        <v>1.25</v>
      </c>
      <c r="AA457" s="18" t="s">
        <v>51</v>
      </c>
      <c r="AB457" s="18" t="s">
        <v>51</v>
      </c>
      <c r="AC457" s="21">
        <v>11369</v>
      </c>
      <c r="AD457" s="75" t="s">
        <v>51</v>
      </c>
      <c r="AF457" s="1"/>
      <c r="AK457" s="1">
        <f t="shared" si="436"/>
        <v>0</v>
      </c>
      <c r="AL457" s="1">
        <f t="shared" si="437"/>
        <v>7.8334148503382561</v>
      </c>
      <c r="AM457" s="1">
        <f t="shared" si="438"/>
        <v>7.8334148503382561</v>
      </c>
      <c r="AN457" s="1"/>
      <c r="AO457" s="30">
        <f t="shared" si="439"/>
        <v>44.92</v>
      </c>
      <c r="AP457" s="30">
        <f t="shared" si="440"/>
        <v>20.29</v>
      </c>
      <c r="AQ457" s="30">
        <f t="shared" si="441"/>
        <v>25.85</v>
      </c>
      <c r="AR457" s="30">
        <f t="shared" si="442"/>
        <v>8.43</v>
      </c>
      <c r="AS457" s="30">
        <f t="shared" si="443"/>
        <v>0</v>
      </c>
      <c r="AT457" s="31">
        <f t="shared" si="242"/>
        <v>99.490000000000009</v>
      </c>
      <c r="AV457" s="21">
        <f t="shared" si="449"/>
        <v>11369</v>
      </c>
    </row>
    <row r="458" spans="1:48" ht="15.75" customHeight="1" x14ac:dyDescent="0.25">
      <c r="B458" s="32"/>
      <c r="C458" s="69" t="s">
        <v>46</v>
      </c>
      <c r="D458" s="51"/>
      <c r="E458" s="18" t="s">
        <v>75</v>
      </c>
      <c r="F458" s="76"/>
      <c r="G458" s="23">
        <f t="shared" si="445"/>
        <v>51.296333805955037</v>
      </c>
      <c r="H458" s="23">
        <f t="shared" si="446"/>
        <v>6.1069475389912906</v>
      </c>
      <c r="I458" s="23">
        <f t="shared" si="447"/>
        <v>42.596718655053678</v>
      </c>
      <c r="J458" s="18">
        <v>0</v>
      </c>
      <c r="K458" s="18">
        <v>0</v>
      </c>
      <c r="L458" s="58">
        <f t="shared" si="448"/>
        <v>20.079999999999998</v>
      </c>
      <c r="M458" s="18">
        <v>78.66</v>
      </c>
      <c r="N458" s="59">
        <v>0</v>
      </c>
      <c r="O458" s="18">
        <v>1.26</v>
      </c>
      <c r="P458" s="71">
        <v>0</v>
      </c>
      <c r="Q458" s="18">
        <v>820</v>
      </c>
      <c r="R458" s="18" t="s">
        <v>62</v>
      </c>
      <c r="S458" s="21">
        <v>0.5</v>
      </c>
      <c r="T458" s="18" t="s">
        <v>51</v>
      </c>
      <c r="U458" s="18">
        <v>47.5</v>
      </c>
      <c r="V458" s="18">
        <v>31.49</v>
      </c>
      <c r="W458" s="18">
        <v>14.04</v>
      </c>
      <c r="X458" s="18">
        <v>6.38</v>
      </c>
      <c r="Y458" s="73">
        <f t="shared" si="434"/>
        <v>0</v>
      </c>
      <c r="Z458" s="18">
        <v>1.8</v>
      </c>
      <c r="AA458" s="18" t="s">
        <v>51</v>
      </c>
      <c r="AB458" s="18" t="s">
        <v>51</v>
      </c>
      <c r="AC458" s="21">
        <v>11369</v>
      </c>
      <c r="AD458" s="75" t="s">
        <v>51</v>
      </c>
      <c r="AF458" s="1"/>
      <c r="AK458" s="1">
        <f t="shared" si="436"/>
        <v>0</v>
      </c>
      <c r="AL458" s="1">
        <f t="shared" si="437"/>
        <v>8.2348188862060994</v>
      </c>
      <c r="AM458" s="1">
        <f t="shared" si="438"/>
        <v>8.2348188862060994</v>
      </c>
      <c r="AN458" s="1"/>
      <c r="AO458" s="30">
        <f t="shared" si="439"/>
        <v>47.5</v>
      </c>
      <c r="AP458" s="30">
        <f t="shared" si="440"/>
        <v>31.489999999999995</v>
      </c>
      <c r="AQ458" s="30">
        <f t="shared" si="441"/>
        <v>14.04</v>
      </c>
      <c r="AR458" s="30">
        <f t="shared" si="442"/>
        <v>6.38</v>
      </c>
      <c r="AS458" s="30">
        <f t="shared" si="443"/>
        <v>0</v>
      </c>
      <c r="AT458" s="31">
        <f t="shared" si="242"/>
        <v>99.41</v>
      </c>
      <c r="AV458" s="21">
        <f t="shared" si="449"/>
        <v>11369</v>
      </c>
    </row>
    <row r="459" spans="1:48" ht="15.75" customHeight="1" x14ac:dyDescent="0.25">
      <c r="B459" s="32"/>
      <c r="C459" s="69" t="s">
        <v>46</v>
      </c>
      <c r="D459" s="51"/>
      <c r="E459" s="18" t="s">
        <v>75</v>
      </c>
      <c r="F459" s="76"/>
      <c r="G459" s="23">
        <f t="shared" si="445"/>
        <v>51.296333805955037</v>
      </c>
      <c r="H459" s="23">
        <f t="shared" si="446"/>
        <v>6.1069475389912906</v>
      </c>
      <c r="I459" s="23">
        <f t="shared" si="447"/>
        <v>42.596718655053678</v>
      </c>
      <c r="J459" s="18">
        <v>0</v>
      </c>
      <c r="K459" s="18">
        <v>0</v>
      </c>
      <c r="L459" s="58">
        <f t="shared" si="448"/>
        <v>20.079999999999998</v>
      </c>
      <c r="M459" s="18">
        <v>78.66</v>
      </c>
      <c r="N459" s="59">
        <v>0</v>
      </c>
      <c r="O459" s="18">
        <v>1.26</v>
      </c>
      <c r="P459" s="71">
        <v>0</v>
      </c>
      <c r="Q459" s="18">
        <v>820</v>
      </c>
      <c r="R459" s="18" t="s">
        <v>62</v>
      </c>
      <c r="S459" s="21">
        <v>0.7</v>
      </c>
      <c r="T459" s="18" t="s">
        <v>51</v>
      </c>
      <c r="U459" s="18">
        <v>47.8</v>
      </c>
      <c r="V459" s="18">
        <v>26.24</v>
      </c>
      <c r="W459" s="18">
        <v>18.16</v>
      </c>
      <c r="X459" s="18">
        <v>7.5</v>
      </c>
      <c r="Y459" s="73">
        <f t="shared" si="434"/>
        <v>0</v>
      </c>
      <c r="Z459" s="18">
        <v>1.78</v>
      </c>
      <c r="AA459" s="18" t="s">
        <v>51</v>
      </c>
      <c r="AB459" s="18" t="s">
        <v>51</v>
      </c>
      <c r="AC459" s="21">
        <v>11369</v>
      </c>
      <c r="AD459" s="75" t="s">
        <v>51</v>
      </c>
      <c r="AF459" s="1"/>
      <c r="AK459" s="1">
        <f t="shared" si="436"/>
        <v>0</v>
      </c>
      <c r="AL459" s="1">
        <f t="shared" si="437"/>
        <v>8.2364055565117287</v>
      </c>
      <c r="AM459" s="1">
        <f t="shared" si="438"/>
        <v>8.2364055565117287</v>
      </c>
      <c r="AN459" s="1"/>
      <c r="AO459" s="30">
        <f t="shared" si="439"/>
        <v>47.8</v>
      </c>
      <c r="AP459" s="30">
        <f t="shared" si="440"/>
        <v>26.239999999999995</v>
      </c>
      <c r="AQ459" s="30">
        <f t="shared" si="441"/>
        <v>18.16</v>
      </c>
      <c r="AR459" s="30">
        <f t="shared" si="442"/>
        <v>7.5</v>
      </c>
      <c r="AS459" s="30">
        <f t="shared" si="443"/>
        <v>0</v>
      </c>
      <c r="AT459" s="31">
        <f t="shared" si="242"/>
        <v>99.699999999999989</v>
      </c>
      <c r="AV459" s="21">
        <f t="shared" si="449"/>
        <v>11369</v>
      </c>
    </row>
    <row r="460" spans="1:48" ht="15.75" customHeight="1" x14ac:dyDescent="0.25">
      <c r="B460" s="50"/>
      <c r="C460" s="69" t="s">
        <v>46</v>
      </c>
      <c r="D460" s="64"/>
      <c r="E460" s="18" t="s">
        <v>75</v>
      </c>
      <c r="F460" s="77"/>
      <c r="G460" s="23">
        <f t="shared" si="445"/>
        <v>51.296333805955037</v>
      </c>
      <c r="H460" s="23">
        <f t="shared" si="446"/>
        <v>6.1069475389912906</v>
      </c>
      <c r="I460" s="23">
        <f t="shared" si="447"/>
        <v>42.596718655053678</v>
      </c>
      <c r="J460" s="18">
        <v>0</v>
      </c>
      <c r="K460" s="18">
        <v>0</v>
      </c>
      <c r="L460" s="58">
        <f t="shared" si="448"/>
        <v>20.079999999999998</v>
      </c>
      <c r="M460" s="18">
        <v>78.66</v>
      </c>
      <c r="N460" s="59">
        <v>0</v>
      </c>
      <c r="O460" s="18">
        <v>1.26</v>
      </c>
      <c r="P460" s="71">
        <v>0</v>
      </c>
      <c r="Q460" s="18">
        <v>820</v>
      </c>
      <c r="R460" s="18" t="s">
        <v>62</v>
      </c>
      <c r="S460" s="21">
        <v>1</v>
      </c>
      <c r="T460" s="18" t="s">
        <v>51</v>
      </c>
      <c r="U460" s="18">
        <v>48.8</v>
      </c>
      <c r="V460" s="18">
        <v>24.2</v>
      </c>
      <c r="W460" s="18">
        <v>20.100000000000001</v>
      </c>
      <c r="X460" s="18">
        <v>6.65</v>
      </c>
      <c r="Y460" s="73">
        <f t="shared" si="434"/>
        <v>0</v>
      </c>
      <c r="Z460" s="18">
        <v>1.85</v>
      </c>
      <c r="AA460" s="18" t="s">
        <v>51</v>
      </c>
      <c r="AB460" s="18" t="s">
        <v>51</v>
      </c>
      <c r="AC460" s="21">
        <v>11369</v>
      </c>
      <c r="AD460" s="75" t="s">
        <v>51</v>
      </c>
      <c r="AF460" s="1"/>
      <c r="AK460" s="1">
        <f t="shared" si="436"/>
        <v>0</v>
      </c>
      <c r="AL460" s="1">
        <f t="shared" si="437"/>
        <v>8.3899793598225454</v>
      </c>
      <c r="AM460" s="1">
        <f t="shared" si="438"/>
        <v>8.3899793598225454</v>
      </c>
      <c r="AN460" s="1"/>
      <c r="AO460" s="30">
        <f t="shared" si="439"/>
        <v>48.8</v>
      </c>
      <c r="AP460" s="30">
        <f t="shared" si="440"/>
        <v>24.2</v>
      </c>
      <c r="AQ460" s="30">
        <f t="shared" si="441"/>
        <v>20.100000000000001</v>
      </c>
      <c r="AR460" s="30">
        <f t="shared" si="442"/>
        <v>6.65</v>
      </c>
      <c r="AS460" s="30">
        <f t="shared" si="443"/>
        <v>0</v>
      </c>
      <c r="AT460" s="31">
        <f t="shared" si="242"/>
        <v>99.75</v>
      </c>
      <c r="AV460" s="21">
        <f t="shared" si="449"/>
        <v>11369</v>
      </c>
    </row>
    <row r="461" spans="1:48" ht="15.75" customHeight="1" x14ac:dyDescent="0.25">
      <c r="A461" s="14"/>
      <c r="B461" s="78" t="s">
        <v>83</v>
      </c>
      <c r="C461" s="69" t="s">
        <v>46</v>
      </c>
      <c r="D461" s="69" t="s">
        <v>74</v>
      </c>
      <c r="E461" s="79" t="s">
        <v>75</v>
      </c>
      <c r="F461" s="16" t="s">
        <v>84</v>
      </c>
      <c r="G461" s="23">
        <f>48.11*100/(100-O461)</f>
        <v>50.062434963579605</v>
      </c>
      <c r="H461" s="23">
        <f>5.78*100/(100-O461)</f>
        <v>6.0145681581685748</v>
      </c>
      <c r="I461" s="23">
        <f>41.89*100/(100-O461)</f>
        <v>43.590010405827265</v>
      </c>
      <c r="J461" s="23">
        <f>0.22*100/(100-O461)</f>
        <v>0.22892819979188347</v>
      </c>
      <c r="K461" s="23">
        <f>0.1*100/(100-O461)</f>
        <v>0.10405827263267431</v>
      </c>
      <c r="L461" s="18">
        <v>12.3</v>
      </c>
      <c r="M461" s="18">
        <v>73.8</v>
      </c>
      <c r="N461" s="18">
        <v>10</v>
      </c>
      <c r="O461" s="18">
        <v>3.9</v>
      </c>
      <c r="P461" s="71">
        <v>0</v>
      </c>
      <c r="Q461" s="18">
        <v>659.85</v>
      </c>
      <c r="R461" s="18" t="s">
        <v>51</v>
      </c>
      <c r="S461" s="80">
        <v>1</v>
      </c>
      <c r="T461" s="18">
        <v>15.5</v>
      </c>
      <c r="U461" s="18">
        <v>13.8</v>
      </c>
      <c r="V461" s="18">
        <v>52</v>
      </c>
      <c r="W461" s="18">
        <v>15.6</v>
      </c>
      <c r="X461" s="18">
        <v>18.7</v>
      </c>
      <c r="Y461" s="73">
        <f t="shared" si="434"/>
        <v>0.16884469945684999</v>
      </c>
      <c r="Z461" s="18">
        <v>0.61099999999999999</v>
      </c>
      <c r="AA461" s="18" t="s">
        <v>51</v>
      </c>
      <c r="AB461" s="18" t="s">
        <v>51</v>
      </c>
      <c r="AC461" s="28">
        <f t="shared" ref="AC461:AC464" si="450">((U461*0.24182)+(V461*0.283)+(X461*0.80262))*(10000/22.4)</f>
        <v>14759.870535714284</v>
      </c>
      <c r="AD461" s="75" t="s">
        <v>51</v>
      </c>
      <c r="AF461" s="1"/>
      <c r="AK461" s="1">
        <f t="shared" si="436"/>
        <v>8.1760071354244103E-3</v>
      </c>
      <c r="AL461" s="1">
        <f t="shared" si="437"/>
        <v>4.8341478334858641</v>
      </c>
      <c r="AM461" s="1">
        <f t="shared" si="438"/>
        <v>4.8423238406212885</v>
      </c>
      <c r="AN461" s="1"/>
      <c r="AO461" s="30">
        <f t="shared" si="439"/>
        <v>13.776699431474956</v>
      </c>
      <c r="AP461" s="30">
        <f t="shared" si="440"/>
        <v>51.912200756282431</v>
      </c>
      <c r="AQ461" s="30">
        <f t="shared" si="441"/>
        <v>15.57366022688473</v>
      </c>
      <c r="AR461" s="30">
        <f t="shared" si="442"/>
        <v>18.66842604120157</v>
      </c>
      <c r="AS461" s="30">
        <f t="shared" si="443"/>
        <v>0.16884469945684999</v>
      </c>
      <c r="AT461" s="31">
        <f t="shared" si="242"/>
        <v>100.09983115530054</v>
      </c>
      <c r="AV461" s="28">
        <f t="shared" ref="AV461:AV464" si="451">((AO461*0.24182)+(AP461*0.283)+(AR461*0.80262))*(10000/22.4)</f>
        <v>14734.94927666804</v>
      </c>
    </row>
    <row r="462" spans="1:48" ht="15.75" customHeight="1" x14ac:dyDescent="0.25">
      <c r="B462" s="78"/>
      <c r="C462" s="69" t="s">
        <v>46</v>
      </c>
      <c r="D462" s="69"/>
      <c r="E462" s="79" t="s">
        <v>75</v>
      </c>
      <c r="F462" s="16" t="s">
        <v>85</v>
      </c>
      <c r="G462" s="23">
        <f>50.04*100/(100-O462)</f>
        <v>50.494450050454091</v>
      </c>
      <c r="H462" s="23">
        <f>5.95*100/(100-O462)</f>
        <v>6.004036326942483</v>
      </c>
      <c r="I462" s="23">
        <f>43*100/(100-O462)</f>
        <v>43.390514631685171</v>
      </c>
      <c r="J462" s="23">
        <f>0.11*100/(100-O462)</f>
        <v>0.11099899091826439</v>
      </c>
      <c r="K462" s="23">
        <v>0</v>
      </c>
      <c r="L462" s="18">
        <v>14.1</v>
      </c>
      <c r="M462" s="18">
        <v>75.7</v>
      </c>
      <c r="N462" s="18">
        <v>9.3000000000000007</v>
      </c>
      <c r="O462" s="18">
        <v>0.9</v>
      </c>
      <c r="P462" s="71">
        <v>0</v>
      </c>
      <c r="Q462" s="18">
        <v>749.85</v>
      </c>
      <c r="R462" s="18" t="s">
        <v>51</v>
      </c>
      <c r="S462" s="80">
        <v>1</v>
      </c>
      <c r="T462" s="18">
        <v>16.399999999999999</v>
      </c>
      <c r="U462" s="18">
        <v>43.1</v>
      </c>
      <c r="V462" s="18">
        <v>25.4</v>
      </c>
      <c r="W462" s="18">
        <v>17.8</v>
      </c>
      <c r="X462" s="18">
        <v>13.7</v>
      </c>
      <c r="Y462" s="73">
        <f t="shared" si="434"/>
        <v>5.357696657812501E-2</v>
      </c>
      <c r="Z462" s="18">
        <v>0.76400000000000001</v>
      </c>
      <c r="AA462" s="18" t="s">
        <v>51</v>
      </c>
      <c r="AB462" s="18" t="s">
        <v>51</v>
      </c>
      <c r="AC462" s="28">
        <f t="shared" si="450"/>
        <v>12770.775</v>
      </c>
      <c r="AD462" s="75" t="s">
        <v>51</v>
      </c>
      <c r="AF462" s="1"/>
      <c r="AK462" s="1">
        <f t="shared" si="436"/>
        <v>3.9642496756522993E-3</v>
      </c>
      <c r="AL462" s="1">
        <f t="shared" si="437"/>
        <v>7.3952035809100884</v>
      </c>
      <c r="AM462" s="1">
        <f t="shared" si="438"/>
        <v>7.3991678305857409</v>
      </c>
      <c r="AN462" s="1"/>
      <c r="AO462" s="30">
        <f t="shared" si="439"/>
        <v>43.07690832740483</v>
      </c>
      <c r="AP462" s="30">
        <f t="shared" si="440"/>
        <v>25.38639145048916</v>
      </c>
      <c r="AQ462" s="30">
        <f t="shared" si="441"/>
        <v>17.790463299949096</v>
      </c>
      <c r="AR462" s="30">
        <f t="shared" si="442"/>
        <v>13.692659955578796</v>
      </c>
      <c r="AS462" s="30">
        <f t="shared" si="443"/>
        <v>5.357696657812501E-2</v>
      </c>
      <c r="AT462" s="31">
        <f t="shared" si="242"/>
        <v>100</v>
      </c>
      <c r="AV462" s="28">
        <f t="shared" si="451"/>
        <v>12763.932806146484</v>
      </c>
    </row>
    <row r="463" spans="1:48" ht="15.75" customHeight="1" x14ac:dyDescent="0.25">
      <c r="B463" s="78"/>
      <c r="C463" s="69" t="s">
        <v>46</v>
      </c>
      <c r="D463" s="69"/>
      <c r="E463" s="79" t="s">
        <v>75</v>
      </c>
      <c r="F463" s="16" t="s">
        <v>86</v>
      </c>
      <c r="G463" s="23">
        <f>49.6*100/(100-O463)</f>
        <v>50.050454086781031</v>
      </c>
      <c r="H463" s="23">
        <f>5.9*100/(100-O463)</f>
        <v>5.9535822401614533</v>
      </c>
      <c r="I463" s="23">
        <f>43.3*100/(100-O463)</f>
        <v>43.693239152371348</v>
      </c>
      <c r="J463" s="23">
        <f>0.2*100/(100-O463)</f>
        <v>0.20181634712411706</v>
      </c>
      <c r="K463" s="23">
        <f>0.1*100/(100-O463)</f>
        <v>0.10090817356205853</v>
      </c>
      <c r="L463" s="18">
        <v>11.85</v>
      </c>
      <c r="M463" s="18">
        <v>80.3</v>
      </c>
      <c r="N463" s="18">
        <v>6.95</v>
      </c>
      <c r="O463" s="18">
        <v>0.9</v>
      </c>
      <c r="P463" s="71">
        <v>0</v>
      </c>
      <c r="Q463" s="18">
        <v>749.85</v>
      </c>
      <c r="R463" s="18" t="s">
        <v>51</v>
      </c>
      <c r="S463" s="80">
        <v>1</v>
      </c>
      <c r="T463" s="18">
        <v>16.2</v>
      </c>
      <c r="U463" s="18">
        <v>23.2</v>
      </c>
      <c r="V463" s="18">
        <v>44.7</v>
      </c>
      <c r="W463" s="18">
        <v>16.600000000000001</v>
      </c>
      <c r="X463" s="18">
        <v>15.6</v>
      </c>
      <c r="Y463" s="73">
        <f t="shared" si="434"/>
        <v>0.1327153373943728</v>
      </c>
      <c r="Z463" s="18">
        <v>0.52800000000000002</v>
      </c>
      <c r="AA463" s="18" t="s">
        <v>51</v>
      </c>
      <c r="AB463" s="18" t="s">
        <v>51</v>
      </c>
      <c r="AC463" s="28">
        <f t="shared" si="450"/>
        <v>13741.605357142858</v>
      </c>
      <c r="AD463" s="75" t="s">
        <v>51</v>
      </c>
      <c r="AF463" s="1"/>
      <c r="AK463" s="1">
        <f t="shared" si="436"/>
        <v>7.2077266830041804E-3</v>
      </c>
      <c r="AL463" s="1">
        <f t="shared" si="437"/>
        <v>5.423759653964134</v>
      </c>
      <c r="AM463" s="1">
        <f t="shared" si="438"/>
        <v>5.4309673806471386</v>
      </c>
      <c r="AN463" s="1"/>
      <c r="AO463" s="30">
        <f t="shared" si="439"/>
        <v>23.169210041724504</v>
      </c>
      <c r="AP463" s="30">
        <f t="shared" si="440"/>
        <v>44.640676244184711</v>
      </c>
      <c r="AQ463" s="30">
        <f t="shared" si="441"/>
        <v>16.577969253992535</v>
      </c>
      <c r="AR463" s="30">
        <f t="shared" si="442"/>
        <v>15.579296407366474</v>
      </c>
      <c r="AS463" s="30">
        <f t="shared" si="443"/>
        <v>0.1327153373943728</v>
      </c>
      <c r="AT463" s="31">
        <f t="shared" si="242"/>
        <v>100.09986728466259</v>
      </c>
      <c r="AV463" s="28">
        <f t="shared" si="451"/>
        <v>13723.36813922972</v>
      </c>
    </row>
    <row r="464" spans="1:48" ht="15.75" customHeight="1" x14ac:dyDescent="0.25">
      <c r="B464" s="78"/>
      <c r="C464" s="69" t="s">
        <v>46</v>
      </c>
      <c r="D464" s="69"/>
      <c r="E464" s="79" t="s">
        <v>75</v>
      </c>
      <c r="F464" s="16" t="s">
        <v>87</v>
      </c>
      <c r="G464" s="23">
        <f>46.62*100/(100-O464)</f>
        <v>48.714733542319749</v>
      </c>
      <c r="H464" s="23">
        <f>5.97*100/(100-O464)</f>
        <v>6.238244514106583</v>
      </c>
      <c r="I464" s="23">
        <f>41.8*100/(100-O464)</f>
        <v>43.678160919540225</v>
      </c>
      <c r="J464" s="23">
        <f>1.09*100/(100-O464)</f>
        <v>1.1389759665621735</v>
      </c>
      <c r="K464" s="23">
        <f>0.22*100/(100-O464)</f>
        <v>0.22988505747126436</v>
      </c>
      <c r="L464" s="18">
        <v>15.5</v>
      </c>
      <c r="M464" s="18">
        <v>72.3</v>
      </c>
      <c r="N464" s="18">
        <v>7.9</v>
      </c>
      <c r="O464" s="18">
        <v>4.3</v>
      </c>
      <c r="P464" s="71">
        <v>0</v>
      </c>
      <c r="Q464" s="18">
        <v>749.85</v>
      </c>
      <c r="R464" s="18" t="s">
        <v>51</v>
      </c>
      <c r="S464" s="80">
        <v>1</v>
      </c>
      <c r="T464" s="18">
        <v>15.2</v>
      </c>
      <c r="U464" s="18">
        <v>33.700000000000003</v>
      </c>
      <c r="V464" s="18">
        <v>33</v>
      </c>
      <c r="W464" s="18">
        <v>19.100000000000001</v>
      </c>
      <c r="X464" s="18">
        <v>14.2</v>
      </c>
      <c r="Y464" s="73">
        <f t="shared" si="434"/>
        <v>0.65995651064946637</v>
      </c>
      <c r="Z464" s="18">
        <v>0.55200000000000005</v>
      </c>
      <c r="AA464" s="18" t="s">
        <v>51</v>
      </c>
      <c r="AB464" s="18" t="s">
        <v>51</v>
      </c>
      <c r="AC464" s="28">
        <f t="shared" si="450"/>
        <v>12895.329464285714</v>
      </c>
      <c r="AD464" s="75" t="s">
        <v>51</v>
      </c>
      <c r="AF464" s="1"/>
      <c r="AK464" s="1">
        <f t="shared" si="436"/>
        <v>4.0677713091506196E-2</v>
      </c>
      <c r="AL464" s="1">
        <f t="shared" si="437"/>
        <v>6.123018293403689</v>
      </c>
      <c r="AM464" s="1">
        <f t="shared" si="438"/>
        <v>6.1636960064951953</v>
      </c>
      <c r="AN464" s="1"/>
      <c r="AO464" s="30">
        <f t="shared" si="439"/>
        <v>33.477594655911133</v>
      </c>
      <c r="AP464" s="30">
        <f t="shared" si="440"/>
        <v>32.782214351485678</v>
      </c>
      <c r="AQ464" s="30">
        <f t="shared" si="441"/>
        <v>18.973948306465953</v>
      </c>
      <c r="AR464" s="30">
        <f t="shared" si="442"/>
        <v>14.106286175487773</v>
      </c>
      <c r="AS464" s="30">
        <f t="shared" si="443"/>
        <v>0.65995651064946637</v>
      </c>
      <c r="AT464" s="31">
        <f t="shared" si="242"/>
        <v>100</v>
      </c>
      <c r="AV464" s="28">
        <f t="shared" si="451"/>
        <v>12810.225897916462</v>
      </c>
    </row>
    <row r="465" spans="1:48" ht="15.75" customHeight="1" x14ac:dyDescent="0.25">
      <c r="A465" s="14"/>
      <c r="B465" s="78" t="s">
        <v>88</v>
      </c>
      <c r="C465" s="16" t="s">
        <v>46</v>
      </c>
      <c r="D465" s="69" t="s">
        <v>89</v>
      </c>
      <c r="E465" s="18" t="s">
        <v>48</v>
      </c>
      <c r="F465" s="81" t="s">
        <v>90</v>
      </c>
      <c r="G465" s="18">
        <v>51.72</v>
      </c>
      <c r="H465" s="18">
        <v>6</v>
      </c>
      <c r="I465" s="18">
        <v>41.48</v>
      </c>
      <c r="J465" s="18">
        <v>0.62</v>
      </c>
      <c r="K465" s="36">
        <f t="shared" ref="K465:K476" si="452">100-SUM(G465:J465)</f>
        <v>0.18000000000000682</v>
      </c>
      <c r="L465" s="18">
        <v>15.2</v>
      </c>
      <c r="M465" s="18">
        <v>70.3</v>
      </c>
      <c r="N465" s="18">
        <v>11.2</v>
      </c>
      <c r="O465" s="18">
        <v>3.3</v>
      </c>
      <c r="P465" s="18">
        <v>0.27700000000000002</v>
      </c>
      <c r="Q465" s="18">
        <v>502.85</v>
      </c>
      <c r="R465" s="18" t="s">
        <v>81</v>
      </c>
      <c r="S465" s="21">
        <v>0</v>
      </c>
      <c r="T465" s="18" t="s">
        <v>51</v>
      </c>
      <c r="U465" s="21">
        <v>19.787234042553202</v>
      </c>
      <c r="V465" s="21">
        <v>10.468085106382899</v>
      </c>
      <c r="W465" s="21">
        <v>19.1489361702127</v>
      </c>
      <c r="X465" s="21">
        <v>2.8085106382978799</v>
      </c>
      <c r="Y465" s="21">
        <v>47.2340425531915</v>
      </c>
      <c r="Z465" s="18">
        <v>2.89</v>
      </c>
      <c r="AA465" s="18" t="s">
        <v>51</v>
      </c>
      <c r="AB465" s="18">
        <v>67.099999999999994</v>
      </c>
      <c r="AC465" s="18">
        <v>4430</v>
      </c>
      <c r="AD465" s="75" t="s">
        <v>51</v>
      </c>
      <c r="AF465" s="1"/>
      <c r="AO465" s="30">
        <f t="shared" ref="AO465:AS465" si="453">U465</f>
        <v>19.787234042553202</v>
      </c>
      <c r="AP465" s="30">
        <f t="shared" si="453"/>
        <v>10.468085106382899</v>
      </c>
      <c r="AQ465" s="30">
        <f t="shared" si="453"/>
        <v>19.1489361702127</v>
      </c>
      <c r="AR465" s="30">
        <f t="shared" si="453"/>
        <v>2.8085106382978799</v>
      </c>
      <c r="AS465" s="30">
        <f t="shared" si="453"/>
        <v>47.2340425531915</v>
      </c>
      <c r="AT465" s="31">
        <f t="shared" si="242"/>
        <v>99.446808510638192</v>
      </c>
      <c r="AV465" s="21">
        <f t="shared" ref="AV465:AV476" si="454">AC465</f>
        <v>4430</v>
      </c>
    </row>
    <row r="466" spans="1:48" ht="15.75" customHeight="1" x14ac:dyDescent="0.25">
      <c r="B466" s="78"/>
      <c r="C466" s="16" t="s">
        <v>46</v>
      </c>
      <c r="D466" s="69"/>
      <c r="E466" s="18" t="s">
        <v>53</v>
      </c>
      <c r="F466" s="81"/>
      <c r="G466" s="18">
        <v>51.72</v>
      </c>
      <c r="H466" s="18">
        <v>6</v>
      </c>
      <c r="I466" s="18">
        <v>41.48</v>
      </c>
      <c r="J466" s="18">
        <v>0.62</v>
      </c>
      <c r="K466" s="36">
        <f t="shared" si="452"/>
        <v>0.18000000000000682</v>
      </c>
      <c r="L466" s="18">
        <v>15.2</v>
      </c>
      <c r="M466" s="18">
        <v>70.3</v>
      </c>
      <c r="N466" s="18">
        <v>11.2</v>
      </c>
      <c r="O466" s="18">
        <v>3.3</v>
      </c>
      <c r="P466" s="18">
        <v>0.27700000000000002</v>
      </c>
      <c r="Q466" s="18">
        <v>478.85</v>
      </c>
      <c r="R466" s="18" t="s">
        <v>81</v>
      </c>
      <c r="S466" s="21">
        <v>0.62</v>
      </c>
      <c r="T466" s="18" t="s">
        <v>51</v>
      </c>
      <c r="U466" s="21">
        <v>22.468085106382901</v>
      </c>
      <c r="V466" s="21">
        <v>8.5531914893616996</v>
      </c>
      <c r="W466" s="21">
        <v>19.276595744680801</v>
      </c>
      <c r="X466" s="21">
        <v>3.1914893617021298</v>
      </c>
      <c r="Y466" s="21">
        <v>45.063829787233999</v>
      </c>
      <c r="Z466" s="18">
        <v>2.99</v>
      </c>
      <c r="AA466" s="18" t="s">
        <v>51</v>
      </c>
      <c r="AB466" s="18">
        <v>73.099999999999994</v>
      </c>
      <c r="AC466" s="18">
        <v>4490</v>
      </c>
      <c r="AD466" s="75" t="s">
        <v>51</v>
      </c>
      <c r="AF466" s="1"/>
      <c r="AO466" s="30">
        <f t="shared" ref="AO466:AS466" si="455">U466</f>
        <v>22.468085106382901</v>
      </c>
      <c r="AP466" s="30">
        <f t="shared" si="455"/>
        <v>8.5531914893616996</v>
      </c>
      <c r="AQ466" s="30">
        <f t="shared" si="455"/>
        <v>19.276595744680801</v>
      </c>
      <c r="AR466" s="30">
        <f t="shared" si="455"/>
        <v>3.1914893617021298</v>
      </c>
      <c r="AS466" s="30">
        <f t="shared" si="455"/>
        <v>45.063829787233999</v>
      </c>
      <c r="AT466" s="31">
        <f t="shared" si="242"/>
        <v>98.553191489361524</v>
      </c>
      <c r="AV466" s="21">
        <f t="shared" si="454"/>
        <v>4490</v>
      </c>
    </row>
    <row r="467" spans="1:48" ht="15.75" customHeight="1" x14ac:dyDescent="0.25">
      <c r="B467" s="78"/>
      <c r="C467" s="16" t="s">
        <v>46</v>
      </c>
      <c r="D467" s="69"/>
      <c r="E467" s="18" t="s">
        <v>53</v>
      </c>
      <c r="F467" s="81"/>
      <c r="G467" s="18">
        <v>51.72</v>
      </c>
      <c r="H467" s="18">
        <v>6</v>
      </c>
      <c r="I467" s="18">
        <v>41.48</v>
      </c>
      <c r="J467" s="18">
        <v>0.62</v>
      </c>
      <c r="K467" s="36">
        <f t="shared" si="452"/>
        <v>0.18000000000000682</v>
      </c>
      <c r="L467" s="18">
        <v>15.2</v>
      </c>
      <c r="M467" s="18">
        <v>70.3</v>
      </c>
      <c r="N467" s="18">
        <v>11.2</v>
      </c>
      <c r="O467" s="18">
        <v>3.3</v>
      </c>
      <c r="P467" s="18">
        <v>0.27700000000000002</v>
      </c>
      <c r="Q467" s="18">
        <v>447.85</v>
      </c>
      <c r="R467" s="18" t="s">
        <v>81</v>
      </c>
      <c r="S467" s="21">
        <v>1.1599999999999999</v>
      </c>
      <c r="T467" s="18" t="s">
        <v>51</v>
      </c>
      <c r="U467" s="21">
        <v>24.3829787234042</v>
      </c>
      <c r="V467" s="21">
        <v>6.5106382978723403</v>
      </c>
      <c r="W467" s="21">
        <v>19.9148936170212</v>
      </c>
      <c r="X467" s="21">
        <v>2.9361702127659499</v>
      </c>
      <c r="Y467" s="21">
        <v>44.936170212765902</v>
      </c>
      <c r="Z467" s="18">
        <v>3.03</v>
      </c>
      <c r="AA467" s="18" t="s">
        <v>51</v>
      </c>
      <c r="AB467" s="18">
        <v>83.6</v>
      </c>
      <c r="AC467" s="18">
        <v>4470</v>
      </c>
      <c r="AD467" s="75" t="s">
        <v>51</v>
      </c>
      <c r="AF467" s="1"/>
      <c r="AO467" s="30">
        <f t="shared" ref="AO467:AS467" si="456">U467</f>
        <v>24.3829787234042</v>
      </c>
      <c r="AP467" s="30">
        <f t="shared" si="456"/>
        <v>6.5106382978723403</v>
      </c>
      <c r="AQ467" s="30">
        <f t="shared" si="456"/>
        <v>19.9148936170212</v>
      </c>
      <c r="AR467" s="30">
        <f t="shared" si="456"/>
        <v>2.9361702127659499</v>
      </c>
      <c r="AS467" s="30">
        <f t="shared" si="456"/>
        <v>44.936170212765902</v>
      </c>
      <c r="AT467" s="31">
        <f t="shared" si="242"/>
        <v>98.680851063829593</v>
      </c>
      <c r="AV467" s="21">
        <f t="shared" si="454"/>
        <v>4470</v>
      </c>
    </row>
    <row r="468" spans="1:48" ht="15.75" customHeight="1" x14ac:dyDescent="0.25">
      <c r="B468" s="78"/>
      <c r="C468" s="16" t="s">
        <v>46</v>
      </c>
      <c r="D468" s="69"/>
      <c r="E468" s="18" t="s">
        <v>53</v>
      </c>
      <c r="F468" s="81"/>
      <c r="G468" s="18">
        <v>51.72</v>
      </c>
      <c r="H468" s="18">
        <v>6</v>
      </c>
      <c r="I468" s="18">
        <v>41.48</v>
      </c>
      <c r="J468" s="18">
        <v>0.62</v>
      </c>
      <c r="K468" s="36">
        <f t="shared" si="452"/>
        <v>0.18000000000000682</v>
      </c>
      <c r="L468" s="18">
        <v>15.2</v>
      </c>
      <c r="M468" s="18">
        <v>70.3</v>
      </c>
      <c r="N468" s="18">
        <v>11.2</v>
      </c>
      <c r="O468" s="18">
        <v>3.3</v>
      </c>
      <c r="P468" s="18">
        <v>0.27700000000000002</v>
      </c>
      <c r="Q468" s="18">
        <v>425.85</v>
      </c>
      <c r="R468" s="18" t="s">
        <v>81</v>
      </c>
      <c r="S468" s="21">
        <v>1.78</v>
      </c>
      <c r="T468" s="18" t="s">
        <v>51</v>
      </c>
      <c r="U468" s="21">
        <v>25.404255319148898</v>
      </c>
      <c r="V468" s="21">
        <v>5.4893617021276597</v>
      </c>
      <c r="W468" s="21">
        <v>20.680851063829699</v>
      </c>
      <c r="X468" s="21">
        <v>3.0638297872340399</v>
      </c>
      <c r="Y468" s="21">
        <v>43.9148936170212</v>
      </c>
      <c r="Z468" s="18">
        <v>3.11</v>
      </c>
      <c r="AA468" s="18" t="s">
        <v>51</v>
      </c>
      <c r="AB468" s="18">
        <v>88.3</v>
      </c>
      <c r="AC468" s="18">
        <v>4510</v>
      </c>
      <c r="AD468" s="75" t="s">
        <v>51</v>
      </c>
      <c r="AF468" s="1"/>
      <c r="AO468" s="30">
        <f t="shared" ref="AO468:AS468" si="457">U468</f>
        <v>25.404255319148898</v>
      </c>
      <c r="AP468" s="30">
        <f t="shared" si="457"/>
        <v>5.4893617021276597</v>
      </c>
      <c r="AQ468" s="30">
        <f t="shared" si="457"/>
        <v>20.680851063829699</v>
      </c>
      <c r="AR468" s="30">
        <f t="shared" si="457"/>
        <v>3.0638297872340399</v>
      </c>
      <c r="AS468" s="30">
        <f t="shared" si="457"/>
        <v>43.9148936170212</v>
      </c>
      <c r="AT468" s="31">
        <f t="shared" si="242"/>
        <v>98.553191489361495</v>
      </c>
      <c r="AV468" s="21">
        <f t="shared" si="454"/>
        <v>4510</v>
      </c>
    </row>
    <row r="469" spans="1:48" ht="15.75" customHeight="1" x14ac:dyDescent="0.25">
      <c r="B469" s="78"/>
      <c r="C469" s="16" t="s">
        <v>46</v>
      </c>
      <c r="D469" s="69"/>
      <c r="E469" s="18" t="s">
        <v>53</v>
      </c>
      <c r="F469" s="81"/>
      <c r="G469" s="18">
        <v>51.72</v>
      </c>
      <c r="H469" s="18">
        <v>6</v>
      </c>
      <c r="I469" s="18">
        <v>41.48</v>
      </c>
      <c r="J469" s="18">
        <v>0.62</v>
      </c>
      <c r="K469" s="36">
        <f t="shared" si="452"/>
        <v>0.18000000000000682</v>
      </c>
      <c r="L469" s="18">
        <v>15.2</v>
      </c>
      <c r="M469" s="18">
        <v>70.3</v>
      </c>
      <c r="N469" s="18">
        <v>11.2</v>
      </c>
      <c r="O469" s="18">
        <v>3.3</v>
      </c>
      <c r="P469" s="18">
        <v>0.27700000000000002</v>
      </c>
      <c r="Q469" s="18">
        <v>387.85</v>
      </c>
      <c r="R469" s="18" t="s">
        <v>81</v>
      </c>
      <c r="S469" s="21">
        <v>2.2400000000000002</v>
      </c>
      <c r="T469" s="18" t="s">
        <v>51</v>
      </c>
      <c r="U469" s="21">
        <v>27.9574468085106</v>
      </c>
      <c r="V469" s="21">
        <v>4.4680851063829801</v>
      </c>
      <c r="W469" s="21">
        <v>21.9574468085106</v>
      </c>
      <c r="X469" s="21">
        <v>2.68085106382979</v>
      </c>
      <c r="Y469" s="21">
        <v>40.978723404255298</v>
      </c>
      <c r="Z469" s="18">
        <v>3.3</v>
      </c>
      <c r="AA469" s="18" t="s">
        <v>51</v>
      </c>
      <c r="AB469" s="18">
        <v>96.6</v>
      </c>
      <c r="AC469" s="18">
        <v>4500</v>
      </c>
      <c r="AD469" s="75" t="s">
        <v>51</v>
      </c>
      <c r="AF469" s="1"/>
      <c r="AO469" s="30">
        <f t="shared" ref="AO469:AS469" si="458">U469</f>
        <v>27.9574468085106</v>
      </c>
      <c r="AP469" s="30">
        <f t="shared" si="458"/>
        <v>4.4680851063829801</v>
      </c>
      <c r="AQ469" s="30">
        <f t="shared" si="458"/>
        <v>21.9574468085106</v>
      </c>
      <c r="AR469" s="30">
        <f t="shared" si="458"/>
        <v>2.68085106382979</v>
      </c>
      <c r="AS469" s="30">
        <f t="shared" si="458"/>
        <v>40.978723404255298</v>
      </c>
      <c r="AT469" s="31">
        <f t="shared" si="242"/>
        <v>98.042553191489276</v>
      </c>
      <c r="AV469" s="21">
        <f t="shared" si="454"/>
        <v>4500</v>
      </c>
    </row>
    <row r="470" spans="1:48" ht="15.75" customHeight="1" x14ac:dyDescent="0.25">
      <c r="B470" s="78"/>
      <c r="C470" s="16" t="s">
        <v>46</v>
      </c>
      <c r="D470" s="69"/>
      <c r="E470" s="18" t="s">
        <v>53</v>
      </c>
      <c r="F470" s="81"/>
      <c r="G470" s="18">
        <v>51.72</v>
      </c>
      <c r="H470" s="18">
        <v>6</v>
      </c>
      <c r="I470" s="18">
        <v>41.48</v>
      </c>
      <c r="J470" s="18">
        <v>0.62</v>
      </c>
      <c r="K470" s="36">
        <f t="shared" si="452"/>
        <v>0.18000000000000682</v>
      </c>
      <c r="L470" s="18">
        <v>15.2</v>
      </c>
      <c r="M470" s="18">
        <v>70.3</v>
      </c>
      <c r="N470" s="18">
        <v>11.2</v>
      </c>
      <c r="O470" s="18">
        <v>3.3</v>
      </c>
      <c r="P470" s="18">
        <v>0.27700000000000002</v>
      </c>
      <c r="Q470" s="18">
        <v>378.85</v>
      </c>
      <c r="R470" s="18" t="s">
        <v>81</v>
      </c>
      <c r="S470" s="21">
        <v>2.5299999999999998</v>
      </c>
      <c r="T470" s="18" t="s">
        <v>51</v>
      </c>
      <c r="U470" s="21">
        <v>28.468085106382901</v>
      </c>
      <c r="V470" s="21">
        <v>3.7021276595744701</v>
      </c>
      <c r="W470" s="21">
        <v>22.595744680850999</v>
      </c>
      <c r="X470" s="21">
        <v>2.9361702127659499</v>
      </c>
      <c r="Y470" s="21">
        <v>39.702127659574401</v>
      </c>
      <c r="Z470" s="18">
        <v>3.41</v>
      </c>
      <c r="AA470" s="18" t="s">
        <v>51</v>
      </c>
      <c r="AB470" s="18">
        <v>93.3</v>
      </c>
      <c r="AC470" s="18">
        <v>4480</v>
      </c>
      <c r="AD470" s="75" t="s">
        <v>51</v>
      </c>
      <c r="AF470" s="1"/>
      <c r="AO470" s="30">
        <f t="shared" ref="AO470:AS470" si="459">U470</f>
        <v>28.468085106382901</v>
      </c>
      <c r="AP470" s="30">
        <f t="shared" si="459"/>
        <v>3.7021276595744701</v>
      </c>
      <c r="AQ470" s="30">
        <f t="shared" si="459"/>
        <v>22.595744680850999</v>
      </c>
      <c r="AR470" s="30">
        <f t="shared" si="459"/>
        <v>2.9361702127659499</v>
      </c>
      <c r="AS470" s="30">
        <f t="shared" si="459"/>
        <v>39.702127659574401</v>
      </c>
      <c r="AT470" s="31">
        <f t="shared" si="242"/>
        <v>97.404255319148717</v>
      </c>
      <c r="AV470" s="21">
        <f t="shared" si="454"/>
        <v>4480</v>
      </c>
    </row>
    <row r="471" spans="1:48" ht="15.75" customHeight="1" x14ac:dyDescent="0.25">
      <c r="B471" s="78"/>
      <c r="C471" s="16" t="s">
        <v>46</v>
      </c>
      <c r="D471" s="69"/>
      <c r="E471" s="18" t="s">
        <v>48</v>
      </c>
      <c r="F471" s="81"/>
      <c r="G471" s="18">
        <v>51.72</v>
      </c>
      <c r="H471" s="18">
        <v>6</v>
      </c>
      <c r="I471" s="18">
        <v>41.48</v>
      </c>
      <c r="J471" s="18">
        <v>0.62</v>
      </c>
      <c r="K471" s="36">
        <f t="shared" si="452"/>
        <v>0.18000000000000682</v>
      </c>
      <c r="L471" s="18">
        <v>15.2</v>
      </c>
      <c r="M471" s="18">
        <v>70.3</v>
      </c>
      <c r="N471" s="18">
        <v>11.2</v>
      </c>
      <c r="O471" s="18">
        <v>3.3</v>
      </c>
      <c r="P471" s="18">
        <v>0.42399999999999999</v>
      </c>
      <c r="Q471" s="18">
        <v>747.85</v>
      </c>
      <c r="R471" s="18" t="s">
        <v>81</v>
      </c>
      <c r="S471" s="21">
        <v>0</v>
      </c>
      <c r="T471" s="18" t="s">
        <v>51</v>
      </c>
      <c r="U471" s="21">
        <v>10.595744680851</v>
      </c>
      <c r="V471" s="21">
        <v>9.0638297872340399</v>
      </c>
      <c r="W471" s="21">
        <v>20.680851063829699</v>
      </c>
      <c r="X471" s="21">
        <v>2.5531914893617</v>
      </c>
      <c r="Y471" s="21">
        <v>59.2340425531915</v>
      </c>
      <c r="Z471" s="18">
        <v>3.49</v>
      </c>
      <c r="AA471" s="18" t="s">
        <v>51</v>
      </c>
      <c r="AB471" s="18">
        <v>69.3</v>
      </c>
      <c r="AC471" s="18">
        <v>3150</v>
      </c>
      <c r="AD471" s="75" t="s">
        <v>51</v>
      </c>
      <c r="AF471" s="1"/>
      <c r="AO471" s="30">
        <f t="shared" ref="AO471:AS471" si="460">U471</f>
        <v>10.595744680851</v>
      </c>
      <c r="AP471" s="30">
        <f t="shared" si="460"/>
        <v>9.0638297872340399</v>
      </c>
      <c r="AQ471" s="30">
        <f t="shared" si="460"/>
        <v>20.680851063829699</v>
      </c>
      <c r="AR471" s="30">
        <f t="shared" si="460"/>
        <v>2.5531914893617</v>
      </c>
      <c r="AS471" s="30">
        <f t="shared" si="460"/>
        <v>59.2340425531915</v>
      </c>
      <c r="AT471" s="31">
        <f t="shared" si="242"/>
        <v>102.12765957446794</v>
      </c>
      <c r="AV471" s="21">
        <f t="shared" si="454"/>
        <v>3150</v>
      </c>
    </row>
    <row r="472" spans="1:48" ht="15.75" customHeight="1" x14ac:dyDescent="0.25">
      <c r="B472" s="78"/>
      <c r="C472" s="16" t="s">
        <v>46</v>
      </c>
      <c r="D472" s="69"/>
      <c r="E472" s="18" t="s">
        <v>53</v>
      </c>
      <c r="F472" s="81"/>
      <c r="G472" s="18">
        <v>51.72</v>
      </c>
      <c r="H472" s="18">
        <v>6</v>
      </c>
      <c r="I472" s="18">
        <v>41.48</v>
      </c>
      <c r="J472" s="18">
        <v>0.62</v>
      </c>
      <c r="K472" s="36">
        <f t="shared" si="452"/>
        <v>0.18000000000000682</v>
      </c>
      <c r="L472" s="18">
        <v>15.2</v>
      </c>
      <c r="M472" s="18">
        <v>70.3</v>
      </c>
      <c r="N472" s="18">
        <v>11.2</v>
      </c>
      <c r="O472" s="18">
        <v>3.3</v>
      </c>
      <c r="P472" s="18">
        <v>0.42399999999999999</v>
      </c>
      <c r="Q472" s="18">
        <v>713.85</v>
      </c>
      <c r="R472" s="18" t="s">
        <v>81</v>
      </c>
      <c r="S472" s="21">
        <v>0.62</v>
      </c>
      <c r="T472" s="18" t="s">
        <v>51</v>
      </c>
      <c r="U472" s="21">
        <v>12.7659574468085</v>
      </c>
      <c r="V472" s="21">
        <v>7.9148936170212902</v>
      </c>
      <c r="W472" s="21">
        <v>21.319148936170201</v>
      </c>
      <c r="X472" s="21">
        <v>2.4255319148936199</v>
      </c>
      <c r="Y472" s="21">
        <v>58.212765957446798</v>
      </c>
      <c r="Z472" s="18">
        <v>3.59</v>
      </c>
      <c r="AA472" s="18" t="s">
        <v>51</v>
      </c>
      <c r="AB472" s="18">
        <v>72.2</v>
      </c>
      <c r="AC472" s="18">
        <v>3240</v>
      </c>
      <c r="AD472" s="75" t="s">
        <v>51</v>
      </c>
      <c r="AF472" s="1"/>
      <c r="AO472" s="30">
        <f t="shared" ref="AO472:AS472" si="461">U472</f>
        <v>12.7659574468085</v>
      </c>
      <c r="AP472" s="30">
        <f t="shared" si="461"/>
        <v>7.9148936170212902</v>
      </c>
      <c r="AQ472" s="30">
        <f t="shared" si="461"/>
        <v>21.319148936170201</v>
      </c>
      <c r="AR472" s="30">
        <f t="shared" si="461"/>
        <v>2.4255319148936199</v>
      </c>
      <c r="AS472" s="30">
        <f t="shared" si="461"/>
        <v>58.212765957446798</v>
      </c>
      <c r="AT472" s="31">
        <f t="shared" si="242"/>
        <v>102.63829787234042</v>
      </c>
      <c r="AV472" s="21">
        <f t="shared" si="454"/>
        <v>3240</v>
      </c>
    </row>
    <row r="473" spans="1:48" ht="15.75" customHeight="1" x14ac:dyDescent="0.25">
      <c r="B473" s="78"/>
      <c r="C473" s="16" t="s">
        <v>46</v>
      </c>
      <c r="D473" s="69"/>
      <c r="E473" s="18" t="s">
        <v>53</v>
      </c>
      <c r="F473" s="81"/>
      <c r="G473" s="18">
        <v>51.72</v>
      </c>
      <c r="H473" s="18">
        <v>6</v>
      </c>
      <c r="I473" s="18">
        <v>41.48</v>
      </c>
      <c r="J473" s="18">
        <v>0.62</v>
      </c>
      <c r="K473" s="36">
        <f t="shared" si="452"/>
        <v>0.18000000000000682</v>
      </c>
      <c r="L473" s="18">
        <v>15.2</v>
      </c>
      <c r="M473" s="18">
        <v>70.3</v>
      </c>
      <c r="N473" s="18">
        <v>11.2</v>
      </c>
      <c r="O473" s="18">
        <v>3.3</v>
      </c>
      <c r="P473" s="18">
        <v>0.42399999999999999</v>
      </c>
      <c r="Q473" s="18">
        <v>670.85</v>
      </c>
      <c r="R473" s="18" t="s">
        <v>81</v>
      </c>
      <c r="S473" s="21">
        <v>1.1599999999999999</v>
      </c>
      <c r="T473" s="18" t="s">
        <v>51</v>
      </c>
      <c r="U473" s="21">
        <v>15.5744680851063</v>
      </c>
      <c r="V473" s="21">
        <v>6.5106382978723403</v>
      </c>
      <c r="W473" s="21">
        <v>21.702127659574401</v>
      </c>
      <c r="X473" s="21">
        <v>2.1702127659574502</v>
      </c>
      <c r="Y473" s="21">
        <v>56.297872340425499</v>
      </c>
      <c r="Z473" s="18">
        <v>3.71</v>
      </c>
      <c r="AA473" s="18" t="s">
        <v>51</v>
      </c>
      <c r="AB473" s="18">
        <v>75.7</v>
      </c>
      <c r="AC473" s="18">
        <v>3240</v>
      </c>
      <c r="AD473" s="75" t="s">
        <v>51</v>
      </c>
      <c r="AF473" s="1"/>
      <c r="AO473" s="30">
        <f t="shared" ref="AO473:AS473" si="462">U473</f>
        <v>15.5744680851063</v>
      </c>
      <c r="AP473" s="30">
        <f t="shared" si="462"/>
        <v>6.5106382978723403</v>
      </c>
      <c r="AQ473" s="30">
        <f t="shared" si="462"/>
        <v>21.702127659574401</v>
      </c>
      <c r="AR473" s="30">
        <f t="shared" si="462"/>
        <v>2.1702127659574502</v>
      </c>
      <c r="AS473" s="30">
        <f t="shared" si="462"/>
        <v>56.297872340425499</v>
      </c>
      <c r="AT473" s="31">
        <f t="shared" si="242"/>
        <v>102.255319148936</v>
      </c>
      <c r="AV473" s="21">
        <f t="shared" si="454"/>
        <v>3240</v>
      </c>
    </row>
    <row r="474" spans="1:48" ht="15.75" customHeight="1" x14ac:dyDescent="0.25">
      <c r="B474" s="78"/>
      <c r="C474" s="16" t="s">
        <v>46</v>
      </c>
      <c r="D474" s="69"/>
      <c r="E474" s="18" t="s">
        <v>53</v>
      </c>
      <c r="F474" s="81"/>
      <c r="G474" s="18">
        <v>51.72</v>
      </c>
      <c r="H474" s="18">
        <v>6</v>
      </c>
      <c r="I474" s="18">
        <v>41.48</v>
      </c>
      <c r="J474" s="18">
        <v>0.62</v>
      </c>
      <c r="K474" s="36">
        <f t="shared" si="452"/>
        <v>0.18000000000000682</v>
      </c>
      <c r="L474" s="18">
        <v>15.2</v>
      </c>
      <c r="M474" s="18">
        <v>70.3</v>
      </c>
      <c r="N474" s="18">
        <v>11.2</v>
      </c>
      <c r="O474" s="18">
        <v>3.3</v>
      </c>
      <c r="P474" s="18">
        <v>0.42399999999999999</v>
      </c>
      <c r="Q474" s="18">
        <v>565.85</v>
      </c>
      <c r="R474" s="18" t="s">
        <v>81</v>
      </c>
      <c r="S474" s="21">
        <v>1.78</v>
      </c>
      <c r="T474" s="18" t="s">
        <v>51</v>
      </c>
      <c r="U474" s="21">
        <v>16.340425531914899</v>
      </c>
      <c r="V474" s="21">
        <v>6.1276595744680797</v>
      </c>
      <c r="W474" s="21">
        <v>22.7234042553191</v>
      </c>
      <c r="X474" s="21">
        <v>1.91489361702127</v>
      </c>
      <c r="Y474" s="21">
        <v>55.531914893617</v>
      </c>
      <c r="Z474" s="18">
        <v>3.78</v>
      </c>
      <c r="AA474" s="18" t="s">
        <v>51</v>
      </c>
      <c r="AB474" s="18">
        <v>80.400000000000006</v>
      </c>
      <c r="AC474" s="18">
        <v>3170</v>
      </c>
      <c r="AD474" s="75" t="s">
        <v>51</v>
      </c>
      <c r="AF474" s="1"/>
      <c r="AO474" s="30">
        <f t="shared" ref="AO474:AS474" si="463">U474</f>
        <v>16.340425531914899</v>
      </c>
      <c r="AP474" s="30">
        <f t="shared" si="463"/>
        <v>6.1276595744680797</v>
      </c>
      <c r="AQ474" s="30">
        <f t="shared" si="463"/>
        <v>22.7234042553191</v>
      </c>
      <c r="AR474" s="30">
        <f t="shared" si="463"/>
        <v>1.91489361702127</v>
      </c>
      <c r="AS474" s="30">
        <f t="shared" si="463"/>
        <v>55.531914893617</v>
      </c>
      <c r="AT474" s="31">
        <f t="shared" si="242"/>
        <v>102.63829787234036</v>
      </c>
      <c r="AV474" s="21">
        <f t="shared" si="454"/>
        <v>3170</v>
      </c>
    </row>
    <row r="475" spans="1:48" ht="15.75" customHeight="1" x14ac:dyDescent="0.25">
      <c r="B475" s="78"/>
      <c r="C475" s="16" t="s">
        <v>46</v>
      </c>
      <c r="D475" s="69"/>
      <c r="E475" s="18" t="s">
        <v>53</v>
      </c>
      <c r="F475" s="81"/>
      <c r="G475" s="18">
        <v>51.72</v>
      </c>
      <c r="H475" s="18">
        <v>6</v>
      </c>
      <c r="I475" s="18">
        <v>41.48</v>
      </c>
      <c r="J475" s="18">
        <v>0.62</v>
      </c>
      <c r="K475" s="36">
        <f t="shared" si="452"/>
        <v>0.18000000000000682</v>
      </c>
      <c r="L475" s="18">
        <v>15.2</v>
      </c>
      <c r="M475" s="18">
        <v>70.3</v>
      </c>
      <c r="N475" s="18">
        <v>11.2</v>
      </c>
      <c r="O475" s="18">
        <v>3.3</v>
      </c>
      <c r="P475" s="18">
        <v>0.42399999999999999</v>
      </c>
      <c r="Q475" s="18">
        <v>424.85</v>
      </c>
      <c r="R475" s="18" t="s">
        <v>81</v>
      </c>
      <c r="S475" s="21">
        <v>2.2400000000000002</v>
      </c>
      <c r="T475" s="18" t="s">
        <v>51</v>
      </c>
      <c r="U475" s="21">
        <v>19.021276595744599</v>
      </c>
      <c r="V475" s="21">
        <v>6</v>
      </c>
      <c r="W475" s="21">
        <v>24.255319148936099</v>
      </c>
      <c r="X475" s="21">
        <v>1.6595744680851101</v>
      </c>
      <c r="Y475" s="21">
        <v>51.829787234042499</v>
      </c>
      <c r="Z475" s="18">
        <v>3.99</v>
      </c>
      <c r="AA475" s="18" t="s">
        <v>51</v>
      </c>
      <c r="AB475" s="18">
        <v>88.2</v>
      </c>
      <c r="AC475" s="18">
        <v>3350</v>
      </c>
      <c r="AD475" s="75" t="s">
        <v>51</v>
      </c>
      <c r="AF475" s="1"/>
      <c r="AO475" s="30">
        <f t="shared" ref="AO475:AS475" si="464">U475</f>
        <v>19.021276595744599</v>
      </c>
      <c r="AP475" s="30">
        <f t="shared" si="464"/>
        <v>6</v>
      </c>
      <c r="AQ475" s="30">
        <f t="shared" si="464"/>
        <v>24.255319148936099</v>
      </c>
      <c r="AR475" s="30">
        <f t="shared" si="464"/>
        <v>1.6595744680851101</v>
      </c>
      <c r="AS475" s="30">
        <f t="shared" si="464"/>
        <v>51.829787234042499</v>
      </c>
      <c r="AT475" s="31">
        <f t="shared" si="242"/>
        <v>102.7659574468083</v>
      </c>
      <c r="AV475" s="21">
        <f t="shared" si="454"/>
        <v>3350</v>
      </c>
    </row>
    <row r="476" spans="1:48" ht="15.75" customHeight="1" x14ac:dyDescent="0.25">
      <c r="B476" s="78"/>
      <c r="C476" s="16" t="s">
        <v>46</v>
      </c>
      <c r="D476" s="69"/>
      <c r="E476" s="18" t="s">
        <v>53</v>
      </c>
      <c r="F476" s="81"/>
      <c r="G476" s="18">
        <v>51.72</v>
      </c>
      <c r="H476" s="18">
        <v>6</v>
      </c>
      <c r="I476" s="18">
        <v>41.48</v>
      </c>
      <c r="J476" s="18">
        <v>0.62</v>
      </c>
      <c r="K476" s="36">
        <f t="shared" si="452"/>
        <v>0.18000000000000682</v>
      </c>
      <c r="L476" s="18">
        <v>15.2</v>
      </c>
      <c r="M476" s="18">
        <v>70.3</v>
      </c>
      <c r="N476" s="18">
        <v>11.2</v>
      </c>
      <c r="O476" s="18">
        <v>3.3</v>
      </c>
      <c r="P476" s="18">
        <v>0.42399999999999999</v>
      </c>
      <c r="Q476" s="18">
        <v>352.85</v>
      </c>
      <c r="R476" s="18" t="s">
        <v>81</v>
      </c>
      <c r="S476" s="21">
        <v>2.5299999999999998</v>
      </c>
      <c r="T476" s="18" t="s">
        <v>51</v>
      </c>
      <c r="U476" s="21">
        <v>21.829787234042499</v>
      </c>
      <c r="V476" s="21">
        <v>5.7446808510638299</v>
      </c>
      <c r="W476" s="21">
        <v>26.297872340425499</v>
      </c>
      <c r="X476" s="21">
        <v>1.5319148936170199</v>
      </c>
      <c r="Y476" s="21">
        <v>48.510638297872298</v>
      </c>
      <c r="Z476" s="18">
        <v>4.03</v>
      </c>
      <c r="AA476" s="18" t="s">
        <v>51</v>
      </c>
      <c r="AB476" s="18">
        <v>90.1</v>
      </c>
      <c r="AC476" s="18">
        <v>3460</v>
      </c>
      <c r="AD476" s="75" t="s">
        <v>51</v>
      </c>
      <c r="AF476" s="1"/>
      <c r="AO476" s="30">
        <f t="shared" ref="AO476:AS476" si="465">U476</f>
        <v>21.829787234042499</v>
      </c>
      <c r="AP476" s="30">
        <f t="shared" si="465"/>
        <v>5.7446808510638299</v>
      </c>
      <c r="AQ476" s="30">
        <f t="shared" si="465"/>
        <v>26.297872340425499</v>
      </c>
      <c r="AR476" s="30">
        <f t="shared" si="465"/>
        <v>1.5319148936170199</v>
      </c>
      <c r="AS476" s="30">
        <f t="shared" si="465"/>
        <v>48.510638297872298</v>
      </c>
      <c r="AT476" s="31">
        <f t="shared" si="242"/>
        <v>103.91489361702115</v>
      </c>
      <c r="AV476" s="21">
        <f t="shared" si="454"/>
        <v>3460</v>
      </c>
    </row>
    <row r="477" spans="1:48" ht="15.75" customHeight="1" x14ac:dyDescent="0.25">
      <c r="B477" s="69" t="s">
        <v>91</v>
      </c>
      <c r="C477" s="16" t="s">
        <v>46</v>
      </c>
      <c r="D477" s="69" t="s">
        <v>92</v>
      </c>
      <c r="E477" s="18" t="s">
        <v>48</v>
      </c>
      <c r="F477" s="69" t="s">
        <v>93</v>
      </c>
      <c r="G477" s="18">
        <v>44.44</v>
      </c>
      <c r="H477" s="18">
        <v>6.17</v>
      </c>
      <c r="I477" s="18">
        <v>49.38</v>
      </c>
      <c r="J477" s="18">
        <f t="shared" ref="J477:J483" si="466">100-SUM(G477:I477)</f>
        <v>9.9999999999909051E-3</v>
      </c>
      <c r="K477" s="18">
        <v>0</v>
      </c>
      <c r="L477" s="18">
        <v>0</v>
      </c>
      <c r="M477" s="18">
        <v>93.96</v>
      </c>
      <c r="N477" s="18">
        <v>5.97</v>
      </c>
      <c r="O477" s="18">
        <v>0.08</v>
      </c>
      <c r="P477" s="18">
        <v>0.2</v>
      </c>
      <c r="Q477" s="18">
        <v>799.85</v>
      </c>
      <c r="R477" s="16" t="s">
        <v>94</v>
      </c>
      <c r="S477" s="21">
        <v>0</v>
      </c>
      <c r="T477" s="18" t="s">
        <v>51</v>
      </c>
      <c r="U477" s="18">
        <v>18.29</v>
      </c>
      <c r="V477" s="18">
        <v>14.97</v>
      </c>
      <c r="W477" s="18">
        <v>24.35</v>
      </c>
      <c r="X477" s="18">
        <v>3.03</v>
      </c>
      <c r="Y477" s="18">
        <v>38</v>
      </c>
      <c r="Z477" s="18" t="s">
        <v>51</v>
      </c>
      <c r="AA477" s="18" t="s">
        <v>51</v>
      </c>
      <c r="AB477" s="18" t="s">
        <v>51</v>
      </c>
      <c r="AC477" s="28">
        <f t="shared" ref="AC477:AC488" si="467">((U477*0.24182)+(V477*0.283)+(X477*0.80262))*(10000/22.4)</f>
        <v>4951.4894642857153</v>
      </c>
      <c r="AD477" s="75" t="s">
        <v>51</v>
      </c>
      <c r="AF477" s="1"/>
      <c r="AO477" s="30">
        <f t="shared" ref="AO477:AS477" si="468">U477</f>
        <v>18.29</v>
      </c>
      <c r="AP477" s="30">
        <f t="shared" si="468"/>
        <v>14.97</v>
      </c>
      <c r="AQ477" s="30">
        <f t="shared" si="468"/>
        <v>24.35</v>
      </c>
      <c r="AR477" s="30">
        <f t="shared" si="468"/>
        <v>3.03</v>
      </c>
      <c r="AS477" s="30">
        <f t="shared" si="468"/>
        <v>38</v>
      </c>
      <c r="AT477" s="31">
        <f t="shared" si="242"/>
        <v>98.64</v>
      </c>
      <c r="AV477" s="28">
        <f t="shared" ref="AV477:AV488" si="469">((AO477*0.24182)+(AP477*0.283)+(AR477*0.80262))*(10000/22.4)</f>
        <v>4951.4894642857153</v>
      </c>
    </row>
    <row r="478" spans="1:48" ht="15.75" customHeight="1" x14ac:dyDescent="0.25">
      <c r="B478" s="69"/>
      <c r="C478" s="16" t="s">
        <v>46</v>
      </c>
      <c r="D478" s="69"/>
      <c r="E478" s="18" t="s">
        <v>48</v>
      </c>
      <c r="F478" s="69"/>
      <c r="G478" s="18">
        <v>44.44</v>
      </c>
      <c r="H478" s="18">
        <v>6.17</v>
      </c>
      <c r="I478" s="18">
        <v>49.38</v>
      </c>
      <c r="J478" s="18">
        <f t="shared" si="466"/>
        <v>9.9999999999909051E-3</v>
      </c>
      <c r="K478" s="18">
        <v>0</v>
      </c>
      <c r="L478" s="18">
        <v>0</v>
      </c>
      <c r="M478" s="18">
        <v>93.96</v>
      </c>
      <c r="N478" s="18">
        <v>5.97</v>
      </c>
      <c r="O478" s="18">
        <v>0.08</v>
      </c>
      <c r="P478" s="18">
        <v>0.27</v>
      </c>
      <c r="Q478" s="18">
        <v>799.85</v>
      </c>
      <c r="R478" s="16" t="s">
        <v>94</v>
      </c>
      <c r="S478" s="21">
        <v>0</v>
      </c>
      <c r="T478" s="18" t="s">
        <v>51</v>
      </c>
      <c r="U478" s="18">
        <v>15.26</v>
      </c>
      <c r="V478" s="18">
        <v>12.23</v>
      </c>
      <c r="W478" s="18">
        <v>25.82</v>
      </c>
      <c r="X478" s="18">
        <v>2.79</v>
      </c>
      <c r="Y478" s="18">
        <v>42.87</v>
      </c>
      <c r="Z478" s="18" t="s">
        <v>51</v>
      </c>
      <c r="AA478" s="18" t="s">
        <v>51</v>
      </c>
      <c r="AB478" s="18" t="s">
        <v>51</v>
      </c>
      <c r="AC478" s="28">
        <f t="shared" si="467"/>
        <v>4192.2200892857145</v>
      </c>
      <c r="AD478" s="75" t="s">
        <v>51</v>
      </c>
      <c r="AF478" s="1"/>
      <c r="AO478" s="30">
        <f t="shared" ref="AO478:AS478" si="470">U478</f>
        <v>15.26</v>
      </c>
      <c r="AP478" s="30">
        <f t="shared" si="470"/>
        <v>12.23</v>
      </c>
      <c r="AQ478" s="30">
        <f t="shared" si="470"/>
        <v>25.82</v>
      </c>
      <c r="AR478" s="30">
        <f t="shared" si="470"/>
        <v>2.79</v>
      </c>
      <c r="AS478" s="30">
        <f t="shared" si="470"/>
        <v>42.87</v>
      </c>
      <c r="AT478" s="31">
        <f t="shared" si="242"/>
        <v>98.97</v>
      </c>
      <c r="AV478" s="28">
        <f t="shared" si="469"/>
        <v>4192.2200892857145</v>
      </c>
    </row>
    <row r="479" spans="1:48" ht="15.75" customHeight="1" x14ac:dyDescent="0.25">
      <c r="B479" s="69"/>
      <c r="C479" s="16" t="s">
        <v>46</v>
      </c>
      <c r="D479" s="69"/>
      <c r="E479" s="18" t="s">
        <v>48</v>
      </c>
      <c r="F479" s="69"/>
      <c r="G479" s="18">
        <v>44.44</v>
      </c>
      <c r="H479" s="18">
        <v>6.17</v>
      </c>
      <c r="I479" s="18">
        <v>49.38</v>
      </c>
      <c r="J479" s="18">
        <f t="shared" si="466"/>
        <v>9.9999999999909051E-3</v>
      </c>
      <c r="K479" s="18">
        <v>0</v>
      </c>
      <c r="L479" s="18">
        <v>0</v>
      </c>
      <c r="M479" s="18">
        <v>93.96</v>
      </c>
      <c r="N479" s="18">
        <v>5.97</v>
      </c>
      <c r="O479" s="18">
        <v>0.08</v>
      </c>
      <c r="P479" s="18">
        <v>0.34</v>
      </c>
      <c r="Q479" s="18">
        <v>799.85</v>
      </c>
      <c r="R479" s="16" t="s">
        <v>94</v>
      </c>
      <c r="S479" s="21">
        <v>0</v>
      </c>
      <c r="T479" s="18" t="s">
        <v>51</v>
      </c>
      <c r="U479" s="18">
        <v>13.05</v>
      </c>
      <c r="V479" s="18">
        <v>9.9</v>
      </c>
      <c r="W479" s="18">
        <v>24.46</v>
      </c>
      <c r="X479" s="18">
        <v>1.63</v>
      </c>
      <c r="Y479" s="18">
        <v>46.72</v>
      </c>
      <c r="Z479" s="18" t="s">
        <v>51</v>
      </c>
      <c r="AA479" s="18" t="s">
        <v>51</v>
      </c>
      <c r="AB479" s="18" t="s">
        <v>51</v>
      </c>
      <c r="AC479" s="28">
        <f t="shared" si="467"/>
        <v>3243.6257142857148</v>
      </c>
      <c r="AD479" s="75" t="s">
        <v>51</v>
      </c>
      <c r="AF479" s="1"/>
      <c r="AO479" s="30">
        <f t="shared" ref="AO479:AS479" si="471">U479</f>
        <v>13.05</v>
      </c>
      <c r="AP479" s="30">
        <f t="shared" si="471"/>
        <v>9.9</v>
      </c>
      <c r="AQ479" s="30">
        <f t="shared" si="471"/>
        <v>24.46</v>
      </c>
      <c r="AR479" s="30">
        <f t="shared" si="471"/>
        <v>1.63</v>
      </c>
      <c r="AS479" s="30">
        <f t="shared" si="471"/>
        <v>46.72</v>
      </c>
      <c r="AT479" s="31">
        <f t="shared" si="242"/>
        <v>95.76</v>
      </c>
      <c r="AV479" s="28">
        <f t="shared" si="469"/>
        <v>3243.6257142857148</v>
      </c>
    </row>
    <row r="480" spans="1:48" ht="15.75" customHeight="1" x14ac:dyDescent="0.25">
      <c r="B480" s="69"/>
      <c r="C480" s="16" t="s">
        <v>46</v>
      </c>
      <c r="D480" s="69"/>
      <c r="E480" s="18" t="s">
        <v>53</v>
      </c>
      <c r="F480" s="69"/>
      <c r="G480" s="18">
        <v>44.44</v>
      </c>
      <c r="H480" s="18">
        <v>6.17</v>
      </c>
      <c r="I480" s="18">
        <v>49.38</v>
      </c>
      <c r="J480" s="18">
        <f t="shared" si="466"/>
        <v>9.9999999999909051E-3</v>
      </c>
      <c r="K480" s="18">
        <v>0</v>
      </c>
      <c r="L480" s="18">
        <v>0</v>
      </c>
      <c r="M480" s="18">
        <v>93.96</v>
      </c>
      <c r="N480" s="18">
        <v>5.97</v>
      </c>
      <c r="O480" s="18">
        <v>0.08</v>
      </c>
      <c r="P480" s="18">
        <v>0.27</v>
      </c>
      <c r="Q480" s="18">
        <v>799.85</v>
      </c>
      <c r="R480" s="16" t="s">
        <v>94</v>
      </c>
      <c r="S480" s="21">
        <v>0.5</v>
      </c>
      <c r="T480" s="18" t="s">
        <v>51</v>
      </c>
      <c r="U480" s="18">
        <v>16.190000000000001</v>
      </c>
      <c r="V480" s="18">
        <v>8.5</v>
      </c>
      <c r="W480" s="18">
        <v>27.14</v>
      </c>
      <c r="X480" s="18">
        <v>2.56</v>
      </c>
      <c r="Y480" s="18">
        <v>43.45</v>
      </c>
      <c r="Z480" s="18" t="s">
        <v>51</v>
      </c>
      <c r="AA480" s="18" t="s">
        <v>51</v>
      </c>
      <c r="AB480" s="18" t="s">
        <v>51</v>
      </c>
      <c r="AC480" s="28">
        <f t="shared" si="467"/>
        <v>3738.9611607142861</v>
      </c>
      <c r="AD480" s="75" t="s">
        <v>51</v>
      </c>
      <c r="AF480" s="1"/>
      <c r="AO480" s="30">
        <f t="shared" ref="AO480:AS480" si="472">U480</f>
        <v>16.190000000000001</v>
      </c>
      <c r="AP480" s="30">
        <f t="shared" si="472"/>
        <v>8.5</v>
      </c>
      <c r="AQ480" s="30">
        <f t="shared" si="472"/>
        <v>27.14</v>
      </c>
      <c r="AR480" s="30">
        <f t="shared" si="472"/>
        <v>2.56</v>
      </c>
      <c r="AS480" s="30">
        <f t="shared" si="472"/>
        <v>43.45</v>
      </c>
      <c r="AT480" s="31">
        <f t="shared" si="242"/>
        <v>97.84</v>
      </c>
      <c r="AV480" s="28">
        <f t="shared" si="469"/>
        <v>3738.9611607142861</v>
      </c>
    </row>
    <row r="481" spans="1:48" ht="15.75" customHeight="1" x14ac:dyDescent="0.25">
      <c r="B481" s="69"/>
      <c r="C481" s="16" t="s">
        <v>46</v>
      </c>
      <c r="D481" s="69"/>
      <c r="E481" s="18" t="s">
        <v>53</v>
      </c>
      <c r="F481" s="69"/>
      <c r="G481" s="18">
        <v>44.44</v>
      </c>
      <c r="H481" s="18">
        <v>6.17</v>
      </c>
      <c r="I481" s="18">
        <v>49.38</v>
      </c>
      <c r="J481" s="18">
        <f t="shared" si="466"/>
        <v>9.9999999999909051E-3</v>
      </c>
      <c r="K481" s="18">
        <v>0</v>
      </c>
      <c r="L481" s="18">
        <v>0</v>
      </c>
      <c r="M481" s="18">
        <v>93.96</v>
      </c>
      <c r="N481" s="18">
        <v>5.97</v>
      </c>
      <c r="O481" s="18">
        <v>0.08</v>
      </c>
      <c r="P481" s="18">
        <v>0.27</v>
      </c>
      <c r="Q481" s="18">
        <v>799.85</v>
      </c>
      <c r="R481" s="16" t="s">
        <v>94</v>
      </c>
      <c r="S481" s="21">
        <v>1</v>
      </c>
      <c r="T481" s="18" t="s">
        <v>51</v>
      </c>
      <c r="U481" s="18">
        <v>19.57</v>
      </c>
      <c r="V481" s="18">
        <v>9.09</v>
      </c>
      <c r="W481" s="18">
        <v>26.33</v>
      </c>
      <c r="X481" s="18">
        <v>2.69</v>
      </c>
      <c r="Y481" s="18">
        <v>44.27</v>
      </c>
      <c r="Z481" s="18" t="s">
        <v>51</v>
      </c>
      <c r="AA481" s="18" t="s">
        <v>51</v>
      </c>
      <c r="AB481" s="18" t="s">
        <v>51</v>
      </c>
      <c r="AC481" s="28">
        <f t="shared" si="467"/>
        <v>4224.9710714285711</v>
      </c>
      <c r="AD481" s="75" t="s">
        <v>51</v>
      </c>
      <c r="AF481" s="1"/>
      <c r="AO481" s="30">
        <f t="shared" ref="AO481:AS481" si="473">U481</f>
        <v>19.57</v>
      </c>
      <c r="AP481" s="30">
        <f t="shared" si="473"/>
        <v>9.09</v>
      </c>
      <c r="AQ481" s="30">
        <f t="shared" si="473"/>
        <v>26.33</v>
      </c>
      <c r="AR481" s="30">
        <f t="shared" si="473"/>
        <v>2.69</v>
      </c>
      <c r="AS481" s="30">
        <f t="shared" si="473"/>
        <v>44.27</v>
      </c>
      <c r="AT481" s="31">
        <f t="shared" si="242"/>
        <v>101.94999999999999</v>
      </c>
      <c r="AV481" s="28">
        <f t="shared" si="469"/>
        <v>4224.9710714285711</v>
      </c>
    </row>
    <row r="482" spans="1:48" ht="15.75" customHeight="1" x14ac:dyDescent="0.25">
      <c r="B482" s="69"/>
      <c r="C482" s="16" t="s">
        <v>46</v>
      </c>
      <c r="D482" s="69"/>
      <c r="E482" s="18" t="s">
        <v>48</v>
      </c>
      <c r="F482" s="69"/>
      <c r="G482" s="18">
        <v>44.44</v>
      </c>
      <c r="H482" s="18">
        <v>6.17</v>
      </c>
      <c r="I482" s="18">
        <v>49.38</v>
      </c>
      <c r="J482" s="18">
        <f t="shared" si="466"/>
        <v>9.9999999999909051E-3</v>
      </c>
      <c r="K482" s="18">
        <v>0</v>
      </c>
      <c r="L482" s="18">
        <v>0</v>
      </c>
      <c r="M482" s="18">
        <v>93.96</v>
      </c>
      <c r="N482" s="18">
        <v>5.97</v>
      </c>
      <c r="O482" s="18">
        <v>0.08</v>
      </c>
      <c r="P482" s="18">
        <v>0.2</v>
      </c>
      <c r="Q482" s="18">
        <v>899.85</v>
      </c>
      <c r="R482" s="16" t="s">
        <v>94</v>
      </c>
      <c r="S482" s="21">
        <v>0</v>
      </c>
      <c r="T482" s="18" t="s">
        <v>51</v>
      </c>
      <c r="U482" s="18">
        <v>22.37</v>
      </c>
      <c r="V482" s="18">
        <v>18.87</v>
      </c>
      <c r="W482" s="18">
        <v>21.08</v>
      </c>
      <c r="X482" s="18">
        <v>3.96</v>
      </c>
      <c r="Y482" s="18">
        <v>37.28</v>
      </c>
      <c r="Z482" s="18" t="s">
        <v>51</v>
      </c>
      <c r="AA482" s="18" t="s">
        <v>51</v>
      </c>
      <c r="AB482" s="18" t="s">
        <v>51</v>
      </c>
      <c r="AC482" s="28">
        <f t="shared" si="467"/>
        <v>6217.9011607142857</v>
      </c>
      <c r="AD482" s="75" t="s">
        <v>51</v>
      </c>
      <c r="AF482" s="1"/>
      <c r="AO482" s="30">
        <f t="shared" ref="AO482:AS482" si="474">U482</f>
        <v>22.37</v>
      </c>
      <c r="AP482" s="30">
        <f t="shared" si="474"/>
        <v>18.87</v>
      </c>
      <c r="AQ482" s="30">
        <f t="shared" si="474"/>
        <v>21.08</v>
      </c>
      <c r="AR482" s="30">
        <f t="shared" si="474"/>
        <v>3.96</v>
      </c>
      <c r="AS482" s="30">
        <f t="shared" si="474"/>
        <v>37.28</v>
      </c>
      <c r="AT482" s="31">
        <f t="shared" si="242"/>
        <v>103.56</v>
      </c>
      <c r="AV482" s="28">
        <f t="shared" si="469"/>
        <v>6217.9011607142857</v>
      </c>
    </row>
    <row r="483" spans="1:48" ht="15.75" customHeight="1" x14ac:dyDescent="0.25">
      <c r="B483" s="69"/>
      <c r="C483" s="16" t="s">
        <v>46</v>
      </c>
      <c r="D483" s="69"/>
      <c r="E483" s="18" t="s">
        <v>48</v>
      </c>
      <c r="F483" s="69"/>
      <c r="G483" s="18">
        <v>44.44</v>
      </c>
      <c r="H483" s="18">
        <v>6.17</v>
      </c>
      <c r="I483" s="18">
        <v>49.38</v>
      </c>
      <c r="J483" s="18">
        <f t="shared" si="466"/>
        <v>9.9999999999909051E-3</v>
      </c>
      <c r="K483" s="18">
        <v>0</v>
      </c>
      <c r="L483" s="18">
        <v>0</v>
      </c>
      <c r="M483" s="18">
        <v>93.96</v>
      </c>
      <c r="N483" s="18">
        <v>5.97</v>
      </c>
      <c r="O483" s="18">
        <v>0.08</v>
      </c>
      <c r="P483" s="18">
        <v>0.2</v>
      </c>
      <c r="Q483" s="18">
        <v>999.85</v>
      </c>
      <c r="R483" s="16" t="s">
        <v>94</v>
      </c>
      <c r="S483" s="21">
        <v>0</v>
      </c>
      <c r="T483" s="18" t="s">
        <v>51</v>
      </c>
      <c r="U483" s="18">
        <v>31.45</v>
      </c>
      <c r="V483" s="18">
        <v>21.08</v>
      </c>
      <c r="W483" s="18">
        <v>10.95</v>
      </c>
      <c r="X483" s="18">
        <v>1.86</v>
      </c>
      <c r="Y483" s="18">
        <v>35.880000000000003</v>
      </c>
      <c r="Z483" s="18" t="s">
        <v>51</v>
      </c>
      <c r="AA483" s="18" t="s">
        <v>51</v>
      </c>
      <c r="AB483" s="18" t="s">
        <v>51</v>
      </c>
      <c r="AC483" s="28">
        <f t="shared" si="467"/>
        <v>6724.8893749999997</v>
      </c>
      <c r="AD483" s="75" t="s">
        <v>51</v>
      </c>
      <c r="AF483" s="1"/>
      <c r="AO483" s="30">
        <f t="shared" ref="AO483:AS483" si="475">U483</f>
        <v>31.45</v>
      </c>
      <c r="AP483" s="30">
        <f t="shared" si="475"/>
        <v>21.08</v>
      </c>
      <c r="AQ483" s="30">
        <f t="shared" si="475"/>
        <v>10.95</v>
      </c>
      <c r="AR483" s="30">
        <f t="shared" si="475"/>
        <v>1.86</v>
      </c>
      <c r="AS483" s="30">
        <f t="shared" si="475"/>
        <v>35.880000000000003</v>
      </c>
      <c r="AT483" s="31">
        <f t="shared" si="242"/>
        <v>101.22</v>
      </c>
      <c r="AV483" s="28">
        <f t="shared" si="469"/>
        <v>6724.8893749999997</v>
      </c>
    </row>
    <row r="484" spans="1:48" ht="15.75" customHeight="1" x14ac:dyDescent="0.25">
      <c r="B484" s="69" t="s">
        <v>95</v>
      </c>
      <c r="C484" s="16" t="s">
        <v>46</v>
      </c>
      <c r="D484" s="69" t="s">
        <v>96</v>
      </c>
      <c r="E484" s="18" t="s">
        <v>53</v>
      </c>
      <c r="F484" s="69" t="s">
        <v>97</v>
      </c>
      <c r="G484" s="82">
        <v>52.061</v>
      </c>
      <c r="H484" s="82">
        <v>5.7519999999999998</v>
      </c>
      <c r="I484" s="82">
        <f t="shared" ref="I484:I488" si="476">100-SUM(G484,H484,J484,K484)</f>
        <v>39.994999999999997</v>
      </c>
      <c r="J484" s="82">
        <v>2.048</v>
      </c>
      <c r="K484" s="82">
        <v>0.14399999999999999</v>
      </c>
      <c r="L484" s="58">
        <f t="shared" ref="L484:L488" si="477">100-SUM(M484,N484,O484)</f>
        <v>76.680000000000007</v>
      </c>
      <c r="M484" s="18">
        <v>7.77</v>
      </c>
      <c r="N484" s="18">
        <v>7.61</v>
      </c>
      <c r="O484" s="18">
        <v>7.94</v>
      </c>
      <c r="P484" s="18">
        <v>0.45</v>
      </c>
      <c r="Q484" s="18">
        <v>749.85</v>
      </c>
      <c r="R484" s="16" t="s">
        <v>51</v>
      </c>
      <c r="S484" s="18">
        <v>1.29</v>
      </c>
      <c r="T484" s="18" t="s">
        <v>51</v>
      </c>
      <c r="U484" s="18">
        <v>3.4</v>
      </c>
      <c r="V484" s="18">
        <v>16.329999999999998</v>
      </c>
      <c r="W484" s="18">
        <v>13.49</v>
      </c>
      <c r="X484" s="18">
        <v>2.41</v>
      </c>
      <c r="Y484" s="18">
        <v>61.9</v>
      </c>
      <c r="Z484" s="18" t="s">
        <v>51</v>
      </c>
      <c r="AA484" s="18" t="s">
        <v>51</v>
      </c>
      <c r="AB484" s="18" t="s">
        <v>51</v>
      </c>
      <c r="AC484" s="28">
        <f t="shared" si="467"/>
        <v>3293.7018749999997</v>
      </c>
      <c r="AD484" s="75" t="s">
        <v>51</v>
      </c>
      <c r="AF484" s="1"/>
      <c r="AO484" s="30">
        <f t="shared" ref="AO484:AS484" si="478">U484</f>
        <v>3.4</v>
      </c>
      <c r="AP484" s="30">
        <f t="shared" si="478"/>
        <v>16.329999999999998</v>
      </c>
      <c r="AQ484" s="30">
        <f t="shared" si="478"/>
        <v>13.49</v>
      </c>
      <c r="AR484" s="30">
        <f t="shared" si="478"/>
        <v>2.41</v>
      </c>
      <c r="AS484" s="30">
        <f t="shared" si="478"/>
        <v>61.9</v>
      </c>
      <c r="AT484" s="31">
        <f t="shared" si="242"/>
        <v>97.53</v>
      </c>
      <c r="AV484" s="28">
        <f t="shared" si="469"/>
        <v>3293.7018749999997</v>
      </c>
    </row>
    <row r="485" spans="1:48" ht="15.75" customHeight="1" x14ac:dyDescent="0.25">
      <c r="B485" s="69"/>
      <c r="C485" s="16" t="s">
        <v>46</v>
      </c>
      <c r="D485" s="69"/>
      <c r="E485" s="18" t="s">
        <v>53</v>
      </c>
      <c r="F485" s="69"/>
      <c r="G485" s="82">
        <v>52.061</v>
      </c>
      <c r="H485" s="82">
        <v>5.7519999999999998</v>
      </c>
      <c r="I485" s="82">
        <f t="shared" si="476"/>
        <v>39.994999999999997</v>
      </c>
      <c r="J485" s="82">
        <v>2.048</v>
      </c>
      <c r="K485" s="82">
        <v>0.14399999999999999</v>
      </c>
      <c r="L485" s="58">
        <f t="shared" si="477"/>
        <v>76.680000000000007</v>
      </c>
      <c r="M485" s="18">
        <v>7.77</v>
      </c>
      <c r="N485" s="18">
        <v>7.61</v>
      </c>
      <c r="O485" s="18">
        <v>7.94</v>
      </c>
      <c r="P485" s="18">
        <v>0.45</v>
      </c>
      <c r="Q485" s="18">
        <v>849.85</v>
      </c>
      <c r="R485" s="16" t="s">
        <v>51</v>
      </c>
      <c r="S485" s="18">
        <v>1.29</v>
      </c>
      <c r="T485" s="18" t="s">
        <v>51</v>
      </c>
      <c r="U485" s="18">
        <v>6.29</v>
      </c>
      <c r="V485" s="18">
        <v>16.510000000000002</v>
      </c>
      <c r="W485" s="18">
        <v>14.23</v>
      </c>
      <c r="X485" s="18">
        <v>3.73</v>
      </c>
      <c r="Y485" s="18">
        <v>59.1</v>
      </c>
      <c r="Z485" s="18" t="s">
        <v>51</v>
      </c>
      <c r="AA485" s="18" t="s">
        <v>51</v>
      </c>
      <c r="AB485" s="18" t="s">
        <v>51</v>
      </c>
      <c r="AC485" s="28">
        <f t="shared" si="467"/>
        <v>4101.4064285714285</v>
      </c>
      <c r="AD485" s="75" t="s">
        <v>51</v>
      </c>
      <c r="AF485" s="1"/>
      <c r="AO485" s="30">
        <f t="shared" ref="AO485:AS485" si="479">U485</f>
        <v>6.29</v>
      </c>
      <c r="AP485" s="30">
        <f t="shared" si="479"/>
        <v>16.510000000000002</v>
      </c>
      <c r="AQ485" s="30">
        <f t="shared" si="479"/>
        <v>14.23</v>
      </c>
      <c r="AR485" s="30">
        <f t="shared" si="479"/>
        <v>3.73</v>
      </c>
      <c r="AS485" s="30">
        <f t="shared" si="479"/>
        <v>59.1</v>
      </c>
      <c r="AT485" s="31">
        <f t="shared" si="242"/>
        <v>99.86</v>
      </c>
      <c r="AV485" s="28">
        <f t="shared" si="469"/>
        <v>4101.4064285714285</v>
      </c>
    </row>
    <row r="486" spans="1:48" ht="15.75" customHeight="1" x14ac:dyDescent="0.25">
      <c r="B486" s="69"/>
      <c r="C486" s="16" t="s">
        <v>46</v>
      </c>
      <c r="D486" s="69"/>
      <c r="E486" s="18" t="s">
        <v>53</v>
      </c>
      <c r="F486" s="69"/>
      <c r="G486" s="82">
        <v>52.061</v>
      </c>
      <c r="H486" s="82">
        <v>5.7519999999999998</v>
      </c>
      <c r="I486" s="82">
        <f t="shared" si="476"/>
        <v>39.994999999999997</v>
      </c>
      <c r="J486" s="82">
        <v>2.048</v>
      </c>
      <c r="K486" s="82">
        <v>0.14399999999999999</v>
      </c>
      <c r="L486" s="58">
        <f t="shared" si="477"/>
        <v>76.680000000000007</v>
      </c>
      <c r="M486" s="18">
        <v>7.77</v>
      </c>
      <c r="N486" s="18">
        <v>7.61</v>
      </c>
      <c r="O486" s="18">
        <v>7.94</v>
      </c>
      <c r="P486" s="18">
        <v>0.45</v>
      </c>
      <c r="Q486" s="18">
        <v>949.85</v>
      </c>
      <c r="R486" s="16" t="s">
        <v>51</v>
      </c>
      <c r="S486" s="18">
        <v>1.29</v>
      </c>
      <c r="T486" s="18" t="s">
        <v>51</v>
      </c>
      <c r="U486" s="18">
        <v>10.15</v>
      </c>
      <c r="V486" s="18">
        <v>19.239999999999998</v>
      </c>
      <c r="W486" s="18">
        <v>16.97</v>
      </c>
      <c r="X486" s="18">
        <v>4.76</v>
      </c>
      <c r="Y486" s="18">
        <v>64.67</v>
      </c>
      <c r="Z486" s="18" t="s">
        <v>51</v>
      </c>
      <c r="AA486" s="18" t="s">
        <v>51</v>
      </c>
      <c r="AB486" s="18" t="s">
        <v>51</v>
      </c>
      <c r="AC486" s="28">
        <f t="shared" si="467"/>
        <v>5232.0822321428568</v>
      </c>
      <c r="AD486" s="75" t="s">
        <v>51</v>
      </c>
      <c r="AF486" s="1"/>
      <c r="AO486" s="30">
        <f t="shared" ref="AO486:AS486" si="480">U486</f>
        <v>10.15</v>
      </c>
      <c r="AP486" s="30">
        <f t="shared" si="480"/>
        <v>19.239999999999998</v>
      </c>
      <c r="AQ486" s="30">
        <f t="shared" si="480"/>
        <v>16.97</v>
      </c>
      <c r="AR486" s="30">
        <f t="shared" si="480"/>
        <v>4.76</v>
      </c>
      <c r="AS486" s="30">
        <f t="shared" si="480"/>
        <v>64.67</v>
      </c>
      <c r="AT486" s="31">
        <f t="shared" si="242"/>
        <v>115.78999999999999</v>
      </c>
      <c r="AV486" s="28">
        <f t="shared" si="469"/>
        <v>5232.0822321428568</v>
      </c>
    </row>
    <row r="487" spans="1:48" ht="15.75" customHeight="1" x14ac:dyDescent="0.25">
      <c r="B487" s="69"/>
      <c r="C487" s="16" t="s">
        <v>46</v>
      </c>
      <c r="D487" s="69"/>
      <c r="E487" s="18" t="s">
        <v>53</v>
      </c>
      <c r="F487" s="69"/>
      <c r="G487" s="82">
        <v>52.061</v>
      </c>
      <c r="H487" s="82">
        <v>5.7519999999999998</v>
      </c>
      <c r="I487" s="82">
        <f t="shared" si="476"/>
        <v>39.994999999999997</v>
      </c>
      <c r="J487" s="82">
        <v>2.048</v>
      </c>
      <c r="K487" s="82">
        <v>0.14399999999999999</v>
      </c>
      <c r="L487" s="58">
        <f t="shared" si="477"/>
        <v>76.680000000000007</v>
      </c>
      <c r="M487" s="18">
        <v>7.77</v>
      </c>
      <c r="N487" s="18">
        <v>7.61</v>
      </c>
      <c r="O487" s="18">
        <v>7.94</v>
      </c>
      <c r="P487" s="18">
        <v>0.45</v>
      </c>
      <c r="Q487" s="18">
        <v>1049.8499999999999</v>
      </c>
      <c r="R487" s="16" t="s">
        <v>51</v>
      </c>
      <c r="S487" s="18">
        <v>1.29</v>
      </c>
      <c r="T487" s="18" t="s">
        <v>51</v>
      </c>
      <c r="U487" s="18">
        <v>11.18</v>
      </c>
      <c r="V487" s="18">
        <v>16.149999999999999</v>
      </c>
      <c r="W487" s="18">
        <v>10.33</v>
      </c>
      <c r="X487" s="18">
        <v>3.94</v>
      </c>
      <c r="Y487" s="18">
        <v>53.35</v>
      </c>
      <c r="Z487" s="18" t="s">
        <v>51</v>
      </c>
      <c r="AA487" s="18" t="s">
        <v>51</v>
      </c>
      <c r="AB487" s="18" t="s">
        <v>51</v>
      </c>
      <c r="AC487" s="28">
        <f t="shared" si="467"/>
        <v>4659.0716071428569</v>
      </c>
      <c r="AD487" s="75" t="s">
        <v>51</v>
      </c>
      <c r="AF487" s="1"/>
      <c r="AO487" s="30">
        <f t="shared" ref="AO487:AS487" si="481">U487</f>
        <v>11.18</v>
      </c>
      <c r="AP487" s="30">
        <f t="shared" si="481"/>
        <v>16.149999999999999</v>
      </c>
      <c r="AQ487" s="30">
        <f t="shared" si="481"/>
        <v>10.33</v>
      </c>
      <c r="AR487" s="30">
        <f t="shared" si="481"/>
        <v>3.94</v>
      </c>
      <c r="AS487" s="30">
        <f t="shared" si="481"/>
        <v>53.35</v>
      </c>
      <c r="AT487" s="31">
        <f t="shared" si="242"/>
        <v>94.949999999999989</v>
      </c>
      <c r="AV487" s="28">
        <f t="shared" si="469"/>
        <v>4659.0716071428569</v>
      </c>
    </row>
    <row r="488" spans="1:48" ht="15.75" customHeight="1" x14ac:dyDescent="0.25">
      <c r="B488" s="69"/>
      <c r="C488" s="16" t="s">
        <v>46</v>
      </c>
      <c r="D488" s="69"/>
      <c r="E488" s="18" t="s">
        <v>53</v>
      </c>
      <c r="F488" s="69"/>
      <c r="G488" s="82">
        <v>52.061</v>
      </c>
      <c r="H488" s="82">
        <v>5.7519999999999998</v>
      </c>
      <c r="I488" s="82">
        <f t="shared" si="476"/>
        <v>39.994999999999997</v>
      </c>
      <c r="J488" s="82">
        <v>2.048</v>
      </c>
      <c r="K488" s="82">
        <v>0.14399999999999999</v>
      </c>
      <c r="L488" s="58">
        <f t="shared" si="477"/>
        <v>76.680000000000007</v>
      </c>
      <c r="M488" s="18">
        <v>7.77</v>
      </c>
      <c r="N488" s="18">
        <v>7.61</v>
      </c>
      <c r="O488" s="18">
        <v>7.94</v>
      </c>
      <c r="P488" s="18">
        <v>0.45</v>
      </c>
      <c r="Q488" s="18">
        <v>1149.8499999999999</v>
      </c>
      <c r="R488" s="16" t="s">
        <v>51</v>
      </c>
      <c r="S488" s="18">
        <v>1.29</v>
      </c>
      <c r="T488" s="18" t="s">
        <v>51</v>
      </c>
      <c r="U488" s="18">
        <v>16.75</v>
      </c>
      <c r="V488" s="18">
        <v>17.600000000000001</v>
      </c>
      <c r="W488" s="18">
        <v>15.48</v>
      </c>
      <c r="X488" s="18">
        <v>4.83</v>
      </c>
      <c r="Y488" s="18">
        <v>46.15</v>
      </c>
      <c r="Z488" s="18" t="s">
        <v>51</v>
      </c>
      <c r="AA488" s="18" t="s">
        <v>51</v>
      </c>
      <c r="AB488" s="18" t="s">
        <v>51</v>
      </c>
      <c r="AC488" s="28">
        <f t="shared" si="467"/>
        <v>5762.4730357142862</v>
      </c>
      <c r="AD488" s="75" t="s">
        <v>51</v>
      </c>
      <c r="AF488" s="1"/>
      <c r="AO488" s="30">
        <f t="shared" ref="AO488:AS488" si="482">U488</f>
        <v>16.75</v>
      </c>
      <c r="AP488" s="30">
        <f t="shared" si="482"/>
        <v>17.600000000000001</v>
      </c>
      <c r="AQ488" s="30">
        <f t="shared" si="482"/>
        <v>15.48</v>
      </c>
      <c r="AR488" s="30">
        <f t="shared" si="482"/>
        <v>4.83</v>
      </c>
      <c r="AS488" s="30">
        <f t="shared" si="482"/>
        <v>46.15</v>
      </c>
      <c r="AT488" s="31">
        <f t="shared" si="242"/>
        <v>100.81</v>
      </c>
      <c r="AV488" s="28">
        <f t="shared" si="469"/>
        <v>5762.4730357142862</v>
      </c>
    </row>
    <row r="489" spans="1:48" ht="15.75" customHeight="1" x14ac:dyDescent="0.25">
      <c r="A489" s="14"/>
      <c r="B489" s="68" t="s">
        <v>98</v>
      </c>
      <c r="C489" s="16" t="s">
        <v>46</v>
      </c>
      <c r="D489" s="69" t="s">
        <v>99</v>
      </c>
      <c r="E489" s="18" t="s">
        <v>75</v>
      </c>
      <c r="F489" s="69" t="s">
        <v>100</v>
      </c>
      <c r="G489" s="18">
        <v>48.78</v>
      </c>
      <c r="H489" s="18">
        <v>5.7</v>
      </c>
      <c r="I489" s="18">
        <v>44.3</v>
      </c>
      <c r="J489" s="18">
        <v>1.01</v>
      </c>
      <c r="K489" s="18">
        <v>0.21</v>
      </c>
      <c r="L489" s="83">
        <f t="shared" ref="L489:L493" si="483">14.25*(100-N489)/100</f>
        <v>12.867749999999999</v>
      </c>
      <c r="M489" s="83">
        <f t="shared" ref="M489:M493" si="484">80.81*(100-N489)/100</f>
        <v>72.971429999999998</v>
      </c>
      <c r="N489" s="21">
        <v>9.6999999999999993</v>
      </c>
      <c r="O489" s="83">
        <f t="shared" ref="O489:O493" si="485">4.94*(100-N489)/100</f>
        <v>4.46082</v>
      </c>
      <c r="P489" s="71">
        <v>0</v>
      </c>
      <c r="Q489" s="84">
        <v>692</v>
      </c>
      <c r="R489" s="16" t="s">
        <v>51</v>
      </c>
      <c r="S489" s="85">
        <v>0.5</v>
      </c>
      <c r="T489" s="18" t="s">
        <v>51</v>
      </c>
      <c r="U489" s="18">
        <v>35.75</v>
      </c>
      <c r="V489" s="18">
        <v>25.55</v>
      </c>
      <c r="W489" s="18">
        <v>20.39</v>
      </c>
      <c r="X489" s="18">
        <v>18.309999999999999</v>
      </c>
      <c r="Y489" s="73">
        <f t="shared" ref="Y489:Y549" si="486">(AK489/AM489)*100</f>
        <v>0.56690058022297318</v>
      </c>
      <c r="Z489" s="18" t="s">
        <v>51</v>
      </c>
      <c r="AA489" s="18">
        <v>75.66</v>
      </c>
      <c r="AB489" s="18">
        <v>39.450000000000003</v>
      </c>
      <c r="AC489" s="21">
        <v>13640</v>
      </c>
      <c r="AD489" s="75" t="s">
        <v>51</v>
      </c>
      <c r="AF489" s="1"/>
      <c r="AK489" s="1">
        <f t="shared" ref="AK489:AK549" si="487">0.79*((P489*(((G489/12)+(H489/4))-((I489/16)/2)))/0.21)+(J489/14)/2</f>
        <v>3.6071428571428574E-2</v>
      </c>
      <c r="AL489" s="1">
        <f t="shared" ref="AL489:AL549" si="488">(100*G489)/(12*(V489+W489+X489))</f>
        <v>6.3268482490272371</v>
      </c>
      <c r="AM489" s="1">
        <f t="shared" ref="AM489:AM549" si="489">AL489+AK489</f>
        <v>6.3629196775986658</v>
      </c>
      <c r="AN489" s="1"/>
      <c r="AO489" s="30">
        <f t="shared" ref="AO489:AO549" si="490">((AL489*(U489/100))/AM489)*100</f>
        <v>35.547333042570287</v>
      </c>
      <c r="AP489" s="30">
        <f t="shared" ref="AP489:AP549" si="491">((AL489*(V489/100))/AM489)*100</f>
        <v>25.405156901753028</v>
      </c>
      <c r="AQ489" s="30">
        <f t="shared" ref="AQ489:AQ549" si="492">((AL489*(W489/100))/AM489)*100</f>
        <v>20.274408971692534</v>
      </c>
      <c r="AR489" s="30">
        <f t="shared" ref="AR489:AR549" si="493">((AL489*(X489/100))/AM489)*100</f>
        <v>18.20620050376117</v>
      </c>
      <c r="AS489" s="30">
        <f t="shared" ref="AS489:AS549" si="494">Y489</f>
        <v>0.56690058022297318</v>
      </c>
      <c r="AT489" s="31">
        <f t="shared" si="242"/>
        <v>100</v>
      </c>
      <c r="AV489" s="21">
        <f t="shared" ref="AV489:AV499" si="495">AC489</f>
        <v>13640</v>
      </c>
    </row>
    <row r="490" spans="1:48" ht="15.75" customHeight="1" x14ac:dyDescent="0.25">
      <c r="B490" s="68"/>
      <c r="C490" s="16" t="s">
        <v>46</v>
      </c>
      <c r="D490" s="69"/>
      <c r="E490" s="18" t="s">
        <v>75</v>
      </c>
      <c r="F490" s="69"/>
      <c r="G490" s="18">
        <v>48.78</v>
      </c>
      <c r="H490" s="18">
        <v>5.7</v>
      </c>
      <c r="I490" s="18">
        <v>44.3</v>
      </c>
      <c r="J490" s="18">
        <v>1.01</v>
      </c>
      <c r="K490" s="18">
        <v>0.21</v>
      </c>
      <c r="L490" s="83">
        <f t="shared" si="483"/>
        <v>12.867749999999999</v>
      </c>
      <c r="M490" s="83">
        <f t="shared" si="484"/>
        <v>72.971429999999998</v>
      </c>
      <c r="N490" s="21">
        <v>9.6999999999999993</v>
      </c>
      <c r="O490" s="83">
        <f t="shared" si="485"/>
        <v>4.46082</v>
      </c>
      <c r="P490" s="71">
        <v>0</v>
      </c>
      <c r="Q490" s="84">
        <v>692</v>
      </c>
      <c r="R490" s="16" t="s">
        <v>51</v>
      </c>
      <c r="S490" s="21">
        <v>1</v>
      </c>
      <c r="T490" s="18" t="s">
        <v>51</v>
      </c>
      <c r="U490" s="18">
        <v>62.56</v>
      </c>
      <c r="V490" s="18">
        <v>10.59</v>
      </c>
      <c r="W490" s="18">
        <v>12.06</v>
      </c>
      <c r="X490" s="18">
        <v>14.77</v>
      </c>
      <c r="Y490" s="73">
        <f t="shared" si="486"/>
        <v>0.3309534247123298</v>
      </c>
      <c r="Z490" s="18" t="s">
        <v>51</v>
      </c>
      <c r="AA490" s="18">
        <v>74.239999999999995</v>
      </c>
      <c r="AB490" s="18">
        <v>49.23</v>
      </c>
      <c r="AC490" s="21">
        <v>13380</v>
      </c>
      <c r="AD490" s="75" t="s">
        <v>51</v>
      </c>
      <c r="AF490" s="1"/>
      <c r="AK490" s="1">
        <f t="shared" si="487"/>
        <v>3.6071428571428574E-2</v>
      </c>
      <c r="AL490" s="1">
        <f t="shared" si="488"/>
        <v>10.863174772848744</v>
      </c>
      <c r="AM490" s="1">
        <f t="shared" si="489"/>
        <v>10.899246201420173</v>
      </c>
      <c r="AN490" s="1"/>
      <c r="AO490" s="30">
        <f t="shared" si="490"/>
        <v>62.352955537499966</v>
      </c>
      <c r="AP490" s="30">
        <f t="shared" si="491"/>
        <v>10.554952032322964</v>
      </c>
      <c r="AQ490" s="30">
        <f t="shared" si="492"/>
        <v>12.020087016979691</v>
      </c>
      <c r="AR490" s="30">
        <f t="shared" si="493"/>
        <v>14.721118179169986</v>
      </c>
      <c r="AS490" s="30">
        <f t="shared" si="494"/>
        <v>0.3309534247123298</v>
      </c>
      <c r="AT490" s="31">
        <f t="shared" si="242"/>
        <v>99.980066190684937</v>
      </c>
      <c r="AV490" s="21">
        <f t="shared" si="495"/>
        <v>13380</v>
      </c>
    </row>
    <row r="491" spans="1:48" ht="15.75" customHeight="1" x14ac:dyDescent="0.25">
      <c r="B491" s="68"/>
      <c r="C491" s="16" t="s">
        <v>46</v>
      </c>
      <c r="D491" s="69"/>
      <c r="E491" s="18" t="s">
        <v>75</v>
      </c>
      <c r="F491" s="69"/>
      <c r="G491" s="18">
        <v>48.78</v>
      </c>
      <c r="H491" s="18">
        <v>5.7</v>
      </c>
      <c r="I491" s="18">
        <v>44.3</v>
      </c>
      <c r="J491" s="18">
        <v>1.01</v>
      </c>
      <c r="K491" s="18">
        <v>0.21</v>
      </c>
      <c r="L491" s="83">
        <f t="shared" si="483"/>
        <v>12.867749999999999</v>
      </c>
      <c r="M491" s="83">
        <f t="shared" si="484"/>
        <v>72.971429999999998</v>
      </c>
      <c r="N491" s="21">
        <v>9.6999999999999993</v>
      </c>
      <c r="O491" s="83">
        <f t="shared" si="485"/>
        <v>4.46082</v>
      </c>
      <c r="P491" s="71">
        <v>0</v>
      </c>
      <c r="Q491" s="84">
        <v>692</v>
      </c>
      <c r="R491" s="16" t="s">
        <v>51</v>
      </c>
      <c r="S491" s="21">
        <v>1.5</v>
      </c>
      <c r="T491" s="18" t="s">
        <v>51</v>
      </c>
      <c r="U491" s="18">
        <v>79.77</v>
      </c>
      <c r="V491" s="18">
        <v>5.93</v>
      </c>
      <c r="W491" s="18">
        <v>5.48</v>
      </c>
      <c r="X491" s="18">
        <v>8.81</v>
      </c>
      <c r="Y491" s="73">
        <f t="shared" si="486"/>
        <v>0.17910405036571966</v>
      </c>
      <c r="Z491" s="18" t="s">
        <v>51</v>
      </c>
      <c r="AA491" s="18">
        <v>69.290000000000006</v>
      </c>
      <c r="AB491" s="18">
        <v>41.06</v>
      </c>
      <c r="AC491" s="21">
        <v>12500</v>
      </c>
      <c r="AD491" s="75" t="s">
        <v>51</v>
      </c>
      <c r="AF491" s="1"/>
      <c r="AK491" s="1">
        <f t="shared" si="487"/>
        <v>3.6071428571428574E-2</v>
      </c>
      <c r="AL491" s="1">
        <f t="shared" si="488"/>
        <v>20.10385756676558</v>
      </c>
      <c r="AM491" s="1">
        <f t="shared" si="489"/>
        <v>20.139928995337009</v>
      </c>
      <c r="AN491" s="1"/>
      <c r="AO491" s="30">
        <f t="shared" si="490"/>
        <v>79.62712869902326</v>
      </c>
      <c r="AP491" s="30">
        <f t="shared" si="491"/>
        <v>5.9193791298133123</v>
      </c>
      <c r="AQ491" s="30">
        <f t="shared" si="492"/>
        <v>5.4701850980399591</v>
      </c>
      <c r="AR491" s="30">
        <f t="shared" si="493"/>
        <v>8.7942209331627819</v>
      </c>
      <c r="AS491" s="30">
        <f t="shared" si="494"/>
        <v>0.17910405036571966</v>
      </c>
      <c r="AT491" s="31">
        <f t="shared" si="242"/>
        <v>99.99001791040503</v>
      </c>
      <c r="AV491" s="21">
        <f t="shared" si="495"/>
        <v>12500</v>
      </c>
    </row>
    <row r="492" spans="1:48" ht="15.75" customHeight="1" x14ac:dyDescent="0.25">
      <c r="B492" s="68"/>
      <c r="C492" s="16" t="s">
        <v>46</v>
      </c>
      <c r="D492" s="69"/>
      <c r="E492" s="18" t="s">
        <v>75</v>
      </c>
      <c r="F492" s="69"/>
      <c r="G492" s="18">
        <v>48.78</v>
      </c>
      <c r="H492" s="18">
        <v>5.7</v>
      </c>
      <c r="I492" s="18">
        <v>44.3</v>
      </c>
      <c r="J492" s="18">
        <v>1.01</v>
      </c>
      <c r="K492" s="18">
        <v>0.21</v>
      </c>
      <c r="L492" s="83">
        <f t="shared" si="483"/>
        <v>12.867749999999999</v>
      </c>
      <c r="M492" s="83">
        <f t="shared" si="484"/>
        <v>72.971429999999998</v>
      </c>
      <c r="N492" s="21">
        <v>9.6999999999999993</v>
      </c>
      <c r="O492" s="83">
        <f t="shared" si="485"/>
        <v>4.46082</v>
      </c>
      <c r="P492" s="71">
        <v>0</v>
      </c>
      <c r="Q492" s="84">
        <v>650</v>
      </c>
      <c r="R492" s="16" t="s">
        <v>51</v>
      </c>
      <c r="S492" s="21">
        <v>1.5</v>
      </c>
      <c r="T492" s="18" t="s">
        <v>51</v>
      </c>
      <c r="U492" s="18">
        <v>66.67</v>
      </c>
      <c r="V492" s="18">
        <v>13.11</v>
      </c>
      <c r="W492" s="18">
        <v>7.83</v>
      </c>
      <c r="X492" s="18">
        <v>14.98</v>
      </c>
      <c r="Y492" s="73">
        <f t="shared" si="486"/>
        <v>0.3177291373292046</v>
      </c>
      <c r="Z492" s="18" t="s">
        <v>51</v>
      </c>
      <c r="AA492" s="18">
        <v>73.12</v>
      </c>
      <c r="AB492" s="18">
        <v>38.61</v>
      </c>
      <c r="AC492" s="21">
        <v>12880</v>
      </c>
      <c r="AD492" s="18" t="s">
        <v>51</v>
      </c>
      <c r="AF492" s="1"/>
      <c r="AK492" s="1">
        <f t="shared" si="487"/>
        <v>3.6071428571428574E-2</v>
      </c>
      <c r="AL492" s="1">
        <f t="shared" si="488"/>
        <v>11.316815144766146</v>
      </c>
      <c r="AM492" s="1">
        <f t="shared" si="489"/>
        <v>11.352886573337575</v>
      </c>
      <c r="AN492" s="1"/>
      <c r="AO492" s="30">
        <f t="shared" si="490"/>
        <v>66.458169984142629</v>
      </c>
      <c r="AP492" s="30">
        <f t="shared" si="491"/>
        <v>13.068345710096141</v>
      </c>
      <c r="AQ492" s="30">
        <f t="shared" si="492"/>
        <v>7.8051218085471232</v>
      </c>
      <c r="AR492" s="30">
        <f t="shared" si="493"/>
        <v>14.932404175228086</v>
      </c>
      <c r="AS492" s="30">
        <f t="shared" si="494"/>
        <v>0.3177291373292046</v>
      </c>
      <c r="AT492" s="31">
        <f t="shared" si="242"/>
        <v>102.58177081534319</v>
      </c>
      <c r="AV492" s="21">
        <f t="shared" si="495"/>
        <v>12880</v>
      </c>
    </row>
    <row r="493" spans="1:48" ht="15.75" customHeight="1" x14ac:dyDescent="0.25">
      <c r="B493" s="68"/>
      <c r="C493" s="16" t="s">
        <v>46</v>
      </c>
      <c r="D493" s="69"/>
      <c r="E493" s="18" t="s">
        <v>75</v>
      </c>
      <c r="F493" s="69"/>
      <c r="G493" s="18">
        <v>48.78</v>
      </c>
      <c r="H493" s="18">
        <v>5.7</v>
      </c>
      <c r="I493" s="18">
        <v>44.3</v>
      </c>
      <c r="J493" s="18">
        <v>1.01</v>
      </c>
      <c r="K493" s="18">
        <v>0.21</v>
      </c>
      <c r="L493" s="83">
        <f t="shared" si="483"/>
        <v>12.867749999999999</v>
      </c>
      <c r="M493" s="83">
        <f t="shared" si="484"/>
        <v>72.971429999999998</v>
      </c>
      <c r="N493" s="21">
        <v>9.6999999999999993</v>
      </c>
      <c r="O493" s="83">
        <f t="shared" si="485"/>
        <v>4.46082</v>
      </c>
      <c r="P493" s="71">
        <v>0</v>
      </c>
      <c r="Q493" s="84">
        <v>750</v>
      </c>
      <c r="R493" s="16" t="s">
        <v>51</v>
      </c>
      <c r="S493" s="21">
        <v>1.5</v>
      </c>
      <c r="T493" s="18" t="s">
        <v>51</v>
      </c>
      <c r="U493" s="18">
        <v>71.31</v>
      </c>
      <c r="V493" s="18">
        <v>10.35</v>
      </c>
      <c r="W493" s="18">
        <v>8.39</v>
      </c>
      <c r="X493" s="18">
        <v>10.94</v>
      </c>
      <c r="Y493" s="73">
        <f t="shared" si="486"/>
        <v>0.26267841694175198</v>
      </c>
      <c r="Z493" s="18" t="s">
        <v>51</v>
      </c>
      <c r="AA493" s="18">
        <v>70.84</v>
      </c>
      <c r="AB493" s="18">
        <v>46.92</v>
      </c>
      <c r="AC493" s="21">
        <v>12790</v>
      </c>
      <c r="AD493" s="18" t="s">
        <v>51</v>
      </c>
      <c r="AF493" s="1"/>
      <c r="AK493" s="1">
        <f t="shared" si="487"/>
        <v>3.6071428571428574E-2</v>
      </c>
      <c r="AL493" s="1">
        <f t="shared" si="488"/>
        <v>13.696091644204852</v>
      </c>
      <c r="AM493" s="1">
        <f t="shared" si="489"/>
        <v>13.732163072776281</v>
      </c>
      <c r="AN493" s="1"/>
      <c r="AO493" s="30">
        <f t="shared" si="490"/>
        <v>71.12268402087885</v>
      </c>
      <c r="AP493" s="30">
        <f t="shared" si="491"/>
        <v>10.322812783846528</v>
      </c>
      <c r="AQ493" s="30">
        <f t="shared" si="492"/>
        <v>8.3679612808185873</v>
      </c>
      <c r="AR493" s="30">
        <f t="shared" si="493"/>
        <v>10.911262981186571</v>
      </c>
      <c r="AS493" s="30">
        <f t="shared" si="494"/>
        <v>0.26267841694175198</v>
      </c>
      <c r="AT493" s="31">
        <f t="shared" si="242"/>
        <v>100.98739948367229</v>
      </c>
      <c r="AV493" s="21">
        <f t="shared" si="495"/>
        <v>12790</v>
      </c>
    </row>
    <row r="494" spans="1:48" ht="15.75" customHeight="1" x14ac:dyDescent="0.25">
      <c r="A494" s="14"/>
      <c r="B494" s="78" t="s">
        <v>101</v>
      </c>
      <c r="C494" s="86" t="s">
        <v>46</v>
      </c>
      <c r="D494" s="52" t="s">
        <v>74</v>
      </c>
      <c r="E494" s="79" t="s">
        <v>75</v>
      </c>
      <c r="F494" s="52" t="s">
        <v>102</v>
      </c>
      <c r="G494" s="18">
        <v>49.74</v>
      </c>
      <c r="H494" s="18">
        <v>5.68</v>
      </c>
      <c r="I494" s="18">
        <v>43.36</v>
      </c>
      <c r="J494" s="18">
        <v>1.02</v>
      </c>
      <c r="K494" s="18">
        <v>0.2</v>
      </c>
      <c r="L494" s="83">
        <f t="shared" ref="L494:L499" si="496">14.77*(100-N494)/100</f>
        <v>13.350603</v>
      </c>
      <c r="M494" s="83">
        <f t="shared" ref="M494:M499" si="497">80.92*(100-N494)/100</f>
        <v>73.143587999999994</v>
      </c>
      <c r="N494" s="18">
        <v>9.61</v>
      </c>
      <c r="O494" s="83">
        <f t="shared" ref="O494:O499" si="498">4.31*(100-N494)/100</f>
        <v>3.8958089999999999</v>
      </c>
      <c r="P494" s="71">
        <v>0</v>
      </c>
      <c r="Q494" s="84">
        <v>675</v>
      </c>
      <c r="R494" s="16" t="s">
        <v>51</v>
      </c>
      <c r="S494" s="21">
        <v>2</v>
      </c>
      <c r="T494" s="18" t="s">
        <v>51</v>
      </c>
      <c r="U494" s="18">
        <v>65.52</v>
      </c>
      <c r="V494" s="18">
        <v>14.37</v>
      </c>
      <c r="W494" s="18">
        <v>11.52</v>
      </c>
      <c r="X494" s="18">
        <v>11.61</v>
      </c>
      <c r="Y494" s="73">
        <f t="shared" si="486"/>
        <v>0.32848830968074372</v>
      </c>
      <c r="Z494" s="18">
        <v>0.63</v>
      </c>
      <c r="AA494" s="18" t="s">
        <v>51</v>
      </c>
      <c r="AB494" s="18">
        <v>23.12</v>
      </c>
      <c r="AC494" s="21">
        <v>12720</v>
      </c>
      <c r="AD494" s="18" t="s">
        <v>51</v>
      </c>
      <c r="AF494" s="1"/>
      <c r="AK494" s="1">
        <f t="shared" si="487"/>
        <v>3.6428571428571428E-2</v>
      </c>
      <c r="AL494" s="1">
        <f t="shared" si="488"/>
        <v>11.053333333333333</v>
      </c>
      <c r="AM494" s="1">
        <f t="shared" si="489"/>
        <v>11.089761904761904</v>
      </c>
      <c r="AN494" s="1"/>
      <c r="AO494" s="30">
        <f t="shared" si="490"/>
        <v>65.304774459497182</v>
      </c>
      <c r="AP494" s="30">
        <f t="shared" si="491"/>
        <v>14.322796229898877</v>
      </c>
      <c r="AQ494" s="30">
        <f t="shared" si="492"/>
        <v>11.482158146724778</v>
      </c>
      <c r="AR494" s="30">
        <f t="shared" si="493"/>
        <v>11.571862507246065</v>
      </c>
      <c r="AS494" s="30">
        <f t="shared" si="494"/>
        <v>0.32848830968074372</v>
      </c>
      <c r="AT494" s="31">
        <f t="shared" si="242"/>
        <v>103.01007965304765</v>
      </c>
      <c r="AV494" s="21">
        <f t="shared" si="495"/>
        <v>12720</v>
      </c>
    </row>
    <row r="495" spans="1:48" ht="15.75" customHeight="1" x14ac:dyDescent="0.25">
      <c r="B495" s="78"/>
      <c r="C495" s="86" t="s">
        <v>46</v>
      </c>
      <c r="D495" s="51"/>
      <c r="E495" s="79" t="s">
        <v>75</v>
      </c>
      <c r="F495" s="51"/>
      <c r="G495" s="18">
        <v>49.74</v>
      </c>
      <c r="H495" s="18">
        <v>5.68</v>
      </c>
      <c r="I495" s="18">
        <v>43.36</v>
      </c>
      <c r="J495" s="18">
        <v>1.02</v>
      </c>
      <c r="K495" s="18">
        <v>0.2</v>
      </c>
      <c r="L495" s="83">
        <f t="shared" si="496"/>
        <v>13.350603</v>
      </c>
      <c r="M495" s="83">
        <f t="shared" si="497"/>
        <v>73.143587999999994</v>
      </c>
      <c r="N495" s="18">
        <v>9.61</v>
      </c>
      <c r="O495" s="83">
        <f t="shared" si="498"/>
        <v>3.8958089999999999</v>
      </c>
      <c r="P495" s="71">
        <v>0</v>
      </c>
      <c r="Q495" s="84">
        <v>675</v>
      </c>
      <c r="R495" s="16" t="s">
        <v>51</v>
      </c>
      <c r="S495" s="21">
        <v>2</v>
      </c>
      <c r="T495" s="18" t="s">
        <v>51</v>
      </c>
      <c r="U495" s="18">
        <v>82.11</v>
      </c>
      <c r="V495" s="18">
        <v>6.45</v>
      </c>
      <c r="W495" s="18">
        <v>0</v>
      </c>
      <c r="X495" s="18">
        <v>11.43</v>
      </c>
      <c r="Y495" s="73">
        <f t="shared" si="486"/>
        <v>0.15689287011820885</v>
      </c>
      <c r="Z495" s="18">
        <v>1.19</v>
      </c>
      <c r="AA495" s="18" t="s">
        <v>51</v>
      </c>
      <c r="AB495" s="18">
        <v>20.96</v>
      </c>
      <c r="AC495" s="21">
        <v>13780</v>
      </c>
      <c r="AD495" s="18" t="s">
        <v>51</v>
      </c>
      <c r="AF495" s="1"/>
      <c r="AK495" s="1">
        <f t="shared" si="487"/>
        <v>3.6428571428571428E-2</v>
      </c>
      <c r="AL495" s="1">
        <f t="shared" si="488"/>
        <v>23.182326621923938</v>
      </c>
      <c r="AM495" s="1">
        <f t="shared" si="489"/>
        <v>23.218755193352511</v>
      </c>
      <c r="AN495" s="1"/>
      <c r="AO495" s="30">
        <f t="shared" si="490"/>
        <v>81.981175264345936</v>
      </c>
      <c r="AP495" s="30">
        <f t="shared" si="491"/>
        <v>6.4398804098773761</v>
      </c>
      <c r="AQ495" s="30">
        <f t="shared" si="492"/>
        <v>0</v>
      </c>
      <c r="AR495" s="30">
        <f t="shared" si="493"/>
        <v>11.412067144945489</v>
      </c>
      <c r="AS495" s="30">
        <f t="shared" si="494"/>
        <v>0.15689287011820885</v>
      </c>
      <c r="AT495" s="31">
        <f t="shared" si="242"/>
        <v>99.99001568928702</v>
      </c>
      <c r="AV495" s="21">
        <f t="shared" si="495"/>
        <v>13780</v>
      </c>
    </row>
    <row r="496" spans="1:48" ht="15.75" customHeight="1" x14ac:dyDescent="0.25">
      <c r="B496" s="78"/>
      <c r="C496" s="86" t="s">
        <v>46</v>
      </c>
      <c r="D496" s="51"/>
      <c r="E496" s="79" t="s">
        <v>75</v>
      </c>
      <c r="F496" s="51"/>
      <c r="G496" s="18">
        <v>49.74</v>
      </c>
      <c r="H496" s="18">
        <v>5.68</v>
      </c>
      <c r="I496" s="18">
        <v>43.36</v>
      </c>
      <c r="J496" s="18">
        <v>1.02</v>
      </c>
      <c r="K496" s="18">
        <v>0.2</v>
      </c>
      <c r="L496" s="83">
        <f t="shared" si="496"/>
        <v>13.350603</v>
      </c>
      <c r="M496" s="83">
        <f t="shared" si="497"/>
        <v>73.143587999999994</v>
      </c>
      <c r="N496" s="18">
        <v>9.61</v>
      </c>
      <c r="O496" s="83">
        <f t="shared" si="498"/>
        <v>3.8958089999999999</v>
      </c>
      <c r="P496" s="71">
        <v>0</v>
      </c>
      <c r="Q496" s="84">
        <v>675</v>
      </c>
      <c r="R496" s="16" t="s">
        <v>51</v>
      </c>
      <c r="S496" s="21">
        <v>2</v>
      </c>
      <c r="T496" s="18" t="s">
        <v>51</v>
      </c>
      <c r="U496" s="18">
        <v>84.62</v>
      </c>
      <c r="V496" s="18">
        <v>4.2699999999999996</v>
      </c>
      <c r="W496" s="18">
        <v>1.1499999999999999</v>
      </c>
      <c r="X496" s="18">
        <v>9.9499999999999993</v>
      </c>
      <c r="Y496" s="73">
        <f t="shared" si="486"/>
        <v>0.13489791069230675</v>
      </c>
      <c r="Z496" s="18">
        <v>1.3</v>
      </c>
      <c r="AA496" s="18" t="s">
        <v>51</v>
      </c>
      <c r="AB496" s="18">
        <v>20.61</v>
      </c>
      <c r="AC496" s="21">
        <v>13340</v>
      </c>
      <c r="AD496" s="18" t="s">
        <v>51</v>
      </c>
      <c r="AF496" s="1"/>
      <c r="AK496" s="1">
        <f t="shared" si="487"/>
        <v>3.6428571428571428E-2</v>
      </c>
      <c r="AL496" s="1">
        <f t="shared" si="488"/>
        <v>26.968119713728044</v>
      </c>
      <c r="AM496" s="1">
        <f t="shared" si="489"/>
        <v>27.004548285156616</v>
      </c>
      <c r="AN496" s="1"/>
      <c r="AO496" s="30">
        <f t="shared" si="490"/>
        <v>84.505849387972177</v>
      </c>
      <c r="AP496" s="30">
        <f t="shared" si="491"/>
        <v>4.2642398592134372</v>
      </c>
      <c r="AQ496" s="30">
        <f t="shared" si="492"/>
        <v>1.1484486740270383</v>
      </c>
      <c r="AR496" s="30">
        <f t="shared" si="493"/>
        <v>9.9365776578861151</v>
      </c>
      <c r="AS496" s="30">
        <f t="shared" si="494"/>
        <v>0.13489791069230675</v>
      </c>
      <c r="AT496" s="31">
        <f t="shared" si="242"/>
        <v>99.990013489791068</v>
      </c>
      <c r="AV496" s="21">
        <f t="shared" si="495"/>
        <v>13340</v>
      </c>
    </row>
    <row r="497" spans="1:48" ht="15.75" customHeight="1" x14ac:dyDescent="0.25">
      <c r="B497" s="78"/>
      <c r="C497" s="86" t="s">
        <v>46</v>
      </c>
      <c r="D497" s="51"/>
      <c r="E497" s="79" t="s">
        <v>75</v>
      </c>
      <c r="F497" s="51"/>
      <c r="G497" s="18">
        <v>49.74</v>
      </c>
      <c r="H497" s="18">
        <v>5.68</v>
      </c>
      <c r="I497" s="18">
        <v>43.36</v>
      </c>
      <c r="J497" s="18">
        <v>1.02</v>
      </c>
      <c r="K497" s="18">
        <v>0.2</v>
      </c>
      <c r="L497" s="83">
        <f t="shared" si="496"/>
        <v>13.350603</v>
      </c>
      <c r="M497" s="83">
        <f t="shared" si="497"/>
        <v>73.143587999999994</v>
      </c>
      <c r="N497" s="18">
        <v>9.61</v>
      </c>
      <c r="O497" s="83">
        <f t="shared" si="498"/>
        <v>3.8958089999999999</v>
      </c>
      <c r="P497" s="71">
        <v>0</v>
      </c>
      <c r="Q497" s="84">
        <v>675</v>
      </c>
      <c r="R497" s="16" t="s">
        <v>51</v>
      </c>
      <c r="S497" s="21">
        <v>2</v>
      </c>
      <c r="T497" s="18" t="s">
        <v>51</v>
      </c>
      <c r="U497" s="18">
        <v>67.239999999999995</v>
      </c>
      <c r="V497" s="18">
        <v>8.4499999999999993</v>
      </c>
      <c r="W497" s="18">
        <v>14.83</v>
      </c>
      <c r="X497" s="18">
        <v>13.22</v>
      </c>
      <c r="Y497" s="73">
        <f t="shared" si="486"/>
        <v>0.31975663110666025</v>
      </c>
      <c r="Z497" s="18">
        <v>0.76</v>
      </c>
      <c r="AA497" s="18" t="s">
        <v>51</v>
      </c>
      <c r="AB497" s="18">
        <v>24.67</v>
      </c>
      <c r="AC497" s="21">
        <v>13640</v>
      </c>
      <c r="AD497" s="18" t="s">
        <v>51</v>
      </c>
      <c r="AF497" s="1"/>
      <c r="AK497" s="1">
        <f t="shared" si="487"/>
        <v>3.6428571428571428E-2</v>
      </c>
      <c r="AL497" s="1">
        <f t="shared" si="488"/>
        <v>11.356164383561644</v>
      </c>
      <c r="AM497" s="1">
        <f t="shared" si="489"/>
        <v>11.392592954990215</v>
      </c>
      <c r="AN497" s="1"/>
      <c r="AO497" s="30">
        <f t="shared" si="490"/>
        <v>67.024995641243876</v>
      </c>
      <c r="AP497" s="30">
        <f t="shared" si="491"/>
        <v>8.4229805646714873</v>
      </c>
      <c r="AQ497" s="30">
        <f t="shared" si="492"/>
        <v>14.782580091606881</v>
      </c>
      <c r="AR497" s="30">
        <f t="shared" si="493"/>
        <v>13.177728173367701</v>
      </c>
      <c r="AS497" s="30">
        <f t="shared" si="494"/>
        <v>0.31975663110666025</v>
      </c>
      <c r="AT497" s="31">
        <f t="shared" si="242"/>
        <v>103.7280411019966</v>
      </c>
      <c r="AV497" s="21">
        <f t="shared" si="495"/>
        <v>13640</v>
      </c>
    </row>
    <row r="498" spans="1:48" ht="15.75" customHeight="1" x14ac:dyDescent="0.25">
      <c r="B498" s="78"/>
      <c r="C498" s="86" t="s">
        <v>46</v>
      </c>
      <c r="D498" s="51"/>
      <c r="E498" s="79" t="s">
        <v>75</v>
      </c>
      <c r="F498" s="51"/>
      <c r="G498" s="18">
        <v>49.74</v>
      </c>
      <c r="H498" s="18">
        <v>5.68</v>
      </c>
      <c r="I498" s="18">
        <v>43.36</v>
      </c>
      <c r="J498" s="18">
        <v>1.02</v>
      </c>
      <c r="K498" s="18">
        <v>0.2</v>
      </c>
      <c r="L498" s="83">
        <f t="shared" si="496"/>
        <v>13.350603</v>
      </c>
      <c r="M498" s="83">
        <f t="shared" si="497"/>
        <v>73.143587999999994</v>
      </c>
      <c r="N498" s="18">
        <v>9.61</v>
      </c>
      <c r="O498" s="83">
        <f t="shared" si="498"/>
        <v>3.8958089999999999</v>
      </c>
      <c r="P498" s="71">
        <v>0</v>
      </c>
      <c r="Q498" s="84">
        <v>675</v>
      </c>
      <c r="R498" s="16" t="s">
        <v>51</v>
      </c>
      <c r="S498" s="21">
        <v>2</v>
      </c>
      <c r="T498" s="18" t="s">
        <v>51</v>
      </c>
      <c r="U498" s="18">
        <v>57.77</v>
      </c>
      <c r="V498" s="18">
        <v>15.93</v>
      </c>
      <c r="W498" s="18">
        <v>2.19</v>
      </c>
      <c r="X498" s="18">
        <v>24.1</v>
      </c>
      <c r="Y498" s="73">
        <f t="shared" si="486"/>
        <v>0.36968119087744084</v>
      </c>
      <c r="Z498" s="18">
        <v>1.01</v>
      </c>
      <c r="AA498" s="18" t="s">
        <v>51</v>
      </c>
      <c r="AB498" s="18">
        <v>41.95</v>
      </c>
      <c r="AC498" s="21">
        <v>17020</v>
      </c>
      <c r="AD498" s="18" t="s">
        <v>51</v>
      </c>
      <c r="AF498" s="1"/>
      <c r="AK498" s="1">
        <f t="shared" si="487"/>
        <v>3.6428571428571428E-2</v>
      </c>
      <c r="AL498" s="1">
        <f t="shared" si="488"/>
        <v>9.8176219801042155</v>
      </c>
      <c r="AM498" s="1">
        <f t="shared" si="489"/>
        <v>9.8540505515327865</v>
      </c>
      <c r="AN498" s="1"/>
      <c r="AO498" s="30">
        <f t="shared" si="490"/>
        <v>57.556435176030107</v>
      </c>
      <c r="AP498" s="30">
        <f t="shared" si="491"/>
        <v>15.871109786293221</v>
      </c>
      <c r="AQ498" s="30">
        <f t="shared" si="492"/>
        <v>2.1819039819197839</v>
      </c>
      <c r="AR498" s="30">
        <f t="shared" si="493"/>
        <v>24.01090683299854</v>
      </c>
      <c r="AS498" s="30">
        <f t="shared" si="494"/>
        <v>0.36968119087744084</v>
      </c>
      <c r="AT498" s="31">
        <f t="shared" si="242"/>
        <v>99.990036968119099</v>
      </c>
      <c r="AV498" s="21">
        <f t="shared" si="495"/>
        <v>17020</v>
      </c>
    </row>
    <row r="499" spans="1:48" ht="15.75" customHeight="1" x14ac:dyDescent="0.25">
      <c r="B499" s="78"/>
      <c r="C499" s="86" t="s">
        <v>46</v>
      </c>
      <c r="D499" s="64"/>
      <c r="E499" s="79" t="s">
        <v>75</v>
      </c>
      <c r="F499" s="64"/>
      <c r="G499" s="18">
        <v>49.74</v>
      </c>
      <c r="H499" s="18">
        <v>5.68</v>
      </c>
      <c r="I499" s="18">
        <v>43.36</v>
      </c>
      <c r="J499" s="18">
        <v>1.02</v>
      </c>
      <c r="K499" s="18">
        <v>0.2</v>
      </c>
      <c r="L499" s="83">
        <f t="shared" si="496"/>
        <v>13.350603</v>
      </c>
      <c r="M499" s="83">
        <f t="shared" si="497"/>
        <v>73.143587999999994</v>
      </c>
      <c r="N499" s="18">
        <v>9.61</v>
      </c>
      <c r="O499" s="83">
        <f t="shared" si="498"/>
        <v>3.8958089999999999</v>
      </c>
      <c r="P499" s="71">
        <v>0</v>
      </c>
      <c r="Q499" s="84">
        <v>675</v>
      </c>
      <c r="R499" s="16" t="s">
        <v>51</v>
      </c>
      <c r="S499" s="85">
        <v>2</v>
      </c>
      <c r="T499" s="18" t="s">
        <v>51</v>
      </c>
      <c r="U499" s="18">
        <v>82.42</v>
      </c>
      <c r="V499" s="18">
        <v>12.37</v>
      </c>
      <c r="W499" s="18">
        <v>3.91</v>
      </c>
      <c r="X499" s="18">
        <v>1.33</v>
      </c>
      <c r="Y499" s="73">
        <f t="shared" si="486"/>
        <v>0.15452734352491268</v>
      </c>
      <c r="Z499" s="18">
        <v>1.2</v>
      </c>
      <c r="AA499" s="18" t="s">
        <v>51</v>
      </c>
      <c r="AB499" s="18">
        <v>20.76</v>
      </c>
      <c r="AC499" s="21">
        <v>10920</v>
      </c>
      <c r="AD499" s="18" t="s">
        <v>51</v>
      </c>
      <c r="AF499" s="1"/>
      <c r="AK499" s="1">
        <f t="shared" si="487"/>
        <v>3.6428571428571428E-2</v>
      </c>
      <c r="AL499" s="1">
        <f t="shared" si="488"/>
        <v>23.537762634866553</v>
      </c>
      <c r="AM499" s="1">
        <f t="shared" si="489"/>
        <v>23.574191206295126</v>
      </c>
      <c r="AN499" s="1"/>
      <c r="AO499" s="30">
        <f t="shared" si="490"/>
        <v>82.292638563466767</v>
      </c>
      <c r="AP499" s="30">
        <f t="shared" si="491"/>
        <v>12.350884967605966</v>
      </c>
      <c r="AQ499" s="30">
        <f t="shared" si="492"/>
        <v>3.9039579808681757</v>
      </c>
      <c r="AR499" s="30">
        <f t="shared" si="493"/>
        <v>1.3279447863311189</v>
      </c>
      <c r="AS499" s="30">
        <f t="shared" si="494"/>
        <v>0.15452734352491268</v>
      </c>
      <c r="AT499" s="31">
        <f t="shared" si="242"/>
        <v>100.02995364179694</v>
      </c>
      <c r="AV499" s="21">
        <f t="shared" si="495"/>
        <v>10920</v>
      </c>
    </row>
    <row r="500" spans="1:48" ht="15.75" customHeight="1" x14ac:dyDescent="0.25">
      <c r="A500" s="14"/>
      <c r="B500" s="68" t="s">
        <v>103</v>
      </c>
      <c r="C500" s="16" t="s">
        <v>46</v>
      </c>
      <c r="D500" s="69" t="s">
        <v>104</v>
      </c>
      <c r="E500" s="18" t="s">
        <v>75</v>
      </c>
      <c r="F500" s="69" t="s">
        <v>57</v>
      </c>
      <c r="G500" s="82">
        <v>50.9</v>
      </c>
      <c r="H500" s="82">
        <v>3.76</v>
      </c>
      <c r="I500" s="82">
        <v>45.03</v>
      </c>
      <c r="J500" s="82">
        <v>0.26600000000000001</v>
      </c>
      <c r="K500" s="82">
        <v>4.7E-2</v>
      </c>
      <c r="L500" s="84">
        <v>16.3</v>
      </c>
      <c r="M500" s="84">
        <v>68.41</v>
      </c>
      <c r="N500" s="18">
        <v>14.85</v>
      </c>
      <c r="O500" s="84">
        <v>0.45</v>
      </c>
      <c r="P500" s="71">
        <v>0</v>
      </c>
      <c r="Q500" s="84">
        <v>489</v>
      </c>
      <c r="R500" s="16" t="s">
        <v>51</v>
      </c>
      <c r="S500" s="21">
        <v>1.7</v>
      </c>
      <c r="T500" s="18" t="s">
        <v>51</v>
      </c>
      <c r="U500" s="18">
        <v>45.72</v>
      </c>
      <c r="V500" s="18">
        <v>28.33</v>
      </c>
      <c r="W500" s="18">
        <v>1.89</v>
      </c>
      <c r="X500" s="18">
        <v>16.21</v>
      </c>
      <c r="Y500" s="73">
        <f t="shared" si="486"/>
        <v>0.10388058114074862</v>
      </c>
      <c r="Z500" s="18" t="s">
        <v>51</v>
      </c>
      <c r="AA500" s="18" t="s">
        <v>51</v>
      </c>
      <c r="AB500" s="18" t="s">
        <v>51</v>
      </c>
      <c r="AC500" s="28">
        <f t="shared" ref="AC500:AC504" si="499">((U500*0.24182)+(V500*0.283)+(X500*0.80262))*(10000/22.4)</f>
        <v>14323.156517857142</v>
      </c>
      <c r="AD500" s="18" t="s">
        <v>51</v>
      </c>
      <c r="AF500" s="1"/>
      <c r="AK500" s="1">
        <f t="shared" si="487"/>
        <v>9.4999999999999998E-3</v>
      </c>
      <c r="AL500" s="1">
        <f t="shared" si="488"/>
        <v>9.135616340010051</v>
      </c>
      <c r="AM500" s="1">
        <f t="shared" si="489"/>
        <v>9.1451163400100501</v>
      </c>
      <c r="AN500" s="1"/>
      <c r="AO500" s="30">
        <f t="shared" si="490"/>
        <v>45.672505798302453</v>
      </c>
      <c r="AP500" s="30">
        <f t="shared" si="491"/>
        <v>28.300570631362827</v>
      </c>
      <c r="AQ500" s="30">
        <f t="shared" si="492"/>
        <v>1.8880366570164402</v>
      </c>
      <c r="AR500" s="30">
        <f t="shared" si="493"/>
        <v>16.19316095779709</v>
      </c>
      <c r="AS500" s="30">
        <f t="shared" si="494"/>
        <v>0.10388058114074862</v>
      </c>
      <c r="AT500" s="31">
        <f t="shared" si="242"/>
        <v>92.158154625619559</v>
      </c>
      <c r="AV500" s="28">
        <f t="shared" ref="AV500:AV504" si="500">((AO500*0.24182)+(AP500*0.283)+(AR500*0.80262))*(10000/22.4)</f>
        <v>14308.277539628696</v>
      </c>
    </row>
    <row r="501" spans="1:48" ht="15.75" customHeight="1" x14ac:dyDescent="0.25">
      <c r="B501" s="68"/>
      <c r="C501" s="16" t="s">
        <v>46</v>
      </c>
      <c r="D501" s="69"/>
      <c r="E501" s="18" t="s">
        <v>75</v>
      </c>
      <c r="F501" s="69"/>
      <c r="G501" s="18">
        <v>50.9</v>
      </c>
      <c r="H501" s="18">
        <v>3.76</v>
      </c>
      <c r="I501" s="18">
        <v>45.03</v>
      </c>
      <c r="J501" s="18">
        <v>0.26600000000000001</v>
      </c>
      <c r="K501" s="18">
        <v>4.7E-2</v>
      </c>
      <c r="L501" s="84">
        <v>16.3</v>
      </c>
      <c r="M501" s="84">
        <v>68.41</v>
      </c>
      <c r="N501" s="18">
        <v>14.85</v>
      </c>
      <c r="O501" s="84">
        <v>0.45</v>
      </c>
      <c r="P501" s="71">
        <v>0</v>
      </c>
      <c r="Q501" s="84">
        <v>570</v>
      </c>
      <c r="R501" s="16" t="s">
        <v>51</v>
      </c>
      <c r="S501" s="21">
        <v>1.7</v>
      </c>
      <c r="T501" s="18" t="s">
        <v>51</v>
      </c>
      <c r="U501" s="18">
        <v>47.18</v>
      </c>
      <c r="V501" s="18">
        <v>19.86</v>
      </c>
      <c r="W501" s="18">
        <v>3.36</v>
      </c>
      <c r="X501" s="18">
        <v>19.57</v>
      </c>
      <c r="Y501" s="73">
        <f t="shared" si="486"/>
        <v>9.5744391574309834E-2</v>
      </c>
      <c r="Z501" s="18" t="s">
        <v>51</v>
      </c>
      <c r="AA501" s="18" t="s">
        <v>51</v>
      </c>
      <c r="AB501" s="18" t="s">
        <v>51</v>
      </c>
      <c r="AC501" s="28">
        <f t="shared" si="499"/>
        <v>14614.607589285713</v>
      </c>
      <c r="AD501" s="18" t="s">
        <v>51</v>
      </c>
      <c r="AF501" s="1"/>
      <c r="AK501" s="1">
        <f t="shared" si="487"/>
        <v>9.4999999999999998E-3</v>
      </c>
      <c r="AL501" s="1">
        <f t="shared" si="488"/>
        <v>9.9127522006699387</v>
      </c>
      <c r="AM501" s="1">
        <f t="shared" si="489"/>
        <v>9.9222522006699378</v>
      </c>
      <c r="AN501" s="1"/>
      <c r="AO501" s="30">
        <f t="shared" si="490"/>
        <v>47.134827796055248</v>
      </c>
      <c r="AP501" s="30">
        <f t="shared" si="491"/>
        <v>19.840985163833341</v>
      </c>
      <c r="AQ501" s="30">
        <f t="shared" si="492"/>
        <v>3.3567829884431037</v>
      </c>
      <c r="AR501" s="30">
        <f t="shared" si="493"/>
        <v>19.551262822568908</v>
      </c>
      <c r="AS501" s="30">
        <f t="shared" si="494"/>
        <v>9.5744391574309834E-2</v>
      </c>
      <c r="AT501" s="31">
        <f t="shared" si="242"/>
        <v>89.979603162474902</v>
      </c>
      <c r="AV501" s="28">
        <f t="shared" si="500"/>
        <v>14600.614922168383</v>
      </c>
    </row>
    <row r="502" spans="1:48" ht="15.75" customHeight="1" x14ac:dyDescent="0.25">
      <c r="B502" s="68"/>
      <c r="C502" s="16" t="s">
        <v>46</v>
      </c>
      <c r="D502" s="69"/>
      <c r="E502" s="18" t="s">
        <v>75</v>
      </c>
      <c r="F502" s="69"/>
      <c r="G502" s="18">
        <v>50.9</v>
      </c>
      <c r="H502" s="18">
        <v>3.76</v>
      </c>
      <c r="I502" s="18">
        <v>45.03</v>
      </c>
      <c r="J502" s="18">
        <v>0.26600000000000001</v>
      </c>
      <c r="K502" s="18">
        <v>4.7E-2</v>
      </c>
      <c r="L502" s="84">
        <v>16.3</v>
      </c>
      <c r="M502" s="84">
        <v>68.41</v>
      </c>
      <c r="N502" s="18">
        <v>14.85</v>
      </c>
      <c r="O502" s="84">
        <v>0.45</v>
      </c>
      <c r="P502" s="71">
        <v>0</v>
      </c>
      <c r="Q502" s="84">
        <v>630</v>
      </c>
      <c r="R502" s="16" t="s">
        <v>51</v>
      </c>
      <c r="S502" s="21">
        <v>1.7</v>
      </c>
      <c r="T502" s="18" t="s">
        <v>51</v>
      </c>
      <c r="U502" s="18">
        <v>49.37</v>
      </c>
      <c r="V502" s="18">
        <v>16.07</v>
      </c>
      <c r="W502" s="18">
        <v>6.86</v>
      </c>
      <c r="X502" s="18">
        <v>18.55</v>
      </c>
      <c r="Y502" s="73">
        <f t="shared" si="486"/>
        <v>9.2815933092508227E-2</v>
      </c>
      <c r="Z502" s="18" t="s">
        <v>51</v>
      </c>
      <c r="AA502" s="18" t="s">
        <v>51</v>
      </c>
      <c r="AB502" s="18" t="s">
        <v>51</v>
      </c>
      <c r="AC502" s="28">
        <f t="shared" si="499"/>
        <v>14006.725178571429</v>
      </c>
      <c r="AD502" s="18" t="s">
        <v>51</v>
      </c>
      <c r="AF502" s="1"/>
      <c r="AK502" s="1">
        <f t="shared" si="487"/>
        <v>9.4999999999999998E-3</v>
      </c>
      <c r="AL502" s="1">
        <f t="shared" si="488"/>
        <v>10.22581163612986</v>
      </c>
      <c r="AM502" s="1">
        <f t="shared" si="489"/>
        <v>10.235311636129859</v>
      </c>
      <c r="AN502" s="1"/>
      <c r="AO502" s="30">
        <f t="shared" si="490"/>
        <v>49.324176773832228</v>
      </c>
      <c r="AP502" s="30">
        <f t="shared" si="491"/>
        <v>16.055084479552033</v>
      </c>
      <c r="AQ502" s="30">
        <f t="shared" si="492"/>
        <v>6.8536328269898554</v>
      </c>
      <c r="AR502" s="30">
        <f t="shared" si="493"/>
        <v>18.532782644411341</v>
      </c>
      <c r="AS502" s="30">
        <f t="shared" si="494"/>
        <v>9.2815933092508227E-2</v>
      </c>
      <c r="AT502" s="31">
        <f t="shared" si="242"/>
        <v>90.85849265787796</v>
      </c>
      <c r="AV502" s="28">
        <f t="shared" si="500"/>
        <v>13993.724705901233</v>
      </c>
    </row>
    <row r="503" spans="1:48" ht="15.75" customHeight="1" x14ac:dyDescent="0.25">
      <c r="B503" s="68"/>
      <c r="C503" s="16" t="s">
        <v>46</v>
      </c>
      <c r="D503" s="69"/>
      <c r="E503" s="18" t="s">
        <v>75</v>
      </c>
      <c r="F503" s="69"/>
      <c r="G503" s="18">
        <v>50.9</v>
      </c>
      <c r="H503" s="18">
        <v>3.76</v>
      </c>
      <c r="I503" s="18">
        <v>45.03</v>
      </c>
      <c r="J503" s="18">
        <v>0.26600000000000001</v>
      </c>
      <c r="K503" s="18">
        <v>4.7E-2</v>
      </c>
      <c r="L503" s="84">
        <v>16.3</v>
      </c>
      <c r="M503" s="84">
        <v>68.41</v>
      </c>
      <c r="N503" s="18">
        <v>14.85</v>
      </c>
      <c r="O503" s="84">
        <v>0.45</v>
      </c>
      <c r="P503" s="71">
        <v>0</v>
      </c>
      <c r="Q503" s="84">
        <v>684</v>
      </c>
      <c r="R503" s="16" t="s">
        <v>51</v>
      </c>
      <c r="S503" s="21">
        <v>1.7</v>
      </c>
      <c r="T503" s="18" t="s">
        <v>51</v>
      </c>
      <c r="U503" s="18">
        <v>56.67</v>
      </c>
      <c r="V503" s="18">
        <v>13.44</v>
      </c>
      <c r="W503" s="18">
        <v>7.45</v>
      </c>
      <c r="X503" s="18">
        <v>15.77</v>
      </c>
      <c r="Y503" s="73">
        <f t="shared" si="486"/>
        <v>8.2039516143919577E-2</v>
      </c>
      <c r="Z503" s="18" t="s">
        <v>51</v>
      </c>
      <c r="AA503" s="18" t="s">
        <v>51</v>
      </c>
      <c r="AB503" s="18" t="s">
        <v>51</v>
      </c>
      <c r="AC503" s="28">
        <f t="shared" si="499"/>
        <v>13466.418214285715</v>
      </c>
      <c r="AD503" s="18" t="s">
        <v>51</v>
      </c>
      <c r="AF503" s="1"/>
      <c r="AK503" s="1">
        <f t="shared" si="487"/>
        <v>9.4999999999999998E-3</v>
      </c>
      <c r="AL503" s="1">
        <f t="shared" si="488"/>
        <v>11.57028550645572</v>
      </c>
      <c r="AM503" s="1">
        <f t="shared" si="489"/>
        <v>11.579785506455719</v>
      </c>
      <c r="AN503" s="1"/>
      <c r="AO503" s="30">
        <f t="shared" si="490"/>
        <v>56.623508206201244</v>
      </c>
      <c r="AP503" s="30">
        <f t="shared" si="491"/>
        <v>13.428973889030257</v>
      </c>
      <c r="AQ503" s="30">
        <f t="shared" si="492"/>
        <v>7.4438880560472782</v>
      </c>
      <c r="AR503" s="30">
        <f t="shared" si="493"/>
        <v>15.757062368304107</v>
      </c>
      <c r="AS503" s="30">
        <f t="shared" si="494"/>
        <v>8.2039516143919577E-2</v>
      </c>
      <c r="AT503" s="31">
        <f t="shared" si="242"/>
        <v>93.335472035726795</v>
      </c>
      <c r="AV503" s="28">
        <f t="shared" si="500"/>
        <v>13455.3704299408</v>
      </c>
    </row>
    <row r="504" spans="1:48" ht="15.75" customHeight="1" x14ac:dyDescent="0.25">
      <c r="B504" s="68"/>
      <c r="C504" s="16" t="s">
        <v>46</v>
      </c>
      <c r="D504" s="69"/>
      <c r="E504" s="18" t="s">
        <v>75</v>
      </c>
      <c r="F504" s="69"/>
      <c r="G504" s="18">
        <v>50.9</v>
      </c>
      <c r="H504" s="18">
        <v>3.76</v>
      </c>
      <c r="I504" s="18">
        <v>45.03</v>
      </c>
      <c r="J504" s="18">
        <v>0.26600000000000001</v>
      </c>
      <c r="K504" s="18">
        <v>4.7E-2</v>
      </c>
      <c r="L504" s="84">
        <v>16.3</v>
      </c>
      <c r="M504" s="84">
        <v>68.41</v>
      </c>
      <c r="N504" s="18">
        <v>14.85</v>
      </c>
      <c r="O504" s="84">
        <v>0.45</v>
      </c>
      <c r="P504" s="71">
        <v>0</v>
      </c>
      <c r="Q504" s="84">
        <v>740</v>
      </c>
      <c r="R504" s="16" t="s">
        <v>51</v>
      </c>
      <c r="S504" s="21">
        <v>1.7</v>
      </c>
      <c r="T504" s="18" t="s">
        <v>51</v>
      </c>
      <c r="U504" s="18">
        <v>57.99</v>
      </c>
      <c r="V504" s="18">
        <v>13.58</v>
      </c>
      <c r="W504" s="18">
        <v>14.6</v>
      </c>
      <c r="X504" s="18">
        <v>9.93</v>
      </c>
      <c r="Y504" s="73">
        <f t="shared" si="486"/>
        <v>8.5281628792229267E-2</v>
      </c>
      <c r="Z504" s="18" t="s">
        <v>51</v>
      </c>
      <c r="AA504" s="18" t="s">
        <v>51</v>
      </c>
      <c r="AB504" s="18" t="s">
        <v>51</v>
      </c>
      <c r="AC504" s="28">
        <f t="shared" si="499"/>
        <v>11534.061785714286</v>
      </c>
      <c r="AD504" s="18" t="s">
        <v>51</v>
      </c>
      <c r="AF504" s="1"/>
      <c r="AK504" s="1">
        <f t="shared" si="487"/>
        <v>9.4999999999999998E-3</v>
      </c>
      <c r="AL504" s="1">
        <f t="shared" si="488"/>
        <v>11.130062100935888</v>
      </c>
      <c r="AM504" s="1">
        <f t="shared" si="489"/>
        <v>11.139562100935887</v>
      </c>
      <c r="AN504" s="1"/>
      <c r="AO504" s="30">
        <f t="shared" si="490"/>
        <v>57.940545183463385</v>
      </c>
      <c r="AP504" s="30">
        <f t="shared" si="491"/>
        <v>13.568418754810017</v>
      </c>
      <c r="AQ504" s="30">
        <f t="shared" si="492"/>
        <v>14.587548882196335</v>
      </c>
      <c r="AR504" s="30">
        <f t="shared" si="493"/>
        <v>9.9215315342609323</v>
      </c>
      <c r="AS504" s="30">
        <f t="shared" si="494"/>
        <v>8.5281628792229267E-2</v>
      </c>
      <c r="AT504" s="31">
        <f t="shared" si="242"/>
        <v>96.103325983522893</v>
      </c>
      <c r="AV504" s="28">
        <f t="shared" si="500"/>
        <v>11524.225349957527</v>
      </c>
    </row>
    <row r="505" spans="1:48" ht="15.75" customHeight="1" x14ac:dyDescent="0.25">
      <c r="A505" s="14"/>
      <c r="B505" s="78" t="s">
        <v>105</v>
      </c>
      <c r="C505" s="45" t="s">
        <v>46</v>
      </c>
      <c r="D505" s="52" t="s">
        <v>106</v>
      </c>
      <c r="E505" s="18" t="s">
        <v>75</v>
      </c>
      <c r="F505" s="70" t="s">
        <v>107</v>
      </c>
      <c r="G505" s="23">
        <f>53.78*100/(100-O505)</f>
        <v>54.995398302484915</v>
      </c>
      <c r="H505" s="23">
        <f>7.2*100/(100-O505)</f>
        <v>7.3627160241333467</v>
      </c>
      <c r="I505" s="23">
        <f>36.3*100/(100-O505)</f>
        <v>37.120359955005618</v>
      </c>
      <c r="J505" s="23">
        <v>0</v>
      </c>
      <c r="K505" s="23">
        <f>0.51*100/(100-O505)</f>
        <v>0.52152571837611206</v>
      </c>
      <c r="L505" s="36">
        <v>18.32</v>
      </c>
      <c r="M505" s="18">
        <v>73.739999999999995</v>
      </c>
      <c r="N505" s="18">
        <v>5.73</v>
      </c>
      <c r="O505" s="18">
        <v>2.21</v>
      </c>
      <c r="P505" s="71">
        <v>0</v>
      </c>
      <c r="Q505" s="84">
        <v>800</v>
      </c>
      <c r="R505" s="16" t="s">
        <v>51</v>
      </c>
      <c r="S505" s="21">
        <v>1.33</v>
      </c>
      <c r="T505" s="18" t="s">
        <v>51</v>
      </c>
      <c r="U505" s="18">
        <v>36.5</v>
      </c>
      <c r="V505" s="18">
        <v>25.8</v>
      </c>
      <c r="W505" s="18">
        <v>24.5</v>
      </c>
      <c r="X505" s="18">
        <v>10.199999999999999</v>
      </c>
      <c r="Y505" s="73">
        <f t="shared" si="486"/>
        <v>0</v>
      </c>
      <c r="Z505" s="18">
        <v>1.21</v>
      </c>
      <c r="AA505" s="18" t="s">
        <v>51</v>
      </c>
      <c r="AB505" s="18" t="s">
        <v>51</v>
      </c>
      <c r="AC505" s="21">
        <v>12370</v>
      </c>
      <c r="AD505" s="18" t="s">
        <v>51</v>
      </c>
      <c r="AF505" s="1"/>
      <c r="AK505" s="1">
        <f t="shared" si="487"/>
        <v>0</v>
      </c>
      <c r="AL505" s="1">
        <f t="shared" si="488"/>
        <v>7.5751237331246442</v>
      </c>
      <c r="AM505" s="1">
        <f t="shared" si="489"/>
        <v>7.5751237331246442</v>
      </c>
      <c r="AN505" s="1"/>
      <c r="AO505" s="30">
        <f t="shared" si="490"/>
        <v>36.5</v>
      </c>
      <c r="AP505" s="30">
        <f t="shared" si="491"/>
        <v>25.8</v>
      </c>
      <c r="AQ505" s="30">
        <f t="shared" si="492"/>
        <v>24.5</v>
      </c>
      <c r="AR505" s="30">
        <f t="shared" si="493"/>
        <v>10.199999999999999</v>
      </c>
      <c r="AS505" s="30">
        <f t="shared" si="494"/>
        <v>0</v>
      </c>
      <c r="AT505" s="31">
        <f t="shared" si="242"/>
        <v>97</v>
      </c>
      <c r="AV505" s="21">
        <f t="shared" ref="AV505:AV560" si="501">AC505</f>
        <v>12370</v>
      </c>
    </row>
    <row r="506" spans="1:48" ht="15.75" customHeight="1" x14ac:dyDescent="0.25">
      <c r="B506" s="78"/>
      <c r="C506" s="45" t="s">
        <v>46</v>
      </c>
      <c r="D506" s="51"/>
      <c r="E506" s="18" t="s">
        <v>75</v>
      </c>
      <c r="F506" s="70" t="s">
        <v>108</v>
      </c>
      <c r="G506" s="23">
        <f>50.27*100/(100-O506)</f>
        <v>53.10024294919193</v>
      </c>
      <c r="H506" s="23">
        <f>7.07*100/(100-O506)</f>
        <v>7.4680468997570504</v>
      </c>
      <c r="I506" s="23">
        <f>36.28*100/(100-O506)</f>
        <v>38.322594274849479</v>
      </c>
      <c r="J506" s="23">
        <f>0.42*100/(100-O506)</f>
        <v>0.44364635048061685</v>
      </c>
      <c r="K506" s="23">
        <f>0.63*100/(100-O506)</f>
        <v>0.66546952572092533</v>
      </c>
      <c r="L506" s="87">
        <v>12.12</v>
      </c>
      <c r="M506" s="84">
        <v>75.989999999999995</v>
      </c>
      <c r="N506" s="18">
        <v>6.56</v>
      </c>
      <c r="O506" s="84">
        <v>5.33</v>
      </c>
      <c r="P506" s="71">
        <v>0</v>
      </c>
      <c r="Q506" s="84">
        <v>800</v>
      </c>
      <c r="R506" s="16" t="s">
        <v>51</v>
      </c>
      <c r="S506" s="21">
        <v>1.33</v>
      </c>
      <c r="T506" s="18" t="s">
        <v>51</v>
      </c>
      <c r="U506" s="18">
        <v>36.5</v>
      </c>
      <c r="V506" s="18">
        <v>25.8</v>
      </c>
      <c r="W506" s="18">
        <v>24.5</v>
      </c>
      <c r="X506" s="18">
        <v>10.199999999999999</v>
      </c>
      <c r="Y506" s="73">
        <f t="shared" si="486"/>
        <v>0.21616192493285877</v>
      </c>
      <c r="Z506" s="18">
        <v>1.21</v>
      </c>
      <c r="AA506" s="18" t="s">
        <v>51</v>
      </c>
      <c r="AB506" s="18" t="s">
        <v>51</v>
      </c>
      <c r="AC506" s="21">
        <v>12370</v>
      </c>
      <c r="AD506" s="18" t="s">
        <v>51</v>
      </c>
      <c r="AF506" s="1"/>
      <c r="AK506" s="1">
        <f t="shared" si="487"/>
        <v>1.5844512517164889E-2</v>
      </c>
      <c r="AL506" s="1">
        <f t="shared" si="488"/>
        <v>7.3140830508528838</v>
      </c>
      <c r="AM506" s="1">
        <f t="shared" si="489"/>
        <v>7.3299275633700489</v>
      </c>
      <c r="AN506" s="1"/>
      <c r="AO506" s="30">
        <f t="shared" si="490"/>
        <v>36.421100897399505</v>
      </c>
      <c r="AP506" s="30">
        <f t="shared" si="491"/>
        <v>25.744230223367321</v>
      </c>
      <c r="AQ506" s="30">
        <f t="shared" si="492"/>
        <v>24.447040328391449</v>
      </c>
      <c r="AR506" s="30">
        <f t="shared" si="493"/>
        <v>10.177951483656848</v>
      </c>
      <c r="AS506" s="30">
        <f t="shared" si="494"/>
        <v>0.21616192493285877</v>
      </c>
      <c r="AT506" s="31">
        <f t="shared" si="242"/>
        <v>97.006484857747978</v>
      </c>
      <c r="AV506" s="21">
        <f t="shared" si="501"/>
        <v>12370</v>
      </c>
    </row>
    <row r="507" spans="1:48" ht="15.75" customHeight="1" x14ac:dyDescent="0.25">
      <c r="B507" s="78"/>
      <c r="C507" s="45" t="s">
        <v>46</v>
      </c>
      <c r="D507" s="51"/>
      <c r="E507" s="18" t="s">
        <v>75</v>
      </c>
      <c r="F507" s="70" t="s">
        <v>109</v>
      </c>
      <c r="G507" s="23">
        <f>48.79*100/(100-O507)</f>
        <v>50.309342132398427</v>
      </c>
      <c r="H507" s="23">
        <f>7.33*100/(100-O507)</f>
        <v>7.5582594349350378</v>
      </c>
      <c r="I507" s="23">
        <f>40.18*100/(100-O507)</f>
        <v>41.431222932563415</v>
      </c>
      <c r="J507" s="23">
        <v>0</v>
      </c>
      <c r="K507" s="23">
        <f>0.68*100/(100-O507)</f>
        <v>0.70117550010311402</v>
      </c>
      <c r="L507" s="87">
        <v>8.56</v>
      </c>
      <c r="M507" s="84">
        <v>79.67</v>
      </c>
      <c r="N507" s="18">
        <v>8.75</v>
      </c>
      <c r="O507" s="84">
        <v>3.02</v>
      </c>
      <c r="P507" s="71">
        <v>0</v>
      </c>
      <c r="Q507" s="84">
        <v>800</v>
      </c>
      <c r="R507" s="16" t="s">
        <v>51</v>
      </c>
      <c r="S507" s="21">
        <v>1.33</v>
      </c>
      <c r="T507" s="18" t="s">
        <v>51</v>
      </c>
      <c r="U507" s="18">
        <v>36.5</v>
      </c>
      <c r="V507" s="18">
        <v>25.8</v>
      </c>
      <c r="W507" s="18">
        <v>24.5</v>
      </c>
      <c r="X507" s="18">
        <v>10.199999999999999</v>
      </c>
      <c r="Y507" s="73">
        <f t="shared" si="486"/>
        <v>0</v>
      </c>
      <c r="Z507" s="18">
        <v>1.21</v>
      </c>
      <c r="AA507" s="18" t="s">
        <v>51</v>
      </c>
      <c r="AB507" s="18" t="s">
        <v>51</v>
      </c>
      <c r="AC507" s="21">
        <v>12370</v>
      </c>
      <c r="AD507" s="18" t="s">
        <v>51</v>
      </c>
      <c r="AF507" s="1"/>
      <c r="AK507" s="1">
        <f t="shared" si="487"/>
        <v>0</v>
      </c>
      <c r="AL507" s="1">
        <f t="shared" si="488"/>
        <v>6.929661450743585</v>
      </c>
      <c r="AM507" s="1">
        <f t="shared" si="489"/>
        <v>6.929661450743585</v>
      </c>
      <c r="AN507" s="1"/>
      <c r="AO507" s="30">
        <f t="shared" si="490"/>
        <v>36.5</v>
      </c>
      <c r="AP507" s="30">
        <f t="shared" si="491"/>
        <v>25.8</v>
      </c>
      <c r="AQ507" s="30">
        <f t="shared" si="492"/>
        <v>24.5</v>
      </c>
      <c r="AR507" s="30">
        <f t="shared" si="493"/>
        <v>10.199999999999999</v>
      </c>
      <c r="AS507" s="30">
        <f t="shared" si="494"/>
        <v>0</v>
      </c>
      <c r="AT507" s="31">
        <f t="shared" si="242"/>
        <v>97</v>
      </c>
      <c r="AV507" s="21">
        <f t="shared" si="501"/>
        <v>12370</v>
      </c>
    </row>
    <row r="508" spans="1:48" ht="15.75" customHeight="1" x14ac:dyDescent="0.25">
      <c r="B508" s="78"/>
      <c r="C508" s="45" t="s">
        <v>46</v>
      </c>
      <c r="D508" s="51"/>
      <c r="E508" s="18" t="s">
        <v>75</v>
      </c>
      <c r="F508" s="70" t="s">
        <v>107</v>
      </c>
      <c r="G508" s="23">
        <f>53.78*100/(100-O508)</f>
        <v>54.995398302484915</v>
      </c>
      <c r="H508" s="23">
        <f>7.2*100/(100-O508)</f>
        <v>7.3627160241333467</v>
      </c>
      <c r="I508" s="23">
        <f>36.3*100/(100-O508)</f>
        <v>37.120359955005618</v>
      </c>
      <c r="J508" s="23">
        <v>0</v>
      </c>
      <c r="K508" s="23">
        <f>0.51*100/(100-O508)</f>
        <v>0.52152571837611206</v>
      </c>
      <c r="L508" s="36">
        <v>18.32</v>
      </c>
      <c r="M508" s="18">
        <v>73.739999999999995</v>
      </c>
      <c r="N508" s="18">
        <v>5.73</v>
      </c>
      <c r="O508" s="18">
        <v>2.21</v>
      </c>
      <c r="P508" s="71">
        <v>0</v>
      </c>
      <c r="Q508" s="84">
        <v>800</v>
      </c>
      <c r="R508" s="16" t="s">
        <v>110</v>
      </c>
      <c r="S508" s="21">
        <v>1.33</v>
      </c>
      <c r="T508" s="18" t="s">
        <v>51</v>
      </c>
      <c r="U508" s="18">
        <v>40.6</v>
      </c>
      <c r="V508" s="18">
        <v>12.7</v>
      </c>
      <c r="W508" s="18">
        <v>26.6</v>
      </c>
      <c r="X508" s="18">
        <v>14.9</v>
      </c>
      <c r="Y508" s="73">
        <f t="shared" si="486"/>
        <v>0</v>
      </c>
      <c r="Z508" s="18">
        <v>1.45</v>
      </c>
      <c r="AA508" s="18" t="s">
        <v>51</v>
      </c>
      <c r="AB508" s="18" t="s">
        <v>51</v>
      </c>
      <c r="AC508" s="21">
        <v>12720</v>
      </c>
      <c r="AD508" s="18" t="s">
        <v>51</v>
      </c>
      <c r="AF508" s="1"/>
      <c r="AK508" s="1">
        <f t="shared" si="487"/>
        <v>0</v>
      </c>
      <c r="AL508" s="1">
        <f t="shared" si="488"/>
        <v>8.4556270452775095</v>
      </c>
      <c r="AM508" s="1">
        <f t="shared" si="489"/>
        <v>8.4556270452775095</v>
      </c>
      <c r="AN508" s="1"/>
      <c r="AO508" s="30">
        <f t="shared" si="490"/>
        <v>40.6</v>
      </c>
      <c r="AP508" s="30">
        <f t="shared" si="491"/>
        <v>12.7</v>
      </c>
      <c r="AQ508" s="30">
        <f t="shared" si="492"/>
        <v>26.6</v>
      </c>
      <c r="AR508" s="30">
        <f t="shared" si="493"/>
        <v>14.899999999999999</v>
      </c>
      <c r="AS508" s="30">
        <f t="shared" si="494"/>
        <v>0</v>
      </c>
      <c r="AT508" s="31">
        <f t="shared" si="242"/>
        <v>94.800000000000011</v>
      </c>
      <c r="AV508" s="21">
        <f t="shared" si="501"/>
        <v>12720</v>
      </c>
    </row>
    <row r="509" spans="1:48" ht="15.75" customHeight="1" x14ac:dyDescent="0.25">
      <c r="B509" s="78"/>
      <c r="C509" s="45" t="s">
        <v>46</v>
      </c>
      <c r="D509" s="51"/>
      <c r="E509" s="18" t="s">
        <v>75</v>
      </c>
      <c r="F509" s="70" t="s">
        <v>108</v>
      </c>
      <c r="G509" s="23">
        <f>50.27*100/(100-O509)</f>
        <v>53.10024294919193</v>
      </c>
      <c r="H509" s="23">
        <f>7.07*100/(100-O509)</f>
        <v>7.4680468997570504</v>
      </c>
      <c r="I509" s="23">
        <f>36.28*100/(100-O509)</f>
        <v>38.322594274849479</v>
      </c>
      <c r="J509" s="23">
        <f>0.42*100/(100-O509)</f>
        <v>0.44364635048061685</v>
      </c>
      <c r="K509" s="23">
        <f>0.63*100/(100-O509)</f>
        <v>0.66546952572092533</v>
      </c>
      <c r="L509" s="87">
        <v>12.12</v>
      </c>
      <c r="M509" s="84">
        <v>75.989999999999995</v>
      </c>
      <c r="N509" s="18">
        <v>6.56</v>
      </c>
      <c r="O509" s="84">
        <v>5.33</v>
      </c>
      <c r="P509" s="71">
        <v>0</v>
      </c>
      <c r="Q509" s="84">
        <v>800</v>
      </c>
      <c r="R509" s="16"/>
      <c r="S509" s="21">
        <v>1.33</v>
      </c>
      <c r="T509" s="18" t="s">
        <v>51</v>
      </c>
      <c r="U509" s="18">
        <v>40.6</v>
      </c>
      <c r="V509" s="18">
        <v>12.7</v>
      </c>
      <c r="W509" s="18">
        <v>26.6</v>
      </c>
      <c r="X509" s="18">
        <v>14.9</v>
      </c>
      <c r="Y509" s="73">
        <f t="shared" si="486"/>
        <v>0.19369610122070635</v>
      </c>
      <c r="Z509" s="18">
        <v>1.45</v>
      </c>
      <c r="AA509" s="18" t="s">
        <v>51</v>
      </c>
      <c r="AB509" s="18" t="s">
        <v>51</v>
      </c>
      <c r="AC509" s="21">
        <v>12720</v>
      </c>
      <c r="AD509" s="18" t="s">
        <v>51</v>
      </c>
      <c r="AF509" s="1"/>
      <c r="AK509" s="1">
        <f t="shared" si="487"/>
        <v>1.5844512517164889E-2</v>
      </c>
      <c r="AL509" s="1">
        <f t="shared" si="488"/>
        <v>8.164243995878218</v>
      </c>
      <c r="AM509" s="1">
        <f t="shared" si="489"/>
        <v>8.1800885083953823</v>
      </c>
      <c r="AN509" s="1"/>
      <c r="AO509" s="30">
        <f t="shared" si="490"/>
        <v>40.5213593829044</v>
      </c>
      <c r="AP509" s="30">
        <f t="shared" si="491"/>
        <v>12.675400595144973</v>
      </c>
      <c r="AQ509" s="30">
        <f t="shared" si="492"/>
        <v>26.548476837075295</v>
      </c>
      <c r="AR509" s="30">
        <f t="shared" si="493"/>
        <v>14.871139280918117</v>
      </c>
      <c r="AS509" s="30">
        <f t="shared" si="494"/>
        <v>0.19369610122070635</v>
      </c>
      <c r="AT509" s="31">
        <f t="shared" si="242"/>
        <v>94.810072197263494</v>
      </c>
      <c r="AV509" s="21">
        <f t="shared" si="501"/>
        <v>12720</v>
      </c>
    </row>
    <row r="510" spans="1:48" ht="15.75" customHeight="1" x14ac:dyDescent="0.25">
      <c r="B510" s="78"/>
      <c r="C510" s="45" t="s">
        <v>46</v>
      </c>
      <c r="D510" s="51"/>
      <c r="E510" s="18" t="s">
        <v>75</v>
      </c>
      <c r="F510" s="70" t="s">
        <v>109</v>
      </c>
      <c r="G510" s="23">
        <f>48.79*100/(100-O510)</f>
        <v>50.309342132398427</v>
      </c>
      <c r="H510" s="23">
        <f>7.33*100/(100-O510)</f>
        <v>7.5582594349350378</v>
      </c>
      <c r="I510" s="23">
        <f>40.18*100/(100-O510)</f>
        <v>41.431222932563415</v>
      </c>
      <c r="J510" s="23">
        <v>0</v>
      </c>
      <c r="K510" s="23">
        <f>0.68*100/(100-O510)</f>
        <v>0.70117550010311402</v>
      </c>
      <c r="L510" s="87">
        <v>8.56</v>
      </c>
      <c r="M510" s="84">
        <v>79.67</v>
      </c>
      <c r="N510" s="18">
        <v>8.75</v>
      </c>
      <c r="O510" s="84">
        <v>3.02</v>
      </c>
      <c r="P510" s="71">
        <v>0</v>
      </c>
      <c r="Q510" s="84">
        <v>800</v>
      </c>
      <c r="R510" s="16"/>
      <c r="S510" s="21">
        <v>1.33</v>
      </c>
      <c r="T510" s="18" t="s">
        <v>51</v>
      </c>
      <c r="U510" s="18">
        <v>40.6</v>
      </c>
      <c r="V510" s="18">
        <v>12.7</v>
      </c>
      <c r="W510" s="18">
        <v>26.6</v>
      </c>
      <c r="X510" s="18">
        <v>14.9</v>
      </c>
      <c r="Y510" s="73">
        <f t="shared" si="486"/>
        <v>0</v>
      </c>
      <c r="Z510" s="18">
        <v>1.45</v>
      </c>
      <c r="AA510" s="18" t="s">
        <v>51</v>
      </c>
      <c r="AB510" s="18" t="s">
        <v>51</v>
      </c>
      <c r="AC510" s="21">
        <v>12720</v>
      </c>
      <c r="AD510" s="18" t="s">
        <v>51</v>
      </c>
      <c r="AF510" s="1"/>
      <c r="AK510" s="1">
        <f t="shared" si="487"/>
        <v>0</v>
      </c>
      <c r="AL510" s="1">
        <f t="shared" si="488"/>
        <v>7.7351387042433002</v>
      </c>
      <c r="AM510" s="1">
        <f t="shared" si="489"/>
        <v>7.7351387042433002</v>
      </c>
      <c r="AN510" s="1"/>
      <c r="AO510" s="30">
        <f t="shared" si="490"/>
        <v>40.6</v>
      </c>
      <c r="AP510" s="30">
        <f t="shared" si="491"/>
        <v>12.7</v>
      </c>
      <c r="AQ510" s="30">
        <f t="shared" si="492"/>
        <v>26.6</v>
      </c>
      <c r="AR510" s="30">
        <f t="shared" si="493"/>
        <v>14.899999999999999</v>
      </c>
      <c r="AS510" s="30">
        <f t="shared" si="494"/>
        <v>0</v>
      </c>
      <c r="AT510" s="31">
        <f t="shared" si="242"/>
        <v>94.800000000000011</v>
      </c>
      <c r="AV510" s="21">
        <f t="shared" si="501"/>
        <v>12720</v>
      </c>
    </row>
    <row r="511" spans="1:48" ht="15.75" customHeight="1" x14ac:dyDescent="0.25">
      <c r="B511" s="78"/>
      <c r="C511" s="45" t="s">
        <v>46</v>
      </c>
      <c r="D511" s="51"/>
      <c r="E511" s="18" t="s">
        <v>75</v>
      </c>
      <c r="F511" s="70" t="s">
        <v>107</v>
      </c>
      <c r="G511" s="23">
        <f>53.78*100/(100-O511)</f>
        <v>54.995398302484915</v>
      </c>
      <c r="H511" s="23">
        <f>7.2*100/(100-O511)</f>
        <v>7.3627160241333467</v>
      </c>
      <c r="I511" s="23">
        <f>36.3*100/(100-O511)</f>
        <v>37.120359955005618</v>
      </c>
      <c r="J511" s="23">
        <v>0</v>
      </c>
      <c r="K511" s="23">
        <f>0.51*100/(100-O511)</f>
        <v>0.52152571837611206</v>
      </c>
      <c r="L511" s="36">
        <v>18.32</v>
      </c>
      <c r="M511" s="18">
        <v>73.739999999999995</v>
      </c>
      <c r="N511" s="18">
        <v>5.73</v>
      </c>
      <c r="O511" s="18">
        <v>2.21</v>
      </c>
      <c r="P511" s="71">
        <v>0</v>
      </c>
      <c r="Q511" s="84">
        <v>800</v>
      </c>
      <c r="R511" s="16" t="s">
        <v>111</v>
      </c>
      <c r="S511" s="21">
        <v>1.33</v>
      </c>
      <c r="T511" s="18" t="s">
        <v>51</v>
      </c>
      <c r="U511" s="18">
        <v>53.6</v>
      </c>
      <c r="V511" s="18">
        <v>20.5</v>
      </c>
      <c r="W511" s="18">
        <v>20.9</v>
      </c>
      <c r="X511" s="18">
        <v>4.4000000000000004</v>
      </c>
      <c r="Y511" s="73">
        <f t="shared" si="486"/>
        <v>0</v>
      </c>
      <c r="Z511" s="18">
        <v>2.11</v>
      </c>
      <c r="AA511" s="18" t="s">
        <v>51</v>
      </c>
      <c r="AB511" s="18" t="s">
        <v>51</v>
      </c>
      <c r="AC511" s="21">
        <v>10200</v>
      </c>
      <c r="AD511" s="18" t="s">
        <v>51</v>
      </c>
      <c r="AF511" s="1"/>
      <c r="AK511" s="1">
        <f t="shared" si="487"/>
        <v>0</v>
      </c>
      <c r="AL511" s="1">
        <f t="shared" si="488"/>
        <v>10.006440739171202</v>
      </c>
      <c r="AM511" s="1">
        <f t="shared" si="489"/>
        <v>10.006440739171202</v>
      </c>
      <c r="AN511" s="1"/>
      <c r="AO511" s="30">
        <f t="shared" si="490"/>
        <v>53.6</v>
      </c>
      <c r="AP511" s="30">
        <f t="shared" si="491"/>
        <v>20.5</v>
      </c>
      <c r="AQ511" s="30">
        <f t="shared" si="492"/>
        <v>20.9</v>
      </c>
      <c r="AR511" s="30">
        <f t="shared" si="493"/>
        <v>4.4000000000000004</v>
      </c>
      <c r="AS511" s="30">
        <f t="shared" si="494"/>
        <v>0</v>
      </c>
      <c r="AT511" s="31">
        <f t="shared" si="242"/>
        <v>99.4</v>
      </c>
      <c r="AV511" s="21">
        <f t="shared" si="501"/>
        <v>10200</v>
      </c>
    </row>
    <row r="512" spans="1:48" ht="15.75" customHeight="1" x14ac:dyDescent="0.25">
      <c r="B512" s="78"/>
      <c r="C512" s="45" t="s">
        <v>46</v>
      </c>
      <c r="D512" s="51"/>
      <c r="E512" s="18" t="s">
        <v>75</v>
      </c>
      <c r="F512" s="70" t="s">
        <v>108</v>
      </c>
      <c r="G512" s="23">
        <f>50.27*100/(100-O512)</f>
        <v>53.10024294919193</v>
      </c>
      <c r="H512" s="23">
        <f>7.07*100/(100-O512)</f>
        <v>7.4680468997570504</v>
      </c>
      <c r="I512" s="23">
        <f>36.28*100/(100-O512)</f>
        <v>38.322594274849479</v>
      </c>
      <c r="J512" s="23">
        <f>0.42*100/(100-O512)</f>
        <v>0.44364635048061685</v>
      </c>
      <c r="K512" s="23">
        <f>0.63*100/(100-O512)</f>
        <v>0.66546952572092533</v>
      </c>
      <c r="L512" s="87">
        <v>12.12</v>
      </c>
      <c r="M512" s="84">
        <v>75.989999999999995</v>
      </c>
      <c r="N512" s="18">
        <v>6.56</v>
      </c>
      <c r="O512" s="84">
        <v>5.33</v>
      </c>
      <c r="P512" s="71">
        <v>0</v>
      </c>
      <c r="Q512" s="84">
        <v>800</v>
      </c>
      <c r="R512" s="16"/>
      <c r="S512" s="21">
        <v>1.33</v>
      </c>
      <c r="T512" s="18" t="s">
        <v>51</v>
      </c>
      <c r="U512" s="18">
        <v>53.6</v>
      </c>
      <c r="V512" s="18">
        <v>20.5</v>
      </c>
      <c r="W512" s="18">
        <v>20.9</v>
      </c>
      <c r="X512" s="18">
        <v>4.4000000000000004</v>
      </c>
      <c r="Y512" s="73">
        <f t="shared" si="486"/>
        <v>0.16372592867396293</v>
      </c>
      <c r="Z512" s="18">
        <v>2.11</v>
      </c>
      <c r="AA512" s="18" t="s">
        <v>51</v>
      </c>
      <c r="AB512" s="18" t="s">
        <v>51</v>
      </c>
      <c r="AC512" s="21">
        <v>10200</v>
      </c>
      <c r="AD512" s="18" t="s">
        <v>51</v>
      </c>
      <c r="AF512" s="1"/>
      <c r="AK512" s="1">
        <f t="shared" si="487"/>
        <v>1.5844512517164889E-2</v>
      </c>
      <c r="AL512" s="1">
        <f t="shared" si="488"/>
        <v>9.6616162571309943</v>
      </c>
      <c r="AM512" s="1">
        <f t="shared" si="489"/>
        <v>9.6774607696481585</v>
      </c>
      <c r="AN512" s="1"/>
      <c r="AO512" s="30">
        <f t="shared" si="490"/>
        <v>53.512242902230753</v>
      </c>
      <c r="AP512" s="30">
        <f t="shared" si="491"/>
        <v>20.466436184621838</v>
      </c>
      <c r="AQ512" s="30">
        <f t="shared" si="492"/>
        <v>20.865781280907139</v>
      </c>
      <c r="AR512" s="30">
        <f t="shared" si="493"/>
        <v>4.3927960591383464</v>
      </c>
      <c r="AS512" s="30">
        <f t="shared" si="494"/>
        <v>0.16372592867396293</v>
      </c>
      <c r="AT512" s="31">
        <f t="shared" si="242"/>
        <v>99.400982355572054</v>
      </c>
      <c r="AV512" s="21">
        <f t="shared" si="501"/>
        <v>10200</v>
      </c>
    </row>
    <row r="513" spans="2:48" ht="15.75" customHeight="1" x14ac:dyDescent="0.25">
      <c r="B513" s="78"/>
      <c r="C513" s="45" t="s">
        <v>46</v>
      </c>
      <c r="D513" s="51"/>
      <c r="E513" s="18" t="s">
        <v>75</v>
      </c>
      <c r="F513" s="70" t="s">
        <v>109</v>
      </c>
      <c r="G513" s="23">
        <f>48.79*100/(100-O513)</f>
        <v>50.309342132398427</v>
      </c>
      <c r="H513" s="23">
        <f>7.33*100/(100-O513)</f>
        <v>7.5582594349350378</v>
      </c>
      <c r="I513" s="23">
        <f>40.18*100/(100-O513)</f>
        <v>41.431222932563415</v>
      </c>
      <c r="J513" s="23">
        <v>0</v>
      </c>
      <c r="K513" s="23">
        <f>0.68*100/(100-O513)</f>
        <v>0.70117550010311402</v>
      </c>
      <c r="L513" s="87">
        <v>8.56</v>
      </c>
      <c r="M513" s="84">
        <v>79.67</v>
      </c>
      <c r="N513" s="18">
        <v>8.75</v>
      </c>
      <c r="O513" s="84">
        <v>3.02</v>
      </c>
      <c r="P513" s="71">
        <v>0</v>
      </c>
      <c r="Q513" s="84">
        <v>800</v>
      </c>
      <c r="R513" s="16"/>
      <c r="S513" s="21">
        <v>1.33</v>
      </c>
      <c r="T513" s="18" t="s">
        <v>51</v>
      </c>
      <c r="U513" s="18">
        <v>53.6</v>
      </c>
      <c r="V513" s="18">
        <v>20.5</v>
      </c>
      <c r="W513" s="18">
        <v>20.9</v>
      </c>
      <c r="X513" s="18">
        <v>4.4000000000000004</v>
      </c>
      <c r="Y513" s="73">
        <f t="shared" si="486"/>
        <v>0</v>
      </c>
      <c r="Z513" s="18">
        <v>2.11</v>
      </c>
      <c r="AA513" s="18" t="s">
        <v>51</v>
      </c>
      <c r="AB513" s="18" t="s">
        <v>51</v>
      </c>
      <c r="AC513" s="21">
        <v>10200</v>
      </c>
      <c r="AD513" s="18" t="s">
        <v>51</v>
      </c>
      <c r="AF513" s="1"/>
      <c r="AK513" s="1">
        <f t="shared" si="487"/>
        <v>0</v>
      </c>
      <c r="AL513" s="1">
        <f t="shared" si="488"/>
        <v>9.1538104316591031</v>
      </c>
      <c r="AM513" s="1">
        <f t="shared" si="489"/>
        <v>9.1538104316591031</v>
      </c>
      <c r="AN513" s="1"/>
      <c r="AO513" s="30">
        <f t="shared" si="490"/>
        <v>53.6</v>
      </c>
      <c r="AP513" s="30">
        <f t="shared" si="491"/>
        <v>20.5</v>
      </c>
      <c r="AQ513" s="30">
        <f t="shared" si="492"/>
        <v>20.9</v>
      </c>
      <c r="AR513" s="30">
        <f t="shared" si="493"/>
        <v>4.4000000000000004</v>
      </c>
      <c r="AS513" s="30">
        <f t="shared" si="494"/>
        <v>0</v>
      </c>
      <c r="AT513" s="31">
        <f t="shared" si="242"/>
        <v>99.4</v>
      </c>
      <c r="AV513" s="21">
        <f t="shared" si="501"/>
        <v>10200</v>
      </c>
    </row>
    <row r="514" spans="2:48" ht="15.75" customHeight="1" x14ac:dyDescent="0.25">
      <c r="B514" s="78"/>
      <c r="C514" s="45" t="s">
        <v>46</v>
      </c>
      <c r="D514" s="51"/>
      <c r="E514" s="18" t="s">
        <v>75</v>
      </c>
      <c r="F514" s="70" t="s">
        <v>107</v>
      </c>
      <c r="G514" s="23">
        <f>53.78*100/(100-O514)</f>
        <v>54.995398302484915</v>
      </c>
      <c r="H514" s="23">
        <f>7.2*100/(100-O514)</f>
        <v>7.3627160241333467</v>
      </c>
      <c r="I514" s="23">
        <f>36.3*100/(100-O514)</f>
        <v>37.120359955005618</v>
      </c>
      <c r="J514" s="23">
        <v>0</v>
      </c>
      <c r="K514" s="23">
        <f>0.51*100/(100-O514)</f>
        <v>0.52152571837611206</v>
      </c>
      <c r="L514" s="36">
        <v>18.32</v>
      </c>
      <c r="M514" s="18">
        <v>73.739999999999995</v>
      </c>
      <c r="N514" s="18">
        <v>5.73</v>
      </c>
      <c r="O514" s="18">
        <v>2.21</v>
      </c>
      <c r="P514" s="71">
        <v>0</v>
      </c>
      <c r="Q514" s="84">
        <v>800</v>
      </c>
      <c r="R514" s="16" t="s">
        <v>51</v>
      </c>
      <c r="S514" s="21">
        <v>1.33</v>
      </c>
      <c r="T514" s="18" t="s">
        <v>51</v>
      </c>
      <c r="U514" s="18">
        <v>48.23</v>
      </c>
      <c r="V514" s="18">
        <v>24.79</v>
      </c>
      <c r="W514" s="18">
        <v>19.64</v>
      </c>
      <c r="X514" s="18">
        <v>6.8</v>
      </c>
      <c r="Y514" s="73">
        <f t="shared" si="486"/>
        <v>0</v>
      </c>
      <c r="Z514" s="18">
        <v>1.79</v>
      </c>
      <c r="AA514" s="18" t="s">
        <v>51</v>
      </c>
      <c r="AB514" s="18" t="s">
        <v>51</v>
      </c>
      <c r="AC514" s="21">
        <v>11260</v>
      </c>
      <c r="AD514" s="18" t="s">
        <v>51</v>
      </c>
      <c r="AF514" s="1"/>
      <c r="AK514" s="1">
        <f t="shared" si="487"/>
        <v>0</v>
      </c>
      <c r="AL514" s="1">
        <f t="shared" si="488"/>
        <v>8.9458322438813394</v>
      </c>
      <c r="AM514" s="1">
        <f t="shared" si="489"/>
        <v>8.9458322438813394</v>
      </c>
      <c r="AN514" s="1"/>
      <c r="AO514" s="30">
        <f t="shared" si="490"/>
        <v>48.23</v>
      </c>
      <c r="AP514" s="30">
        <f t="shared" si="491"/>
        <v>24.79</v>
      </c>
      <c r="AQ514" s="30">
        <f t="shared" si="492"/>
        <v>19.64</v>
      </c>
      <c r="AR514" s="30">
        <f t="shared" si="493"/>
        <v>6.8000000000000007</v>
      </c>
      <c r="AS514" s="30">
        <f t="shared" si="494"/>
        <v>0</v>
      </c>
      <c r="AT514" s="31">
        <f t="shared" ref="AT514:AT721" si="502">SUM(AO514:AS514)</f>
        <v>99.46</v>
      </c>
      <c r="AV514" s="21">
        <f t="shared" si="501"/>
        <v>11260</v>
      </c>
    </row>
    <row r="515" spans="2:48" ht="15.75" customHeight="1" x14ac:dyDescent="0.25">
      <c r="B515" s="78"/>
      <c r="C515" s="45" t="s">
        <v>46</v>
      </c>
      <c r="D515" s="51"/>
      <c r="E515" s="18" t="s">
        <v>75</v>
      </c>
      <c r="F515" s="70" t="s">
        <v>108</v>
      </c>
      <c r="G515" s="23">
        <f>50.27*100/(100-O515)</f>
        <v>53.10024294919193</v>
      </c>
      <c r="H515" s="23">
        <f>7.07*100/(100-O515)</f>
        <v>7.4680468997570504</v>
      </c>
      <c r="I515" s="23">
        <f>36.28*100/(100-O515)</f>
        <v>38.322594274849479</v>
      </c>
      <c r="J515" s="23">
        <f>0.42*100/(100-O515)</f>
        <v>0.44364635048061685</v>
      </c>
      <c r="K515" s="23">
        <f>0.63*100/(100-O515)</f>
        <v>0.66546952572092533</v>
      </c>
      <c r="L515" s="87">
        <v>12.12</v>
      </c>
      <c r="M515" s="84">
        <v>75.989999999999995</v>
      </c>
      <c r="N515" s="18">
        <v>6.56</v>
      </c>
      <c r="O515" s="84">
        <v>5.33</v>
      </c>
      <c r="P515" s="71">
        <v>0</v>
      </c>
      <c r="Q515" s="84">
        <v>800</v>
      </c>
      <c r="R515" s="16" t="s">
        <v>51</v>
      </c>
      <c r="S515" s="21">
        <v>1.33</v>
      </c>
      <c r="T515" s="18" t="s">
        <v>51</v>
      </c>
      <c r="U515" s="18">
        <v>48.23</v>
      </c>
      <c r="V515" s="18">
        <v>24.79</v>
      </c>
      <c r="W515" s="18">
        <v>19.64</v>
      </c>
      <c r="X515" s="18">
        <v>6.8</v>
      </c>
      <c r="Y515" s="73">
        <f t="shared" si="486"/>
        <v>0.18310156102350861</v>
      </c>
      <c r="Z515" s="18">
        <v>1.79</v>
      </c>
      <c r="AA515" s="18" t="s">
        <v>51</v>
      </c>
      <c r="AB515" s="18" t="s">
        <v>51</v>
      </c>
      <c r="AC515" s="21">
        <v>11260</v>
      </c>
      <c r="AD515" s="18" t="s">
        <v>51</v>
      </c>
      <c r="AF515" s="1"/>
      <c r="AK515" s="1">
        <f t="shared" si="487"/>
        <v>1.5844512517164889E-2</v>
      </c>
      <c r="AL515" s="1">
        <f t="shared" si="488"/>
        <v>8.6375565991918695</v>
      </c>
      <c r="AM515" s="1">
        <f t="shared" si="489"/>
        <v>8.6534011117090337</v>
      </c>
      <c r="AN515" s="1"/>
      <c r="AO515" s="30">
        <f t="shared" si="490"/>
        <v>48.141690117118365</v>
      </c>
      <c r="AP515" s="30">
        <f t="shared" si="491"/>
        <v>24.744609123022272</v>
      </c>
      <c r="AQ515" s="30">
        <f t="shared" si="492"/>
        <v>19.604038853414988</v>
      </c>
      <c r="AR515" s="30">
        <f t="shared" si="493"/>
        <v>6.7875490938504024</v>
      </c>
      <c r="AS515" s="30">
        <f t="shared" si="494"/>
        <v>0.18310156102350861</v>
      </c>
      <c r="AT515" s="31">
        <f t="shared" si="502"/>
        <v>99.460988748429529</v>
      </c>
      <c r="AV515" s="21">
        <f t="shared" si="501"/>
        <v>11260</v>
      </c>
    </row>
    <row r="516" spans="2:48" ht="15.75" customHeight="1" x14ac:dyDescent="0.25">
      <c r="B516" s="78"/>
      <c r="C516" s="45" t="s">
        <v>46</v>
      </c>
      <c r="D516" s="51"/>
      <c r="E516" s="18" t="s">
        <v>75</v>
      </c>
      <c r="F516" s="70" t="s">
        <v>109</v>
      </c>
      <c r="G516" s="23">
        <f>48.79*100/(100-O516)</f>
        <v>50.309342132398427</v>
      </c>
      <c r="H516" s="23">
        <f>7.33*100/(100-O516)</f>
        <v>7.5582594349350378</v>
      </c>
      <c r="I516" s="23">
        <f>40.18*100/(100-O516)</f>
        <v>41.431222932563415</v>
      </c>
      <c r="J516" s="23">
        <v>0</v>
      </c>
      <c r="K516" s="23">
        <f>0.68*100/(100-O516)</f>
        <v>0.70117550010311402</v>
      </c>
      <c r="L516" s="87">
        <v>8.56</v>
      </c>
      <c r="M516" s="84">
        <v>79.67</v>
      </c>
      <c r="N516" s="18">
        <v>8.75</v>
      </c>
      <c r="O516" s="84">
        <v>3.02</v>
      </c>
      <c r="P516" s="71">
        <v>0</v>
      </c>
      <c r="Q516" s="84">
        <v>800</v>
      </c>
      <c r="R516" s="16" t="s">
        <v>51</v>
      </c>
      <c r="S516" s="21">
        <v>1.33</v>
      </c>
      <c r="T516" s="18" t="s">
        <v>51</v>
      </c>
      <c r="U516" s="18">
        <v>48.23</v>
      </c>
      <c r="V516" s="18">
        <v>24.79</v>
      </c>
      <c r="W516" s="18">
        <v>19.64</v>
      </c>
      <c r="X516" s="18">
        <v>6.8</v>
      </c>
      <c r="Y516" s="73">
        <f t="shared" si="486"/>
        <v>0</v>
      </c>
      <c r="Z516" s="18">
        <v>1.79</v>
      </c>
      <c r="AA516" s="18" t="s">
        <v>51</v>
      </c>
      <c r="AB516" s="18" t="s">
        <v>51</v>
      </c>
      <c r="AC516" s="21">
        <v>11260</v>
      </c>
      <c r="AD516" s="18" t="s">
        <v>51</v>
      </c>
      <c r="AF516" s="1"/>
      <c r="AK516" s="1">
        <f t="shared" si="487"/>
        <v>0</v>
      </c>
      <c r="AL516" s="1">
        <f t="shared" si="488"/>
        <v>8.1835744245556672</v>
      </c>
      <c r="AM516" s="1">
        <f t="shared" si="489"/>
        <v>8.1835744245556672</v>
      </c>
      <c r="AN516" s="1"/>
      <c r="AO516" s="30">
        <f t="shared" si="490"/>
        <v>48.23</v>
      </c>
      <c r="AP516" s="30">
        <f t="shared" si="491"/>
        <v>24.79</v>
      </c>
      <c r="AQ516" s="30">
        <f t="shared" si="492"/>
        <v>19.64</v>
      </c>
      <c r="AR516" s="30">
        <f t="shared" si="493"/>
        <v>6.8000000000000007</v>
      </c>
      <c r="AS516" s="30">
        <f t="shared" si="494"/>
        <v>0</v>
      </c>
      <c r="AT516" s="31">
        <f t="shared" si="502"/>
        <v>99.46</v>
      </c>
      <c r="AV516" s="21">
        <f t="shared" si="501"/>
        <v>11260</v>
      </c>
    </row>
    <row r="517" spans="2:48" ht="15.75" customHeight="1" x14ac:dyDescent="0.25">
      <c r="B517" s="78"/>
      <c r="C517" s="45" t="s">
        <v>46</v>
      </c>
      <c r="D517" s="51"/>
      <c r="E517" s="18" t="s">
        <v>75</v>
      </c>
      <c r="F517" s="70" t="s">
        <v>107</v>
      </c>
      <c r="G517" s="23">
        <f>53.78*100/(100-O517)</f>
        <v>54.995398302484915</v>
      </c>
      <c r="H517" s="23">
        <f>7.2*100/(100-O517)</f>
        <v>7.3627160241333467</v>
      </c>
      <c r="I517" s="23">
        <f>36.3*100/(100-O517)</f>
        <v>37.120359955005618</v>
      </c>
      <c r="J517" s="23">
        <v>0</v>
      </c>
      <c r="K517" s="23">
        <f>0.51*100/(100-O517)</f>
        <v>0.52152571837611206</v>
      </c>
      <c r="L517" s="36">
        <v>18.32</v>
      </c>
      <c r="M517" s="18">
        <v>73.739999999999995</v>
      </c>
      <c r="N517" s="18">
        <v>5.73</v>
      </c>
      <c r="O517" s="18">
        <v>2.21</v>
      </c>
      <c r="P517" s="71">
        <v>0</v>
      </c>
      <c r="Q517" s="84">
        <v>800</v>
      </c>
      <c r="R517" s="16" t="s">
        <v>51</v>
      </c>
      <c r="S517" s="21">
        <v>1.33</v>
      </c>
      <c r="T517" s="18" t="s">
        <v>51</v>
      </c>
      <c r="U517" s="18">
        <v>53.54</v>
      </c>
      <c r="V517" s="18">
        <v>20.77</v>
      </c>
      <c r="W517" s="18">
        <v>21.06</v>
      </c>
      <c r="X517" s="18">
        <v>4.53</v>
      </c>
      <c r="Y517" s="73">
        <f t="shared" si="486"/>
        <v>0</v>
      </c>
      <c r="Z517" s="18">
        <v>2.11</v>
      </c>
      <c r="AA517" s="18" t="s">
        <v>51</v>
      </c>
      <c r="AB517" s="18" t="s">
        <v>51</v>
      </c>
      <c r="AC517" s="21">
        <v>10200</v>
      </c>
      <c r="AD517" s="18" t="s">
        <v>51</v>
      </c>
      <c r="AF517" s="1"/>
      <c r="AK517" s="1">
        <f t="shared" si="487"/>
        <v>0</v>
      </c>
      <c r="AL517" s="1">
        <f t="shared" si="488"/>
        <v>9.8855691512951047</v>
      </c>
      <c r="AM517" s="1">
        <f t="shared" si="489"/>
        <v>9.8855691512951047</v>
      </c>
      <c r="AN517" s="1"/>
      <c r="AO517" s="30">
        <f t="shared" si="490"/>
        <v>53.54</v>
      </c>
      <c r="AP517" s="30">
        <f t="shared" si="491"/>
        <v>20.77</v>
      </c>
      <c r="AQ517" s="30">
        <f t="shared" si="492"/>
        <v>21.06</v>
      </c>
      <c r="AR517" s="30">
        <f t="shared" si="493"/>
        <v>4.53</v>
      </c>
      <c r="AS517" s="30">
        <f t="shared" si="494"/>
        <v>0</v>
      </c>
      <c r="AT517" s="31">
        <f t="shared" si="502"/>
        <v>99.9</v>
      </c>
      <c r="AV517" s="21">
        <f t="shared" si="501"/>
        <v>10200</v>
      </c>
    </row>
    <row r="518" spans="2:48" ht="15.75" customHeight="1" x14ac:dyDescent="0.25">
      <c r="B518" s="78"/>
      <c r="C518" s="45" t="s">
        <v>46</v>
      </c>
      <c r="D518" s="51"/>
      <c r="E518" s="18" t="s">
        <v>75</v>
      </c>
      <c r="F518" s="70" t="s">
        <v>108</v>
      </c>
      <c r="G518" s="23">
        <f>50.27*100/(100-O518)</f>
        <v>53.10024294919193</v>
      </c>
      <c r="H518" s="23">
        <f>7.07*100/(100-O518)</f>
        <v>7.4680468997570504</v>
      </c>
      <c r="I518" s="23">
        <f>36.28*100/(100-O518)</f>
        <v>38.322594274849479</v>
      </c>
      <c r="J518" s="23">
        <f>0.42*100/(100-O518)</f>
        <v>0.44364635048061685</v>
      </c>
      <c r="K518" s="23">
        <f>0.63*100/(100-O518)</f>
        <v>0.66546952572092533</v>
      </c>
      <c r="L518" s="87">
        <v>12.12</v>
      </c>
      <c r="M518" s="84">
        <v>75.989999999999995</v>
      </c>
      <c r="N518" s="18">
        <v>6.56</v>
      </c>
      <c r="O518" s="84">
        <v>5.33</v>
      </c>
      <c r="P518" s="71">
        <v>0</v>
      </c>
      <c r="Q518" s="84">
        <v>800</v>
      </c>
      <c r="R518" s="16" t="s">
        <v>51</v>
      </c>
      <c r="S518" s="21">
        <v>1.33</v>
      </c>
      <c r="T518" s="18" t="s">
        <v>51</v>
      </c>
      <c r="U518" s="18">
        <v>53.54</v>
      </c>
      <c r="V518" s="18">
        <v>20.77</v>
      </c>
      <c r="W518" s="18">
        <v>21.06</v>
      </c>
      <c r="X518" s="18">
        <v>4.53</v>
      </c>
      <c r="Y518" s="73">
        <f t="shared" si="486"/>
        <v>0.16572450013750795</v>
      </c>
      <c r="Z518" s="18">
        <v>2.11</v>
      </c>
      <c r="AA518" s="18" t="s">
        <v>51</v>
      </c>
      <c r="AB518" s="18" t="s">
        <v>51</v>
      </c>
      <c r="AC518" s="21">
        <v>10200</v>
      </c>
      <c r="AD518" s="18" t="s">
        <v>51</v>
      </c>
      <c r="AF518" s="1"/>
      <c r="AK518" s="1">
        <f t="shared" si="487"/>
        <v>1.5844512517164889E-2</v>
      </c>
      <c r="AL518" s="1">
        <f t="shared" si="488"/>
        <v>9.5449099347842861</v>
      </c>
      <c r="AM518" s="1">
        <f t="shared" si="489"/>
        <v>9.5607544473014503</v>
      </c>
      <c r="AN518" s="1"/>
      <c r="AO518" s="30">
        <f t="shared" si="490"/>
        <v>53.451271102626386</v>
      </c>
      <c r="AP518" s="30">
        <f t="shared" si="491"/>
        <v>20.735579021321442</v>
      </c>
      <c r="AQ518" s="30">
        <f t="shared" si="492"/>
        <v>21.025098420271039</v>
      </c>
      <c r="AR518" s="30">
        <f t="shared" si="493"/>
        <v>4.5224926801437704</v>
      </c>
      <c r="AS518" s="30">
        <f t="shared" si="494"/>
        <v>0.16572450013750795</v>
      </c>
      <c r="AT518" s="31">
        <f t="shared" si="502"/>
        <v>99.900165724500155</v>
      </c>
      <c r="AV518" s="21">
        <f t="shared" si="501"/>
        <v>10200</v>
      </c>
    </row>
    <row r="519" spans="2:48" ht="15.75" customHeight="1" x14ac:dyDescent="0.25">
      <c r="B519" s="78"/>
      <c r="C519" s="45" t="s">
        <v>46</v>
      </c>
      <c r="D519" s="51"/>
      <c r="E519" s="18" t="s">
        <v>75</v>
      </c>
      <c r="F519" s="70" t="s">
        <v>109</v>
      </c>
      <c r="G519" s="23">
        <f>48.79*100/(100-O519)</f>
        <v>50.309342132398427</v>
      </c>
      <c r="H519" s="23">
        <f>7.33*100/(100-O519)</f>
        <v>7.5582594349350378</v>
      </c>
      <c r="I519" s="23">
        <f>40.18*100/(100-O519)</f>
        <v>41.431222932563415</v>
      </c>
      <c r="J519" s="23">
        <v>0</v>
      </c>
      <c r="K519" s="23">
        <f>0.68*100/(100-O519)</f>
        <v>0.70117550010311402</v>
      </c>
      <c r="L519" s="87">
        <v>8.56</v>
      </c>
      <c r="M519" s="84">
        <v>79.67</v>
      </c>
      <c r="N519" s="18">
        <v>8.75</v>
      </c>
      <c r="O519" s="84">
        <v>3.02</v>
      </c>
      <c r="P519" s="71">
        <v>0</v>
      </c>
      <c r="Q519" s="84">
        <v>800</v>
      </c>
      <c r="R519" s="16" t="s">
        <v>51</v>
      </c>
      <c r="S519" s="21">
        <v>1.33</v>
      </c>
      <c r="T519" s="18" t="s">
        <v>51</v>
      </c>
      <c r="U519" s="18">
        <v>53.54</v>
      </c>
      <c r="V519" s="18">
        <v>20.77</v>
      </c>
      <c r="W519" s="18">
        <v>21.06</v>
      </c>
      <c r="X519" s="18">
        <v>4.53</v>
      </c>
      <c r="Y519" s="73">
        <f t="shared" si="486"/>
        <v>0</v>
      </c>
      <c r="Z519" s="18">
        <v>2.11</v>
      </c>
      <c r="AA519" s="18" t="s">
        <v>51</v>
      </c>
      <c r="AB519" s="18" t="s">
        <v>51</v>
      </c>
      <c r="AC519" s="21">
        <v>10200</v>
      </c>
      <c r="AD519" s="18" t="s">
        <v>51</v>
      </c>
      <c r="AF519" s="1"/>
      <c r="AK519" s="1">
        <f t="shared" si="487"/>
        <v>0</v>
      </c>
      <c r="AL519" s="1">
        <f t="shared" si="488"/>
        <v>9.0432380882223242</v>
      </c>
      <c r="AM519" s="1">
        <f t="shared" si="489"/>
        <v>9.0432380882223242</v>
      </c>
      <c r="AN519" s="1"/>
      <c r="AO519" s="30">
        <f t="shared" si="490"/>
        <v>53.54</v>
      </c>
      <c r="AP519" s="30">
        <f t="shared" si="491"/>
        <v>20.77</v>
      </c>
      <c r="AQ519" s="30">
        <f t="shared" si="492"/>
        <v>21.06</v>
      </c>
      <c r="AR519" s="30">
        <f t="shared" si="493"/>
        <v>4.53</v>
      </c>
      <c r="AS519" s="30">
        <f t="shared" si="494"/>
        <v>0</v>
      </c>
      <c r="AT519" s="31">
        <f t="shared" si="502"/>
        <v>99.9</v>
      </c>
      <c r="AV519" s="21">
        <f t="shared" si="501"/>
        <v>10200</v>
      </c>
    </row>
    <row r="520" spans="2:48" ht="15.75" customHeight="1" x14ac:dyDescent="0.25">
      <c r="B520" s="78"/>
      <c r="C520" s="45" t="s">
        <v>46</v>
      </c>
      <c r="D520" s="51"/>
      <c r="E520" s="18" t="s">
        <v>75</v>
      </c>
      <c r="F520" s="70" t="s">
        <v>107</v>
      </c>
      <c r="G520" s="23">
        <f>53.78*100/(100-O520)</f>
        <v>54.995398302484915</v>
      </c>
      <c r="H520" s="23">
        <f>7.2*100/(100-O520)</f>
        <v>7.3627160241333467</v>
      </c>
      <c r="I520" s="23">
        <f>36.3*100/(100-O520)</f>
        <v>37.120359955005618</v>
      </c>
      <c r="J520" s="23">
        <v>0</v>
      </c>
      <c r="K520" s="23">
        <f>0.51*100/(100-O520)</f>
        <v>0.52152571837611206</v>
      </c>
      <c r="L520" s="36">
        <v>18.32</v>
      </c>
      <c r="M520" s="18">
        <v>73.739999999999995</v>
      </c>
      <c r="N520" s="18">
        <v>5.73</v>
      </c>
      <c r="O520" s="18">
        <v>2.21</v>
      </c>
      <c r="P520" s="71">
        <v>0</v>
      </c>
      <c r="Q520" s="84">
        <v>800</v>
      </c>
      <c r="R520" s="16" t="s">
        <v>51</v>
      </c>
      <c r="S520" s="21">
        <v>1.33</v>
      </c>
      <c r="T520" s="18" t="s">
        <v>51</v>
      </c>
      <c r="U520" s="18">
        <v>56.9</v>
      </c>
      <c r="V520" s="18">
        <v>17.34</v>
      </c>
      <c r="W520" s="18">
        <v>22.5</v>
      </c>
      <c r="X520" s="18">
        <v>2.85</v>
      </c>
      <c r="Y520" s="73">
        <f t="shared" si="486"/>
        <v>0</v>
      </c>
      <c r="Z520" s="18">
        <v>2.3199999999999998</v>
      </c>
      <c r="AA520" s="18" t="s">
        <v>51</v>
      </c>
      <c r="AB520" s="18" t="s">
        <v>51</v>
      </c>
      <c r="AC520" s="21">
        <v>9400</v>
      </c>
      <c r="AD520" s="18" t="s">
        <v>51</v>
      </c>
      <c r="AF520" s="1"/>
      <c r="AK520" s="1">
        <f t="shared" si="487"/>
        <v>0</v>
      </c>
      <c r="AL520" s="1">
        <f t="shared" si="488"/>
        <v>10.735417799345067</v>
      </c>
      <c r="AM520" s="1">
        <f t="shared" si="489"/>
        <v>10.735417799345067</v>
      </c>
      <c r="AN520" s="1"/>
      <c r="AO520" s="30">
        <f t="shared" si="490"/>
        <v>56.899999999999991</v>
      </c>
      <c r="AP520" s="30">
        <f t="shared" si="491"/>
        <v>17.34</v>
      </c>
      <c r="AQ520" s="30">
        <f t="shared" si="492"/>
        <v>22.5</v>
      </c>
      <c r="AR520" s="30">
        <f t="shared" si="493"/>
        <v>2.85</v>
      </c>
      <c r="AS520" s="30">
        <f t="shared" si="494"/>
        <v>0</v>
      </c>
      <c r="AT520" s="31">
        <f t="shared" si="502"/>
        <v>99.589999999999989</v>
      </c>
      <c r="AV520" s="21">
        <f t="shared" si="501"/>
        <v>9400</v>
      </c>
    </row>
    <row r="521" spans="2:48" ht="15.75" customHeight="1" x14ac:dyDescent="0.25">
      <c r="B521" s="78"/>
      <c r="C521" s="45" t="s">
        <v>46</v>
      </c>
      <c r="D521" s="51"/>
      <c r="E521" s="18" t="s">
        <v>75</v>
      </c>
      <c r="F521" s="70" t="s">
        <v>108</v>
      </c>
      <c r="G521" s="23">
        <f>50.27*100/(100-O521)</f>
        <v>53.10024294919193</v>
      </c>
      <c r="H521" s="23">
        <f>7.07*100/(100-O521)</f>
        <v>7.4680468997570504</v>
      </c>
      <c r="I521" s="23">
        <f>36.28*100/(100-O521)</f>
        <v>38.322594274849479</v>
      </c>
      <c r="J521" s="23">
        <f>0.42*100/(100-O521)</f>
        <v>0.44364635048061685</v>
      </c>
      <c r="K521" s="23">
        <f>0.63*100/(100-O521)</f>
        <v>0.66546952572092533</v>
      </c>
      <c r="L521" s="87">
        <v>12.12</v>
      </c>
      <c r="M521" s="84">
        <v>75.989999999999995</v>
      </c>
      <c r="N521" s="18">
        <v>6.56</v>
      </c>
      <c r="O521" s="84">
        <v>5.33</v>
      </c>
      <c r="P521" s="71">
        <v>0</v>
      </c>
      <c r="Q521" s="84">
        <v>800</v>
      </c>
      <c r="R521" s="16" t="s">
        <v>51</v>
      </c>
      <c r="S521" s="21">
        <v>1.33</v>
      </c>
      <c r="T521" s="18" t="s">
        <v>51</v>
      </c>
      <c r="U521" s="18">
        <v>56.9</v>
      </c>
      <c r="V521" s="18">
        <v>17.34</v>
      </c>
      <c r="W521" s="18">
        <v>22.5</v>
      </c>
      <c r="X521" s="18">
        <v>2.85</v>
      </c>
      <c r="Y521" s="73">
        <f t="shared" si="486"/>
        <v>0.15262526297081358</v>
      </c>
      <c r="Z521" s="18">
        <v>2.3199999999999998</v>
      </c>
      <c r="AA521" s="18" t="s">
        <v>51</v>
      </c>
      <c r="AB521" s="18" t="s">
        <v>51</v>
      </c>
      <c r="AC521" s="21">
        <v>9400</v>
      </c>
      <c r="AD521" s="18" t="s">
        <v>51</v>
      </c>
      <c r="AF521" s="1"/>
      <c r="AK521" s="1">
        <f t="shared" si="487"/>
        <v>1.5844512517164889E-2</v>
      </c>
      <c r="AL521" s="1">
        <f t="shared" si="488"/>
        <v>10.365472583195112</v>
      </c>
      <c r="AM521" s="1">
        <f t="shared" si="489"/>
        <v>10.381317095712276</v>
      </c>
      <c r="AN521" s="1"/>
      <c r="AO521" s="30">
        <f t="shared" si="490"/>
        <v>56.81315622536961</v>
      </c>
      <c r="AP521" s="30">
        <f t="shared" si="491"/>
        <v>17.313534779400861</v>
      </c>
      <c r="AQ521" s="30">
        <f t="shared" si="492"/>
        <v>22.465659315831569</v>
      </c>
      <c r="AR521" s="30">
        <f t="shared" si="493"/>
        <v>2.8456501800053324</v>
      </c>
      <c r="AS521" s="30">
        <f t="shared" si="494"/>
        <v>0.15262526297081358</v>
      </c>
      <c r="AT521" s="31">
        <f t="shared" si="502"/>
        <v>99.590625763578188</v>
      </c>
      <c r="AV521" s="21">
        <f t="shared" si="501"/>
        <v>9400</v>
      </c>
    </row>
    <row r="522" spans="2:48" ht="15.75" customHeight="1" x14ac:dyDescent="0.25">
      <c r="B522" s="78"/>
      <c r="C522" s="45" t="s">
        <v>46</v>
      </c>
      <c r="D522" s="51"/>
      <c r="E522" s="18" t="s">
        <v>75</v>
      </c>
      <c r="F522" s="70" t="s">
        <v>109</v>
      </c>
      <c r="G522" s="23">
        <f>48.79*100/(100-O522)</f>
        <v>50.309342132398427</v>
      </c>
      <c r="H522" s="23">
        <f>7.33*100/(100-O522)</f>
        <v>7.5582594349350378</v>
      </c>
      <c r="I522" s="23">
        <f>40.18*100/(100-O522)</f>
        <v>41.431222932563415</v>
      </c>
      <c r="J522" s="23">
        <v>0</v>
      </c>
      <c r="K522" s="23">
        <f>0.68*100/(100-O522)</f>
        <v>0.70117550010311402</v>
      </c>
      <c r="L522" s="87">
        <v>8.56</v>
      </c>
      <c r="M522" s="84">
        <v>79.67</v>
      </c>
      <c r="N522" s="18">
        <v>8.75</v>
      </c>
      <c r="O522" s="84">
        <v>3.02</v>
      </c>
      <c r="P522" s="71">
        <v>0</v>
      </c>
      <c r="Q522" s="84">
        <v>800</v>
      </c>
      <c r="R522" s="16" t="s">
        <v>51</v>
      </c>
      <c r="S522" s="21">
        <v>1.33</v>
      </c>
      <c r="T522" s="18" t="s">
        <v>51</v>
      </c>
      <c r="U522" s="18">
        <v>56.9</v>
      </c>
      <c r="V522" s="18">
        <v>17.34</v>
      </c>
      <c r="W522" s="18">
        <v>22.5</v>
      </c>
      <c r="X522" s="18">
        <v>2.85</v>
      </c>
      <c r="Y522" s="73">
        <f t="shared" si="486"/>
        <v>0</v>
      </c>
      <c r="Z522" s="18">
        <v>2.3199999999999998</v>
      </c>
      <c r="AA522" s="18" t="s">
        <v>51</v>
      </c>
      <c r="AB522" s="18" t="s">
        <v>51</v>
      </c>
      <c r="AC522" s="21">
        <v>9400</v>
      </c>
      <c r="AD522" s="18" t="s">
        <v>51</v>
      </c>
      <c r="AF522" s="1"/>
      <c r="AK522" s="1">
        <f t="shared" si="487"/>
        <v>0</v>
      </c>
      <c r="AL522" s="1">
        <f t="shared" si="488"/>
        <v>9.8206727048486009</v>
      </c>
      <c r="AM522" s="1">
        <f t="shared" si="489"/>
        <v>9.8206727048486009</v>
      </c>
      <c r="AN522" s="1"/>
      <c r="AO522" s="30">
        <f t="shared" si="490"/>
        <v>56.899999999999991</v>
      </c>
      <c r="AP522" s="30">
        <f t="shared" si="491"/>
        <v>17.34</v>
      </c>
      <c r="AQ522" s="30">
        <f t="shared" si="492"/>
        <v>22.5</v>
      </c>
      <c r="AR522" s="30">
        <f t="shared" si="493"/>
        <v>2.85</v>
      </c>
      <c r="AS522" s="30">
        <f t="shared" si="494"/>
        <v>0</v>
      </c>
      <c r="AT522" s="31">
        <f t="shared" si="502"/>
        <v>99.589999999999989</v>
      </c>
      <c r="AV522" s="21">
        <f t="shared" si="501"/>
        <v>9400</v>
      </c>
    </row>
    <row r="523" spans="2:48" ht="15.75" customHeight="1" x14ac:dyDescent="0.25">
      <c r="B523" s="78"/>
      <c r="C523" s="45" t="s">
        <v>46</v>
      </c>
      <c r="D523" s="51"/>
      <c r="E523" s="18" t="s">
        <v>75</v>
      </c>
      <c r="F523" s="70" t="s">
        <v>107</v>
      </c>
      <c r="G523" s="23">
        <f>53.78*100/(100-O523)</f>
        <v>54.995398302484915</v>
      </c>
      <c r="H523" s="23">
        <f>7.2*100/(100-O523)</f>
        <v>7.3627160241333467</v>
      </c>
      <c r="I523" s="23">
        <f>36.3*100/(100-O523)</f>
        <v>37.120359955005618</v>
      </c>
      <c r="J523" s="23">
        <v>0</v>
      </c>
      <c r="K523" s="23">
        <f>0.51*100/(100-O523)</f>
        <v>0.52152571837611206</v>
      </c>
      <c r="L523" s="36">
        <v>18.32</v>
      </c>
      <c r="M523" s="18">
        <v>73.739999999999995</v>
      </c>
      <c r="N523" s="18">
        <v>5.73</v>
      </c>
      <c r="O523" s="18">
        <v>2.21</v>
      </c>
      <c r="P523" s="71">
        <v>0</v>
      </c>
      <c r="Q523" s="84">
        <v>800</v>
      </c>
      <c r="R523" s="16" t="s">
        <v>51</v>
      </c>
      <c r="S523" s="21">
        <v>1.33</v>
      </c>
      <c r="T523" s="18" t="s">
        <v>51</v>
      </c>
      <c r="U523" s="18">
        <v>59.6</v>
      </c>
      <c r="V523" s="18">
        <v>14.87</v>
      </c>
      <c r="W523" s="18">
        <v>23.04</v>
      </c>
      <c r="X523" s="18">
        <v>2.23</v>
      </c>
      <c r="Y523" s="73">
        <f t="shared" si="486"/>
        <v>0</v>
      </c>
      <c r="Z523" s="18">
        <v>2.48</v>
      </c>
      <c r="AA523" s="18" t="s">
        <v>51</v>
      </c>
      <c r="AB523" s="18" t="s">
        <v>51</v>
      </c>
      <c r="AC523" s="88">
        <v>9130</v>
      </c>
      <c r="AD523" s="18" t="s">
        <v>51</v>
      </c>
      <c r="AF523" s="1"/>
      <c r="AK523" s="1">
        <f t="shared" si="487"/>
        <v>0</v>
      </c>
      <c r="AL523" s="1">
        <f t="shared" si="488"/>
        <v>11.417413698406603</v>
      </c>
      <c r="AM523" s="1">
        <f t="shared" si="489"/>
        <v>11.417413698406603</v>
      </c>
      <c r="AN523" s="1"/>
      <c r="AO523" s="30">
        <f t="shared" si="490"/>
        <v>59.599999999999994</v>
      </c>
      <c r="AP523" s="30">
        <f t="shared" si="491"/>
        <v>14.87</v>
      </c>
      <c r="AQ523" s="30">
        <f t="shared" si="492"/>
        <v>23.04</v>
      </c>
      <c r="AR523" s="30">
        <f t="shared" si="493"/>
        <v>2.23</v>
      </c>
      <c r="AS523" s="30">
        <f t="shared" si="494"/>
        <v>0</v>
      </c>
      <c r="AT523" s="31">
        <f t="shared" si="502"/>
        <v>99.74</v>
      </c>
      <c r="AV523" s="21">
        <f t="shared" si="501"/>
        <v>9130</v>
      </c>
    </row>
    <row r="524" spans="2:48" ht="15.75" customHeight="1" x14ac:dyDescent="0.25">
      <c r="B524" s="78"/>
      <c r="C524" s="45" t="s">
        <v>46</v>
      </c>
      <c r="D524" s="51"/>
      <c r="E524" s="18" t="s">
        <v>75</v>
      </c>
      <c r="F524" s="70" t="s">
        <v>108</v>
      </c>
      <c r="G524" s="23">
        <f>50.27*100/(100-O524)</f>
        <v>53.10024294919193</v>
      </c>
      <c r="H524" s="23">
        <f>7.07*100/(100-O524)</f>
        <v>7.4680468997570504</v>
      </c>
      <c r="I524" s="23">
        <f>36.28*100/(100-O524)</f>
        <v>38.322594274849479</v>
      </c>
      <c r="J524" s="23">
        <f>0.42*100/(100-O524)</f>
        <v>0.44364635048061685</v>
      </c>
      <c r="K524" s="23">
        <f>0.63*100/(100-O524)</f>
        <v>0.66546952572092533</v>
      </c>
      <c r="L524" s="87">
        <v>12.12</v>
      </c>
      <c r="M524" s="84">
        <v>75.989999999999995</v>
      </c>
      <c r="N524" s="18">
        <v>6.56</v>
      </c>
      <c r="O524" s="84">
        <v>5.33</v>
      </c>
      <c r="P524" s="71">
        <v>0</v>
      </c>
      <c r="Q524" s="84">
        <v>800</v>
      </c>
      <c r="R524" s="16" t="s">
        <v>51</v>
      </c>
      <c r="S524" s="21">
        <v>1.33</v>
      </c>
      <c r="T524" s="18" t="s">
        <v>51</v>
      </c>
      <c r="U524" s="18">
        <v>59.6</v>
      </c>
      <c r="V524" s="18">
        <v>14.87</v>
      </c>
      <c r="W524" s="18">
        <v>23.04</v>
      </c>
      <c r="X524" s="18">
        <v>2.23</v>
      </c>
      <c r="Y524" s="73">
        <f t="shared" si="486"/>
        <v>0.14352158898255088</v>
      </c>
      <c r="Z524" s="18">
        <v>2.48</v>
      </c>
      <c r="AA524" s="18" t="s">
        <v>51</v>
      </c>
      <c r="AB524" s="18" t="s">
        <v>51</v>
      </c>
      <c r="AC524" s="88">
        <v>9130</v>
      </c>
      <c r="AD524" s="18" t="s">
        <v>51</v>
      </c>
      <c r="AF524" s="1"/>
      <c r="AK524" s="1">
        <f t="shared" si="487"/>
        <v>1.5844512517164889E-2</v>
      </c>
      <c r="AL524" s="1">
        <f t="shared" si="488"/>
        <v>11.023966730856987</v>
      </c>
      <c r="AM524" s="1">
        <f t="shared" si="489"/>
        <v>11.039811243374151</v>
      </c>
      <c r="AN524" s="1"/>
      <c r="AO524" s="30">
        <f t="shared" si="490"/>
        <v>59.514461132966403</v>
      </c>
      <c r="AP524" s="30">
        <f t="shared" si="491"/>
        <v>14.848658339718297</v>
      </c>
      <c r="AQ524" s="30">
        <f t="shared" si="492"/>
        <v>23.006932625898422</v>
      </c>
      <c r="AR524" s="30">
        <f t="shared" si="493"/>
        <v>2.2267994685656891</v>
      </c>
      <c r="AS524" s="30">
        <f t="shared" si="494"/>
        <v>0.14352158898255088</v>
      </c>
      <c r="AT524" s="31">
        <f t="shared" si="502"/>
        <v>99.740373156131369</v>
      </c>
      <c r="AV524" s="21">
        <f t="shared" si="501"/>
        <v>9130</v>
      </c>
    </row>
    <row r="525" spans="2:48" ht="15.75" customHeight="1" x14ac:dyDescent="0.25">
      <c r="B525" s="78"/>
      <c r="C525" s="45" t="s">
        <v>46</v>
      </c>
      <c r="D525" s="51"/>
      <c r="E525" s="18" t="s">
        <v>75</v>
      </c>
      <c r="F525" s="70" t="s">
        <v>109</v>
      </c>
      <c r="G525" s="23">
        <f>48.79*100/(100-O525)</f>
        <v>50.309342132398427</v>
      </c>
      <c r="H525" s="23">
        <f>7.33*100/(100-O525)</f>
        <v>7.5582594349350378</v>
      </c>
      <c r="I525" s="23">
        <f>40.18*100/(100-O525)</f>
        <v>41.431222932563415</v>
      </c>
      <c r="J525" s="23">
        <v>0</v>
      </c>
      <c r="K525" s="23">
        <f>0.68*100/(100-O525)</f>
        <v>0.70117550010311402</v>
      </c>
      <c r="L525" s="87">
        <v>8.56</v>
      </c>
      <c r="M525" s="84">
        <v>79.67</v>
      </c>
      <c r="N525" s="18">
        <v>8.75</v>
      </c>
      <c r="O525" s="84">
        <v>3.02</v>
      </c>
      <c r="P525" s="71">
        <v>0</v>
      </c>
      <c r="Q525" s="84">
        <v>800</v>
      </c>
      <c r="R525" s="16" t="s">
        <v>51</v>
      </c>
      <c r="S525" s="21">
        <v>1.33</v>
      </c>
      <c r="T525" s="18" t="s">
        <v>51</v>
      </c>
      <c r="U525" s="18">
        <v>59.6</v>
      </c>
      <c r="V525" s="18">
        <v>14.87</v>
      </c>
      <c r="W525" s="18">
        <v>23.04</v>
      </c>
      <c r="X525" s="18">
        <v>2.23</v>
      </c>
      <c r="Y525" s="73">
        <f t="shared" si="486"/>
        <v>0</v>
      </c>
      <c r="Z525" s="18">
        <v>2.48</v>
      </c>
      <c r="AA525" s="18" t="s">
        <v>51</v>
      </c>
      <c r="AB525" s="18" t="s">
        <v>51</v>
      </c>
      <c r="AC525" s="88">
        <v>9130</v>
      </c>
      <c r="AD525" s="18" t="s">
        <v>51</v>
      </c>
      <c r="AF525" s="1"/>
      <c r="AK525" s="1">
        <f t="shared" si="487"/>
        <v>0</v>
      </c>
      <c r="AL525" s="1">
        <f t="shared" si="488"/>
        <v>10.444556994767984</v>
      </c>
      <c r="AM525" s="1">
        <f t="shared" si="489"/>
        <v>10.444556994767984</v>
      </c>
      <c r="AN525" s="1"/>
      <c r="AO525" s="30">
        <f t="shared" si="490"/>
        <v>59.599999999999994</v>
      </c>
      <c r="AP525" s="30">
        <f t="shared" si="491"/>
        <v>14.87</v>
      </c>
      <c r="AQ525" s="30">
        <f t="shared" si="492"/>
        <v>23.04</v>
      </c>
      <c r="AR525" s="30">
        <f t="shared" si="493"/>
        <v>2.23</v>
      </c>
      <c r="AS525" s="30">
        <f t="shared" si="494"/>
        <v>0</v>
      </c>
      <c r="AT525" s="31">
        <f t="shared" si="502"/>
        <v>99.74</v>
      </c>
      <c r="AV525" s="21">
        <f t="shared" si="501"/>
        <v>9130</v>
      </c>
    </row>
    <row r="526" spans="2:48" ht="15.75" customHeight="1" x14ac:dyDescent="0.25">
      <c r="B526" s="78"/>
      <c r="C526" s="45" t="s">
        <v>46</v>
      </c>
      <c r="D526" s="51"/>
      <c r="E526" s="18" t="s">
        <v>75</v>
      </c>
      <c r="F526" s="70" t="s">
        <v>107</v>
      </c>
      <c r="G526" s="23">
        <f>53.78*100/(100-O526)</f>
        <v>54.995398302484915</v>
      </c>
      <c r="H526" s="23">
        <f>7.2*100/(100-O526)</f>
        <v>7.3627160241333467</v>
      </c>
      <c r="I526" s="23">
        <f>36.3*100/(100-O526)</f>
        <v>37.120359955005618</v>
      </c>
      <c r="J526" s="23">
        <v>0</v>
      </c>
      <c r="K526" s="23">
        <f>0.51*100/(100-O526)</f>
        <v>0.52152571837611206</v>
      </c>
      <c r="L526" s="36">
        <v>18.32</v>
      </c>
      <c r="M526" s="18">
        <v>73.739999999999995</v>
      </c>
      <c r="N526" s="18">
        <v>5.73</v>
      </c>
      <c r="O526" s="18">
        <v>2.21</v>
      </c>
      <c r="P526" s="71">
        <v>0</v>
      </c>
      <c r="Q526" s="84">
        <v>800</v>
      </c>
      <c r="R526" s="16" t="s">
        <v>51</v>
      </c>
      <c r="S526" s="21">
        <v>0.67</v>
      </c>
      <c r="T526" s="18" t="s">
        <v>51</v>
      </c>
      <c r="U526" s="18">
        <v>52.58</v>
      </c>
      <c r="V526" s="18">
        <v>22.84</v>
      </c>
      <c r="W526" s="18">
        <v>19.829999999999998</v>
      </c>
      <c r="X526" s="18">
        <v>4.2</v>
      </c>
      <c r="Y526" s="73">
        <f t="shared" si="486"/>
        <v>0</v>
      </c>
      <c r="Z526" s="18">
        <v>2.06</v>
      </c>
      <c r="AA526" s="18" t="s">
        <v>51</v>
      </c>
      <c r="AB526" s="18" t="s">
        <v>51</v>
      </c>
      <c r="AC526" s="21">
        <v>10390</v>
      </c>
      <c r="AD526" s="18" t="s">
        <v>51</v>
      </c>
      <c r="AF526" s="1"/>
      <c r="AK526" s="1">
        <f t="shared" si="487"/>
        <v>0</v>
      </c>
      <c r="AL526" s="1">
        <f t="shared" si="488"/>
        <v>9.7780026851726252</v>
      </c>
      <c r="AM526" s="1">
        <f t="shared" si="489"/>
        <v>9.7780026851726252</v>
      </c>
      <c r="AN526" s="1"/>
      <c r="AO526" s="30">
        <f t="shared" si="490"/>
        <v>52.579999999999991</v>
      </c>
      <c r="AP526" s="30">
        <f t="shared" si="491"/>
        <v>22.839999999999996</v>
      </c>
      <c r="AQ526" s="30">
        <f t="shared" si="492"/>
        <v>19.829999999999998</v>
      </c>
      <c r="AR526" s="30">
        <f t="shared" si="493"/>
        <v>4.2</v>
      </c>
      <c r="AS526" s="30">
        <f t="shared" si="494"/>
        <v>0</v>
      </c>
      <c r="AT526" s="31">
        <f t="shared" si="502"/>
        <v>99.449999999999989</v>
      </c>
      <c r="AV526" s="21">
        <f t="shared" si="501"/>
        <v>10390</v>
      </c>
    </row>
    <row r="527" spans="2:48" ht="15.75" customHeight="1" x14ac:dyDescent="0.25">
      <c r="B527" s="78"/>
      <c r="C527" s="45" t="s">
        <v>46</v>
      </c>
      <c r="D527" s="51"/>
      <c r="E527" s="18" t="s">
        <v>75</v>
      </c>
      <c r="F527" s="70" t="s">
        <v>108</v>
      </c>
      <c r="G527" s="23">
        <f>50.27*100/(100-O527)</f>
        <v>53.10024294919193</v>
      </c>
      <c r="H527" s="23">
        <f>7.07*100/(100-O527)</f>
        <v>7.4680468997570504</v>
      </c>
      <c r="I527" s="23">
        <f>36.28*100/(100-O527)</f>
        <v>38.322594274849479</v>
      </c>
      <c r="J527" s="23">
        <f>0.42*100/(100-O527)</f>
        <v>0.44364635048061685</v>
      </c>
      <c r="K527" s="23">
        <f>0.63*100/(100-O527)</f>
        <v>0.66546952572092533</v>
      </c>
      <c r="L527" s="87">
        <v>12.12</v>
      </c>
      <c r="M527" s="84">
        <v>75.989999999999995</v>
      </c>
      <c r="N527" s="18">
        <v>6.56</v>
      </c>
      <c r="O527" s="84">
        <v>5.33</v>
      </c>
      <c r="P527" s="71">
        <v>0</v>
      </c>
      <c r="Q527" s="84">
        <v>800</v>
      </c>
      <c r="R527" s="16" t="s">
        <v>51</v>
      </c>
      <c r="S527" s="21">
        <v>0.67</v>
      </c>
      <c r="T527" s="18" t="s">
        <v>51</v>
      </c>
      <c r="U527" s="18">
        <v>52.58</v>
      </c>
      <c r="V527" s="18">
        <v>22.84</v>
      </c>
      <c r="W527" s="18">
        <v>19.829999999999998</v>
      </c>
      <c r="X527" s="18">
        <v>4.2</v>
      </c>
      <c r="Y527" s="73">
        <f t="shared" si="486"/>
        <v>0.16754455810246921</v>
      </c>
      <c r="Z527" s="18">
        <v>2.06</v>
      </c>
      <c r="AA527" s="18" t="s">
        <v>51</v>
      </c>
      <c r="AB527" s="18" t="s">
        <v>51</v>
      </c>
      <c r="AC527" s="21">
        <v>10390</v>
      </c>
      <c r="AD527" s="18" t="s">
        <v>51</v>
      </c>
      <c r="AF527" s="1"/>
      <c r="AK527" s="1">
        <f t="shared" si="487"/>
        <v>1.5844512517164889E-2</v>
      </c>
      <c r="AL527" s="1">
        <f t="shared" si="488"/>
        <v>9.4410502363259958</v>
      </c>
      <c r="AM527" s="1">
        <f t="shared" si="489"/>
        <v>9.4568947488431601</v>
      </c>
      <c r="AN527" s="1"/>
      <c r="AO527" s="30">
        <f t="shared" si="490"/>
        <v>52.49190507134972</v>
      </c>
      <c r="AP527" s="30">
        <f t="shared" si="491"/>
        <v>22.801732822929395</v>
      </c>
      <c r="AQ527" s="30">
        <f t="shared" si="492"/>
        <v>19.796775914128279</v>
      </c>
      <c r="AR527" s="30">
        <f t="shared" si="493"/>
        <v>4.1929631285596969</v>
      </c>
      <c r="AS527" s="30">
        <f t="shared" si="494"/>
        <v>0.16754455810246921</v>
      </c>
      <c r="AT527" s="31">
        <f t="shared" si="502"/>
        <v>99.450921495069551</v>
      </c>
      <c r="AV527" s="21">
        <f t="shared" si="501"/>
        <v>10390</v>
      </c>
    </row>
    <row r="528" spans="2:48" ht="15.75" customHeight="1" x14ac:dyDescent="0.25">
      <c r="B528" s="78"/>
      <c r="C528" s="45" t="s">
        <v>46</v>
      </c>
      <c r="D528" s="51"/>
      <c r="E528" s="18" t="s">
        <v>75</v>
      </c>
      <c r="F528" s="70" t="s">
        <v>109</v>
      </c>
      <c r="G528" s="23">
        <f>48.79*100/(100-O528)</f>
        <v>50.309342132398427</v>
      </c>
      <c r="H528" s="23">
        <f>7.33*100/(100-O528)</f>
        <v>7.5582594349350378</v>
      </c>
      <c r="I528" s="23">
        <f>40.18*100/(100-O528)</f>
        <v>41.431222932563415</v>
      </c>
      <c r="J528" s="23">
        <v>0</v>
      </c>
      <c r="K528" s="23">
        <f>0.68*100/(100-O528)</f>
        <v>0.70117550010311402</v>
      </c>
      <c r="L528" s="87">
        <v>8.56</v>
      </c>
      <c r="M528" s="84">
        <v>79.67</v>
      </c>
      <c r="N528" s="18">
        <v>8.75</v>
      </c>
      <c r="O528" s="84">
        <v>3.02</v>
      </c>
      <c r="P528" s="71">
        <v>0</v>
      </c>
      <c r="Q528" s="84">
        <v>800</v>
      </c>
      <c r="R528" s="16" t="s">
        <v>51</v>
      </c>
      <c r="S528" s="21">
        <v>0.67</v>
      </c>
      <c r="T528" s="18" t="s">
        <v>51</v>
      </c>
      <c r="U528" s="18">
        <v>52.58</v>
      </c>
      <c r="V528" s="18">
        <v>22.84</v>
      </c>
      <c r="W528" s="18">
        <v>19.829999999999998</v>
      </c>
      <c r="X528" s="18">
        <v>4.2</v>
      </c>
      <c r="Y528" s="73">
        <f t="shared" si="486"/>
        <v>0</v>
      </c>
      <c r="Z528" s="18">
        <v>2.06</v>
      </c>
      <c r="AA528" s="18" t="s">
        <v>51</v>
      </c>
      <c r="AB528" s="18" t="s">
        <v>51</v>
      </c>
      <c r="AC528" s="21">
        <v>10390</v>
      </c>
      <c r="AD528" s="18" t="s">
        <v>51</v>
      </c>
      <c r="AF528" s="1"/>
      <c r="AK528" s="1">
        <f t="shared" si="487"/>
        <v>0</v>
      </c>
      <c r="AL528" s="1">
        <f t="shared" si="488"/>
        <v>8.9448371617236369</v>
      </c>
      <c r="AM528" s="1">
        <f t="shared" si="489"/>
        <v>8.9448371617236369</v>
      </c>
      <c r="AN528" s="1"/>
      <c r="AO528" s="30">
        <f t="shared" si="490"/>
        <v>52.579999999999991</v>
      </c>
      <c r="AP528" s="30">
        <f t="shared" si="491"/>
        <v>22.84</v>
      </c>
      <c r="AQ528" s="30">
        <f t="shared" si="492"/>
        <v>19.829999999999998</v>
      </c>
      <c r="AR528" s="30">
        <f t="shared" si="493"/>
        <v>4.2</v>
      </c>
      <c r="AS528" s="30">
        <f t="shared" si="494"/>
        <v>0</v>
      </c>
      <c r="AT528" s="31">
        <f t="shared" si="502"/>
        <v>99.449999999999989</v>
      </c>
      <c r="AV528" s="21">
        <f t="shared" si="501"/>
        <v>10390</v>
      </c>
    </row>
    <row r="529" spans="2:48" ht="15.75" customHeight="1" x14ac:dyDescent="0.25">
      <c r="B529" s="78"/>
      <c r="C529" s="45" t="s">
        <v>46</v>
      </c>
      <c r="D529" s="51"/>
      <c r="E529" s="18" t="s">
        <v>75</v>
      </c>
      <c r="F529" s="70" t="s">
        <v>107</v>
      </c>
      <c r="G529" s="23">
        <f>53.78*100/(100-O529)</f>
        <v>54.995398302484915</v>
      </c>
      <c r="H529" s="23">
        <f>7.2*100/(100-O529)</f>
        <v>7.3627160241333467</v>
      </c>
      <c r="I529" s="23">
        <f>36.3*100/(100-O529)</f>
        <v>37.120359955005618</v>
      </c>
      <c r="J529" s="23">
        <v>0</v>
      </c>
      <c r="K529" s="23">
        <f>0.51*100/(100-O529)</f>
        <v>0.52152571837611206</v>
      </c>
      <c r="L529" s="36">
        <v>18.32</v>
      </c>
      <c r="M529" s="18">
        <v>73.739999999999995</v>
      </c>
      <c r="N529" s="18">
        <v>5.73</v>
      </c>
      <c r="O529" s="18">
        <v>2.21</v>
      </c>
      <c r="P529" s="71">
        <v>0</v>
      </c>
      <c r="Q529" s="84">
        <v>800</v>
      </c>
      <c r="R529" s="16" t="s">
        <v>51</v>
      </c>
      <c r="S529" s="21">
        <v>1.33</v>
      </c>
      <c r="T529" s="18" t="s">
        <v>51</v>
      </c>
      <c r="U529" s="18">
        <v>59.8</v>
      </c>
      <c r="V529" s="18">
        <v>15.03</v>
      </c>
      <c r="W529" s="18">
        <v>23.14</v>
      </c>
      <c r="X529" s="18">
        <v>2.4</v>
      </c>
      <c r="Y529" s="73">
        <f t="shared" si="486"/>
        <v>0</v>
      </c>
      <c r="Z529" s="18">
        <v>2.48</v>
      </c>
      <c r="AA529" s="18" t="s">
        <v>51</v>
      </c>
      <c r="AB529" s="18" t="s">
        <v>51</v>
      </c>
      <c r="AC529" s="21">
        <v>9130</v>
      </c>
      <c r="AD529" s="18" t="s">
        <v>51</v>
      </c>
      <c r="AF529" s="1"/>
      <c r="AK529" s="1">
        <f t="shared" si="487"/>
        <v>0</v>
      </c>
      <c r="AL529" s="1">
        <f t="shared" si="488"/>
        <v>11.29640093305499</v>
      </c>
      <c r="AM529" s="1">
        <f t="shared" si="489"/>
        <v>11.29640093305499</v>
      </c>
      <c r="AN529" s="1"/>
      <c r="AO529" s="30">
        <f t="shared" si="490"/>
        <v>59.8</v>
      </c>
      <c r="AP529" s="30">
        <f t="shared" si="491"/>
        <v>15.03</v>
      </c>
      <c r="AQ529" s="30">
        <f t="shared" si="492"/>
        <v>23.14</v>
      </c>
      <c r="AR529" s="30">
        <f t="shared" si="493"/>
        <v>2.4</v>
      </c>
      <c r="AS529" s="30">
        <f t="shared" si="494"/>
        <v>0</v>
      </c>
      <c r="AT529" s="31">
        <f t="shared" si="502"/>
        <v>100.37</v>
      </c>
      <c r="AV529" s="21">
        <f t="shared" si="501"/>
        <v>9130</v>
      </c>
    </row>
    <row r="530" spans="2:48" ht="15.75" customHeight="1" x14ac:dyDescent="0.25">
      <c r="B530" s="78"/>
      <c r="C530" s="45" t="s">
        <v>46</v>
      </c>
      <c r="D530" s="51"/>
      <c r="E530" s="18" t="s">
        <v>75</v>
      </c>
      <c r="F530" s="70" t="s">
        <v>108</v>
      </c>
      <c r="G530" s="23">
        <f>50.27*100/(100-O530)</f>
        <v>53.10024294919193</v>
      </c>
      <c r="H530" s="23">
        <f>7.07*100/(100-O530)</f>
        <v>7.4680468997570504</v>
      </c>
      <c r="I530" s="23">
        <f>36.28*100/(100-O530)</f>
        <v>38.322594274849479</v>
      </c>
      <c r="J530" s="23">
        <f>0.42*100/(100-O530)</f>
        <v>0.44364635048061685</v>
      </c>
      <c r="K530" s="23">
        <f>0.63*100/(100-O530)</f>
        <v>0.66546952572092533</v>
      </c>
      <c r="L530" s="87">
        <v>12.12</v>
      </c>
      <c r="M530" s="84">
        <v>75.989999999999995</v>
      </c>
      <c r="N530" s="18">
        <v>6.56</v>
      </c>
      <c r="O530" s="84">
        <v>5.33</v>
      </c>
      <c r="P530" s="71">
        <v>0</v>
      </c>
      <c r="Q530" s="84">
        <v>800</v>
      </c>
      <c r="R530" s="16" t="s">
        <v>51</v>
      </c>
      <c r="S530" s="21">
        <v>1.33</v>
      </c>
      <c r="T530" s="18" t="s">
        <v>51</v>
      </c>
      <c r="U530" s="18">
        <v>59.8</v>
      </c>
      <c r="V530" s="18">
        <v>15.03</v>
      </c>
      <c r="W530" s="18">
        <v>23.14</v>
      </c>
      <c r="X530" s="18">
        <v>2.4</v>
      </c>
      <c r="Y530" s="73">
        <f t="shared" si="486"/>
        <v>0.14505683468451022</v>
      </c>
      <c r="Z530" s="18">
        <v>2.48</v>
      </c>
      <c r="AA530" s="18" t="s">
        <v>51</v>
      </c>
      <c r="AB530" s="18" t="s">
        <v>51</v>
      </c>
      <c r="AC530" s="21">
        <v>9130</v>
      </c>
      <c r="AD530" s="18" t="s">
        <v>51</v>
      </c>
      <c r="AF530" s="1"/>
      <c r="AK530" s="1">
        <f t="shared" si="487"/>
        <v>1.5844512517164889E-2</v>
      </c>
      <c r="AL530" s="1">
        <f t="shared" si="488"/>
        <v>10.907124096046326</v>
      </c>
      <c r="AM530" s="1">
        <f t="shared" si="489"/>
        <v>10.92296860856349</v>
      </c>
      <c r="AN530" s="1"/>
      <c r="AO530" s="30">
        <f t="shared" si="490"/>
        <v>59.713256012858672</v>
      </c>
      <c r="AP530" s="30">
        <f t="shared" si="491"/>
        <v>15.008197957746919</v>
      </c>
      <c r="AQ530" s="30">
        <f t="shared" si="492"/>
        <v>23.106433848454007</v>
      </c>
      <c r="AR530" s="30">
        <f t="shared" si="493"/>
        <v>2.3965186359675719</v>
      </c>
      <c r="AS530" s="30">
        <f t="shared" si="494"/>
        <v>0.14505683468451022</v>
      </c>
      <c r="AT530" s="31">
        <f t="shared" si="502"/>
        <v>100.36946328971167</v>
      </c>
      <c r="AV530" s="21">
        <f t="shared" si="501"/>
        <v>9130</v>
      </c>
    </row>
    <row r="531" spans="2:48" ht="15.75" customHeight="1" x14ac:dyDescent="0.25">
      <c r="B531" s="78"/>
      <c r="C531" s="45" t="s">
        <v>46</v>
      </c>
      <c r="D531" s="51"/>
      <c r="E531" s="18" t="s">
        <v>75</v>
      </c>
      <c r="F531" s="70" t="s">
        <v>109</v>
      </c>
      <c r="G531" s="23">
        <f>48.79*100/(100-O531)</f>
        <v>50.309342132398427</v>
      </c>
      <c r="H531" s="23">
        <f>7.33*100/(100-O531)</f>
        <v>7.5582594349350378</v>
      </c>
      <c r="I531" s="23">
        <f>40.18*100/(100-O531)</f>
        <v>41.431222932563415</v>
      </c>
      <c r="J531" s="23">
        <v>0</v>
      </c>
      <c r="K531" s="23">
        <f>0.68*100/(100-O531)</f>
        <v>0.70117550010311402</v>
      </c>
      <c r="L531" s="87">
        <v>8.56</v>
      </c>
      <c r="M531" s="84">
        <v>79.67</v>
      </c>
      <c r="N531" s="18">
        <v>8.75</v>
      </c>
      <c r="O531" s="84">
        <v>3.02</v>
      </c>
      <c r="P531" s="71">
        <v>0</v>
      </c>
      <c r="Q531" s="84">
        <v>800</v>
      </c>
      <c r="R531" s="16" t="s">
        <v>51</v>
      </c>
      <c r="S531" s="21">
        <v>1.33</v>
      </c>
      <c r="T531" s="18" t="s">
        <v>51</v>
      </c>
      <c r="U531" s="18">
        <v>59.8</v>
      </c>
      <c r="V531" s="18">
        <v>15.03</v>
      </c>
      <c r="W531" s="18">
        <v>23.14</v>
      </c>
      <c r="X531" s="18">
        <v>2.4</v>
      </c>
      <c r="Y531" s="73">
        <f t="shared" si="486"/>
        <v>0</v>
      </c>
      <c r="Z531" s="18">
        <v>2.48</v>
      </c>
      <c r="AA531" s="18" t="s">
        <v>51</v>
      </c>
      <c r="AB531" s="18" t="s">
        <v>51</v>
      </c>
      <c r="AC531" s="21">
        <v>9130</v>
      </c>
      <c r="AD531" s="18" t="s">
        <v>51</v>
      </c>
      <c r="AF531" s="1"/>
      <c r="AK531" s="1">
        <f t="shared" si="487"/>
        <v>0</v>
      </c>
      <c r="AL531" s="1">
        <f t="shared" si="488"/>
        <v>10.333855503327257</v>
      </c>
      <c r="AM531" s="1">
        <f t="shared" si="489"/>
        <v>10.333855503327257</v>
      </c>
      <c r="AN531" s="1"/>
      <c r="AO531" s="30">
        <f t="shared" si="490"/>
        <v>59.8</v>
      </c>
      <c r="AP531" s="30">
        <f t="shared" si="491"/>
        <v>15.03</v>
      </c>
      <c r="AQ531" s="30">
        <f t="shared" si="492"/>
        <v>23.14</v>
      </c>
      <c r="AR531" s="30">
        <f t="shared" si="493"/>
        <v>2.4</v>
      </c>
      <c r="AS531" s="30">
        <f t="shared" si="494"/>
        <v>0</v>
      </c>
      <c r="AT531" s="31">
        <f t="shared" si="502"/>
        <v>100.37</v>
      </c>
      <c r="AV531" s="21">
        <f t="shared" si="501"/>
        <v>9130</v>
      </c>
    </row>
    <row r="532" spans="2:48" ht="15.75" customHeight="1" x14ac:dyDescent="0.25">
      <c r="B532" s="78"/>
      <c r="C532" s="45" t="s">
        <v>46</v>
      </c>
      <c r="D532" s="51"/>
      <c r="E532" s="18" t="s">
        <v>75</v>
      </c>
      <c r="F532" s="70" t="s">
        <v>107</v>
      </c>
      <c r="G532" s="23">
        <f>53.78*100/(100-O532)</f>
        <v>54.995398302484915</v>
      </c>
      <c r="H532" s="23">
        <f>7.2*100/(100-O532)</f>
        <v>7.3627160241333467</v>
      </c>
      <c r="I532" s="23">
        <f>36.3*100/(100-O532)</f>
        <v>37.120359955005618</v>
      </c>
      <c r="J532" s="23">
        <v>0</v>
      </c>
      <c r="K532" s="23">
        <f>0.51*100/(100-O532)</f>
        <v>0.52152571837611206</v>
      </c>
      <c r="L532" s="36">
        <v>18.32</v>
      </c>
      <c r="M532" s="18">
        <v>73.739999999999995</v>
      </c>
      <c r="N532" s="18">
        <v>5.73</v>
      </c>
      <c r="O532" s="18">
        <v>2.21</v>
      </c>
      <c r="P532" s="71">
        <v>0</v>
      </c>
      <c r="Q532" s="84">
        <v>800</v>
      </c>
      <c r="R532" s="16" t="s">
        <v>51</v>
      </c>
      <c r="S532" s="21">
        <v>2</v>
      </c>
      <c r="T532" s="18" t="s">
        <v>51</v>
      </c>
      <c r="U532" s="18">
        <v>57.29</v>
      </c>
      <c r="V532" s="18">
        <v>13.82</v>
      </c>
      <c r="W532" s="18">
        <v>25.64</v>
      </c>
      <c r="X532" s="18">
        <v>2.1</v>
      </c>
      <c r="Y532" s="73">
        <f t="shared" si="486"/>
        <v>0</v>
      </c>
      <c r="Z532" s="18">
        <v>2.39</v>
      </c>
      <c r="AA532" s="18" t="s">
        <v>51</v>
      </c>
      <c r="AB532" s="18" t="s">
        <v>51</v>
      </c>
      <c r="AC532" s="21">
        <v>8730</v>
      </c>
      <c r="AD532" s="18" t="s">
        <v>51</v>
      </c>
      <c r="AF532" s="1"/>
      <c r="AK532" s="1">
        <f t="shared" si="487"/>
        <v>0</v>
      </c>
      <c r="AL532" s="1">
        <f t="shared" si="488"/>
        <v>11.027309573003873</v>
      </c>
      <c r="AM532" s="1">
        <f t="shared" si="489"/>
        <v>11.027309573003873</v>
      </c>
      <c r="AN532" s="1"/>
      <c r="AO532" s="30">
        <f t="shared" si="490"/>
        <v>57.29</v>
      </c>
      <c r="AP532" s="30">
        <f t="shared" si="491"/>
        <v>13.819999999999999</v>
      </c>
      <c r="AQ532" s="30">
        <f t="shared" si="492"/>
        <v>25.64</v>
      </c>
      <c r="AR532" s="30">
        <f t="shared" si="493"/>
        <v>2.1</v>
      </c>
      <c r="AS532" s="30">
        <f t="shared" si="494"/>
        <v>0</v>
      </c>
      <c r="AT532" s="31">
        <f t="shared" si="502"/>
        <v>98.85</v>
      </c>
      <c r="AV532" s="21">
        <f t="shared" si="501"/>
        <v>8730</v>
      </c>
    </row>
    <row r="533" spans="2:48" ht="15.75" customHeight="1" x14ac:dyDescent="0.25">
      <c r="B533" s="78"/>
      <c r="C533" s="45" t="s">
        <v>46</v>
      </c>
      <c r="D533" s="51"/>
      <c r="E533" s="18" t="s">
        <v>75</v>
      </c>
      <c r="F533" s="70" t="s">
        <v>108</v>
      </c>
      <c r="G533" s="23">
        <f>50.27*100/(100-O533)</f>
        <v>53.10024294919193</v>
      </c>
      <c r="H533" s="23">
        <f>7.07*100/(100-O533)</f>
        <v>7.4680468997570504</v>
      </c>
      <c r="I533" s="23">
        <f>36.28*100/(100-O533)</f>
        <v>38.322594274849479</v>
      </c>
      <c r="J533" s="23">
        <f>0.42*100/(100-O533)</f>
        <v>0.44364635048061685</v>
      </c>
      <c r="K533" s="23">
        <f>0.63*100/(100-O533)</f>
        <v>0.66546952572092533</v>
      </c>
      <c r="L533" s="87">
        <v>12.12</v>
      </c>
      <c r="M533" s="84">
        <v>75.989999999999995</v>
      </c>
      <c r="N533" s="18">
        <v>6.56</v>
      </c>
      <c r="O533" s="84">
        <v>5.33</v>
      </c>
      <c r="P533" s="71">
        <v>0</v>
      </c>
      <c r="Q533" s="84">
        <v>800</v>
      </c>
      <c r="R533" s="16" t="s">
        <v>51</v>
      </c>
      <c r="S533" s="21">
        <v>2</v>
      </c>
      <c r="T533" s="18" t="s">
        <v>51</v>
      </c>
      <c r="U533" s="18">
        <v>57.29</v>
      </c>
      <c r="V533" s="18">
        <v>13.82</v>
      </c>
      <c r="W533" s="18">
        <v>25.64</v>
      </c>
      <c r="X533" s="18">
        <v>2.1</v>
      </c>
      <c r="Y533" s="73">
        <f t="shared" si="486"/>
        <v>0.14859129068483093</v>
      </c>
      <c r="Z533" s="18">
        <v>2.39</v>
      </c>
      <c r="AA533" s="18" t="s">
        <v>51</v>
      </c>
      <c r="AB533" s="18" t="s">
        <v>51</v>
      </c>
      <c r="AC533" s="21">
        <v>8730</v>
      </c>
      <c r="AD533" s="18" t="s">
        <v>51</v>
      </c>
      <c r="AF533" s="1"/>
      <c r="AK533" s="1">
        <f t="shared" si="487"/>
        <v>1.5844512517164889E-2</v>
      </c>
      <c r="AL533" s="1">
        <f t="shared" si="488"/>
        <v>10.647305692410958</v>
      </c>
      <c r="AM533" s="1">
        <f t="shared" si="489"/>
        <v>10.663150204928122</v>
      </c>
      <c r="AN533" s="1"/>
      <c r="AO533" s="30">
        <f t="shared" si="490"/>
        <v>57.204872049566667</v>
      </c>
      <c r="AP533" s="30">
        <f t="shared" si="491"/>
        <v>13.799464683627358</v>
      </c>
      <c r="AQ533" s="30">
        <f t="shared" si="492"/>
        <v>25.601901193068411</v>
      </c>
      <c r="AR533" s="30">
        <f t="shared" si="493"/>
        <v>2.0968795828956188</v>
      </c>
      <c r="AS533" s="30">
        <f t="shared" si="494"/>
        <v>0.14859129068483093</v>
      </c>
      <c r="AT533" s="31">
        <f t="shared" si="502"/>
        <v>98.851708799842896</v>
      </c>
      <c r="AV533" s="21">
        <f t="shared" si="501"/>
        <v>8730</v>
      </c>
    </row>
    <row r="534" spans="2:48" ht="15.75" customHeight="1" x14ac:dyDescent="0.25">
      <c r="B534" s="78"/>
      <c r="C534" s="45" t="s">
        <v>46</v>
      </c>
      <c r="D534" s="51"/>
      <c r="E534" s="18" t="s">
        <v>75</v>
      </c>
      <c r="F534" s="70" t="s">
        <v>109</v>
      </c>
      <c r="G534" s="23">
        <f>48.79*100/(100-O534)</f>
        <v>50.309342132398427</v>
      </c>
      <c r="H534" s="23">
        <f>7.33*100/(100-O534)</f>
        <v>7.5582594349350378</v>
      </c>
      <c r="I534" s="23">
        <f>40.18*100/(100-O534)</f>
        <v>41.431222932563415</v>
      </c>
      <c r="J534" s="23">
        <v>0</v>
      </c>
      <c r="K534" s="23">
        <f>0.68*100/(100-O534)</f>
        <v>0.70117550010311402</v>
      </c>
      <c r="L534" s="87">
        <v>8.56</v>
      </c>
      <c r="M534" s="84">
        <v>79.67</v>
      </c>
      <c r="N534" s="18">
        <v>8.75</v>
      </c>
      <c r="O534" s="84">
        <v>3.02</v>
      </c>
      <c r="P534" s="71">
        <v>0</v>
      </c>
      <c r="Q534" s="84">
        <v>800</v>
      </c>
      <c r="R534" s="16" t="s">
        <v>51</v>
      </c>
      <c r="S534" s="21">
        <v>2</v>
      </c>
      <c r="T534" s="18" t="s">
        <v>51</v>
      </c>
      <c r="U534" s="18">
        <v>57.29</v>
      </c>
      <c r="V534" s="18">
        <v>13.82</v>
      </c>
      <c r="W534" s="18">
        <v>25.64</v>
      </c>
      <c r="X534" s="18">
        <v>2.1</v>
      </c>
      <c r="Y534" s="73">
        <f t="shared" si="486"/>
        <v>0</v>
      </c>
      <c r="Z534" s="18">
        <v>2.39</v>
      </c>
      <c r="AA534" s="18" t="s">
        <v>51</v>
      </c>
      <c r="AB534" s="18" t="s">
        <v>51</v>
      </c>
      <c r="AC534" s="21">
        <v>8730</v>
      </c>
      <c r="AD534" s="18" t="s">
        <v>51</v>
      </c>
      <c r="AF534" s="1"/>
      <c r="AK534" s="1">
        <f t="shared" si="487"/>
        <v>0</v>
      </c>
      <c r="AL534" s="1">
        <f t="shared" si="488"/>
        <v>10.087692920355796</v>
      </c>
      <c r="AM534" s="1">
        <f t="shared" si="489"/>
        <v>10.087692920355796</v>
      </c>
      <c r="AN534" s="1"/>
      <c r="AO534" s="30">
        <f t="shared" si="490"/>
        <v>57.29</v>
      </c>
      <c r="AP534" s="30">
        <f t="shared" si="491"/>
        <v>13.819999999999999</v>
      </c>
      <c r="AQ534" s="30">
        <f t="shared" si="492"/>
        <v>25.64</v>
      </c>
      <c r="AR534" s="30">
        <f t="shared" si="493"/>
        <v>2.1</v>
      </c>
      <c r="AS534" s="30">
        <f t="shared" si="494"/>
        <v>0</v>
      </c>
      <c r="AT534" s="31">
        <f t="shared" si="502"/>
        <v>98.85</v>
      </c>
      <c r="AV534" s="21">
        <f t="shared" si="501"/>
        <v>8730</v>
      </c>
    </row>
    <row r="535" spans="2:48" ht="15.75" customHeight="1" x14ac:dyDescent="0.25">
      <c r="B535" s="78"/>
      <c r="C535" s="45" t="s">
        <v>46</v>
      </c>
      <c r="D535" s="51"/>
      <c r="E535" s="18" t="s">
        <v>75</v>
      </c>
      <c r="F535" s="70" t="s">
        <v>107</v>
      </c>
      <c r="G535" s="23">
        <f>53.78*100/(100-O535)</f>
        <v>54.995398302484915</v>
      </c>
      <c r="H535" s="23">
        <f>7.2*100/(100-O535)</f>
        <v>7.3627160241333467</v>
      </c>
      <c r="I535" s="23">
        <f>36.3*100/(100-O535)</f>
        <v>37.120359955005618</v>
      </c>
      <c r="J535" s="23">
        <v>0</v>
      </c>
      <c r="K535" s="23">
        <f>0.51*100/(100-O535)</f>
        <v>0.52152571837611206</v>
      </c>
      <c r="L535" s="36">
        <v>18.32</v>
      </c>
      <c r="M535" s="18">
        <v>73.739999999999995</v>
      </c>
      <c r="N535" s="18">
        <v>5.73</v>
      </c>
      <c r="O535" s="18">
        <v>2.21</v>
      </c>
      <c r="P535" s="71">
        <v>0</v>
      </c>
      <c r="Q535" s="84">
        <v>800</v>
      </c>
      <c r="R535" s="16" t="s">
        <v>51</v>
      </c>
      <c r="S535" s="21">
        <v>2.67</v>
      </c>
      <c r="T535" s="18" t="s">
        <v>51</v>
      </c>
      <c r="U535" s="18">
        <v>56.69</v>
      </c>
      <c r="V535" s="18">
        <v>13.62</v>
      </c>
      <c r="W535" s="18">
        <v>26.85</v>
      </c>
      <c r="X535" s="18">
        <v>2.6</v>
      </c>
      <c r="Y535" s="73">
        <f t="shared" si="486"/>
        <v>0</v>
      </c>
      <c r="Z535" s="18">
        <v>2.2799999999999998</v>
      </c>
      <c r="AA535" s="18" t="s">
        <v>51</v>
      </c>
      <c r="AB535" s="18" t="s">
        <v>51</v>
      </c>
      <c r="AC535" s="21">
        <v>8850</v>
      </c>
      <c r="AD535" s="18" t="s">
        <v>51</v>
      </c>
      <c r="AF535" s="1"/>
      <c r="AK535" s="1">
        <f t="shared" si="487"/>
        <v>0</v>
      </c>
      <c r="AL535" s="1">
        <f t="shared" si="488"/>
        <v>10.640700855677757</v>
      </c>
      <c r="AM535" s="1">
        <f t="shared" si="489"/>
        <v>10.640700855677757</v>
      </c>
      <c r="AN535" s="1"/>
      <c r="AO535" s="30">
        <f t="shared" si="490"/>
        <v>56.69</v>
      </c>
      <c r="AP535" s="30">
        <f t="shared" si="491"/>
        <v>13.62</v>
      </c>
      <c r="AQ535" s="30">
        <f t="shared" si="492"/>
        <v>26.85</v>
      </c>
      <c r="AR535" s="30">
        <f t="shared" si="493"/>
        <v>2.6</v>
      </c>
      <c r="AS535" s="30">
        <f t="shared" si="494"/>
        <v>0</v>
      </c>
      <c r="AT535" s="31">
        <f t="shared" si="502"/>
        <v>99.759999999999991</v>
      </c>
      <c r="AV535" s="21">
        <f t="shared" si="501"/>
        <v>8850</v>
      </c>
    </row>
    <row r="536" spans="2:48" ht="15.75" customHeight="1" x14ac:dyDescent="0.25">
      <c r="B536" s="78"/>
      <c r="C536" s="45" t="s">
        <v>46</v>
      </c>
      <c r="D536" s="51"/>
      <c r="E536" s="18" t="s">
        <v>75</v>
      </c>
      <c r="F536" s="70" t="s">
        <v>108</v>
      </c>
      <c r="G536" s="23">
        <f>50.27*100/(100-O536)</f>
        <v>53.10024294919193</v>
      </c>
      <c r="H536" s="23">
        <f>7.07*100/(100-O536)</f>
        <v>7.4680468997570504</v>
      </c>
      <c r="I536" s="23">
        <f>36.28*100/(100-O536)</f>
        <v>38.322594274849479</v>
      </c>
      <c r="J536" s="23">
        <f>0.42*100/(100-O536)</f>
        <v>0.44364635048061685</v>
      </c>
      <c r="K536" s="23">
        <f>0.63*100/(100-O536)</f>
        <v>0.66546952572092533</v>
      </c>
      <c r="L536" s="87">
        <v>12.12</v>
      </c>
      <c r="M536" s="84">
        <v>75.989999999999995</v>
      </c>
      <c r="N536" s="18">
        <v>6.56</v>
      </c>
      <c r="O536" s="84">
        <v>5.33</v>
      </c>
      <c r="P536" s="71">
        <v>0</v>
      </c>
      <c r="Q536" s="84">
        <v>800</v>
      </c>
      <c r="R536" s="16" t="s">
        <v>51</v>
      </c>
      <c r="S536" s="21">
        <v>2.67</v>
      </c>
      <c r="T536" s="18" t="s">
        <v>51</v>
      </c>
      <c r="U536" s="18">
        <v>56.69</v>
      </c>
      <c r="V536" s="18">
        <v>13.62</v>
      </c>
      <c r="W536" s="18">
        <v>26.85</v>
      </c>
      <c r="X536" s="18">
        <v>2.6</v>
      </c>
      <c r="Y536" s="73">
        <f t="shared" si="486"/>
        <v>0.15398174678930601</v>
      </c>
      <c r="Z536" s="18">
        <v>2.2799999999999998</v>
      </c>
      <c r="AA536" s="18" t="s">
        <v>51</v>
      </c>
      <c r="AB536" s="18" t="s">
        <v>51</v>
      </c>
      <c r="AC536" s="21">
        <v>8850</v>
      </c>
      <c r="AD536" s="18" t="s">
        <v>51</v>
      </c>
      <c r="AF536" s="1"/>
      <c r="AK536" s="1">
        <f t="shared" si="487"/>
        <v>1.5844512517164889E-2</v>
      </c>
      <c r="AL536" s="1">
        <f t="shared" si="488"/>
        <v>10.274019609393996</v>
      </c>
      <c r="AM536" s="1">
        <f t="shared" si="489"/>
        <v>10.28986412191116</v>
      </c>
      <c r="AN536" s="1"/>
      <c r="AO536" s="30">
        <f t="shared" si="490"/>
        <v>56.602707747745143</v>
      </c>
      <c r="AP536" s="30">
        <f t="shared" si="491"/>
        <v>13.599027686087299</v>
      </c>
      <c r="AQ536" s="30">
        <f t="shared" si="492"/>
        <v>26.808655900987073</v>
      </c>
      <c r="AR536" s="30">
        <f t="shared" si="493"/>
        <v>2.5959964745834787</v>
      </c>
      <c r="AS536" s="30">
        <f t="shared" si="494"/>
        <v>0.15398174678930601</v>
      </c>
      <c r="AT536" s="31">
        <f t="shared" si="502"/>
        <v>99.760369556192302</v>
      </c>
      <c r="AV536" s="21">
        <f t="shared" si="501"/>
        <v>8850</v>
      </c>
    </row>
    <row r="537" spans="2:48" ht="15.75" customHeight="1" x14ac:dyDescent="0.25">
      <c r="B537" s="78"/>
      <c r="C537" s="45" t="s">
        <v>46</v>
      </c>
      <c r="D537" s="51"/>
      <c r="E537" s="18" t="s">
        <v>75</v>
      </c>
      <c r="F537" s="70" t="s">
        <v>109</v>
      </c>
      <c r="G537" s="23">
        <f>48.79*100/(100-O537)</f>
        <v>50.309342132398427</v>
      </c>
      <c r="H537" s="23">
        <f>7.33*100/(100-O537)</f>
        <v>7.5582594349350378</v>
      </c>
      <c r="I537" s="23">
        <f>40.18*100/(100-O537)</f>
        <v>41.431222932563415</v>
      </c>
      <c r="J537" s="23">
        <v>0</v>
      </c>
      <c r="K537" s="23">
        <f>0.68*100/(100-O537)</f>
        <v>0.70117550010311402</v>
      </c>
      <c r="L537" s="87">
        <v>8.56</v>
      </c>
      <c r="M537" s="84">
        <v>79.67</v>
      </c>
      <c r="N537" s="18">
        <v>8.75</v>
      </c>
      <c r="O537" s="84">
        <v>3.02</v>
      </c>
      <c r="P537" s="71">
        <v>0</v>
      </c>
      <c r="Q537" s="84">
        <v>800</v>
      </c>
      <c r="R537" s="16" t="s">
        <v>51</v>
      </c>
      <c r="S537" s="21">
        <v>2.67</v>
      </c>
      <c r="T537" s="18" t="s">
        <v>51</v>
      </c>
      <c r="U537" s="18">
        <v>56.69</v>
      </c>
      <c r="V537" s="18">
        <v>13.62</v>
      </c>
      <c r="W537" s="18">
        <v>26.85</v>
      </c>
      <c r="X537" s="18">
        <v>2.6</v>
      </c>
      <c r="Y537" s="73">
        <f t="shared" si="486"/>
        <v>0</v>
      </c>
      <c r="Z537" s="18">
        <v>2.2799999999999998</v>
      </c>
      <c r="AA537" s="18" t="s">
        <v>51</v>
      </c>
      <c r="AB537" s="18" t="s">
        <v>51</v>
      </c>
      <c r="AC537" s="21">
        <v>8850</v>
      </c>
      <c r="AD537" s="18" t="s">
        <v>51</v>
      </c>
      <c r="AF537" s="1"/>
      <c r="AK537" s="1">
        <f t="shared" si="487"/>
        <v>0</v>
      </c>
      <c r="AL537" s="1">
        <f t="shared" si="488"/>
        <v>9.7340264167631023</v>
      </c>
      <c r="AM537" s="1">
        <f t="shared" si="489"/>
        <v>9.7340264167631023</v>
      </c>
      <c r="AN537" s="1"/>
      <c r="AO537" s="30">
        <f t="shared" si="490"/>
        <v>56.69</v>
      </c>
      <c r="AP537" s="30">
        <f t="shared" si="491"/>
        <v>13.62</v>
      </c>
      <c r="AQ537" s="30">
        <f t="shared" si="492"/>
        <v>26.85</v>
      </c>
      <c r="AR537" s="30">
        <f t="shared" si="493"/>
        <v>2.6</v>
      </c>
      <c r="AS537" s="30">
        <f t="shared" si="494"/>
        <v>0</v>
      </c>
      <c r="AT537" s="31">
        <f t="shared" si="502"/>
        <v>99.759999999999991</v>
      </c>
      <c r="AV537" s="21">
        <f t="shared" si="501"/>
        <v>8850</v>
      </c>
    </row>
    <row r="538" spans="2:48" ht="15.75" customHeight="1" x14ac:dyDescent="0.25">
      <c r="B538" s="78"/>
      <c r="C538" s="45" t="s">
        <v>46</v>
      </c>
      <c r="D538" s="51"/>
      <c r="E538" s="18" t="s">
        <v>75</v>
      </c>
      <c r="F538" s="70" t="s">
        <v>107</v>
      </c>
      <c r="G538" s="23">
        <f>53.78*100/(100-O538)</f>
        <v>54.995398302484915</v>
      </c>
      <c r="H538" s="23">
        <f>7.2*100/(100-O538)</f>
        <v>7.3627160241333467</v>
      </c>
      <c r="I538" s="23">
        <f>36.3*100/(100-O538)</f>
        <v>37.120359955005618</v>
      </c>
      <c r="J538" s="23">
        <v>0</v>
      </c>
      <c r="K538" s="23">
        <f>0.51*100/(100-O538)</f>
        <v>0.52152571837611206</v>
      </c>
      <c r="L538" s="36">
        <v>18.32</v>
      </c>
      <c r="M538" s="18">
        <v>73.739999999999995</v>
      </c>
      <c r="N538" s="18">
        <v>5.73</v>
      </c>
      <c r="O538" s="18">
        <v>2.21</v>
      </c>
      <c r="P538" s="71">
        <v>0</v>
      </c>
      <c r="Q538" s="84">
        <v>800</v>
      </c>
      <c r="R538" s="16" t="s">
        <v>51</v>
      </c>
      <c r="S538" s="21">
        <v>1.33</v>
      </c>
      <c r="T538" s="18" t="s">
        <v>51</v>
      </c>
      <c r="U538" s="18">
        <v>54.69</v>
      </c>
      <c r="V538" s="18">
        <v>17.8</v>
      </c>
      <c r="W538" s="18">
        <v>20</v>
      </c>
      <c r="X538" s="18">
        <v>5.24</v>
      </c>
      <c r="Y538" s="73">
        <f t="shared" si="486"/>
        <v>0</v>
      </c>
      <c r="Z538" s="18">
        <v>2.16</v>
      </c>
      <c r="AA538" s="18" t="s">
        <v>51</v>
      </c>
      <c r="AB538" s="18" t="s">
        <v>51</v>
      </c>
      <c r="AC538" s="21">
        <v>10280</v>
      </c>
      <c r="AD538" s="18" t="s">
        <v>51</v>
      </c>
      <c r="AF538" s="1"/>
      <c r="AK538" s="1">
        <f t="shared" si="487"/>
        <v>0</v>
      </c>
      <c r="AL538" s="1">
        <f t="shared" si="488"/>
        <v>10.648117701069726</v>
      </c>
      <c r="AM538" s="1">
        <f t="shared" si="489"/>
        <v>10.648117701069726</v>
      </c>
      <c r="AN538" s="1"/>
      <c r="AO538" s="30">
        <f t="shared" si="490"/>
        <v>54.69</v>
      </c>
      <c r="AP538" s="30">
        <f t="shared" si="491"/>
        <v>17.8</v>
      </c>
      <c r="AQ538" s="30">
        <f t="shared" si="492"/>
        <v>20</v>
      </c>
      <c r="AR538" s="30">
        <f t="shared" si="493"/>
        <v>5.24</v>
      </c>
      <c r="AS538" s="30">
        <f t="shared" si="494"/>
        <v>0</v>
      </c>
      <c r="AT538" s="31">
        <f t="shared" si="502"/>
        <v>97.72999999999999</v>
      </c>
      <c r="AV538" s="21">
        <f t="shared" si="501"/>
        <v>10280</v>
      </c>
    </row>
    <row r="539" spans="2:48" ht="15.75" customHeight="1" x14ac:dyDescent="0.25">
      <c r="B539" s="78"/>
      <c r="C539" s="45" t="s">
        <v>46</v>
      </c>
      <c r="D539" s="51"/>
      <c r="E539" s="18" t="s">
        <v>75</v>
      </c>
      <c r="F539" s="70" t="s">
        <v>108</v>
      </c>
      <c r="G539" s="23">
        <f>50.27*100/(100-O539)</f>
        <v>53.10024294919193</v>
      </c>
      <c r="H539" s="23">
        <f>7.07*100/(100-O539)</f>
        <v>7.4680468997570504</v>
      </c>
      <c r="I539" s="23">
        <f>36.28*100/(100-O539)</f>
        <v>38.322594274849479</v>
      </c>
      <c r="J539" s="23">
        <f>0.42*100/(100-O539)</f>
        <v>0.44364635048061685</v>
      </c>
      <c r="K539" s="23">
        <f>0.63*100/(100-O539)</f>
        <v>0.66546952572092533</v>
      </c>
      <c r="L539" s="87">
        <v>12.12</v>
      </c>
      <c r="M539" s="84">
        <v>75.989999999999995</v>
      </c>
      <c r="N539" s="18">
        <v>6.56</v>
      </c>
      <c r="O539" s="84">
        <v>5.33</v>
      </c>
      <c r="P539" s="71">
        <v>0</v>
      </c>
      <c r="Q539" s="84">
        <v>800</v>
      </c>
      <c r="R539" s="16" t="s">
        <v>51</v>
      </c>
      <c r="S539" s="21">
        <v>1.33</v>
      </c>
      <c r="T539" s="18" t="s">
        <v>51</v>
      </c>
      <c r="U539" s="18">
        <v>54.69</v>
      </c>
      <c r="V539" s="18">
        <v>17.8</v>
      </c>
      <c r="W539" s="18">
        <v>20</v>
      </c>
      <c r="X539" s="18">
        <v>5.24</v>
      </c>
      <c r="Y539" s="73">
        <f t="shared" si="486"/>
        <v>0.15387465730156222</v>
      </c>
      <c r="Z539" s="18">
        <v>2.16</v>
      </c>
      <c r="AA539" s="18" t="s">
        <v>51</v>
      </c>
      <c r="AB539" s="18" t="s">
        <v>51</v>
      </c>
      <c r="AC539" s="21">
        <v>10280</v>
      </c>
      <c r="AD539" s="18" t="s">
        <v>51</v>
      </c>
      <c r="AF539" s="1"/>
      <c r="AK539" s="1">
        <f t="shared" si="487"/>
        <v>1.5844512517164889E-2</v>
      </c>
      <c r="AL539" s="1">
        <f t="shared" si="488"/>
        <v>10.281180868415415</v>
      </c>
      <c r="AM539" s="1">
        <f t="shared" si="489"/>
        <v>10.297025380932579</v>
      </c>
      <c r="AN539" s="1"/>
      <c r="AO539" s="30">
        <f t="shared" si="490"/>
        <v>54.605845949921772</v>
      </c>
      <c r="AP539" s="30">
        <f t="shared" si="491"/>
        <v>17.772610311000324</v>
      </c>
      <c r="AQ539" s="30">
        <f t="shared" si="492"/>
        <v>19.969225068539689</v>
      </c>
      <c r="AR539" s="30">
        <f t="shared" si="493"/>
        <v>5.2319369679573988</v>
      </c>
      <c r="AS539" s="30">
        <f t="shared" si="494"/>
        <v>0.15387465730156222</v>
      </c>
      <c r="AT539" s="31">
        <f t="shared" si="502"/>
        <v>97.733492954720731</v>
      </c>
      <c r="AV539" s="21">
        <f t="shared" si="501"/>
        <v>10280</v>
      </c>
    </row>
    <row r="540" spans="2:48" ht="15.75" customHeight="1" x14ac:dyDescent="0.25">
      <c r="B540" s="78"/>
      <c r="C540" s="45" t="s">
        <v>46</v>
      </c>
      <c r="D540" s="51"/>
      <c r="E540" s="18" t="s">
        <v>75</v>
      </c>
      <c r="F540" s="70" t="s">
        <v>109</v>
      </c>
      <c r="G540" s="23">
        <f>48.79*100/(100-O540)</f>
        <v>50.309342132398427</v>
      </c>
      <c r="H540" s="23">
        <f>7.33*100/(100-O540)</f>
        <v>7.5582594349350378</v>
      </c>
      <c r="I540" s="23">
        <f>40.18*100/(100-O540)</f>
        <v>41.431222932563415</v>
      </c>
      <c r="J540" s="23">
        <v>0</v>
      </c>
      <c r="K540" s="23">
        <f>0.68*100/(100-O540)</f>
        <v>0.70117550010311402</v>
      </c>
      <c r="L540" s="87">
        <v>8.56</v>
      </c>
      <c r="M540" s="84">
        <v>79.67</v>
      </c>
      <c r="N540" s="18">
        <v>8.75</v>
      </c>
      <c r="O540" s="84">
        <v>3.02</v>
      </c>
      <c r="P540" s="71">
        <v>0</v>
      </c>
      <c r="Q540" s="84">
        <v>800</v>
      </c>
      <c r="R540" s="16" t="s">
        <v>51</v>
      </c>
      <c r="S540" s="21">
        <v>1.33</v>
      </c>
      <c r="T540" s="18" t="s">
        <v>51</v>
      </c>
      <c r="U540" s="18">
        <v>54.69</v>
      </c>
      <c r="V540" s="18">
        <v>17.8</v>
      </c>
      <c r="W540" s="18">
        <v>20</v>
      </c>
      <c r="X540" s="18">
        <v>5.24</v>
      </c>
      <c r="Y540" s="73">
        <f t="shared" si="486"/>
        <v>0</v>
      </c>
      <c r="Z540" s="18">
        <v>2.16</v>
      </c>
      <c r="AA540" s="18" t="s">
        <v>51</v>
      </c>
      <c r="AB540" s="18" t="s">
        <v>51</v>
      </c>
      <c r="AC540" s="21">
        <v>10280</v>
      </c>
      <c r="AD540" s="18" t="s">
        <v>51</v>
      </c>
      <c r="AF540" s="1"/>
      <c r="AK540" s="1">
        <f t="shared" si="487"/>
        <v>0</v>
      </c>
      <c r="AL540" s="1">
        <f t="shared" si="488"/>
        <v>9.7408112864773901</v>
      </c>
      <c r="AM540" s="1">
        <f t="shared" si="489"/>
        <v>9.7408112864773901</v>
      </c>
      <c r="AN540" s="1"/>
      <c r="AO540" s="30">
        <f t="shared" si="490"/>
        <v>54.69</v>
      </c>
      <c r="AP540" s="30">
        <f t="shared" si="491"/>
        <v>17.8</v>
      </c>
      <c r="AQ540" s="30">
        <f t="shared" si="492"/>
        <v>20</v>
      </c>
      <c r="AR540" s="30">
        <f t="shared" si="493"/>
        <v>5.24</v>
      </c>
      <c r="AS540" s="30">
        <f t="shared" si="494"/>
        <v>0</v>
      </c>
      <c r="AT540" s="31">
        <f t="shared" si="502"/>
        <v>97.72999999999999</v>
      </c>
      <c r="AV540" s="21">
        <f t="shared" si="501"/>
        <v>10280</v>
      </c>
    </row>
    <row r="541" spans="2:48" ht="15.75" customHeight="1" x14ac:dyDescent="0.25">
      <c r="B541" s="78"/>
      <c r="C541" s="45" t="s">
        <v>46</v>
      </c>
      <c r="D541" s="51"/>
      <c r="E541" s="18" t="s">
        <v>75</v>
      </c>
      <c r="F541" s="70" t="s">
        <v>107</v>
      </c>
      <c r="G541" s="23">
        <f>53.78*100/(100-O541)</f>
        <v>54.995398302484915</v>
      </c>
      <c r="H541" s="23">
        <f>7.2*100/(100-O541)</f>
        <v>7.3627160241333467</v>
      </c>
      <c r="I541" s="23">
        <f>36.3*100/(100-O541)</f>
        <v>37.120359955005618</v>
      </c>
      <c r="J541" s="23">
        <v>0</v>
      </c>
      <c r="K541" s="23">
        <f>0.51*100/(100-O541)</f>
        <v>0.52152571837611206</v>
      </c>
      <c r="L541" s="36">
        <v>18.32</v>
      </c>
      <c r="M541" s="18">
        <v>73.739999999999995</v>
      </c>
      <c r="N541" s="18">
        <v>5.73</v>
      </c>
      <c r="O541" s="18">
        <v>2.21</v>
      </c>
      <c r="P541" s="71">
        <v>0</v>
      </c>
      <c r="Q541" s="84">
        <v>800</v>
      </c>
      <c r="R541" s="16" t="s">
        <v>51</v>
      </c>
      <c r="S541" s="21">
        <v>1.33</v>
      </c>
      <c r="T541" s="18" t="s">
        <v>51</v>
      </c>
      <c r="U541" s="18">
        <v>56.33</v>
      </c>
      <c r="V541" s="18">
        <v>17.23</v>
      </c>
      <c r="W541" s="18">
        <v>21.56</v>
      </c>
      <c r="X541" s="18">
        <v>3.57</v>
      </c>
      <c r="Y541" s="73">
        <f t="shared" si="486"/>
        <v>0</v>
      </c>
      <c r="Z541" s="18">
        <v>2.2799999999999998</v>
      </c>
      <c r="AA541" s="18" t="s">
        <v>51</v>
      </c>
      <c r="AB541" s="18" t="s">
        <v>51</v>
      </c>
      <c r="AC541" s="21">
        <v>9600</v>
      </c>
      <c r="AD541" s="18" t="s">
        <v>51</v>
      </c>
      <c r="AF541" s="1"/>
      <c r="AK541" s="1">
        <f t="shared" si="487"/>
        <v>0</v>
      </c>
      <c r="AL541" s="1">
        <f t="shared" si="488"/>
        <v>10.819050657555264</v>
      </c>
      <c r="AM541" s="1">
        <f t="shared" si="489"/>
        <v>10.819050657555264</v>
      </c>
      <c r="AN541" s="1"/>
      <c r="AO541" s="30">
        <f t="shared" si="490"/>
        <v>56.330000000000005</v>
      </c>
      <c r="AP541" s="30">
        <f t="shared" si="491"/>
        <v>17.23</v>
      </c>
      <c r="AQ541" s="30">
        <f t="shared" si="492"/>
        <v>21.56</v>
      </c>
      <c r="AR541" s="30">
        <f t="shared" si="493"/>
        <v>3.5699999999999994</v>
      </c>
      <c r="AS541" s="30">
        <f t="shared" si="494"/>
        <v>0</v>
      </c>
      <c r="AT541" s="31">
        <f t="shared" si="502"/>
        <v>98.69</v>
      </c>
      <c r="AV541" s="21">
        <f t="shared" si="501"/>
        <v>9600</v>
      </c>
    </row>
    <row r="542" spans="2:48" ht="15.75" customHeight="1" x14ac:dyDescent="0.25">
      <c r="B542" s="78"/>
      <c r="C542" s="45" t="s">
        <v>46</v>
      </c>
      <c r="D542" s="51"/>
      <c r="E542" s="18" t="s">
        <v>75</v>
      </c>
      <c r="F542" s="70" t="s">
        <v>108</v>
      </c>
      <c r="G542" s="23">
        <f>50.27*100/(100-O542)</f>
        <v>53.10024294919193</v>
      </c>
      <c r="H542" s="23">
        <f>7.07*100/(100-O542)</f>
        <v>7.4680468997570504</v>
      </c>
      <c r="I542" s="23">
        <f>36.28*100/(100-O542)</f>
        <v>38.322594274849479</v>
      </c>
      <c r="J542" s="23">
        <f>0.42*100/(100-O542)</f>
        <v>0.44364635048061685</v>
      </c>
      <c r="K542" s="23">
        <f>0.63*100/(100-O542)</f>
        <v>0.66546952572092533</v>
      </c>
      <c r="L542" s="87">
        <v>12.12</v>
      </c>
      <c r="M542" s="84">
        <v>75.989999999999995</v>
      </c>
      <c r="N542" s="18">
        <v>6.56</v>
      </c>
      <c r="O542" s="84">
        <v>5.33</v>
      </c>
      <c r="P542" s="71">
        <v>0</v>
      </c>
      <c r="Q542" s="84">
        <v>800</v>
      </c>
      <c r="R542" s="16" t="s">
        <v>51</v>
      </c>
      <c r="S542" s="21">
        <v>1.33</v>
      </c>
      <c r="T542" s="18" t="s">
        <v>51</v>
      </c>
      <c r="U542" s="18">
        <v>56.33</v>
      </c>
      <c r="V542" s="18">
        <v>17.23</v>
      </c>
      <c r="W542" s="18">
        <v>21.56</v>
      </c>
      <c r="X542" s="18">
        <v>3.57</v>
      </c>
      <c r="Y542" s="73">
        <f t="shared" si="486"/>
        <v>0.15144723396269766</v>
      </c>
      <c r="Z542" s="18">
        <v>2.2799999999999998</v>
      </c>
      <c r="AA542" s="18" t="s">
        <v>51</v>
      </c>
      <c r="AB542" s="18" t="s">
        <v>51</v>
      </c>
      <c r="AC542" s="21">
        <v>9600</v>
      </c>
      <c r="AD542" s="18" t="s">
        <v>51</v>
      </c>
      <c r="AF542" s="1"/>
      <c r="AK542" s="1">
        <f t="shared" si="487"/>
        <v>1.5844512517164889E-2</v>
      </c>
      <c r="AL542" s="1">
        <f t="shared" si="488"/>
        <v>10.446223431931054</v>
      </c>
      <c r="AM542" s="1">
        <f t="shared" si="489"/>
        <v>10.462067944448219</v>
      </c>
      <c r="AN542" s="1"/>
      <c r="AO542" s="30">
        <f t="shared" si="490"/>
        <v>56.244689773108824</v>
      </c>
      <c r="AP542" s="30">
        <f t="shared" si="491"/>
        <v>17.203905641588229</v>
      </c>
      <c r="AQ542" s="30">
        <f t="shared" si="492"/>
        <v>21.527347976357643</v>
      </c>
      <c r="AR542" s="30">
        <f t="shared" si="493"/>
        <v>3.5645933337475317</v>
      </c>
      <c r="AS542" s="30">
        <f t="shared" si="494"/>
        <v>0.15144723396269766</v>
      </c>
      <c r="AT542" s="31">
        <f t="shared" si="502"/>
        <v>98.691983958764936</v>
      </c>
      <c r="AV542" s="21">
        <f t="shared" si="501"/>
        <v>9600</v>
      </c>
    </row>
    <row r="543" spans="2:48" ht="15.75" customHeight="1" x14ac:dyDescent="0.25">
      <c r="B543" s="78"/>
      <c r="C543" s="45" t="s">
        <v>46</v>
      </c>
      <c r="D543" s="51"/>
      <c r="E543" s="18" t="s">
        <v>75</v>
      </c>
      <c r="F543" s="70" t="s">
        <v>109</v>
      </c>
      <c r="G543" s="23">
        <f>48.79*100/(100-O543)</f>
        <v>50.309342132398427</v>
      </c>
      <c r="H543" s="23">
        <f>7.33*100/(100-O543)</f>
        <v>7.5582594349350378</v>
      </c>
      <c r="I543" s="23">
        <f>40.18*100/(100-O543)</f>
        <v>41.431222932563415</v>
      </c>
      <c r="J543" s="23">
        <v>0</v>
      </c>
      <c r="K543" s="23">
        <f>0.68*100/(100-O543)</f>
        <v>0.70117550010311402</v>
      </c>
      <c r="L543" s="87">
        <v>8.56</v>
      </c>
      <c r="M543" s="84">
        <v>79.67</v>
      </c>
      <c r="N543" s="18">
        <v>8.75</v>
      </c>
      <c r="O543" s="84">
        <v>3.02</v>
      </c>
      <c r="P543" s="71">
        <v>0</v>
      </c>
      <c r="Q543" s="84">
        <v>800</v>
      </c>
      <c r="R543" s="16" t="s">
        <v>51</v>
      </c>
      <c r="S543" s="21">
        <v>1.33</v>
      </c>
      <c r="T543" s="18" t="s">
        <v>51</v>
      </c>
      <c r="U543" s="18">
        <v>56.33</v>
      </c>
      <c r="V543" s="18">
        <v>17.23</v>
      </c>
      <c r="W543" s="18">
        <v>21.56</v>
      </c>
      <c r="X543" s="18">
        <v>3.57</v>
      </c>
      <c r="Y543" s="73">
        <f t="shared" si="486"/>
        <v>0</v>
      </c>
      <c r="Z543" s="18">
        <v>2.2799999999999998</v>
      </c>
      <c r="AA543" s="18" t="s">
        <v>51</v>
      </c>
      <c r="AB543" s="18" t="s">
        <v>51</v>
      </c>
      <c r="AC543" s="21">
        <v>9600</v>
      </c>
      <c r="AD543" s="18" t="s">
        <v>51</v>
      </c>
      <c r="AF543" s="1"/>
      <c r="AK543" s="1">
        <f t="shared" si="487"/>
        <v>0</v>
      </c>
      <c r="AL543" s="1">
        <f t="shared" si="488"/>
        <v>9.8971793618977078</v>
      </c>
      <c r="AM543" s="1">
        <f t="shared" si="489"/>
        <v>9.8971793618977078</v>
      </c>
      <c r="AN543" s="1"/>
      <c r="AO543" s="30">
        <f t="shared" si="490"/>
        <v>56.330000000000005</v>
      </c>
      <c r="AP543" s="30">
        <f t="shared" si="491"/>
        <v>17.23</v>
      </c>
      <c r="AQ543" s="30">
        <f t="shared" si="492"/>
        <v>21.56</v>
      </c>
      <c r="AR543" s="30">
        <f t="shared" si="493"/>
        <v>3.5699999999999994</v>
      </c>
      <c r="AS543" s="30">
        <f t="shared" si="494"/>
        <v>0</v>
      </c>
      <c r="AT543" s="31">
        <f t="shared" si="502"/>
        <v>98.69</v>
      </c>
      <c r="AV543" s="21">
        <f t="shared" si="501"/>
        <v>9600</v>
      </c>
    </row>
    <row r="544" spans="2:48" ht="15.75" customHeight="1" x14ac:dyDescent="0.25">
      <c r="B544" s="78"/>
      <c r="C544" s="45" t="s">
        <v>46</v>
      </c>
      <c r="D544" s="51"/>
      <c r="E544" s="18" t="s">
        <v>75</v>
      </c>
      <c r="F544" s="70" t="s">
        <v>107</v>
      </c>
      <c r="G544" s="23">
        <f>53.78*100/(100-O544)</f>
        <v>54.995398302484915</v>
      </c>
      <c r="H544" s="23">
        <f>7.2*100/(100-O544)</f>
        <v>7.3627160241333467</v>
      </c>
      <c r="I544" s="23">
        <f>36.3*100/(100-O544)</f>
        <v>37.120359955005618</v>
      </c>
      <c r="J544" s="23">
        <v>0</v>
      </c>
      <c r="K544" s="23">
        <f>0.51*100/(100-O544)</f>
        <v>0.52152571837611206</v>
      </c>
      <c r="L544" s="36">
        <v>18.32</v>
      </c>
      <c r="M544" s="18">
        <v>73.739999999999995</v>
      </c>
      <c r="N544" s="18">
        <v>5.73</v>
      </c>
      <c r="O544" s="18">
        <v>2.21</v>
      </c>
      <c r="P544" s="71">
        <v>0</v>
      </c>
      <c r="Q544" s="84">
        <v>800</v>
      </c>
      <c r="R544" s="16" t="s">
        <v>51</v>
      </c>
      <c r="S544" s="21">
        <v>1.33</v>
      </c>
      <c r="T544" s="18" t="s">
        <v>51</v>
      </c>
      <c r="U544" s="18">
        <v>57.47</v>
      </c>
      <c r="V544" s="18">
        <v>16.36</v>
      </c>
      <c r="W544" s="18">
        <v>22.59</v>
      </c>
      <c r="X544" s="18">
        <v>2.79</v>
      </c>
      <c r="Y544" s="73">
        <f t="shared" si="486"/>
        <v>0</v>
      </c>
      <c r="Z544" s="18">
        <v>2.37</v>
      </c>
      <c r="AA544" s="18" t="s">
        <v>51</v>
      </c>
      <c r="AB544" s="18" t="s">
        <v>51</v>
      </c>
      <c r="AC544" s="21">
        <v>9290</v>
      </c>
      <c r="AD544" s="18" t="s">
        <v>51</v>
      </c>
      <c r="AF544" s="1"/>
      <c r="AK544" s="1">
        <f t="shared" si="487"/>
        <v>0</v>
      </c>
      <c r="AL544" s="1">
        <f t="shared" si="488"/>
        <v>10.9797552911845</v>
      </c>
      <c r="AM544" s="1">
        <f t="shared" si="489"/>
        <v>10.9797552911845</v>
      </c>
      <c r="AN544" s="1"/>
      <c r="AO544" s="30">
        <f t="shared" si="490"/>
        <v>57.47</v>
      </c>
      <c r="AP544" s="30">
        <f t="shared" si="491"/>
        <v>16.36</v>
      </c>
      <c r="AQ544" s="30">
        <f t="shared" si="492"/>
        <v>22.59</v>
      </c>
      <c r="AR544" s="30">
        <f t="shared" si="493"/>
        <v>2.7899999999999996</v>
      </c>
      <c r="AS544" s="30">
        <f t="shared" si="494"/>
        <v>0</v>
      </c>
      <c r="AT544" s="31">
        <f t="shared" si="502"/>
        <v>99.210000000000008</v>
      </c>
      <c r="AV544" s="21">
        <f t="shared" si="501"/>
        <v>9290</v>
      </c>
    </row>
    <row r="545" spans="1:48" ht="15.75" customHeight="1" x14ac:dyDescent="0.25">
      <c r="B545" s="78"/>
      <c r="C545" s="45" t="s">
        <v>46</v>
      </c>
      <c r="D545" s="51"/>
      <c r="E545" s="18" t="s">
        <v>75</v>
      </c>
      <c r="F545" s="70" t="s">
        <v>108</v>
      </c>
      <c r="G545" s="23">
        <f>50.27*100/(100-O545)</f>
        <v>53.10024294919193</v>
      </c>
      <c r="H545" s="23">
        <f>7.07*100/(100-O545)</f>
        <v>7.4680468997570504</v>
      </c>
      <c r="I545" s="23">
        <f>36.28*100/(100-O545)</f>
        <v>38.322594274849479</v>
      </c>
      <c r="J545" s="23">
        <f>0.42*100/(100-O545)</f>
        <v>0.44364635048061685</v>
      </c>
      <c r="K545" s="23">
        <f>0.63*100/(100-O545)</f>
        <v>0.66546952572092533</v>
      </c>
      <c r="L545" s="87">
        <v>12.12</v>
      </c>
      <c r="M545" s="84">
        <v>75.989999999999995</v>
      </c>
      <c r="N545" s="18">
        <v>6.56</v>
      </c>
      <c r="O545" s="84">
        <v>5.33</v>
      </c>
      <c r="P545" s="71">
        <v>0</v>
      </c>
      <c r="Q545" s="84">
        <v>800</v>
      </c>
      <c r="R545" s="16" t="s">
        <v>51</v>
      </c>
      <c r="S545" s="21">
        <v>1.33</v>
      </c>
      <c r="T545" s="18" t="s">
        <v>51</v>
      </c>
      <c r="U545" s="18">
        <v>57.47</v>
      </c>
      <c r="V545" s="18">
        <v>16.36</v>
      </c>
      <c r="W545" s="18">
        <v>22.59</v>
      </c>
      <c r="X545" s="18">
        <v>2.79</v>
      </c>
      <c r="Y545" s="73">
        <f t="shared" si="486"/>
        <v>0.14923389216657532</v>
      </c>
      <c r="Z545" s="18">
        <v>2.37</v>
      </c>
      <c r="AA545" s="18" t="s">
        <v>51</v>
      </c>
      <c r="AB545" s="18" t="s">
        <v>51</v>
      </c>
      <c r="AC545" s="21">
        <v>9290</v>
      </c>
      <c r="AD545" s="18" t="s">
        <v>51</v>
      </c>
      <c r="AF545" s="1"/>
      <c r="AK545" s="1">
        <f t="shared" si="487"/>
        <v>1.5844512517164889E-2</v>
      </c>
      <c r="AL545" s="1">
        <f t="shared" si="488"/>
        <v>10.601390143186379</v>
      </c>
      <c r="AM545" s="1">
        <f t="shared" si="489"/>
        <v>10.617234655703543</v>
      </c>
      <c r="AN545" s="1"/>
      <c r="AO545" s="30">
        <f t="shared" si="490"/>
        <v>57.384235282171872</v>
      </c>
      <c r="AP545" s="30">
        <f t="shared" si="491"/>
        <v>16.335585335241547</v>
      </c>
      <c r="AQ545" s="30">
        <f t="shared" si="492"/>
        <v>22.55628806375957</v>
      </c>
      <c r="AR545" s="30">
        <f t="shared" si="493"/>
        <v>2.7858363744085528</v>
      </c>
      <c r="AS545" s="30">
        <f t="shared" si="494"/>
        <v>0.14923389216657532</v>
      </c>
      <c r="AT545" s="31">
        <f t="shared" si="502"/>
        <v>99.21117894774811</v>
      </c>
      <c r="AV545" s="21">
        <f t="shared" si="501"/>
        <v>9290</v>
      </c>
    </row>
    <row r="546" spans="1:48" ht="15.75" customHeight="1" x14ac:dyDescent="0.25">
      <c r="B546" s="78"/>
      <c r="C546" s="45" t="s">
        <v>46</v>
      </c>
      <c r="D546" s="51"/>
      <c r="E546" s="18" t="s">
        <v>75</v>
      </c>
      <c r="F546" s="70" t="s">
        <v>109</v>
      </c>
      <c r="G546" s="23">
        <f>48.79*100/(100-O546)</f>
        <v>50.309342132398427</v>
      </c>
      <c r="H546" s="23">
        <f>7.33*100/(100-O546)</f>
        <v>7.5582594349350378</v>
      </c>
      <c r="I546" s="23">
        <f>40.18*100/(100-O546)</f>
        <v>41.431222932563415</v>
      </c>
      <c r="J546" s="23">
        <v>0</v>
      </c>
      <c r="K546" s="23">
        <f>0.68*100/(100-O546)</f>
        <v>0.70117550010311402</v>
      </c>
      <c r="L546" s="87">
        <v>8.56</v>
      </c>
      <c r="M546" s="84">
        <v>79.67</v>
      </c>
      <c r="N546" s="18">
        <v>8.75</v>
      </c>
      <c r="O546" s="84">
        <v>3.02</v>
      </c>
      <c r="P546" s="71">
        <v>0</v>
      </c>
      <c r="Q546" s="84">
        <v>800</v>
      </c>
      <c r="R546" s="16" t="s">
        <v>51</v>
      </c>
      <c r="S546" s="21">
        <v>1.33</v>
      </c>
      <c r="T546" s="18" t="s">
        <v>51</v>
      </c>
      <c r="U546" s="18">
        <v>57.47</v>
      </c>
      <c r="V546" s="18">
        <v>16.36</v>
      </c>
      <c r="W546" s="18">
        <v>22.59</v>
      </c>
      <c r="X546" s="18">
        <v>2.79</v>
      </c>
      <c r="Y546" s="73">
        <f t="shared" si="486"/>
        <v>0</v>
      </c>
      <c r="Z546" s="18">
        <v>2.37</v>
      </c>
      <c r="AA546" s="18" t="s">
        <v>51</v>
      </c>
      <c r="AB546" s="18" t="s">
        <v>51</v>
      </c>
      <c r="AC546" s="21">
        <v>9290</v>
      </c>
      <c r="AD546" s="18" t="s">
        <v>51</v>
      </c>
      <c r="AF546" s="1"/>
      <c r="AK546" s="1">
        <f t="shared" si="487"/>
        <v>0</v>
      </c>
      <c r="AL546" s="1">
        <f t="shared" si="488"/>
        <v>10.044190650934041</v>
      </c>
      <c r="AM546" s="1">
        <f t="shared" si="489"/>
        <v>10.044190650934041</v>
      </c>
      <c r="AN546" s="1"/>
      <c r="AO546" s="30">
        <f t="shared" si="490"/>
        <v>57.47</v>
      </c>
      <c r="AP546" s="30">
        <f t="shared" si="491"/>
        <v>16.36</v>
      </c>
      <c r="AQ546" s="30">
        <f t="shared" si="492"/>
        <v>22.59</v>
      </c>
      <c r="AR546" s="30">
        <f t="shared" si="493"/>
        <v>2.7899999999999996</v>
      </c>
      <c r="AS546" s="30">
        <f t="shared" si="494"/>
        <v>0</v>
      </c>
      <c r="AT546" s="31">
        <f t="shared" si="502"/>
        <v>99.210000000000008</v>
      </c>
      <c r="AV546" s="21">
        <f t="shared" si="501"/>
        <v>9290</v>
      </c>
    </row>
    <row r="547" spans="1:48" ht="15.75" customHeight="1" x14ac:dyDescent="0.25">
      <c r="B547" s="78"/>
      <c r="C547" s="45" t="s">
        <v>46</v>
      </c>
      <c r="D547" s="51"/>
      <c r="E547" s="18" t="s">
        <v>75</v>
      </c>
      <c r="F547" s="70" t="s">
        <v>107</v>
      </c>
      <c r="G547" s="23">
        <f>53.78*100/(100-O547)</f>
        <v>54.995398302484915</v>
      </c>
      <c r="H547" s="23">
        <f>7.2*100/(100-O547)</f>
        <v>7.3627160241333467</v>
      </c>
      <c r="I547" s="23">
        <f>36.3*100/(100-O547)</f>
        <v>37.120359955005618</v>
      </c>
      <c r="J547" s="23">
        <v>0</v>
      </c>
      <c r="K547" s="23">
        <f>0.51*100/(100-O547)</f>
        <v>0.52152571837611206</v>
      </c>
      <c r="L547" s="36">
        <v>18.32</v>
      </c>
      <c r="M547" s="18">
        <v>73.739999999999995</v>
      </c>
      <c r="N547" s="18">
        <v>5.73</v>
      </c>
      <c r="O547" s="18">
        <v>2.21</v>
      </c>
      <c r="P547" s="71">
        <v>0</v>
      </c>
      <c r="Q547" s="84">
        <v>800</v>
      </c>
      <c r="R547" s="16" t="s">
        <v>51</v>
      </c>
      <c r="S547" s="21">
        <v>1.33</v>
      </c>
      <c r="T547" s="18" t="s">
        <v>51</v>
      </c>
      <c r="U547" s="18">
        <v>58.3</v>
      </c>
      <c r="V547" s="18">
        <v>15.39</v>
      </c>
      <c r="W547" s="18">
        <v>23.33</v>
      </c>
      <c r="X547" s="18">
        <v>2.33</v>
      </c>
      <c r="Y547" s="73">
        <f t="shared" si="486"/>
        <v>0</v>
      </c>
      <c r="Z547" s="18">
        <v>2.41</v>
      </c>
      <c r="AA547" s="18" t="s">
        <v>51</v>
      </c>
      <c r="AB547" s="18" t="s">
        <v>51</v>
      </c>
      <c r="AC547" s="21">
        <v>8990</v>
      </c>
      <c r="AD547" s="18" t="s">
        <v>51</v>
      </c>
      <c r="AF547" s="1"/>
      <c r="AK547" s="1">
        <f t="shared" si="487"/>
        <v>0</v>
      </c>
      <c r="AL547" s="1">
        <f t="shared" si="488"/>
        <v>11.164311470256784</v>
      </c>
      <c r="AM547" s="1">
        <f t="shared" si="489"/>
        <v>11.164311470256784</v>
      </c>
      <c r="AN547" s="1"/>
      <c r="AO547" s="30">
        <f t="shared" si="490"/>
        <v>58.3</v>
      </c>
      <c r="AP547" s="30">
        <f t="shared" si="491"/>
        <v>15.39</v>
      </c>
      <c r="AQ547" s="30">
        <f t="shared" si="492"/>
        <v>23.33</v>
      </c>
      <c r="AR547" s="30">
        <f t="shared" si="493"/>
        <v>2.33</v>
      </c>
      <c r="AS547" s="30">
        <f t="shared" si="494"/>
        <v>0</v>
      </c>
      <c r="AT547" s="31">
        <f t="shared" si="502"/>
        <v>99.35</v>
      </c>
      <c r="AV547" s="21">
        <f t="shared" si="501"/>
        <v>8990</v>
      </c>
    </row>
    <row r="548" spans="1:48" ht="15.75" customHeight="1" x14ac:dyDescent="0.25">
      <c r="B548" s="78"/>
      <c r="C548" s="45" t="s">
        <v>46</v>
      </c>
      <c r="D548" s="51"/>
      <c r="E548" s="18" t="s">
        <v>75</v>
      </c>
      <c r="F548" s="70" t="s">
        <v>108</v>
      </c>
      <c r="G548" s="23">
        <f>50.27*100/(100-O548)</f>
        <v>53.10024294919193</v>
      </c>
      <c r="H548" s="23">
        <f>7.07*100/(100-O548)</f>
        <v>7.4680468997570504</v>
      </c>
      <c r="I548" s="23">
        <f>36.28*100/(100-O548)</f>
        <v>38.322594274849479</v>
      </c>
      <c r="J548" s="23">
        <f>0.42*100/(100-O548)</f>
        <v>0.44364635048061685</v>
      </c>
      <c r="K548" s="23">
        <f>0.63*100/(100-O548)</f>
        <v>0.66546952572092533</v>
      </c>
      <c r="L548" s="87">
        <v>12.12</v>
      </c>
      <c r="M548" s="84">
        <v>75.989999999999995</v>
      </c>
      <c r="N548" s="18">
        <v>6.56</v>
      </c>
      <c r="O548" s="84">
        <v>5.33</v>
      </c>
      <c r="P548" s="71">
        <v>0</v>
      </c>
      <c r="Q548" s="84">
        <v>800</v>
      </c>
      <c r="R548" s="16" t="s">
        <v>51</v>
      </c>
      <c r="S548" s="21">
        <v>1.33</v>
      </c>
      <c r="T548" s="18" t="s">
        <v>51</v>
      </c>
      <c r="U548" s="18">
        <v>58.3</v>
      </c>
      <c r="V548" s="18">
        <v>15.39</v>
      </c>
      <c r="W548" s="18">
        <v>23.33</v>
      </c>
      <c r="X548" s="18">
        <v>2.33</v>
      </c>
      <c r="Y548" s="73">
        <f t="shared" si="486"/>
        <v>0.14677054156919539</v>
      </c>
      <c r="Z548" s="18">
        <v>2.41</v>
      </c>
      <c r="AA548" s="18" t="s">
        <v>51</v>
      </c>
      <c r="AB548" s="18" t="s">
        <v>51</v>
      </c>
      <c r="AC548" s="21">
        <v>8990</v>
      </c>
      <c r="AD548" s="18" t="s">
        <v>51</v>
      </c>
      <c r="AF548" s="1"/>
      <c r="AK548" s="1">
        <f t="shared" si="487"/>
        <v>1.5844512517164889E-2</v>
      </c>
      <c r="AL548" s="1">
        <f t="shared" si="488"/>
        <v>10.779586469588294</v>
      </c>
      <c r="AM548" s="1">
        <f t="shared" si="489"/>
        <v>10.795430982105458</v>
      </c>
      <c r="AN548" s="1"/>
      <c r="AO548" s="30">
        <f t="shared" si="490"/>
        <v>58.21443277426517</v>
      </c>
      <c r="AP548" s="30">
        <f t="shared" si="491"/>
        <v>15.367412013652501</v>
      </c>
      <c r="AQ548" s="30">
        <f t="shared" si="492"/>
        <v>23.295758432651905</v>
      </c>
      <c r="AR548" s="30">
        <f t="shared" si="493"/>
        <v>2.3265802463814378</v>
      </c>
      <c r="AS548" s="30">
        <f t="shared" si="494"/>
        <v>0.14677054156919539</v>
      </c>
      <c r="AT548" s="31">
        <f t="shared" si="502"/>
        <v>99.350954008520219</v>
      </c>
      <c r="AV548" s="21">
        <f t="shared" si="501"/>
        <v>8990</v>
      </c>
    </row>
    <row r="549" spans="1:48" ht="15.75" customHeight="1" x14ac:dyDescent="0.25">
      <c r="B549" s="78"/>
      <c r="C549" s="45" t="s">
        <v>46</v>
      </c>
      <c r="D549" s="64"/>
      <c r="E549" s="18" t="s">
        <v>75</v>
      </c>
      <c r="F549" s="70" t="s">
        <v>109</v>
      </c>
      <c r="G549" s="23">
        <f>48.79*100/(100-O549)</f>
        <v>50.309342132398427</v>
      </c>
      <c r="H549" s="23">
        <f>7.33*100/(100-O549)</f>
        <v>7.5582594349350378</v>
      </c>
      <c r="I549" s="23">
        <f>40.18*100/(100-O549)</f>
        <v>41.431222932563415</v>
      </c>
      <c r="J549" s="23">
        <v>0</v>
      </c>
      <c r="K549" s="23">
        <f>0.68*100/(100-O549)</f>
        <v>0.70117550010311402</v>
      </c>
      <c r="L549" s="87">
        <v>8.56</v>
      </c>
      <c r="M549" s="84">
        <v>79.67</v>
      </c>
      <c r="N549" s="18">
        <v>8.75</v>
      </c>
      <c r="O549" s="84">
        <v>3.02</v>
      </c>
      <c r="P549" s="71">
        <v>0</v>
      </c>
      <c r="Q549" s="84">
        <v>800</v>
      </c>
      <c r="R549" s="16" t="s">
        <v>51</v>
      </c>
      <c r="S549" s="21">
        <v>1.33</v>
      </c>
      <c r="T549" s="18" t="s">
        <v>51</v>
      </c>
      <c r="U549" s="18">
        <v>58.3</v>
      </c>
      <c r="V549" s="18">
        <v>15.39</v>
      </c>
      <c r="W549" s="18">
        <v>23.33</v>
      </c>
      <c r="X549" s="18">
        <v>2.33</v>
      </c>
      <c r="Y549" s="73">
        <f t="shared" si="486"/>
        <v>0</v>
      </c>
      <c r="Z549" s="18">
        <v>2.41</v>
      </c>
      <c r="AA549" s="18" t="s">
        <v>51</v>
      </c>
      <c r="AB549" s="18" t="s">
        <v>51</v>
      </c>
      <c r="AC549" s="21">
        <v>8990</v>
      </c>
      <c r="AD549" s="18" t="s">
        <v>51</v>
      </c>
      <c r="AF549" s="1"/>
      <c r="AK549" s="1">
        <f t="shared" si="487"/>
        <v>0</v>
      </c>
      <c r="AL549" s="1">
        <f t="shared" si="488"/>
        <v>10.213021139341945</v>
      </c>
      <c r="AM549" s="1">
        <f t="shared" si="489"/>
        <v>10.213021139341945</v>
      </c>
      <c r="AN549" s="1"/>
      <c r="AO549" s="30">
        <f t="shared" si="490"/>
        <v>58.3</v>
      </c>
      <c r="AP549" s="30">
        <f t="shared" si="491"/>
        <v>15.39</v>
      </c>
      <c r="AQ549" s="30">
        <f t="shared" si="492"/>
        <v>23.33</v>
      </c>
      <c r="AR549" s="30">
        <f t="shared" si="493"/>
        <v>2.33</v>
      </c>
      <c r="AS549" s="30">
        <f t="shared" si="494"/>
        <v>0</v>
      </c>
      <c r="AT549" s="31">
        <f t="shared" si="502"/>
        <v>99.35</v>
      </c>
      <c r="AV549" s="21">
        <f t="shared" si="501"/>
        <v>8990</v>
      </c>
    </row>
    <row r="550" spans="1:48" ht="15.75" customHeight="1" x14ac:dyDescent="0.25">
      <c r="A550" s="14"/>
      <c r="B550" s="78" t="s">
        <v>112</v>
      </c>
      <c r="C550" s="89" t="s">
        <v>46</v>
      </c>
      <c r="D550" s="70" t="s">
        <v>113</v>
      </c>
      <c r="E550" s="18" t="s">
        <v>48</v>
      </c>
      <c r="F550" s="74" t="s">
        <v>114</v>
      </c>
      <c r="G550" s="18">
        <v>44.44</v>
      </c>
      <c r="H550" s="18">
        <v>6.17</v>
      </c>
      <c r="I550" s="18">
        <v>49.38</v>
      </c>
      <c r="J550" s="18">
        <v>0.01</v>
      </c>
      <c r="K550" s="18">
        <v>0</v>
      </c>
      <c r="L550" s="18">
        <v>0</v>
      </c>
      <c r="M550" s="18">
        <v>94.13</v>
      </c>
      <c r="N550" s="18">
        <v>5.8</v>
      </c>
      <c r="O550" s="18">
        <v>0.08</v>
      </c>
      <c r="P550" s="18">
        <v>0.2</v>
      </c>
      <c r="Q550" s="84">
        <v>600</v>
      </c>
      <c r="R550" s="16" t="s">
        <v>51</v>
      </c>
      <c r="S550" s="21">
        <v>0</v>
      </c>
      <c r="T550" s="18" t="s">
        <v>51</v>
      </c>
      <c r="U550" s="18">
        <v>5.95</v>
      </c>
      <c r="V550" s="18">
        <v>13.57</v>
      </c>
      <c r="W550" s="18">
        <v>21.64</v>
      </c>
      <c r="X550" s="18">
        <v>1.87</v>
      </c>
      <c r="Y550" s="18">
        <v>59.97</v>
      </c>
      <c r="Z550" s="18" t="s">
        <v>51</v>
      </c>
      <c r="AA550" s="18" t="s">
        <v>51</v>
      </c>
      <c r="AB550" s="18" t="s">
        <v>51</v>
      </c>
      <c r="AC550" s="21">
        <v>7020</v>
      </c>
      <c r="AD550" s="18" t="s">
        <v>51</v>
      </c>
      <c r="AF550" s="1"/>
      <c r="AK550" s="1"/>
      <c r="AL550" s="1"/>
      <c r="AM550" s="1"/>
      <c r="AN550" s="1"/>
      <c r="AO550" s="30">
        <f t="shared" ref="AO550:AS550" si="503">U550</f>
        <v>5.95</v>
      </c>
      <c r="AP550" s="30">
        <f t="shared" si="503"/>
        <v>13.57</v>
      </c>
      <c r="AQ550" s="30">
        <f t="shared" si="503"/>
        <v>21.64</v>
      </c>
      <c r="AR550" s="30">
        <f t="shared" si="503"/>
        <v>1.87</v>
      </c>
      <c r="AS550" s="30">
        <f t="shared" si="503"/>
        <v>59.97</v>
      </c>
      <c r="AT550" s="31">
        <f t="shared" si="502"/>
        <v>103</v>
      </c>
      <c r="AV550" s="21">
        <f t="shared" si="501"/>
        <v>7020</v>
      </c>
    </row>
    <row r="551" spans="1:48" ht="15.75" customHeight="1" x14ac:dyDescent="0.25">
      <c r="B551" s="78"/>
      <c r="C551" s="89" t="s">
        <v>46</v>
      </c>
      <c r="D551" s="70"/>
      <c r="E551" s="18" t="s">
        <v>48</v>
      </c>
      <c r="F551" s="76"/>
      <c r="G551" s="18">
        <v>44.44</v>
      </c>
      <c r="H551" s="18">
        <v>6.17</v>
      </c>
      <c r="I551" s="18">
        <v>49.38</v>
      </c>
      <c r="J551" s="18">
        <v>0.01</v>
      </c>
      <c r="K551" s="18">
        <v>0</v>
      </c>
      <c r="L551" s="18">
        <v>0</v>
      </c>
      <c r="M551" s="18">
        <v>94.13</v>
      </c>
      <c r="N551" s="18">
        <v>5.8</v>
      </c>
      <c r="O551" s="18">
        <v>0.08</v>
      </c>
      <c r="P551" s="18">
        <v>0.2</v>
      </c>
      <c r="Q551" s="84">
        <v>700</v>
      </c>
      <c r="R551" s="16" t="s">
        <v>51</v>
      </c>
      <c r="S551" s="21">
        <v>0</v>
      </c>
      <c r="T551" s="18" t="s">
        <v>51</v>
      </c>
      <c r="U551" s="18">
        <v>8.74</v>
      </c>
      <c r="V551" s="18">
        <v>14.58</v>
      </c>
      <c r="W551" s="18">
        <v>24.18</v>
      </c>
      <c r="X551" s="18">
        <v>4.1500000000000004</v>
      </c>
      <c r="Y551" s="18">
        <v>48.35</v>
      </c>
      <c r="Z551" s="18" t="s">
        <v>51</v>
      </c>
      <c r="AA551" s="18" t="s">
        <v>51</v>
      </c>
      <c r="AB551" s="18" t="s">
        <v>51</v>
      </c>
      <c r="AC551" s="21">
        <v>8270</v>
      </c>
      <c r="AD551" s="18" t="s">
        <v>51</v>
      </c>
      <c r="AF551" s="1"/>
      <c r="AK551" s="1"/>
      <c r="AL551" s="1"/>
      <c r="AM551" s="1"/>
      <c r="AN551" s="1"/>
      <c r="AO551" s="30">
        <f t="shared" ref="AO551:AS551" si="504">U551</f>
        <v>8.74</v>
      </c>
      <c r="AP551" s="30">
        <f t="shared" si="504"/>
        <v>14.58</v>
      </c>
      <c r="AQ551" s="30">
        <f t="shared" si="504"/>
        <v>24.18</v>
      </c>
      <c r="AR551" s="30">
        <f t="shared" si="504"/>
        <v>4.1500000000000004</v>
      </c>
      <c r="AS551" s="30">
        <f t="shared" si="504"/>
        <v>48.35</v>
      </c>
      <c r="AT551" s="31">
        <f t="shared" si="502"/>
        <v>100</v>
      </c>
      <c r="AV551" s="21">
        <f t="shared" si="501"/>
        <v>8270</v>
      </c>
    </row>
    <row r="552" spans="1:48" ht="15.75" customHeight="1" x14ac:dyDescent="0.25">
      <c r="B552" s="78"/>
      <c r="C552" s="89" t="s">
        <v>46</v>
      </c>
      <c r="D552" s="70"/>
      <c r="E552" s="18" t="s">
        <v>48</v>
      </c>
      <c r="F552" s="76"/>
      <c r="G552" s="18">
        <v>44.44</v>
      </c>
      <c r="H552" s="18">
        <v>6.17</v>
      </c>
      <c r="I552" s="18">
        <v>49.38</v>
      </c>
      <c r="J552" s="18">
        <v>0.01</v>
      </c>
      <c r="K552" s="18">
        <v>0</v>
      </c>
      <c r="L552" s="18">
        <v>0</v>
      </c>
      <c r="M552" s="18">
        <v>94.13</v>
      </c>
      <c r="N552" s="18">
        <v>5.8</v>
      </c>
      <c r="O552" s="18">
        <v>0.08</v>
      </c>
      <c r="P552" s="18">
        <v>0.2</v>
      </c>
      <c r="Q552" s="84">
        <v>800</v>
      </c>
      <c r="R552" s="16" t="s">
        <v>51</v>
      </c>
      <c r="S552" s="21">
        <v>0</v>
      </c>
      <c r="T552" s="18" t="s">
        <v>51</v>
      </c>
      <c r="U552" s="18">
        <v>16.079999999999998</v>
      </c>
      <c r="V552" s="18">
        <v>12.13</v>
      </c>
      <c r="W552" s="18">
        <v>25.12</v>
      </c>
      <c r="X552" s="18">
        <v>4.21</v>
      </c>
      <c r="Y552" s="18">
        <v>42.47</v>
      </c>
      <c r="Z552" s="18" t="s">
        <v>51</v>
      </c>
      <c r="AA552" s="18" t="s">
        <v>51</v>
      </c>
      <c r="AB552" s="18" t="s">
        <v>51</v>
      </c>
      <c r="AC552" s="21">
        <v>8300</v>
      </c>
      <c r="AD552" s="18" t="s">
        <v>51</v>
      </c>
      <c r="AF552" s="1"/>
      <c r="AK552" s="1"/>
      <c r="AL552" s="1"/>
      <c r="AM552" s="1"/>
      <c r="AN552" s="1"/>
      <c r="AO552" s="30">
        <f t="shared" ref="AO552:AS552" si="505">U552</f>
        <v>16.079999999999998</v>
      </c>
      <c r="AP552" s="30">
        <f t="shared" si="505"/>
        <v>12.13</v>
      </c>
      <c r="AQ552" s="30">
        <f t="shared" si="505"/>
        <v>25.12</v>
      </c>
      <c r="AR552" s="30">
        <f t="shared" si="505"/>
        <v>4.21</v>
      </c>
      <c r="AS552" s="30">
        <f t="shared" si="505"/>
        <v>42.47</v>
      </c>
      <c r="AT552" s="31">
        <f t="shared" si="502"/>
        <v>100.00999999999999</v>
      </c>
      <c r="AV552" s="21">
        <f t="shared" si="501"/>
        <v>8300</v>
      </c>
    </row>
    <row r="553" spans="1:48" ht="15.75" customHeight="1" x14ac:dyDescent="0.25">
      <c r="B553" s="78"/>
      <c r="C553" s="89" t="s">
        <v>46</v>
      </c>
      <c r="D553" s="70"/>
      <c r="E553" s="18" t="s">
        <v>48</v>
      </c>
      <c r="F553" s="76"/>
      <c r="G553" s="18">
        <v>44.44</v>
      </c>
      <c r="H553" s="18">
        <v>6.17</v>
      </c>
      <c r="I553" s="18">
        <v>49.38</v>
      </c>
      <c r="J553" s="18">
        <v>0.01</v>
      </c>
      <c r="K553" s="18">
        <v>0</v>
      </c>
      <c r="L553" s="18">
        <v>0</v>
      </c>
      <c r="M553" s="18">
        <v>94.13</v>
      </c>
      <c r="N553" s="18">
        <v>5.8</v>
      </c>
      <c r="O553" s="18">
        <v>0.08</v>
      </c>
      <c r="P553" s="18">
        <v>0.2</v>
      </c>
      <c r="Q553" s="84">
        <v>900</v>
      </c>
      <c r="R553" s="16" t="s">
        <v>51</v>
      </c>
      <c r="S553" s="21">
        <v>0</v>
      </c>
      <c r="T553" s="18" t="s">
        <v>51</v>
      </c>
      <c r="U553" s="18">
        <v>24.73</v>
      </c>
      <c r="V553" s="18">
        <v>16.920000000000002</v>
      </c>
      <c r="W553" s="18">
        <v>19.22</v>
      </c>
      <c r="X553" s="18">
        <v>4.84</v>
      </c>
      <c r="Y553" s="18">
        <v>34.299999999999997</v>
      </c>
      <c r="Z553" s="18" t="s">
        <v>51</v>
      </c>
      <c r="AA553" s="18" t="s">
        <v>51</v>
      </c>
      <c r="AB553" s="18" t="s">
        <v>51</v>
      </c>
      <c r="AC553" s="21">
        <v>9950</v>
      </c>
      <c r="AD553" s="18" t="s">
        <v>51</v>
      </c>
      <c r="AF553" s="1"/>
      <c r="AK553" s="1"/>
      <c r="AL553" s="1"/>
      <c r="AM553" s="1"/>
      <c r="AN553" s="1"/>
      <c r="AO553" s="30">
        <f t="shared" ref="AO553:AS553" si="506">U553</f>
        <v>24.73</v>
      </c>
      <c r="AP553" s="30">
        <f t="shared" si="506"/>
        <v>16.920000000000002</v>
      </c>
      <c r="AQ553" s="30">
        <f t="shared" si="506"/>
        <v>19.22</v>
      </c>
      <c r="AR553" s="30">
        <f t="shared" si="506"/>
        <v>4.84</v>
      </c>
      <c r="AS553" s="30">
        <f t="shared" si="506"/>
        <v>34.299999999999997</v>
      </c>
      <c r="AT553" s="31">
        <f t="shared" si="502"/>
        <v>100.01</v>
      </c>
      <c r="AV553" s="21">
        <f t="shared" si="501"/>
        <v>9950</v>
      </c>
    </row>
    <row r="554" spans="1:48" ht="15.75" customHeight="1" x14ac:dyDescent="0.25">
      <c r="B554" s="78"/>
      <c r="C554" s="89" t="s">
        <v>46</v>
      </c>
      <c r="D554" s="70"/>
      <c r="E554" s="18" t="s">
        <v>48</v>
      </c>
      <c r="F554" s="76"/>
      <c r="G554" s="18">
        <v>44.44</v>
      </c>
      <c r="H554" s="18">
        <v>6.17</v>
      </c>
      <c r="I554" s="18">
        <v>49.38</v>
      </c>
      <c r="J554" s="18">
        <v>0.01</v>
      </c>
      <c r="K554" s="18">
        <v>0</v>
      </c>
      <c r="L554" s="18">
        <v>0</v>
      </c>
      <c r="M554" s="18">
        <v>94.13</v>
      </c>
      <c r="N554" s="18">
        <v>5.8</v>
      </c>
      <c r="O554" s="18">
        <v>0.08</v>
      </c>
      <c r="P554" s="18">
        <v>0.2</v>
      </c>
      <c r="Q554" s="84">
        <v>1000</v>
      </c>
      <c r="R554" s="16" t="s">
        <v>51</v>
      </c>
      <c r="S554" s="21">
        <v>0</v>
      </c>
      <c r="T554" s="18" t="s">
        <v>51</v>
      </c>
      <c r="U554" s="18">
        <v>29.54</v>
      </c>
      <c r="V554" s="18">
        <v>23.6</v>
      </c>
      <c r="W554" s="18">
        <v>10.9</v>
      </c>
      <c r="X554" s="18">
        <v>2.67</v>
      </c>
      <c r="Y554" s="18">
        <v>33.28</v>
      </c>
      <c r="Z554" s="18" t="s">
        <v>51</v>
      </c>
      <c r="AA554" s="18" t="s">
        <v>51</v>
      </c>
      <c r="AB554" s="18" t="s">
        <v>51</v>
      </c>
      <c r="AC554" s="21">
        <v>10670</v>
      </c>
      <c r="AD554" s="18" t="s">
        <v>51</v>
      </c>
      <c r="AF554" s="1"/>
      <c r="AK554" s="1"/>
      <c r="AL554" s="1"/>
      <c r="AM554" s="1"/>
      <c r="AN554" s="1"/>
      <c r="AO554" s="30">
        <f t="shared" ref="AO554:AS554" si="507">U554</f>
        <v>29.54</v>
      </c>
      <c r="AP554" s="30">
        <f t="shared" si="507"/>
        <v>23.6</v>
      </c>
      <c r="AQ554" s="30">
        <f t="shared" si="507"/>
        <v>10.9</v>
      </c>
      <c r="AR554" s="30">
        <f t="shared" si="507"/>
        <v>2.67</v>
      </c>
      <c r="AS554" s="30">
        <f t="shared" si="507"/>
        <v>33.28</v>
      </c>
      <c r="AT554" s="31">
        <f t="shared" si="502"/>
        <v>99.990000000000009</v>
      </c>
      <c r="AV554" s="21">
        <f t="shared" si="501"/>
        <v>10670</v>
      </c>
    </row>
    <row r="555" spans="1:48" ht="15.75" customHeight="1" x14ac:dyDescent="0.25">
      <c r="B555" s="78"/>
      <c r="C555" s="89" t="s">
        <v>46</v>
      </c>
      <c r="D555" s="70"/>
      <c r="E555" s="18" t="s">
        <v>48</v>
      </c>
      <c r="F555" s="76"/>
      <c r="G555" s="18">
        <v>44.44</v>
      </c>
      <c r="H555" s="18">
        <v>6.17</v>
      </c>
      <c r="I555" s="18">
        <v>49.38</v>
      </c>
      <c r="J555" s="18">
        <v>0.01</v>
      </c>
      <c r="K555" s="18">
        <v>0</v>
      </c>
      <c r="L555" s="18">
        <v>0</v>
      </c>
      <c r="M555" s="18">
        <v>94.13</v>
      </c>
      <c r="N555" s="18">
        <v>5.8</v>
      </c>
      <c r="O555" s="18">
        <v>0.08</v>
      </c>
      <c r="P555" s="18">
        <v>0.2</v>
      </c>
      <c r="Q555" s="84">
        <v>800</v>
      </c>
      <c r="R555" s="16" t="s">
        <v>51</v>
      </c>
      <c r="S555" s="21">
        <v>0</v>
      </c>
      <c r="T555" s="18" t="s">
        <v>51</v>
      </c>
      <c r="U555" s="18">
        <v>16.079999999999998</v>
      </c>
      <c r="V555" s="18">
        <v>12.13</v>
      </c>
      <c r="W555" s="18">
        <v>25.12</v>
      </c>
      <c r="X555" s="18">
        <v>4.21</v>
      </c>
      <c r="Y555" s="18">
        <v>42.47</v>
      </c>
      <c r="Z555" s="18" t="s">
        <v>51</v>
      </c>
      <c r="AA555" s="18" t="s">
        <v>51</v>
      </c>
      <c r="AB555" s="18" t="s">
        <v>51</v>
      </c>
      <c r="AC555" s="21">
        <v>8300</v>
      </c>
      <c r="AD555" s="18" t="s">
        <v>51</v>
      </c>
      <c r="AF555" s="1"/>
      <c r="AK555" s="1"/>
      <c r="AL555" s="1"/>
      <c r="AM555" s="1"/>
      <c r="AN555" s="1"/>
      <c r="AO555" s="30">
        <f t="shared" ref="AO555:AS555" si="508">U555</f>
        <v>16.079999999999998</v>
      </c>
      <c r="AP555" s="30">
        <f t="shared" si="508"/>
        <v>12.13</v>
      </c>
      <c r="AQ555" s="30">
        <f t="shared" si="508"/>
        <v>25.12</v>
      </c>
      <c r="AR555" s="30">
        <f t="shared" si="508"/>
        <v>4.21</v>
      </c>
      <c r="AS555" s="30">
        <f t="shared" si="508"/>
        <v>42.47</v>
      </c>
      <c r="AT555" s="31">
        <f t="shared" si="502"/>
        <v>100.00999999999999</v>
      </c>
      <c r="AV555" s="21">
        <f t="shared" si="501"/>
        <v>8300</v>
      </c>
    </row>
    <row r="556" spans="1:48" ht="15.75" customHeight="1" x14ac:dyDescent="0.25">
      <c r="B556" s="78"/>
      <c r="C556" s="89" t="s">
        <v>46</v>
      </c>
      <c r="D556" s="70"/>
      <c r="E556" s="18" t="s">
        <v>48</v>
      </c>
      <c r="F556" s="76"/>
      <c r="G556" s="18">
        <v>44.44</v>
      </c>
      <c r="H556" s="18">
        <v>6.17</v>
      </c>
      <c r="I556" s="18">
        <v>49.38</v>
      </c>
      <c r="J556" s="18">
        <v>0.01</v>
      </c>
      <c r="K556" s="18">
        <v>0</v>
      </c>
      <c r="L556" s="18">
        <v>0</v>
      </c>
      <c r="M556" s="18">
        <v>94.13</v>
      </c>
      <c r="N556" s="18">
        <v>5.8</v>
      </c>
      <c r="O556" s="18">
        <v>0.08</v>
      </c>
      <c r="P556" s="18">
        <v>0.27</v>
      </c>
      <c r="Q556" s="84">
        <v>800</v>
      </c>
      <c r="R556" s="16" t="s">
        <v>51</v>
      </c>
      <c r="S556" s="21">
        <v>0</v>
      </c>
      <c r="T556" s="18" t="s">
        <v>51</v>
      </c>
      <c r="U556" s="18">
        <v>13.5</v>
      </c>
      <c r="V556" s="18">
        <v>11.21</v>
      </c>
      <c r="W556" s="18">
        <v>26.3</v>
      </c>
      <c r="X556" s="18">
        <v>3.58</v>
      </c>
      <c r="Y556" s="18">
        <v>45.42</v>
      </c>
      <c r="Z556" s="18" t="s">
        <v>51</v>
      </c>
      <c r="AA556" s="18" t="s">
        <v>51</v>
      </c>
      <c r="AB556" s="18" t="s">
        <v>51</v>
      </c>
      <c r="AC556" s="21">
        <v>7610</v>
      </c>
      <c r="AD556" s="18" t="s">
        <v>51</v>
      </c>
      <c r="AF556" s="1"/>
      <c r="AK556" s="1"/>
      <c r="AL556" s="1"/>
      <c r="AM556" s="1"/>
      <c r="AN556" s="1"/>
      <c r="AO556" s="30">
        <f t="shared" ref="AO556:AS556" si="509">U556</f>
        <v>13.5</v>
      </c>
      <c r="AP556" s="30">
        <f t="shared" si="509"/>
        <v>11.21</v>
      </c>
      <c r="AQ556" s="30">
        <f t="shared" si="509"/>
        <v>26.3</v>
      </c>
      <c r="AR556" s="30">
        <f t="shared" si="509"/>
        <v>3.58</v>
      </c>
      <c r="AS556" s="30">
        <f t="shared" si="509"/>
        <v>45.42</v>
      </c>
      <c r="AT556" s="31">
        <f t="shared" si="502"/>
        <v>100.01</v>
      </c>
      <c r="AV556" s="21">
        <f t="shared" si="501"/>
        <v>7610</v>
      </c>
    </row>
    <row r="557" spans="1:48" ht="15.75" customHeight="1" x14ac:dyDescent="0.25">
      <c r="B557" s="78"/>
      <c r="C557" s="89" t="s">
        <v>46</v>
      </c>
      <c r="D557" s="70"/>
      <c r="E557" s="18" t="s">
        <v>48</v>
      </c>
      <c r="F557" s="76"/>
      <c r="G557" s="18">
        <v>44.44</v>
      </c>
      <c r="H557" s="18">
        <v>6.17</v>
      </c>
      <c r="I557" s="18">
        <v>49.38</v>
      </c>
      <c r="J557" s="18">
        <v>0.01</v>
      </c>
      <c r="K557" s="18">
        <v>0</v>
      </c>
      <c r="L557" s="18">
        <v>0</v>
      </c>
      <c r="M557" s="18">
        <v>94.13</v>
      </c>
      <c r="N557" s="18">
        <v>5.8</v>
      </c>
      <c r="O557" s="18">
        <v>0.08</v>
      </c>
      <c r="P557" s="18">
        <v>0.34</v>
      </c>
      <c r="Q557" s="84">
        <v>800</v>
      </c>
      <c r="R557" s="16" t="s">
        <v>51</v>
      </c>
      <c r="S557" s="21">
        <v>0</v>
      </c>
      <c r="T557" s="18" t="s">
        <v>51</v>
      </c>
      <c r="U557" s="18">
        <v>10.23</v>
      </c>
      <c r="V557" s="18">
        <v>8.3800000000000008</v>
      </c>
      <c r="W557" s="18">
        <v>27.98</v>
      </c>
      <c r="X557" s="18">
        <v>2.21</v>
      </c>
      <c r="Y557" s="18">
        <v>51.2</v>
      </c>
      <c r="Z557" s="18" t="s">
        <v>51</v>
      </c>
      <c r="AA557" s="18" t="s">
        <v>51</v>
      </c>
      <c r="AB557" s="18" t="s">
        <v>51</v>
      </c>
      <c r="AC557" s="21">
        <v>6050</v>
      </c>
      <c r="AD557" s="18" t="s">
        <v>51</v>
      </c>
      <c r="AF557" s="1"/>
      <c r="AK557" s="1"/>
      <c r="AL557" s="1"/>
      <c r="AM557" s="1"/>
      <c r="AN557" s="1"/>
      <c r="AO557" s="30">
        <f t="shared" ref="AO557:AS557" si="510">U557</f>
        <v>10.23</v>
      </c>
      <c r="AP557" s="30">
        <f t="shared" si="510"/>
        <v>8.3800000000000008</v>
      </c>
      <c r="AQ557" s="30">
        <f t="shared" si="510"/>
        <v>27.98</v>
      </c>
      <c r="AR557" s="30">
        <f t="shared" si="510"/>
        <v>2.21</v>
      </c>
      <c r="AS557" s="30">
        <f t="shared" si="510"/>
        <v>51.2</v>
      </c>
      <c r="AT557" s="31">
        <f t="shared" si="502"/>
        <v>100</v>
      </c>
      <c r="AV557" s="21">
        <f t="shared" si="501"/>
        <v>6050</v>
      </c>
    </row>
    <row r="558" spans="1:48" ht="15.75" customHeight="1" x14ac:dyDescent="0.25">
      <c r="B558" s="78"/>
      <c r="C558" s="89" t="s">
        <v>46</v>
      </c>
      <c r="D558" s="70"/>
      <c r="E558" s="18" t="s">
        <v>115</v>
      </c>
      <c r="F558" s="76"/>
      <c r="G558" s="18">
        <v>44.44</v>
      </c>
      <c r="H558" s="18">
        <v>6.17</v>
      </c>
      <c r="I558" s="18">
        <v>49.38</v>
      </c>
      <c r="J558" s="18">
        <v>0.01</v>
      </c>
      <c r="K558" s="18">
        <v>0</v>
      </c>
      <c r="L558" s="18">
        <v>0</v>
      </c>
      <c r="M558" s="18">
        <v>94.13</v>
      </c>
      <c r="N558" s="18">
        <v>5.8</v>
      </c>
      <c r="O558" s="18">
        <v>0.08</v>
      </c>
      <c r="P558" s="18">
        <v>0.27</v>
      </c>
      <c r="Q558" s="84">
        <v>800</v>
      </c>
      <c r="R558" s="16" t="s">
        <v>51</v>
      </c>
      <c r="S558" s="21">
        <v>0.5</v>
      </c>
      <c r="T558" s="18" t="s">
        <v>51</v>
      </c>
      <c r="U558" s="18">
        <v>14.28</v>
      </c>
      <c r="V558" s="18">
        <v>6.45</v>
      </c>
      <c r="W558" s="18">
        <v>27.77</v>
      </c>
      <c r="X558" s="18">
        <v>3.73</v>
      </c>
      <c r="Y558" s="18">
        <v>47.77</v>
      </c>
      <c r="Z558" s="18" t="s">
        <v>51</v>
      </c>
      <c r="AA558" s="18" t="s">
        <v>51</v>
      </c>
      <c r="AB558" s="18" t="s">
        <v>51</v>
      </c>
      <c r="AC558" s="18">
        <v>7070</v>
      </c>
      <c r="AD558" s="18" t="s">
        <v>51</v>
      </c>
      <c r="AF558" s="1"/>
      <c r="AK558" s="1"/>
      <c r="AL558" s="1"/>
      <c r="AM558" s="1"/>
      <c r="AN558" s="1"/>
      <c r="AO558" s="30">
        <f t="shared" ref="AO558:AS558" si="511">U558</f>
        <v>14.28</v>
      </c>
      <c r="AP558" s="30">
        <f t="shared" si="511"/>
        <v>6.45</v>
      </c>
      <c r="AQ558" s="30">
        <f t="shared" si="511"/>
        <v>27.77</v>
      </c>
      <c r="AR558" s="30">
        <f t="shared" si="511"/>
        <v>3.73</v>
      </c>
      <c r="AS558" s="30">
        <f t="shared" si="511"/>
        <v>47.77</v>
      </c>
      <c r="AT558" s="31">
        <f t="shared" si="502"/>
        <v>100</v>
      </c>
      <c r="AV558" s="21">
        <f t="shared" si="501"/>
        <v>7070</v>
      </c>
    </row>
    <row r="559" spans="1:48" ht="15.75" customHeight="1" x14ac:dyDescent="0.25">
      <c r="B559" s="78"/>
      <c r="C559" s="89" t="s">
        <v>46</v>
      </c>
      <c r="D559" s="70"/>
      <c r="E559" s="18" t="s">
        <v>115</v>
      </c>
      <c r="F559" s="76"/>
      <c r="G559" s="18">
        <v>44.44</v>
      </c>
      <c r="H559" s="18">
        <v>6.17</v>
      </c>
      <c r="I559" s="18">
        <v>49.38</v>
      </c>
      <c r="J559" s="18">
        <v>0.01</v>
      </c>
      <c r="K559" s="18">
        <v>0</v>
      </c>
      <c r="L559" s="18">
        <v>0</v>
      </c>
      <c r="M559" s="18">
        <v>94.13</v>
      </c>
      <c r="N559" s="18">
        <v>5.8</v>
      </c>
      <c r="O559" s="18">
        <v>0.08</v>
      </c>
      <c r="P559" s="18">
        <v>0.27</v>
      </c>
      <c r="Q559" s="84">
        <v>800</v>
      </c>
      <c r="R559" s="16" t="s">
        <v>51</v>
      </c>
      <c r="S559" s="21">
        <v>1</v>
      </c>
      <c r="T559" s="18" t="s">
        <v>51</v>
      </c>
      <c r="U559" s="18">
        <v>18.559999999999999</v>
      </c>
      <c r="V559" s="18">
        <v>8.34</v>
      </c>
      <c r="W559" s="18">
        <v>27.51</v>
      </c>
      <c r="X559" s="18">
        <v>3.02</v>
      </c>
      <c r="Y559" s="18">
        <v>42.58</v>
      </c>
      <c r="Z559" s="18" t="s">
        <v>51</v>
      </c>
      <c r="AA559" s="18" t="s">
        <v>51</v>
      </c>
      <c r="AB559" s="18" t="s">
        <v>51</v>
      </c>
      <c r="AC559" s="18">
        <v>7200</v>
      </c>
      <c r="AD559" s="18" t="s">
        <v>51</v>
      </c>
      <c r="AF559" s="1"/>
      <c r="AK559" s="1"/>
      <c r="AL559" s="1"/>
      <c r="AM559" s="1"/>
      <c r="AN559" s="1"/>
      <c r="AO559" s="30">
        <f t="shared" ref="AO559:AS559" si="512">U559</f>
        <v>18.559999999999999</v>
      </c>
      <c r="AP559" s="30">
        <f t="shared" si="512"/>
        <v>8.34</v>
      </c>
      <c r="AQ559" s="30">
        <f t="shared" si="512"/>
        <v>27.51</v>
      </c>
      <c r="AR559" s="30">
        <f t="shared" si="512"/>
        <v>3.02</v>
      </c>
      <c r="AS559" s="30">
        <f t="shared" si="512"/>
        <v>42.58</v>
      </c>
      <c r="AT559" s="31">
        <f t="shared" si="502"/>
        <v>100.00999999999999</v>
      </c>
      <c r="AV559" s="21">
        <f t="shared" si="501"/>
        <v>7200</v>
      </c>
    </row>
    <row r="560" spans="1:48" ht="15.75" customHeight="1" x14ac:dyDescent="0.25">
      <c r="B560" s="78"/>
      <c r="C560" s="89" t="s">
        <v>46</v>
      </c>
      <c r="D560" s="70"/>
      <c r="E560" s="18" t="s">
        <v>115</v>
      </c>
      <c r="F560" s="77"/>
      <c r="G560" s="18">
        <v>44.44</v>
      </c>
      <c r="H560" s="18">
        <v>6.17</v>
      </c>
      <c r="I560" s="18">
        <v>49.38</v>
      </c>
      <c r="J560" s="18">
        <v>0.01</v>
      </c>
      <c r="K560" s="18">
        <v>0</v>
      </c>
      <c r="L560" s="18">
        <v>0</v>
      </c>
      <c r="M560" s="18">
        <v>94.13</v>
      </c>
      <c r="N560" s="18">
        <v>5.8</v>
      </c>
      <c r="O560" s="18">
        <v>0.08</v>
      </c>
      <c r="P560" s="18">
        <v>0.27</v>
      </c>
      <c r="Q560" s="84">
        <v>800</v>
      </c>
      <c r="R560" s="16" t="s">
        <v>51</v>
      </c>
      <c r="S560" s="21">
        <v>1.5</v>
      </c>
      <c r="T560" s="18" t="s">
        <v>51</v>
      </c>
      <c r="U560" s="18">
        <v>15.69</v>
      </c>
      <c r="V560" s="18">
        <v>7.82</v>
      </c>
      <c r="W560" s="18">
        <v>27.32</v>
      </c>
      <c r="X560" s="18">
        <v>2.21</v>
      </c>
      <c r="Y560" s="18">
        <v>46.96</v>
      </c>
      <c r="Z560" s="18" t="s">
        <v>51</v>
      </c>
      <c r="AA560" s="18" t="s">
        <v>51</v>
      </c>
      <c r="AB560" s="18" t="s">
        <v>51</v>
      </c>
      <c r="AC560" s="18">
        <v>6550</v>
      </c>
      <c r="AD560" s="18" t="s">
        <v>51</v>
      </c>
      <c r="AF560" s="1"/>
      <c r="AK560" s="1"/>
      <c r="AL560" s="1"/>
      <c r="AM560" s="1"/>
      <c r="AN560" s="1"/>
      <c r="AO560" s="30">
        <f t="shared" ref="AO560:AS560" si="513">U560</f>
        <v>15.69</v>
      </c>
      <c r="AP560" s="30">
        <f t="shared" si="513"/>
        <v>7.82</v>
      </c>
      <c r="AQ560" s="30">
        <f t="shared" si="513"/>
        <v>27.32</v>
      </c>
      <c r="AR560" s="30">
        <f t="shared" si="513"/>
        <v>2.21</v>
      </c>
      <c r="AS560" s="30">
        <f t="shared" si="513"/>
        <v>46.96</v>
      </c>
      <c r="AT560" s="31">
        <f t="shared" si="502"/>
        <v>100</v>
      </c>
      <c r="AV560" s="21">
        <f t="shared" si="501"/>
        <v>6550</v>
      </c>
    </row>
    <row r="561" spans="1:48" ht="15.75" customHeight="1" x14ac:dyDescent="0.25">
      <c r="A561" s="14"/>
      <c r="B561" s="78" t="s">
        <v>116</v>
      </c>
      <c r="C561" s="89" t="s">
        <v>46</v>
      </c>
      <c r="D561" s="69" t="s">
        <v>117</v>
      </c>
      <c r="E561" s="18" t="s">
        <v>53</v>
      </c>
      <c r="F561" s="74" t="s">
        <v>85</v>
      </c>
      <c r="G561" s="23">
        <v>51.52</v>
      </c>
      <c r="H561" s="23">
        <v>5.57</v>
      </c>
      <c r="I561" s="23">
        <v>42.5</v>
      </c>
      <c r="J561" s="23">
        <v>0.18</v>
      </c>
      <c r="K561" s="23">
        <v>0.23</v>
      </c>
      <c r="L561" s="58">
        <f t="shared" ref="L561:L574" si="514">18.5*(100-N561)/100</f>
        <v>17.02</v>
      </c>
      <c r="M561" s="58">
        <f t="shared" ref="M561:M574" si="515">81*(100-N561)/100</f>
        <v>74.52</v>
      </c>
      <c r="N561" s="18">
        <v>8</v>
      </c>
      <c r="O561" s="58">
        <f t="shared" ref="O561:O574" si="516">0.5*(100-N561)/100</f>
        <v>0.46</v>
      </c>
      <c r="P561" s="18">
        <v>0.3</v>
      </c>
      <c r="Q561" s="84">
        <v>800</v>
      </c>
      <c r="R561" s="16" t="s">
        <v>82</v>
      </c>
      <c r="S561" s="21">
        <v>0.85</v>
      </c>
      <c r="T561" s="18" t="s">
        <v>51</v>
      </c>
      <c r="U561" s="18">
        <v>38.380000000000003</v>
      </c>
      <c r="V561" s="18">
        <v>24.89</v>
      </c>
      <c r="W561" s="18">
        <v>27.62</v>
      </c>
      <c r="X561" s="18">
        <v>7.02</v>
      </c>
      <c r="Y561" s="73">
        <f t="shared" ref="Y561:Y721" si="517">(AK561/AM561)*100</f>
        <v>40.57535899789621</v>
      </c>
      <c r="Z561" s="18">
        <v>1.56</v>
      </c>
      <c r="AA561" s="18" t="s">
        <v>51</v>
      </c>
      <c r="AB561" s="18" t="s">
        <v>51</v>
      </c>
      <c r="AC561" s="28">
        <f t="shared" ref="AC561:AC715" si="518">((U561*0.24182)+(V561*0.283)+(X561*0.80262))*(10000/22.4)</f>
        <v>9803.2651785714279</v>
      </c>
      <c r="AD561" s="18" t="s">
        <v>51</v>
      </c>
      <c r="AF561" s="1"/>
      <c r="AK561" s="1">
        <f t="shared" ref="AK561:AK721" si="519">0.79*((P561*(((G561/12)+(H561/4))-((I561/16)/2)))/0.21)+(J561/14)/2</f>
        <v>4.9244136904761913</v>
      </c>
      <c r="AL561" s="1">
        <f t="shared" ref="AL561:AL721" si="520">(100*G561)/(12*(V561+W561+X561))</f>
        <v>7.2120499468055321</v>
      </c>
      <c r="AM561" s="1">
        <f t="shared" ref="AM561:AM721" si="521">AL561+AK561</f>
        <v>12.136463637281723</v>
      </c>
      <c r="AN561" s="1"/>
      <c r="AO561" s="30">
        <f t="shared" ref="AO561:AO721" si="522">((AL561*(U561/100))/AM561)*100</f>
        <v>22.807177216607435</v>
      </c>
      <c r="AP561" s="30">
        <f t="shared" ref="AP561:AP721" si="523">((AL561*(V561/100))/AM561)*100</f>
        <v>14.790793145423633</v>
      </c>
      <c r="AQ561" s="30">
        <f t="shared" ref="AQ561:AQ721" si="524">((AL561*(W561/100))/AM561)*100</f>
        <v>16.413085844781065</v>
      </c>
      <c r="AR561" s="30">
        <f t="shared" ref="AR561:AR721" si="525">((AL561*(X561/100))/AM561)*100</f>
        <v>4.1716097983476859</v>
      </c>
      <c r="AS561" s="30">
        <f t="shared" ref="AS561:AS721" si="526">Y561</f>
        <v>40.57535899789621</v>
      </c>
      <c r="AT561" s="31">
        <f t="shared" si="502"/>
        <v>98.758025003056034</v>
      </c>
      <c r="AV561" s="28">
        <f t="shared" ref="AV561:AV715" si="527">((AO561*0.24182)+(AP561*0.283)+(AR561*0.80262))*(10000/22.4)</f>
        <v>5825.5551388503209</v>
      </c>
    </row>
    <row r="562" spans="1:48" ht="15.75" customHeight="1" x14ac:dyDescent="0.25">
      <c r="B562" s="78"/>
      <c r="C562" s="89" t="s">
        <v>46</v>
      </c>
      <c r="D562" s="69"/>
      <c r="E562" s="18" t="s">
        <v>53</v>
      </c>
      <c r="F562" s="76"/>
      <c r="G562" s="23">
        <v>51.52</v>
      </c>
      <c r="H562" s="23">
        <v>5.57</v>
      </c>
      <c r="I562" s="23">
        <v>42.5</v>
      </c>
      <c r="J562" s="23">
        <v>0.18</v>
      </c>
      <c r="K562" s="23">
        <v>0.23</v>
      </c>
      <c r="L562" s="58">
        <f t="shared" si="514"/>
        <v>17.02</v>
      </c>
      <c r="M562" s="58">
        <f t="shared" si="515"/>
        <v>74.52</v>
      </c>
      <c r="N562" s="18">
        <v>8</v>
      </c>
      <c r="O562" s="58">
        <f t="shared" si="516"/>
        <v>0.46</v>
      </c>
      <c r="P562" s="18">
        <v>0.25</v>
      </c>
      <c r="Q562" s="84">
        <v>800</v>
      </c>
      <c r="R562" s="16" t="s">
        <v>82</v>
      </c>
      <c r="S562" s="21">
        <v>0.75</v>
      </c>
      <c r="T562" s="18" t="s">
        <v>51</v>
      </c>
      <c r="U562" s="18">
        <v>38.130000000000003</v>
      </c>
      <c r="V562" s="18">
        <v>26.06</v>
      </c>
      <c r="W562" s="18">
        <v>26.2</v>
      </c>
      <c r="X562" s="18">
        <v>7.48</v>
      </c>
      <c r="Y562" s="73">
        <f t="shared" si="517"/>
        <v>36.352730985884399</v>
      </c>
      <c r="Z562" s="18">
        <v>1.54</v>
      </c>
      <c r="AA562" s="18" t="s">
        <v>51</v>
      </c>
      <c r="AB562" s="18" t="s">
        <v>51</v>
      </c>
      <c r="AC562" s="28">
        <f t="shared" si="518"/>
        <v>10088.917053571429</v>
      </c>
      <c r="AD562" s="18" t="s">
        <v>51</v>
      </c>
      <c r="AF562" s="1"/>
      <c r="AK562" s="1">
        <f t="shared" si="519"/>
        <v>4.1047495039682547</v>
      </c>
      <c r="AL562" s="1">
        <f t="shared" si="520"/>
        <v>7.1866979131793336</v>
      </c>
      <c r="AM562" s="1">
        <f t="shared" si="521"/>
        <v>11.291447417147587</v>
      </c>
      <c r="AN562" s="1"/>
      <c r="AO562" s="30">
        <f t="shared" si="522"/>
        <v>24.268703675082286</v>
      </c>
      <c r="AP562" s="30">
        <f t="shared" si="523"/>
        <v>16.586478305078529</v>
      </c>
      <c r="AQ562" s="30">
        <f t="shared" si="524"/>
        <v>16.675584481698291</v>
      </c>
      <c r="AR562" s="30">
        <f t="shared" si="525"/>
        <v>4.760815722255848</v>
      </c>
      <c r="AS562" s="30">
        <f t="shared" si="526"/>
        <v>36.352730985884399</v>
      </c>
      <c r="AT562" s="31">
        <f t="shared" si="502"/>
        <v>98.64431316999935</v>
      </c>
      <c r="AV562" s="28">
        <f t="shared" si="527"/>
        <v>6421.3201776975948</v>
      </c>
    </row>
    <row r="563" spans="1:48" ht="15.75" customHeight="1" x14ac:dyDescent="0.25">
      <c r="B563" s="78"/>
      <c r="C563" s="89" t="s">
        <v>46</v>
      </c>
      <c r="D563" s="69"/>
      <c r="E563" s="18" t="s">
        <v>53</v>
      </c>
      <c r="F563" s="76"/>
      <c r="G563" s="23">
        <v>51.52</v>
      </c>
      <c r="H563" s="23">
        <v>5.57</v>
      </c>
      <c r="I563" s="23">
        <v>42.5</v>
      </c>
      <c r="J563" s="23">
        <v>0.18</v>
      </c>
      <c r="K563" s="23">
        <v>0.23</v>
      </c>
      <c r="L563" s="58">
        <f t="shared" si="514"/>
        <v>17.02</v>
      </c>
      <c r="M563" s="58">
        <f t="shared" si="515"/>
        <v>74.52</v>
      </c>
      <c r="N563" s="18">
        <v>8</v>
      </c>
      <c r="O563" s="58">
        <f t="shared" si="516"/>
        <v>0.46</v>
      </c>
      <c r="P563" s="18">
        <v>0.3</v>
      </c>
      <c r="Q563" s="90">
        <v>650</v>
      </c>
      <c r="R563" s="16" t="s">
        <v>82</v>
      </c>
      <c r="S563" s="21">
        <v>0.85</v>
      </c>
      <c r="T563" s="18" t="s">
        <v>51</v>
      </c>
      <c r="U563" s="18">
        <v>46.28</v>
      </c>
      <c r="V563" s="18">
        <v>14.89</v>
      </c>
      <c r="W563" s="18">
        <v>32.159999999999997</v>
      </c>
      <c r="X563" s="18">
        <v>5.24</v>
      </c>
      <c r="Y563" s="73">
        <f t="shared" si="517"/>
        <v>37.490681101305164</v>
      </c>
      <c r="Z563" s="18">
        <v>1.87</v>
      </c>
      <c r="AA563" s="18" t="s">
        <v>51</v>
      </c>
      <c r="AB563" s="18" t="s">
        <v>51</v>
      </c>
      <c r="AC563" s="28">
        <f t="shared" si="518"/>
        <v>8754.9233928571448</v>
      </c>
      <c r="AD563" s="18" t="s">
        <v>51</v>
      </c>
      <c r="AF563" s="1"/>
      <c r="AK563" s="1">
        <f t="shared" si="519"/>
        <v>4.9244136904761913</v>
      </c>
      <c r="AL563" s="1">
        <f t="shared" si="520"/>
        <v>8.2106202588130301</v>
      </c>
      <c r="AM563" s="1">
        <f t="shared" si="521"/>
        <v>13.135033949289221</v>
      </c>
      <c r="AN563" s="1"/>
      <c r="AO563" s="30">
        <f t="shared" si="522"/>
        <v>28.929312786315968</v>
      </c>
      <c r="AP563" s="30">
        <f t="shared" si="523"/>
        <v>9.3076375840156622</v>
      </c>
      <c r="AQ563" s="30">
        <f t="shared" si="524"/>
        <v>20.102996957820256</v>
      </c>
      <c r="AR563" s="30">
        <f t="shared" si="525"/>
        <v>3.2754883102916099</v>
      </c>
      <c r="AS563" s="30">
        <f t="shared" si="526"/>
        <v>37.490681101305164</v>
      </c>
      <c r="AT563" s="31">
        <f t="shared" si="502"/>
        <v>99.106116739748643</v>
      </c>
      <c r="AV563" s="28">
        <f t="shared" si="527"/>
        <v>5472.6429829775061</v>
      </c>
    </row>
    <row r="564" spans="1:48" ht="15.75" customHeight="1" x14ac:dyDescent="0.25">
      <c r="B564" s="78"/>
      <c r="C564" s="89" t="s">
        <v>46</v>
      </c>
      <c r="D564" s="69"/>
      <c r="E564" s="18" t="s">
        <v>53</v>
      </c>
      <c r="F564" s="76"/>
      <c r="G564" s="23">
        <v>51.52</v>
      </c>
      <c r="H564" s="23">
        <v>5.57</v>
      </c>
      <c r="I564" s="23">
        <v>42.5</v>
      </c>
      <c r="J564" s="23">
        <v>0.18</v>
      </c>
      <c r="K564" s="23">
        <v>0.23</v>
      </c>
      <c r="L564" s="58">
        <f t="shared" si="514"/>
        <v>17.02</v>
      </c>
      <c r="M564" s="58">
        <f t="shared" si="515"/>
        <v>74.52</v>
      </c>
      <c r="N564" s="18">
        <v>8</v>
      </c>
      <c r="O564" s="58">
        <f t="shared" si="516"/>
        <v>0.46</v>
      </c>
      <c r="P564" s="18">
        <v>0.3</v>
      </c>
      <c r="Q564" s="90">
        <v>700</v>
      </c>
      <c r="R564" s="16" t="s">
        <v>82</v>
      </c>
      <c r="S564" s="21">
        <v>0.85</v>
      </c>
      <c r="T564" s="18" t="s">
        <v>51</v>
      </c>
      <c r="U564" s="18">
        <v>49.33</v>
      </c>
      <c r="V564" s="18">
        <v>12.28</v>
      </c>
      <c r="W564" s="18">
        <v>32.81</v>
      </c>
      <c r="X564" s="18">
        <v>4.8899999999999997</v>
      </c>
      <c r="Y564" s="73">
        <f t="shared" si="517"/>
        <v>36.437957122332662</v>
      </c>
      <c r="Z564" s="18">
        <v>2.12</v>
      </c>
      <c r="AA564" s="18" t="s">
        <v>51</v>
      </c>
      <c r="AB564" s="18" t="s">
        <v>51</v>
      </c>
      <c r="AC564" s="28">
        <f t="shared" si="518"/>
        <v>8629.0323214285709</v>
      </c>
      <c r="AD564" s="18" t="s">
        <v>51</v>
      </c>
      <c r="AF564" s="1"/>
      <c r="AK564" s="1">
        <f t="shared" si="519"/>
        <v>4.9244136904761913</v>
      </c>
      <c r="AL564" s="1">
        <f t="shared" si="520"/>
        <v>8.5901027077497663</v>
      </c>
      <c r="AM564" s="1">
        <f t="shared" si="521"/>
        <v>13.514516398225958</v>
      </c>
      <c r="AN564" s="1"/>
      <c r="AO564" s="30">
        <f t="shared" si="522"/>
        <v>31.355155751553298</v>
      </c>
      <c r="AP564" s="30">
        <f t="shared" si="523"/>
        <v>7.8054188653775478</v>
      </c>
      <c r="AQ564" s="30">
        <f t="shared" si="524"/>
        <v>20.854706268162651</v>
      </c>
      <c r="AR564" s="30">
        <f t="shared" si="525"/>
        <v>3.1081838967179327</v>
      </c>
      <c r="AS564" s="30">
        <f t="shared" si="526"/>
        <v>36.437957122332662</v>
      </c>
      <c r="AT564" s="31">
        <f t="shared" si="502"/>
        <v>99.561421904144083</v>
      </c>
      <c r="AV564" s="28">
        <f t="shared" si="527"/>
        <v>5484.7892240742021</v>
      </c>
    </row>
    <row r="565" spans="1:48" ht="15.75" customHeight="1" x14ac:dyDescent="0.25">
      <c r="B565" s="78"/>
      <c r="C565" s="89" t="s">
        <v>46</v>
      </c>
      <c r="D565" s="69"/>
      <c r="E565" s="18" t="s">
        <v>53</v>
      </c>
      <c r="F565" s="76"/>
      <c r="G565" s="23">
        <v>51.52</v>
      </c>
      <c r="H565" s="23">
        <v>5.57</v>
      </c>
      <c r="I565" s="23">
        <v>42.5</v>
      </c>
      <c r="J565" s="23">
        <v>0.18</v>
      </c>
      <c r="K565" s="23">
        <v>0.23</v>
      </c>
      <c r="L565" s="58">
        <f t="shared" si="514"/>
        <v>17.02</v>
      </c>
      <c r="M565" s="58">
        <f t="shared" si="515"/>
        <v>74.52</v>
      </c>
      <c r="N565" s="18">
        <v>8</v>
      </c>
      <c r="O565" s="58">
        <f t="shared" si="516"/>
        <v>0.46</v>
      </c>
      <c r="P565" s="18">
        <v>0.3</v>
      </c>
      <c r="Q565" s="90">
        <v>750</v>
      </c>
      <c r="R565" s="16" t="s">
        <v>82</v>
      </c>
      <c r="S565" s="21">
        <v>0.85</v>
      </c>
      <c r="T565" s="18" t="s">
        <v>51</v>
      </c>
      <c r="U565" s="18">
        <v>49.65</v>
      </c>
      <c r="V565" s="18">
        <v>11.15</v>
      </c>
      <c r="W565" s="18">
        <v>34.369999999999997</v>
      </c>
      <c r="X565" s="18">
        <v>4.37</v>
      </c>
      <c r="Y565" s="73">
        <f t="shared" si="517"/>
        <v>36.396223778921581</v>
      </c>
      <c r="Z565" s="18">
        <v>2.15</v>
      </c>
      <c r="AA565" s="18" t="s">
        <v>51</v>
      </c>
      <c r="AB565" s="18" t="s">
        <v>51</v>
      </c>
      <c r="AC565" s="28">
        <f t="shared" si="518"/>
        <v>8334.4921428571433</v>
      </c>
      <c r="AD565" s="18" t="s">
        <v>51</v>
      </c>
      <c r="AF565" s="1"/>
      <c r="AK565" s="1">
        <f t="shared" si="519"/>
        <v>4.9244136904761913</v>
      </c>
      <c r="AL565" s="1">
        <f t="shared" si="520"/>
        <v>8.6055989844324188</v>
      </c>
      <c r="AM565" s="1">
        <f t="shared" si="521"/>
        <v>13.53001267490861</v>
      </c>
      <c r="AN565" s="1"/>
      <c r="AO565" s="30">
        <f t="shared" si="522"/>
        <v>31.579274893765437</v>
      </c>
      <c r="AP565" s="30">
        <f t="shared" si="523"/>
        <v>7.0918210486502442</v>
      </c>
      <c r="AQ565" s="30">
        <f t="shared" si="524"/>
        <v>21.860617887184649</v>
      </c>
      <c r="AR565" s="30">
        <f t="shared" si="525"/>
        <v>2.7794850208611268</v>
      </c>
      <c r="AS565" s="30">
        <f t="shared" si="526"/>
        <v>36.396223778921581</v>
      </c>
      <c r="AT565" s="31">
        <f t="shared" si="502"/>
        <v>99.707422629383046</v>
      </c>
      <c r="AV565" s="28">
        <f t="shared" si="527"/>
        <v>5301.0517317062204</v>
      </c>
    </row>
    <row r="566" spans="1:48" ht="15.75" customHeight="1" x14ac:dyDescent="0.25">
      <c r="B566" s="78"/>
      <c r="C566" s="89" t="s">
        <v>46</v>
      </c>
      <c r="D566" s="69"/>
      <c r="E566" s="18" t="s">
        <v>53</v>
      </c>
      <c r="F566" s="76"/>
      <c r="G566" s="23">
        <v>51.52</v>
      </c>
      <c r="H566" s="23">
        <v>5.57</v>
      </c>
      <c r="I566" s="23">
        <v>42.5</v>
      </c>
      <c r="J566" s="23">
        <v>0.18</v>
      </c>
      <c r="K566" s="23">
        <v>0.23</v>
      </c>
      <c r="L566" s="58">
        <f t="shared" si="514"/>
        <v>17.02</v>
      </c>
      <c r="M566" s="58">
        <f t="shared" si="515"/>
        <v>74.52</v>
      </c>
      <c r="N566" s="18">
        <v>8</v>
      </c>
      <c r="O566" s="58">
        <f t="shared" si="516"/>
        <v>0.46</v>
      </c>
      <c r="P566" s="18">
        <v>0.3</v>
      </c>
      <c r="Q566" s="90">
        <v>800</v>
      </c>
      <c r="R566" s="16" t="s">
        <v>82</v>
      </c>
      <c r="S566" s="21">
        <v>0.85</v>
      </c>
      <c r="T566" s="18" t="s">
        <v>51</v>
      </c>
      <c r="U566" s="18">
        <v>50.23</v>
      </c>
      <c r="V566" s="18">
        <v>12.3</v>
      </c>
      <c r="W566" s="18">
        <v>32.56</v>
      </c>
      <c r="X566" s="18">
        <v>4.3</v>
      </c>
      <c r="Y566" s="73">
        <f t="shared" si="517"/>
        <v>36.055684174075118</v>
      </c>
      <c r="Z566" s="18">
        <v>2.2400000000000002</v>
      </c>
      <c r="AA566" s="18" t="s">
        <v>51</v>
      </c>
      <c r="AB566" s="18" t="s">
        <v>51</v>
      </c>
      <c r="AC566" s="28">
        <f t="shared" si="518"/>
        <v>8517.3145535714284</v>
      </c>
      <c r="AD566" s="18" t="s">
        <v>51</v>
      </c>
      <c r="AF566" s="1"/>
      <c r="AK566" s="1">
        <f t="shared" si="519"/>
        <v>4.9244136904761913</v>
      </c>
      <c r="AL566" s="1">
        <f t="shared" si="520"/>
        <v>8.733387577976675</v>
      </c>
      <c r="AM566" s="1">
        <f t="shared" si="521"/>
        <v>13.657801268452866</v>
      </c>
      <c r="AN566" s="1"/>
      <c r="AO566" s="30">
        <f t="shared" si="522"/>
        <v>32.119229839362063</v>
      </c>
      <c r="AP566" s="30">
        <f t="shared" si="523"/>
        <v>7.8651508465887616</v>
      </c>
      <c r="AQ566" s="30">
        <f t="shared" si="524"/>
        <v>20.820269232921142</v>
      </c>
      <c r="AR566" s="30">
        <f t="shared" si="525"/>
        <v>2.7496055805147694</v>
      </c>
      <c r="AS566" s="30">
        <f t="shared" si="526"/>
        <v>36.055684174075118</v>
      </c>
      <c r="AT566" s="31">
        <f t="shared" si="502"/>
        <v>99.609939673461852</v>
      </c>
      <c r="AV566" s="28">
        <f t="shared" si="527"/>
        <v>5446.338518023178</v>
      </c>
    </row>
    <row r="567" spans="1:48" ht="15.75" customHeight="1" x14ac:dyDescent="0.25">
      <c r="B567" s="78"/>
      <c r="C567" s="89" t="s">
        <v>46</v>
      </c>
      <c r="D567" s="69"/>
      <c r="E567" s="18" t="s">
        <v>53</v>
      </c>
      <c r="F567" s="76"/>
      <c r="G567" s="23">
        <v>51.52</v>
      </c>
      <c r="H567" s="23">
        <v>5.57</v>
      </c>
      <c r="I567" s="23">
        <v>42.5</v>
      </c>
      <c r="J567" s="23">
        <v>0.18</v>
      </c>
      <c r="K567" s="23">
        <v>0.23</v>
      </c>
      <c r="L567" s="58">
        <f t="shared" si="514"/>
        <v>17.02</v>
      </c>
      <c r="M567" s="58">
        <f t="shared" si="515"/>
        <v>74.52</v>
      </c>
      <c r="N567" s="18">
        <v>8</v>
      </c>
      <c r="O567" s="58">
        <f t="shared" si="516"/>
        <v>0.46</v>
      </c>
      <c r="P567" s="18">
        <v>0.3</v>
      </c>
      <c r="Q567" s="18">
        <v>850</v>
      </c>
      <c r="R567" s="16" t="s">
        <v>82</v>
      </c>
      <c r="S567" s="21">
        <v>0.85</v>
      </c>
      <c r="T567" s="18" t="s">
        <v>51</v>
      </c>
      <c r="U567" s="18">
        <v>52.47</v>
      </c>
      <c r="V567" s="18">
        <v>14.82</v>
      </c>
      <c r="W567" s="18">
        <v>29.65</v>
      </c>
      <c r="X567" s="18">
        <v>2.9</v>
      </c>
      <c r="Y567" s="73">
        <f t="shared" si="517"/>
        <v>35.205023741182984</v>
      </c>
      <c r="Z567" s="18">
        <v>2.41</v>
      </c>
      <c r="AA567" s="18" t="s">
        <v>51</v>
      </c>
      <c r="AB567" s="18" t="s">
        <v>51</v>
      </c>
      <c r="AC567" s="28">
        <f t="shared" si="518"/>
        <v>8575.8720535714274</v>
      </c>
      <c r="AD567" s="18" t="s">
        <v>51</v>
      </c>
      <c r="AF567" s="1"/>
      <c r="AK567" s="1">
        <f t="shared" si="519"/>
        <v>4.9244136904761913</v>
      </c>
      <c r="AL567" s="1">
        <f t="shared" si="520"/>
        <v>9.0634015903173601</v>
      </c>
      <c r="AM567" s="1">
        <f t="shared" si="521"/>
        <v>13.987815280793551</v>
      </c>
      <c r="AN567" s="1"/>
      <c r="AO567" s="30">
        <f t="shared" si="522"/>
        <v>33.997924043001284</v>
      </c>
      <c r="AP567" s="30">
        <f t="shared" si="523"/>
        <v>9.6026154815566809</v>
      </c>
      <c r="AQ567" s="30">
        <f t="shared" si="524"/>
        <v>19.211710460739244</v>
      </c>
      <c r="AR567" s="30">
        <f t="shared" si="525"/>
        <v>1.8790543115056932</v>
      </c>
      <c r="AS567" s="30">
        <f t="shared" si="526"/>
        <v>35.205023741182984</v>
      </c>
      <c r="AT567" s="31">
        <f t="shared" si="502"/>
        <v>99.896328037985896</v>
      </c>
      <c r="AV567" s="28">
        <f t="shared" si="527"/>
        <v>5556.7342610981304</v>
      </c>
    </row>
    <row r="568" spans="1:48" ht="15.75" customHeight="1" x14ac:dyDescent="0.25">
      <c r="B568" s="78"/>
      <c r="C568" s="89" t="s">
        <v>46</v>
      </c>
      <c r="D568" s="69"/>
      <c r="E568" s="18" t="s">
        <v>53</v>
      </c>
      <c r="F568" s="76"/>
      <c r="G568" s="23">
        <v>51.52</v>
      </c>
      <c r="H568" s="23">
        <v>5.57</v>
      </c>
      <c r="I568" s="23">
        <v>42.5</v>
      </c>
      <c r="J568" s="23">
        <v>0.18</v>
      </c>
      <c r="K568" s="23">
        <v>0.23</v>
      </c>
      <c r="L568" s="58">
        <f t="shared" si="514"/>
        <v>17.02</v>
      </c>
      <c r="M568" s="58">
        <f t="shared" si="515"/>
        <v>74.52</v>
      </c>
      <c r="N568" s="18">
        <v>8</v>
      </c>
      <c r="O568" s="58">
        <f t="shared" si="516"/>
        <v>0.46</v>
      </c>
      <c r="P568" s="18">
        <v>0.25</v>
      </c>
      <c r="Q568" s="84">
        <v>700</v>
      </c>
      <c r="R568" s="16" t="s">
        <v>82</v>
      </c>
      <c r="S568" s="21">
        <v>0.75</v>
      </c>
      <c r="T568" s="18" t="s">
        <v>51</v>
      </c>
      <c r="U568" s="18">
        <v>42.84</v>
      </c>
      <c r="V568" s="18">
        <v>20.350000000000001</v>
      </c>
      <c r="W568" s="18">
        <v>28.62</v>
      </c>
      <c r="X568" s="18">
        <v>6.59</v>
      </c>
      <c r="Y568" s="73">
        <f t="shared" si="517"/>
        <v>34.691547915052588</v>
      </c>
      <c r="Z568" s="18">
        <v>1.86</v>
      </c>
      <c r="AA568" s="18" t="s">
        <v>51</v>
      </c>
      <c r="AB568" s="18" t="s">
        <v>51</v>
      </c>
      <c r="AC568" s="28">
        <f t="shared" si="518"/>
        <v>9557.0913392857146</v>
      </c>
      <c r="AD568" s="18" t="s">
        <v>51</v>
      </c>
      <c r="AF568" s="1"/>
      <c r="AK568" s="1">
        <f t="shared" si="519"/>
        <v>4.1047495039682547</v>
      </c>
      <c r="AL568" s="1">
        <f t="shared" si="520"/>
        <v>7.7273818094552436</v>
      </c>
      <c r="AM568" s="1">
        <f t="shared" si="521"/>
        <v>11.832131313423499</v>
      </c>
      <c r="AN568" s="1"/>
      <c r="AO568" s="30">
        <f t="shared" si="522"/>
        <v>27.978140873191471</v>
      </c>
      <c r="AP568" s="30">
        <f t="shared" si="523"/>
        <v>13.290269999286796</v>
      </c>
      <c r="AQ568" s="30">
        <f t="shared" si="524"/>
        <v>18.69127898671195</v>
      </c>
      <c r="AR568" s="30">
        <f t="shared" si="525"/>
        <v>4.3038269923980339</v>
      </c>
      <c r="AS568" s="30">
        <f t="shared" si="526"/>
        <v>34.691547915052588</v>
      </c>
      <c r="AT568" s="31">
        <f t="shared" si="502"/>
        <v>98.955064766640845</v>
      </c>
      <c r="AV568" s="28">
        <f t="shared" si="527"/>
        <v>6241.5884180320691</v>
      </c>
    </row>
    <row r="569" spans="1:48" ht="15.75" customHeight="1" x14ac:dyDescent="0.25">
      <c r="B569" s="78"/>
      <c r="C569" s="89" t="s">
        <v>46</v>
      </c>
      <c r="D569" s="69"/>
      <c r="E569" s="18" t="s">
        <v>53</v>
      </c>
      <c r="F569" s="76"/>
      <c r="G569" s="23">
        <v>51.52</v>
      </c>
      <c r="H569" s="23">
        <v>5.57</v>
      </c>
      <c r="I569" s="23">
        <v>42.5</v>
      </c>
      <c r="J569" s="23">
        <v>0.18</v>
      </c>
      <c r="K569" s="23">
        <v>0.23</v>
      </c>
      <c r="L569" s="58">
        <f t="shared" si="514"/>
        <v>17.02</v>
      </c>
      <c r="M569" s="58">
        <f t="shared" si="515"/>
        <v>74.52</v>
      </c>
      <c r="N569" s="18">
        <v>8</v>
      </c>
      <c r="O569" s="58">
        <f t="shared" si="516"/>
        <v>0.46</v>
      </c>
      <c r="P569" s="18">
        <v>0.25</v>
      </c>
      <c r="Q569" s="84">
        <v>700</v>
      </c>
      <c r="R569" s="16" t="s">
        <v>82</v>
      </c>
      <c r="S569" s="21">
        <v>0.75</v>
      </c>
      <c r="T569" s="18" t="s">
        <v>51</v>
      </c>
      <c r="U569" s="18">
        <v>46.67</v>
      </c>
      <c r="V569" s="18">
        <v>17.350000000000001</v>
      </c>
      <c r="W569" s="18">
        <v>29.42</v>
      </c>
      <c r="X569" s="18">
        <v>5.67</v>
      </c>
      <c r="Y569" s="73">
        <f t="shared" si="517"/>
        <v>33.393981766071541</v>
      </c>
      <c r="Z569" s="18">
        <v>1.97</v>
      </c>
      <c r="AA569" s="18" t="s">
        <v>51</v>
      </c>
      <c r="AB569" s="18" t="s">
        <v>51</v>
      </c>
      <c r="AC569" s="28">
        <f t="shared" si="518"/>
        <v>9261.8950000000004</v>
      </c>
      <c r="AD569" s="18" t="s">
        <v>51</v>
      </c>
      <c r="AF569" s="1"/>
      <c r="AK569" s="1">
        <f t="shared" si="519"/>
        <v>4.1047495039682547</v>
      </c>
      <c r="AL569" s="1">
        <f t="shared" si="520"/>
        <v>8.1871345029239748</v>
      </c>
      <c r="AM569" s="1">
        <f t="shared" si="521"/>
        <v>12.291884006892229</v>
      </c>
      <c r="AN569" s="1"/>
      <c r="AO569" s="30">
        <f t="shared" si="522"/>
        <v>31.085028709774416</v>
      </c>
      <c r="AP569" s="30">
        <f t="shared" si="523"/>
        <v>11.556144163586591</v>
      </c>
      <c r="AQ569" s="30">
        <f t="shared" si="524"/>
        <v>19.595490564421755</v>
      </c>
      <c r="AR569" s="30">
        <f t="shared" si="525"/>
        <v>3.776561233863744</v>
      </c>
      <c r="AS569" s="30">
        <f t="shared" si="526"/>
        <v>33.393981766071541</v>
      </c>
      <c r="AT569" s="31">
        <f t="shared" si="502"/>
        <v>99.40720643771806</v>
      </c>
      <c r="AV569" s="28">
        <f t="shared" si="527"/>
        <v>6168.9794725073098</v>
      </c>
    </row>
    <row r="570" spans="1:48" ht="15.75" customHeight="1" x14ac:dyDescent="0.25">
      <c r="B570" s="78"/>
      <c r="C570" s="89" t="s">
        <v>46</v>
      </c>
      <c r="D570" s="69"/>
      <c r="E570" s="18" t="s">
        <v>53</v>
      </c>
      <c r="F570" s="76"/>
      <c r="G570" s="23">
        <v>51.52</v>
      </c>
      <c r="H570" s="23">
        <v>5.57</v>
      </c>
      <c r="I570" s="23">
        <v>42.5</v>
      </c>
      <c r="J570" s="23">
        <v>0.18</v>
      </c>
      <c r="K570" s="23">
        <v>0.23</v>
      </c>
      <c r="L570" s="58">
        <f t="shared" si="514"/>
        <v>17.02</v>
      </c>
      <c r="M570" s="58">
        <f t="shared" si="515"/>
        <v>74.52</v>
      </c>
      <c r="N570" s="18">
        <v>8</v>
      </c>
      <c r="O570" s="58">
        <f t="shared" si="516"/>
        <v>0.46</v>
      </c>
      <c r="P570" s="18">
        <v>0.25</v>
      </c>
      <c r="Q570" s="84">
        <v>700</v>
      </c>
      <c r="R570" s="16" t="s">
        <v>82</v>
      </c>
      <c r="S570" s="21">
        <v>0.75</v>
      </c>
      <c r="T570" s="18" t="s">
        <v>51</v>
      </c>
      <c r="U570" s="18">
        <v>47.61</v>
      </c>
      <c r="V570" s="18">
        <v>16.440000000000001</v>
      </c>
      <c r="W570" s="18">
        <v>30.12</v>
      </c>
      <c r="X570" s="18">
        <v>5.18</v>
      </c>
      <c r="Y570" s="73">
        <f t="shared" si="517"/>
        <v>33.095747676154943</v>
      </c>
      <c r="Z570" s="18">
        <v>2.0099999999999998</v>
      </c>
      <c r="AA570" s="18" t="s">
        <v>51</v>
      </c>
      <c r="AB570" s="18" t="s">
        <v>51</v>
      </c>
      <c r="AC570" s="28">
        <f t="shared" si="518"/>
        <v>9072.8311607142878</v>
      </c>
      <c r="AD570" s="18" t="s">
        <v>51</v>
      </c>
      <c r="AF570" s="1"/>
      <c r="AK570" s="1">
        <f t="shared" si="519"/>
        <v>4.1047495039682547</v>
      </c>
      <c r="AL570" s="1">
        <f t="shared" si="520"/>
        <v>8.2978997551861866</v>
      </c>
      <c r="AM570" s="1">
        <f t="shared" si="521"/>
        <v>12.40264925915444</v>
      </c>
      <c r="AN570" s="1"/>
      <c r="AO570" s="30">
        <f t="shared" si="522"/>
        <v>31.85311453138263</v>
      </c>
      <c r="AP570" s="30">
        <f t="shared" si="523"/>
        <v>10.999059082040128</v>
      </c>
      <c r="AQ570" s="30">
        <f t="shared" si="524"/>
        <v>20.151560799942132</v>
      </c>
      <c r="AR570" s="30">
        <f t="shared" si="525"/>
        <v>3.4656402703751739</v>
      </c>
      <c r="AS570" s="30">
        <f t="shared" si="526"/>
        <v>33.095747676154943</v>
      </c>
      <c r="AT570" s="31">
        <f t="shared" si="502"/>
        <v>99.565122359895</v>
      </c>
      <c r="AV570" s="28">
        <f t="shared" si="527"/>
        <v>6070.1098526807264</v>
      </c>
    </row>
    <row r="571" spans="1:48" ht="15.75" customHeight="1" x14ac:dyDescent="0.25">
      <c r="B571" s="78"/>
      <c r="C571" s="89" t="s">
        <v>46</v>
      </c>
      <c r="D571" s="69"/>
      <c r="E571" s="18" t="s">
        <v>53</v>
      </c>
      <c r="F571" s="76"/>
      <c r="G571" s="23">
        <v>51.52</v>
      </c>
      <c r="H571" s="23">
        <v>5.57</v>
      </c>
      <c r="I571" s="23">
        <v>42.5</v>
      </c>
      <c r="J571" s="23">
        <v>0.18</v>
      </c>
      <c r="K571" s="23">
        <v>0.23</v>
      </c>
      <c r="L571" s="58">
        <f t="shared" si="514"/>
        <v>17.02</v>
      </c>
      <c r="M571" s="58">
        <f t="shared" si="515"/>
        <v>74.52</v>
      </c>
      <c r="N571" s="18">
        <v>8</v>
      </c>
      <c r="O571" s="58">
        <f t="shared" si="516"/>
        <v>0.46</v>
      </c>
      <c r="P571" s="18">
        <v>0.25</v>
      </c>
      <c r="Q571" s="84">
        <v>700</v>
      </c>
      <c r="R571" s="16" t="s">
        <v>82</v>
      </c>
      <c r="S571" s="21">
        <v>0.75</v>
      </c>
      <c r="T571" s="18" t="s">
        <v>51</v>
      </c>
      <c r="U571" s="18">
        <v>47.62</v>
      </c>
      <c r="V571" s="18">
        <v>16.87</v>
      </c>
      <c r="W571" s="18">
        <v>30.08</v>
      </c>
      <c r="X571" s="18">
        <v>4.79</v>
      </c>
      <c r="Y571" s="73">
        <f t="shared" si="517"/>
        <v>33.095747676154943</v>
      </c>
      <c r="Z571" s="18">
        <v>2.09</v>
      </c>
      <c r="AA571" s="18" t="s">
        <v>51</v>
      </c>
      <c r="AB571" s="18" t="s">
        <v>51</v>
      </c>
      <c r="AC571" s="28">
        <f t="shared" si="518"/>
        <v>8988.4947321428572</v>
      </c>
      <c r="AD571" s="18" t="s">
        <v>51</v>
      </c>
      <c r="AF571" s="1"/>
      <c r="AK571" s="1">
        <f t="shared" si="519"/>
        <v>4.1047495039682547</v>
      </c>
      <c r="AL571" s="1">
        <f t="shared" si="520"/>
        <v>8.2978997551861866</v>
      </c>
      <c r="AM571" s="1">
        <f t="shared" si="521"/>
        <v>12.40264925915444</v>
      </c>
      <c r="AN571" s="1"/>
      <c r="AO571" s="30">
        <f t="shared" si="522"/>
        <v>31.859804956615019</v>
      </c>
      <c r="AP571" s="30">
        <f t="shared" si="523"/>
        <v>11.286747367032662</v>
      </c>
      <c r="AQ571" s="30">
        <f t="shared" si="524"/>
        <v>20.124799099012591</v>
      </c>
      <c r="AR571" s="30">
        <f t="shared" si="525"/>
        <v>3.2047136863121781</v>
      </c>
      <c r="AS571" s="30">
        <f t="shared" si="526"/>
        <v>33.095747676154943</v>
      </c>
      <c r="AT571" s="31">
        <f t="shared" si="502"/>
        <v>99.571812785127392</v>
      </c>
      <c r="AV571" s="28">
        <f t="shared" si="527"/>
        <v>6013.6851957083791</v>
      </c>
    </row>
    <row r="572" spans="1:48" ht="15.75" customHeight="1" x14ac:dyDescent="0.25">
      <c r="B572" s="78"/>
      <c r="C572" s="89" t="s">
        <v>46</v>
      </c>
      <c r="D572" s="69"/>
      <c r="E572" s="18" t="s">
        <v>53</v>
      </c>
      <c r="F572" s="76"/>
      <c r="G572" s="23">
        <v>51.52</v>
      </c>
      <c r="H572" s="23">
        <v>5.57</v>
      </c>
      <c r="I572" s="23">
        <v>42.5</v>
      </c>
      <c r="J572" s="23">
        <v>0.18</v>
      </c>
      <c r="K572" s="23">
        <v>0.23</v>
      </c>
      <c r="L572" s="58">
        <f t="shared" si="514"/>
        <v>17.02</v>
      </c>
      <c r="M572" s="58">
        <f t="shared" si="515"/>
        <v>74.52</v>
      </c>
      <c r="N572" s="18">
        <v>8</v>
      </c>
      <c r="O572" s="58">
        <f t="shared" si="516"/>
        <v>0.46</v>
      </c>
      <c r="P572" s="18">
        <v>0.25</v>
      </c>
      <c r="Q572" s="84">
        <v>700</v>
      </c>
      <c r="R572" s="16" t="s">
        <v>82</v>
      </c>
      <c r="S572" s="21">
        <v>0.75</v>
      </c>
      <c r="T572" s="18" t="s">
        <v>51</v>
      </c>
      <c r="U572" s="18">
        <v>47.84</v>
      </c>
      <c r="V572" s="18">
        <v>15.93</v>
      </c>
      <c r="W572" s="18">
        <v>30.18</v>
      </c>
      <c r="X572" s="18">
        <v>5.12</v>
      </c>
      <c r="Y572" s="73">
        <f t="shared" si="517"/>
        <v>32.876775588379182</v>
      </c>
      <c r="Z572" s="18">
        <v>2.13</v>
      </c>
      <c r="AA572" s="18" t="s">
        <v>51</v>
      </c>
      <c r="AB572" s="18" t="s">
        <v>51</v>
      </c>
      <c r="AC572" s="28">
        <f t="shared" si="518"/>
        <v>9011.729107142859</v>
      </c>
      <c r="AD572" s="18" t="s">
        <v>51</v>
      </c>
      <c r="AF572" s="1"/>
      <c r="AK572" s="1">
        <f t="shared" si="519"/>
        <v>4.1047495039682547</v>
      </c>
      <c r="AL572" s="1">
        <f t="shared" si="520"/>
        <v>8.3805062138070134</v>
      </c>
      <c r="AM572" s="1">
        <f t="shared" si="521"/>
        <v>12.485255717775267</v>
      </c>
      <c r="AN572" s="1"/>
      <c r="AO572" s="30">
        <f t="shared" si="522"/>
        <v>32.111750558519411</v>
      </c>
      <c r="AP572" s="30">
        <f t="shared" si="523"/>
        <v>10.692729648771197</v>
      </c>
      <c r="AQ572" s="30">
        <f t="shared" si="524"/>
        <v>20.257789127427166</v>
      </c>
      <c r="AR572" s="30">
        <f t="shared" si="525"/>
        <v>3.4367090898749861</v>
      </c>
      <c r="AS572" s="30">
        <f t="shared" si="526"/>
        <v>32.876775588379182</v>
      </c>
      <c r="AT572" s="31">
        <f t="shared" si="502"/>
        <v>99.375754012971953</v>
      </c>
      <c r="AV572" s="28">
        <f t="shared" si="527"/>
        <v>6048.9631519548548</v>
      </c>
    </row>
    <row r="573" spans="1:48" ht="15.75" customHeight="1" x14ac:dyDescent="0.25">
      <c r="B573" s="78"/>
      <c r="C573" s="89" t="s">
        <v>46</v>
      </c>
      <c r="D573" s="69"/>
      <c r="E573" s="18" t="s">
        <v>53</v>
      </c>
      <c r="F573" s="76"/>
      <c r="G573" s="23">
        <v>51.52</v>
      </c>
      <c r="H573" s="23">
        <v>5.57</v>
      </c>
      <c r="I573" s="23">
        <v>42.5</v>
      </c>
      <c r="J573" s="23">
        <v>0.18</v>
      </c>
      <c r="K573" s="23">
        <v>0.23</v>
      </c>
      <c r="L573" s="58">
        <f t="shared" si="514"/>
        <v>17.02</v>
      </c>
      <c r="M573" s="58">
        <f t="shared" si="515"/>
        <v>74.52</v>
      </c>
      <c r="N573" s="18">
        <v>8</v>
      </c>
      <c r="O573" s="58">
        <f t="shared" si="516"/>
        <v>0.46</v>
      </c>
      <c r="P573" s="18">
        <v>0.25</v>
      </c>
      <c r="Q573" s="84">
        <v>700</v>
      </c>
      <c r="R573" s="16" t="s">
        <v>82</v>
      </c>
      <c r="S573" s="21">
        <v>0.75</v>
      </c>
      <c r="T573" s="18" t="s">
        <v>51</v>
      </c>
      <c r="U573" s="18">
        <v>48.93</v>
      </c>
      <c r="V573" s="18">
        <v>15.33</v>
      </c>
      <c r="W573" s="18">
        <v>29.99</v>
      </c>
      <c r="X573" s="18">
        <v>5.14</v>
      </c>
      <c r="Y573" s="73">
        <f t="shared" si="517"/>
        <v>32.543441470618909</v>
      </c>
      <c r="Z573" s="18">
        <v>2.19</v>
      </c>
      <c r="AA573" s="18" t="s">
        <v>51</v>
      </c>
      <c r="AB573" s="18" t="s">
        <v>51</v>
      </c>
      <c r="AC573" s="28">
        <f t="shared" si="518"/>
        <v>9060.7631249999995</v>
      </c>
      <c r="AD573" s="18" t="s">
        <v>51</v>
      </c>
      <c r="AF573" s="1"/>
      <c r="AK573" s="1">
        <f t="shared" si="519"/>
        <v>4.1047495039682547</v>
      </c>
      <c r="AL573" s="1">
        <f t="shared" si="520"/>
        <v>8.5083894834192098</v>
      </c>
      <c r="AM573" s="1">
        <f t="shared" si="521"/>
        <v>12.613138987387465</v>
      </c>
      <c r="AN573" s="1"/>
      <c r="AO573" s="30">
        <f t="shared" si="522"/>
        <v>33.006494088426166</v>
      </c>
      <c r="AP573" s="30">
        <f t="shared" si="523"/>
        <v>10.341090422554119</v>
      </c>
      <c r="AQ573" s="30">
        <f t="shared" si="524"/>
        <v>20.230221902961386</v>
      </c>
      <c r="AR573" s="30">
        <f t="shared" si="525"/>
        <v>3.4672671084101871</v>
      </c>
      <c r="AS573" s="30">
        <f t="shared" si="526"/>
        <v>32.543441470618909</v>
      </c>
      <c r="AT573" s="31">
        <f t="shared" si="502"/>
        <v>99.588514992970772</v>
      </c>
      <c r="AV573" s="28">
        <f t="shared" si="527"/>
        <v>6112.0789806242037</v>
      </c>
    </row>
    <row r="574" spans="1:48" ht="15.75" customHeight="1" x14ac:dyDescent="0.25">
      <c r="B574" s="78"/>
      <c r="C574" s="89" t="s">
        <v>46</v>
      </c>
      <c r="D574" s="69"/>
      <c r="E574" s="18" t="s">
        <v>53</v>
      </c>
      <c r="F574" s="77"/>
      <c r="G574" s="23">
        <v>51.52</v>
      </c>
      <c r="H574" s="23">
        <v>5.57</v>
      </c>
      <c r="I574" s="23">
        <v>42.5</v>
      </c>
      <c r="J574" s="23">
        <v>0.18</v>
      </c>
      <c r="K574" s="23">
        <v>0.23</v>
      </c>
      <c r="L574" s="58">
        <f t="shared" si="514"/>
        <v>17.02</v>
      </c>
      <c r="M574" s="58">
        <f t="shared" si="515"/>
        <v>74.52</v>
      </c>
      <c r="N574" s="18">
        <v>8</v>
      </c>
      <c r="O574" s="58">
        <f t="shared" si="516"/>
        <v>0.46</v>
      </c>
      <c r="P574" s="18">
        <v>0.25</v>
      </c>
      <c r="Q574" s="84">
        <v>700</v>
      </c>
      <c r="R574" s="16" t="s">
        <v>82</v>
      </c>
      <c r="S574" s="21">
        <v>0.75</v>
      </c>
      <c r="T574" s="18" t="s">
        <v>51</v>
      </c>
      <c r="U574" s="18">
        <v>49.09</v>
      </c>
      <c r="V574" s="18">
        <v>14.78</v>
      </c>
      <c r="W574" s="18">
        <v>30.73</v>
      </c>
      <c r="X574" s="18">
        <v>4.72</v>
      </c>
      <c r="Y574" s="73">
        <f t="shared" si="517"/>
        <v>32.443231037794277</v>
      </c>
      <c r="Z574" s="18">
        <v>2.2200000000000002</v>
      </c>
      <c r="AA574" s="18" t="s">
        <v>51</v>
      </c>
      <c r="AB574" s="18" t="s">
        <v>51</v>
      </c>
      <c r="AC574" s="28">
        <f t="shared" si="518"/>
        <v>8858.0581250000014</v>
      </c>
      <c r="AD574" s="18" t="s">
        <v>51</v>
      </c>
      <c r="AF574" s="1"/>
      <c r="AK574" s="1">
        <f t="shared" si="519"/>
        <v>4.1047495039682547</v>
      </c>
      <c r="AL574" s="1">
        <f t="shared" si="520"/>
        <v>8.5473488619019182</v>
      </c>
      <c r="AM574" s="1">
        <f t="shared" si="521"/>
        <v>12.652098365870174</v>
      </c>
      <c r="AN574" s="1"/>
      <c r="AO574" s="30">
        <f t="shared" si="522"/>
        <v>33.163617883546792</v>
      </c>
      <c r="AP574" s="30">
        <f t="shared" si="523"/>
        <v>9.984890452614005</v>
      </c>
      <c r="AQ574" s="30">
        <f t="shared" si="524"/>
        <v>20.760195102085817</v>
      </c>
      <c r="AR574" s="30">
        <f t="shared" si="525"/>
        <v>3.1886794950161099</v>
      </c>
      <c r="AS574" s="30">
        <f t="shared" si="526"/>
        <v>32.443231037794277</v>
      </c>
      <c r="AT574" s="31">
        <f t="shared" si="502"/>
        <v>99.540613971056999</v>
      </c>
      <c r="AV574" s="28">
        <f t="shared" si="527"/>
        <v>5984.2178620441427</v>
      </c>
    </row>
    <row r="575" spans="1:48" ht="15.75" customHeight="1" x14ac:dyDescent="0.25">
      <c r="A575" s="14"/>
      <c r="B575" s="91" t="s">
        <v>118</v>
      </c>
      <c r="C575" s="89" t="s">
        <v>46</v>
      </c>
      <c r="D575" s="52" t="s">
        <v>117</v>
      </c>
      <c r="E575" s="18" t="s">
        <v>75</v>
      </c>
      <c r="F575" s="74" t="s">
        <v>119</v>
      </c>
      <c r="G575" s="23">
        <f t="shared" ref="G575:G578" si="528">52.97*100/(100-O575)</f>
        <v>53.505050505050505</v>
      </c>
      <c r="H575" s="23">
        <f t="shared" ref="H575:H578" si="529">6.51*100/(100-O575)</f>
        <v>6.5757575757575761</v>
      </c>
      <c r="I575" s="23">
        <f t="shared" ref="I575:I578" si="530">36.67*100/(100-O575)</f>
        <v>37.040404040404042</v>
      </c>
      <c r="J575" s="23">
        <f t="shared" ref="J575:J578" si="531">2.8*100/(100-O575)</f>
        <v>2.8282828282828283</v>
      </c>
      <c r="K575" s="23">
        <f t="shared" ref="K575:K578" si="532">0.05*100/(100-O575)</f>
        <v>5.0505050505050504E-2</v>
      </c>
      <c r="L575" s="18">
        <v>16.7</v>
      </c>
      <c r="M575" s="18">
        <v>71.8</v>
      </c>
      <c r="N575" s="18">
        <v>10.5</v>
      </c>
      <c r="O575" s="18">
        <v>1</v>
      </c>
      <c r="P575" s="71">
        <v>0</v>
      </c>
      <c r="Q575" s="84">
        <v>819.85</v>
      </c>
      <c r="R575" s="18" t="s">
        <v>51</v>
      </c>
      <c r="S575" s="21">
        <v>1</v>
      </c>
      <c r="T575" s="18" t="s">
        <v>51</v>
      </c>
      <c r="U575" s="18">
        <v>31.2</v>
      </c>
      <c r="V575" s="18">
        <v>28.2</v>
      </c>
      <c r="W575" s="18">
        <v>17.3</v>
      </c>
      <c r="X575" s="18">
        <v>13.6</v>
      </c>
      <c r="Y575" s="73">
        <f t="shared" si="517"/>
        <v>1.3211821338619054</v>
      </c>
      <c r="Z575" s="18" t="s">
        <v>51</v>
      </c>
      <c r="AA575" s="18" t="s">
        <v>51</v>
      </c>
      <c r="AB575" s="18" t="s">
        <v>51</v>
      </c>
      <c r="AC575" s="28">
        <f t="shared" si="518"/>
        <v>11804.025</v>
      </c>
      <c r="AD575" s="18" t="s">
        <v>51</v>
      </c>
      <c r="AF575" s="1"/>
      <c r="AK575" s="1">
        <f t="shared" si="519"/>
        <v>0.10101010101010101</v>
      </c>
      <c r="AL575" s="1">
        <f t="shared" si="520"/>
        <v>7.5444233650663426</v>
      </c>
      <c r="AM575" s="1">
        <f t="shared" si="521"/>
        <v>7.6454334660764438</v>
      </c>
      <c r="AN575" s="1"/>
      <c r="AO575" s="30">
        <f t="shared" si="522"/>
        <v>30.787791174235085</v>
      </c>
      <c r="AP575" s="30">
        <f t="shared" si="523"/>
        <v>27.827426638250941</v>
      </c>
      <c r="AQ575" s="30">
        <f t="shared" si="524"/>
        <v>17.071435490841893</v>
      </c>
      <c r="AR575" s="30">
        <f t="shared" si="525"/>
        <v>13.42031922979478</v>
      </c>
      <c r="AS575" s="30">
        <f t="shared" si="526"/>
        <v>1.3211821338619054</v>
      </c>
      <c r="AT575" s="31">
        <f t="shared" si="502"/>
        <v>90.428154666984611</v>
      </c>
      <c r="AV575" s="28">
        <f t="shared" si="527"/>
        <v>11648.072330623407</v>
      </c>
    </row>
    <row r="576" spans="1:48" ht="15.75" customHeight="1" x14ac:dyDescent="0.25">
      <c r="B576" s="92"/>
      <c r="C576" s="89" t="s">
        <v>46</v>
      </c>
      <c r="D576" s="51"/>
      <c r="E576" s="18" t="s">
        <v>75</v>
      </c>
      <c r="F576" s="76"/>
      <c r="G576" s="23">
        <f t="shared" si="528"/>
        <v>53.505050505050505</v>
      </c>
      <c r="H576" s="23">
        <f t="shared" si="529"/>
        <v>6.5757575757575761</v>
      </c>
      <c r="I576" s="23">
        <f t="shared" si="530"/>
        <v>37.040404040404042</v>
      </c>
      <c r="J576" s="23">
        <f t="shared" si="531"/>
        <v>2.8282828282828283</v>
      </c>
      <c r="K576" s="23">
        <f t="shared" si="532"/>
        <v>5.0505050505050504E-2</v>
      </c>
      <c r="L576" s="18">
        <v>16.7</v>
      </c>
      <c r="M576" s="18">
        <v>71.8</v>
      </c>
      <c r="N576" s="18">
        <v>10.5</v>
      </c>
      <c r="O576" s="18">
        <v>1</v>
      </c>
      <c r="P576" s="71">
        <v>0</v>
      </c>
      <c r="Q576" s="84">
        <v>816.85</v>
      </c>
      <c r="R576" s="18" t="s">
        <v>51</v>
      </c>
      <c r="S576" s="21">
        <v>1</v>
      </c>
      <c r="T576" s="18" t="s">
        <v>51</v>
      </c>
      <c r="U576" s="18">
        <v>23.7</v>
      </c>
      <c r="V576" s="18">
        <v>36.6</v>
      </c>
      <c r="W576" s="18">
        <v>12.4</v>
      </c>
      <c r="X576" s="18">
        <v>15.8</v>
      </c>
      <c r="Y576" s="73">
        <f t="shared" si="517"/>
        <v>1.4467622740364219</v>
      </c>
      <c r="Z576" s="18" t="s">
        <v>51</v>
      </c>
      <c r="AA576" s="18" t="s">
        <v>51</v>
      </c>
      <c r="AB576" s="18" t="s">
        <v>51</v>
      </c>
      <c r="AC576" s="28">
        <f t="shared" si="518"/>
        <v>12843.897321428572</v>
      </c>
      <c r="AD576" s="18" t="s">
        <v>51</v>
      </c>
      <c r="AF576" s="1"/>
      <c r="AK576" s="1">
        <f t="shared" si="519"/>
        <v>0.10101010101010101</v>
      </c>
      <c r="AL576" s="1">
        <f t="shared" si="520"/>
        <v>6.8807935320281004</v>
      </c>
      <c r="AM576" s="1">
        <f t="shared" si="521"/>
        <v>6.9818036330382016</v>
      </c>
      <c r="AN576" s="1"/>
      <c r="AO576" s="30">
        <f t="shared" si="522"/>
        <v>23.357117341053367</v>
      </c>
      <c r="AP576" s="30">
        <f t="shared" si="523"/>
        <v>36.070485007702672</v>
      </c>
      <c r="AQ576" s="30">
        <f t="shared" si="524"/>
        <v>12.220601478019484</v>
      </c>
      <c r="AR576" s="30">
        <f t="shared" si="525"/>
        <v>15.571411560702245</v>
      </c>
      <c r="AS576" s="30">
        <f t="shared" si="526"/>
        <v>1.4467622740364219</v>
      </c>
      <c r="AT576" s="31">
        <f t="shared" si="502"/>
        <v>88.66637766151419</v>
      </c>
      <c r="AV576" s="28">
        <f t="shared" si="527"/>
        <v>12658.076660466169</v>
      </c>
    </row>
    <row r="577" spans="1:48" ht="15.75" customHeight="1" x14ac:dyDescent="0.25">
      <c r="B577" s="92"/>
      <c r="C577" s="89" t="s">
        <v>46</v>
      </c>
      <c r="D577" s="51"/>
      <c r="E577" s="18" t="s">
        <v>75</v>
      </c>
      <c r="F577" s="76"/>
      <c r="G577" s="23">
        <f t="shared" si="528"/>
        <v>53.505050505050505</v>
      </c>
      <c r="H577" s="23">
        <f t="shared" si="529"/>
        <v>6.5757575757575761</v>
      </c>
      <c r="I577" s="23">
        <f t="shared" si="530"/>
        <v>37.040404040404042</v>
      </c>
      <c r="J577" s="23">
        <f t="shared" si="531"/>
        <v>2.8282828282828283</v>
      </c>
      <c r="K577" s="23">
        <f t="shared" si="532"/>
        <v>5.0505050505050504E-2</v>
      </c>
      <c r="L577" s="18">
        <v>16.7</v>
      </c>
      <c r="M577" s="18">
        <v>71.8</v>
      </c>
      <c r="N577" s="18">
        <v>10.5</v>
      </c>
      <c r="O577" s="18">
        <v>1</v>
      </c>
      <c r="P577" s="71">
        <v>0</v>
      </c>
      <c r="Q577" s="84">
        <v>821.85</v>
      </c>
      <c r="R577" s="18" t="s">
        <v>51</v>
      </c>
      <c r="S577" s="21">
        <v>1</v>
      </c>
      <c r="T577" s="18" t="s">
        <v>51</v>
      </c>
      <c r="U577" s="18">
        <v>25.4</v>
      </c>
      <c r="V577" s="18">
        <v>33.700000000000003</v>
      </c>
      <c r="W577" s="18">
        <v>14.2</v>
      </c>
      <c r="X577" s="18">
        <v>15.7</v>
      </c>
      <c r="Y577" s="73">
        <f t="shared" si="517"/>
        <v>1.4203509189849106</v>
      </c>
      <c r="Z577" s="18" t="s">
        <v>51</v>
      </c>
      <c r="AA577" s="18" t="s">
        <v>51</v>
      </c>
      <c r="AB577" s="18" t="s">
        <v>51</v>
      </c>
      <c r="AC577" s="28">
        <f t="shared" si="518"/>
        <v>12625.206250000001</v>
      </c>
      <c r="AD577" s="18" t="s">
        <v>51</v>
      </c>
      <c r="AF577" s="1"/>
      <c r="AK577" s="1">
        <f t="shared" si="519"/>
        <v>0.10101010101010101</v>
      </c>
      <c r="AL577" s="1">
        <f t="shared" si="520"/>
        <v>7.0106198250852332</v>
      </c>
      <c r="AM577" s="1">
        <f t="shared" si="521"/>
        <v>7.1116299260953344</v>
      </c>
      <c r="AN577" s="1"/>
      <c r="AO577" s="30">
        <f t="shared" si="522"/>
        <v>25.039230866577832</v>
      </c>
      <c r="AP577" s="30">
        <f t="shared" si="523"/>
        <v>33.221341740302087</v>
      </c>
      <c r="AQ577" s="30">
        <f t="shared" si="524"/>
        <v>13.998310169504141</v>
      </c>
      <c r="AR577" s="30">
        <f t="shared" si="525"/>
        <v>15.477004905719369</v>
      </c>
      <c r="AS577" s="30">
        <f t="shared" si="526"/>
        <v>1.4203509189849106</v>
      </c>
      <c r="AT577" s="31">
        <f t="shared" si="502"/>
        <v>89.156238601088333</v>
      </c>
      <c r="AV577" s="28">
        <f t="shared" si="527"/>
        <v>12445.884017004384</v>
      </c>
    </row>
    <row r="578" spans="1:48" ht="15.75" customHeight="1" x14ac:dyDescent="0.25">
      <c r="B578" s="93"/>
      <c r="C578" s="89" t="s">
        <v>46</v>
      </c>
      <c r="D578" s="64"/>
      <c r="E578" s="18" t="s">
        <v>75</v>
      </c>
      <c r="F578" s="77"/>
      <c r="G578" s="23">
        <f t="shared" si="528"/>
        <v>53.505050505050505</v>
      </c>
      <c r="H578" s="23">
        <f t="shared" si="529"/>
        <v>6.5757575757575761</v>
      </c>
      <c r="I578" s="23">
        <f t="shared" si="530"/>
        <v>37.040404040404042</v>
      </c>
      <c r="J578" s="23">
        <f t="shared" si="531"/>
        <v>2.8282828282828283</v>
      </c>
      <c r="K578" s="23">
        <f t="shared" si="532"/>
        <v>5.0505050505050504E-2</v>
      </c>
      <c r="L578" s="18">
        <v>16.7</v>
      </c>
      <c r="M578" s="18">
        <v>71.8</v>
      </c>
      <c r="N578" s="18">
        <v>10.5</v>
      </c>
      <c r="O578" s="18">
        <v>1</v>
      </c>
      <c r="P578" s="71">
        <v>0</v>
      </c>
      <c r="Q578" s="84">
        <v>829.85</v>
      </c>
      <c r="R578" s="18" t="s">
        <v>51</v>
      </c>
      <c r="S578" s="21">
        <v>1</v>
      </c>
      <c r="T578" s="18" t="s">
        <v>51</v>
      </c>
      <c r="U578" s="18">
        <v>22.1</v>
      </c>
      <c r="V578" s="18">
        <v>37.4</v>
      </c>
      <c r="W578" s="18">
        <v>12.3</v>
      </c>
      <c r="X578" s="18">
        <v>17.8</v>
      </c>
      <c r="Y578" s="73">
        <f t="shared" si="517"/>
        <v>1.5061361100780959</v>
      </c>
      <c r="Z578" s="18" t="s">
        <v>51</v>
      </c>
      <c r="AA578" s="18" t="s">
        <v>51</v>
      </c>
      <c r="AB578" s="18" t="s">
        <v>51</v>
      </c>
      <c r="AC578" s="28">
        <f t="shared" si="518"/>
        <v>13488.865178571428</v>
      </c>
      <c r="AD578" s="18" t="s">
        <v>51</v>
      </c>
      <c r="AF578" s="1"/>
      <c r="AK578" s="1">
        <f t="shared" si="519"/>
        <v>0.10101010101010101</v>
      </c>
      <c r="AL578" s="1">
        <f t="shared" si="520"/>
        <v>6.6055617907469761</v>
      </c>
      <c r="AM578" s="1">
        <f t="shared" si="521"/>
        <v>6.7065718917570774</v>
      </c>
      <c r="AN578" s="1"/>
      <c r="AO578" s="30">
        <f t="shared" si="522"/>
        <v>21.767143919672741</v>
      </c>
      <c r="AP578" s="30">
        <f t="shared" si="523"/>
        <v>36.836705094830791</v>
      </c>
      <c r="AQ578" s="30">
        <f t="shared" si="524"/>
        <v>12.114745258460395</v>
      </c>
      <c r="AR578" s="30">
        <f t="shared" si="525"/>
        <v>17.5319077724061</v>
      </c>
      <c r="AS578" s="30">
        <f t="shared" si="526"/>
        <v>1.5061361100780959</v>
      </c>
      <c r="AT578" s="31">
        <f t="shared" si="502"/>
        <v>89.75663815544813</v>
      </c>
      <c r="AV578" s="28">
        <f t="shared" si="527"/>
        <v>13285.704509277215</v>
      </c>
    </row>
    <row r="579" spans="1:48" ht="15.75" customHeight="1" x14ac:dyDescent="0.25">
      <c r="A579" s="14"/>
      <c r="B579" s="78" t="s">
        <v>120</v>
      </c>
      <c r="C579" s="94" t="s">
        <v>46</v>
      </c>
      <c r="D579" s="69" t="s">
        <v>117</v>
      </c>
      <c r="E579" s="79" t="s">
        <v>75</v>
      </c>
      <c r="F579" s="70" t="s">
        <v>121</v>
      </c>
      <c r="G579" s="23">
        <v>49.13</v>
      </c>
      <c r="H579" s="23">
        <v>6.54</v>
      </c>
      <c r="I579" s="23">
        <v>44.16</v>
      </c>
      <c r="J579" s="23">
        <v>0.12</v>
      </c>
      <c r="K579" s="23">
        <v>0.05</v>
      </c>
      <c r="L579" s="58">
        <f t="shared" ref="L579:L673" si="533">100-SUM(M579,N579,O579)</f>
        <v>12.439999999999998</v>
      </c>
      <c r="M579" s="36">
        <v>80</v>
      </c>
      <c r="N579" s="36">
        <v>7.3</v>
      </c>
      <c r="O579" s="18">
        <v>0.26</v>
      </c>
      <c r="P579" s="71">
        <v>0</v>
      </c>
      <c r="Q579" s="84">
        <v>841</v>
      </c>
      <c r="R579" s="18" t="s">
        <v>62</v>
      </c>
      <c r="S579" s="21">
        <v>0.63</v>
      </c>
      <c r="T579" s="18">
        <v>17.12</v>
      </c>
      <c r="U579" s="18">
        <v>39.1</v>
      </c>
      <c r="V579" s="18">
        <v>29.1</v>
      </c>
      <c r="W579" s="18">
        <v>17.5</v>
      </c>
      <c r="X579" s="18">
        <v>11.4</v>
      </c>
      <c r="Y579" s="73">
        <f t="shared" si="517"/>
        <v>6.0676719783981585E-2</v>
      </c>
      <c r="Z579" s="18" t="s">
        <v>51</v>
      </c>
      <c r="AA579" s="18" t="s">
        <v>51</v>
      </c>
      <c r="AB579" s="18" t="s">
        <v>51</v>
      </c>
      <c r="AC579" s="28">
        <f t="shared" si="518"/>
        <v>11982.290178571429</v>
      </c>
      <c r="AD579" s="18" t="s">
        <v>51</v>
      </c>
      <c r="AF579" s="1"/>
      <c r="AK579" s="1">
        <f t="shared" si="519"/>
        <v>4.2857142857142859E-3</v>
      </c>
      <c r="AL579" s="1">
        <f t="shared" si="520"/>
        <v>7.0589080459770113</v>
      </c>
      <c r="AM579" s="1">
        <f t="shared" si="521"/>
        <v>7.0631937602627257</v>
      </c>
      <c r="AN579" s="1"/>
      <c r="AO579" s="30">
        <f t="shared" si="522"/>
        <v>39.076275402564463</v>
      </c>
      <c r="AP579" s="30">
        <f t="shared" si="523"/>
        <v>29.082343074542866</v>
      </c>
      <c r="AQ579" s="30">
        <f t="shared" si="524"/>
        <v>17.4893815740378</v>
      </c>
      <c r="AR579" s="30">
        <f t="shared" si="525"/>
        <v>11.393082853944627</v>
      </c>
      <c r="AS579" s="30">
        <f t="shared" si="526"/>
        <v>6.0676719783981585E-2</v>
      </c>
      <c r="AT579" s="31">
        <f t="shared" si="502"/>
        <v>97.101759624873736</v>
      </c>
      <c r="AV579" s="28">
        <f t="shared" si="527"/>
        <v>11975.019717936075</v>
      </c>
    </row>
    <row r="580" spans="1:48" ht="15.75" customHeight="1" x14ac:dyDescent="0.25">
      <c r="B580" s="78"/>
      <c r="C580" s="94" t="s">
        <v>46</v>
      </c>
      <c r="D580" s="69"/>
      <c r="E580" s="79" t="s">
        <v>75</v>
      </c>
      <c r="F580" s="70"/>
      <c r="G580" s="23">
        <v>49.13</v>
      </c>
      <c r="H580" s="23">
        <v>6.54</v>
      </c>
      <c r="I580" s="23">
        <v>44.16</v>
      </c>
      <c r="J580" s="23">
        <v>0.12</v>
      </c>
      <c r="K580" s="23">
        <v>0.05</v>
      </c>
      <c r="L580" s="58">
        <f t="shared" si="533"/>
        <v>12.439999999999998</v>
      </c>
      <c r="M580" s="36">
        <v>80</v>
      </c>
      <c r="N580" s="36">
        <v>7.3</v>
      </c>
      <c r="O580" s="18">
        <v>0.26</v>
      </c>
      <c r="P580" s="71">
        <v>0</v>
      </c>
      <c r="Q580" s="84">
        <v>645</v>
      </c>
      <c r="R580" s="18" t="s">
        <v>122</v>
      </c>
      <c r="S580" s="21">
        <v>0.79</v>
      </c>
      <c r="T580" s="18">
        <v>17.12</v>
      </c>
      <c r="U580" s="18">
        <v>73.900000000000006</v>
      </c>
      <c r="V580" s="18">
        <v>6.1</v>
      </c>
      <c r="W580" s="18">
        <v>6</v>
      </c>
      <c r="X580" s="18">
        <v>11.7</v>
      </c>
      <c r="Y580" s="73">
        <f t="shared" si="517"/>
        <v>2.4907289533403439E-2</v>
      </c>
      <c r="Z580" s="18" t="s">
        <v>51</v>
      </c>
      <c r="AA580" s="18" t="s">
        <v>51</v>
      </c>
      <c r="AB580" s="18" t="s">
        <v>51</v>
      </c>
      <c r="AC580" s="28">
        <f t="shared" si="518"/>
        <v>12940.826785714286</v>
      </c>
      <c r="AD580" s="18" t="s">
        <v>51</v>
      </c>
      <c r="AF580" s="1"/>
      <c r="AK580" s="1">
        <f t="shared" si="519"/>
        <v>4.2857142857142859E-3</v>
      </c>
      <c r="AL580" s="1">
        <f t="shared" si="520"/>
        <v>17.202380952380956</v>
      </c>
      <c r="AM580" s="1">
        <f t="shared" si="521"/>
        <v>17.206666666666671</v>
      </c>
      <c r="AN580" s="1"/>
      <c r="AO580" s="30">
        <f t="shared" si="522"/>
        <v>73.881593513034829</v>
      </c>
      <c r="AP580" s="30">
        <f t="shared" si="523"/>
        <v>6.098480655338463</v>
      </c>
      <c r="AQ580" s="30">
        <f t="shared" si="524"/>
        <v>5.9985055626279955</v>
      </c>
      <c r="AR580" s="30">
        <f t="shared" si="525"/>
        <v>11.697085847124592</v>
      </c>
      <c r="AS580" s="30">
        <f t="shared" si="526"/>
        <v>2.4907289533403439E-2</v>
      </c>
      <c r="AT580" s="31">
        <f t="shared" si="502"/>
        <v>97.700572867659289</v>
      </c>
      <c r="AV580" s="28">
        <f t="shared" si="527"/>
        <v>12937.603576518755</v>
      </c>
    </row>
    <row r="581" spans="1:48" ht="15.75" customHeight="1" x14ac:dyDescent="0.25">
      <c r="B581" s="78"/>
      <c r="C581" s="94" t="s">
        <v>46</v>
      </c>
      <c r="D581" s="69"/>
      <c r="E581" s="79" t="s">
        <v>75</v>
      </c>
      <c r="F581" s="70"/>
      <c r="G581" s="23">
        <v>49.13</v>
      </c>
      <c r="H581" s="23">
        <v>6.54</v>
      </c>
      <c r="I581" s="23">
        <v>44.16</v>
      </c>
      <c r="J581" s="23">
        <v>0.12</v>
      </c>
      <c r="K581" s="23">
        <v>0.05</v>
      </c>
      <c r="L581" s="58">
        <f t="shared" si="533"/>
        <v>12.439999999999998</v>
      </c>
      <c r="M581" s="36">
        <v>80</v>
      </c>
      <c r="N581" s="36">
        <v>7.3</v>
      </c>
      <c r="O581" s="18">
        <v>0.26</v>
      </c>
      <c r="P581" s="71">
        <v>0</v>
      </c>
      <c r="Q581" s="84">
        <v>850</v>
      </c>
      <c r="R581" s="18" t="s">
        <v>62</v>
      </c>
      <c r="S581" s="21">
        <v>0.63</v>
      </c>
      <c r="T581" s="18">
        <v>17.12</v>
      </c>
      <c r="U581" s="18">
        <v>37.700000000000003</v>
      </c>
      <c r="V581" s="18">
        <v>29.1</v>
      </c>
      <c r="W581" s="18">
        <v>19.600000000000001</v>
      </c>
      <c r="X581" s="18">
        <v>10.4</v>
      </c>
      <c r="Y581" s="73">
        <f t="shared" si="517"/>
        <v>6.1826773678090932E-2</v>
      </c>
      <c r="Z581" s="18" t="s">
        <v>51</v>
      </c>
      <c r="AA581" s="18" t="s">
        <v>51</v>
      </c>
      <c r="AB581" s="18" t="s">
        <v>51</v>
      </c>
      <c r="AC581" s="28">
        <f t="shared" si="518"/>
        <v>11472.840178571429</v>
      </c>
      <c r="AD581" s="18" t="s">
        <v>51</v>
      </c>
      <c r="AF581" s="1"/>
      <c r="AK581" s="1">
        <f t="shared" si="519"/>
        <v>4.2857142857142859E-3</v>
      </c>
      <c r="AL581" s="1">
        <f t="shared" si="520"/>
        <v>6.927523970671178</v>
      </c>
      <c r="AM581" s="1">
        <f t="shared" si="521"/>
        <v>6.9318096849568924</v>
      </c>
      <c r="AN581" s="1"/>
      <c r="AO581" s="30">
        <f t="shared" si="522"/>
        <v>37.676691306323363</v>
      </c>
      <c r="AP581" s="30">
        <f t="shared" si="523"/>
        <v>29.082008408859679</v>
      </c>
      <c r="AQ581" s="30">
        <f t="shared" si="524"/>
        <v>19.587881952359094</v>
      </c>
      <c r="AR581" s="30">
        <f t="shared" si="525"/>
        <v>10.393570015537479</v>
      </c>
      <c r="AS581" s="30">
        <f t="shared" si="526"/>
        <v>6.1826773678090932E-2</v>
      </c>
      <c r="AT581" s="31">
        <f t="shared" si="502"/>
        <v>96.801978456757709</v>
      </c>
      <c r="AV581" s="28">
        <f t="shared" si="527"/>
        <v>11465.746891639776</v>
      </c>
    </row>
    <row r="582" spans="1:48" ht="15.75" customHeight="1" x14ac:dyDescent="0.25">
      <c r="B582" s="78"/>
      <c r="C582" s="94" t="s">
        <v>46</v>
      </c>
      <c r="D582" s="69"/>
      <c r="E582" s="79" t="s">
        <v>75</v>
      </c>
      <c r="F582" s="70"/>
      <c r="G582" s="23">
        <v>49.13</v>
      </c>
      <c r="H582" s="23">
        <v>6.54</v>
      </c>
      <c r="I582" s="23">
        <v>44.16</v>
      </c>
      <c r="J582" s="23">
        <v>0.12</v>
      </c>
      <c r="K582" s="23">
        <v>0.05</v>
      </c>
      <c r="L582" s="58">
        <f t="shared" si="533"/>
        <v>12.439999999999998</v>
      </c>
      <c r="M582" s="36">
        <v>80</v>
      </c>
      <c r="N582" s="36">
        <v>7.3</v>
      </c>
      <c r="O582" s="18">
        <v>0.26</v>
      </c>
      <c r="P582" s="71">
        <v>0</v>
      </c>
      <c r="Q582" s="84">
        <v>840</v>
      </c>
      <c r="R582" s="18" t="s">
        <v>62</v>
      </c>
      <c r="S582" s="21">
        <v>0.63</v>
      </c>
      <c r="T582" s="18">
        <v>17.12</v>
      </c>
      <c r="U582" s="21">
        <v>38.256351039260899</v>
      </c>
      <c r="V582" s="21">
        <v>17.655889145496499</v>
      </c>
      <c r="W582" s="21">
        <v>28.833718244803599</v>
      </c>
      <c r="X582" s="21">
        <v>11.004618937644301</v>
      </c>
      <c r="Y582" s="73">
        <f t="shared" si="517"/>
        <v>6.0147922736301179E-2</v>
      </c>
      <c r="Z582" s="18" t="s">
        <v>51</v>
      </c>
      <c r="AA582" s="18" t="s">
        <v>51</v>
      </c>
      <c r="AB582" s="18" t="s">
        <v>51</v>
      </c>
      <c r="AC582" s="28">
        <f t="shared" si="518"/>
        <v>10303.702985813237</v>
      </c>
      <c r="AD582" s="18" t="s">
        <v>51</v>
      </c>
      <c r="AF582" s="1"/>
      <c r="AK582" s="1">
        <f t="shared" si="519"/>
        <v>4.2857142857142859E-3</v>
      </c>
      <c r="AL582" s="1">
        <f t="shared" si="520"/>
        <v>7.1210048871928988</v>
      </c>
      <c r="AM582" s="1">
        <f t="shared" si="521"/>
        <v>7.1252906014786133</v>
      </c>
      <c r="AN582" s="1"/>
      <c r="AO582" s="30">
        <f t="shared" si="522"/>
        <v>38.233340638796079</v>
      </c>
      <c r="AP582" s="30">
        <f t="shared" si="523"/>
        <v>17.645269494934858</v>
      </c>
      <c r="AQ582" s="30">
        <f t="shared" si="524"/>
        <v>28.816375362231707</v>
      </c>
      <c r="AR582" s="30">
        <f t="shared" si="525"/>
        <v>10.997999887948263</v>
      </c>
      <c r="AS582" s="30">
        <f t="shared" si="526"/>
        <v>6.0147922736301179E-2</v>
      </c>
      <c r="AT582" s="31">
        <f t="shared" si="502"/>
        <v>95.753133306647214</v>
      </c>
      <c r="AV582" s="28">
        <f t="shared" si="527"/>
        <v>10297.505522502352</v>
      </c>
    </row>
    <row r="583" spans="1:48" ht="15.75" customHeight="1" x14ac:dyDescent="0.25">
      <c r="B583" s="78"/>
      <c r="C583" s="94" t="s">
        <v>46</v>
      </c>
      <c r="D583" s="69"/>
      <c r="E583" s="79" t="s">
        <v>75</v>
      </c>
      <c r="F583" s="70"/>
      <c r="G583" s="23">
        <v>49.13</v>
      </c>
      <c r="H583" s="23">
        <v>6.54</v>
      </c>
      <c r="I583" s="23">
        <v>44.16</v>
      </c>
      <c r="J583" s="23">
        <v>0.12</v>
      </c>
      <c r="K583" s="23">
        <v>0.05</v>
      </c>
      <c r="L583" s="58">
        <f t="shared" si="533"/>
        <v>12.439999999999998</v>
      </c>
      <c r="M583" s="36">
        <v>80</v>
      </c>
      <c r="N583" s="36">
        <v>7.3</v>
      </c>
      <c r="O583" s="18">
        <v>0.26</v>
      </c>
      <c r="P583" s="71">
        <v>0</v>
      </c>
      <c r="Q583" s="84">
        <v>840</v>
      </c>
      <c r="R583" s="18" t="s">
        <v>62</v>
      </c>
      <c r="S583" s="21">
        <v>0.63</v>
      </c>
      <c r="T583" s="18">
        <v>17.12</v>
      </c>
      <c r="U583" s="21">
        <v>38.3487297921478</v>
      </c>
      <c r="V583" s="21">
        <v>17.286374133949099</v>
      </c>
      <c r="W583" s="21">
        <v>29.942263279445701</v>
      </c>
      <c r="X583" s="21">
        <v>11.743648960739</v>
      </c>
      <c r="Y583" s="73">
        <f t="shared" si="517"/>
        <v>6.1693249988275405E-2</v>
      </c>
      <c r="Z583" s="18" t="s">
        <v>51</v>
      </c>
      <c r="AA583" s="18" t="s">
        <v>51</v>
      </c>
      <c r="AB583" s="18" t="s">
        <v>51</v>
      </c>
      <c r="AC583" s="28">
        <f t="shared" si="518"/>
        <v>10531.795199604068</v>
      </c>
      <c r="AD583" s="18" t="s">
        <v>51</v>
      </c>
      <c r="AF583" s="1"/>
      <c r="AK583" s="1">
        <f t="shared" si="519"/>
        <v>4.2857142857142859E-3</v>
      </c>
      <c r="AL583" s="1">
        <f t="shared" si="520"/>
        <v>6.9425265974805992</v>
      </c>
      <c r="AM583" s="1">
        <f t="shared" si="521"/>
        <v>6.9468123117663136</v>
      </c>
      <c r="AN583" s="1"/>
      <c r="AO583" s="30">
        <f t="shared" si="522"/>
        <v>38.325071214409803</v>
      </c>
      <c r="AP583" s="30">
        <f t="shared" si="523"/>
        <v>17.275709607940733</v>
      </c>
      <c r="AQ583" s="30">
        <f t="shared" si="524"/>
        <v>29.923790924108562</v>
      </c>
      <c r="AR583" s="30">
        <f t="shared" si="525"/>
        <v>11.736403922027904</v>
      </c>
      <c r="AS583" s="30">
        <f t="shared" si="526"/>
        <v>6.1693249988275405E-2</v>
      </c>
      <c r="AT583" s="31">
        <f t="shared" si="502"/>
        <v>97.322668918475287</v>
      </c>
      <c r="AV583" s="28">
        <f t="shared" si="527"/>
        <v>10525.297792863323</v>
      </c>
    </row>
    <row r="584" spans="1:48" ht="15.75" customHeight="1" x14ac:dyDescent="0.25">
      <c r="B584" s="78"/>
      <c r="C584" s="94" t="s">
        <v>46</v>
      </c>
      <c r="D584" s="69"/>
      <c r="E584" s="79" t="s">
        <v>75</v>
      </c>
      <c r="F584" s="70"/>
      <c r="G584" s="23">
        <v>49.13</v>
      </c>
      <c r="H584" s="23">
        <v>6.54</v>
      </c>
      <c r="I584" s="23">
        <v>44.16</v>
      </c>
      <c r="J584" s="23">
        <v>0.12</v>
      </c>
      <c r="K584" s="23">
        <v>0.05</v>
      </c>
      <c r="L584" s="58">
        <f t="shared" si="533"/>
        <v>12.439999999999998</v>
      </c>
      <c r="M584" s="36">
        <v>80</v>
      </c>
      <c r="N584" s="36">
        <v>7.3</v>
      </c>
      <c r="O584" s="18">
        <v>0.26</v>
      </c>
      <c r="P584" s="71">
        <v>0</v>
      </c>
      <c r="Q584" s="84">
        <v>840</v>
      </c>
      <c r="R584" s="18" t="s">
        <v>62</v>
      </c>
      <c r="S584" s="21">
        <v>0.63</v>
      </c>
      <c r="T584" s="18">
        <v>17.12</v>
      </c>
      <c r="U584" s="21">
        <v>39.0877598152424</v>
      </c>
      <c r="V584" s="21">
        <v>16.916859122401799</v>
      </c>
      <c r="W584" s="21">
        <v>28.833718244803599</v>
      </c>
      <c r="X584" s="21">
        <v>11.928406466512699</v>
      </c>
      <c r="Y584" s="73">
        <f t="shared" si="517"/>
        <v>6.034109125632002E-2</v>
      </c>
      <c r="Z584" s="18" t="s">
        <v>51</v>
      </c>
      <c r="AA584" s="18" t="s">
        <v>51</v>
      </c>
      <c r="AB584" s="18" t="s">
        <v>51</v>
      </c>
      <c r="AC584" s="28">
        <f t="shared" si="518"/>
        <v>10631.094110854487</v>
      </c>
      <c r="AD584" s="18" t="s">
        <v>51</v>
      </c>
      <c r="AF584" s="1"/>
      <c r="AK584" s="1">
        <f t="shared" si="519"/>
        <v>4.2857142857142859E-3</v>
      </c>
      <c r="AL584" s="1">
        <f t="shared" si="520"/>
        <v>7.0981948615282136</v>
      </c>
      <c r="AM584" s="1">
        <f t="shared" si="521"/>
        <v>7.102480575813928</v>
      </c>
      <c r="AN584" s="1"/>
      <c r="AO584" s="30">
        <f t="shared" si="522"/>
        <v>39.064173834422235</v>
      </c>
      <c r="AP584" s="30">
        <f t="shared" si="523"/>
        <v>16.906651305001049</v>
      </c>
      <c r="AQ584" s="30">
        <f t="shared" si="524"/>
        <v>28.816319664564912</v>
      </c>
      <c r="AR584" s="30">
        <f t="shared" si="525"/>
        <v>11.921208735881315</v>
      </c>
      <c r="AS584" s="30">
        <f t="shared" si="526"/>
        <v>6.034109125632002E-2</v>
      </c>
      <c r="AT584" s="31">
        <f t="shared" si="502"/>
        <v>96.768694631125825</v>
      </c>
      <c r="AV584" s="28">
        <f t="shared" si="527"/>
        <v>10624.679192655511</v>
      </c>
    </row>
    <row r="585" spans="1:48" ht="15.75" customHeight="1" x14ac:dyDescent="0.25">
      <c r="B585" s="78"/>
      <c r="C585" s="94" t="s">
        <v>46</v>
      </c>
      <c r="D585" s="69"/>
      <c r="E585" s="79" t="s">
        <v>75</v>
      </c>
      <c r="F585" s="70"/>
      <c r="G585" s="23">
        <v>49.13</v>
      </c>
      <c r="H585" s="23">
        <v>6.54</v>
      </c>
      <c r="I585" s="23">
        <v>44.16</v>
      </c>
      <c r="J585" s="23">
        <v>0.12</v>
      </c>
      <c r="K585" s="23">
        <v>0.05</v>
      </c>
      <c r="L585" s="58">
        <f t="shared" si="533"/>
        <v>12.439999999999998</v>
      </c>
      <c r="M585" s="36">
        <v>80</v>
      </c>
      <c r="N585" s="36">
        <v>7.3</v>
      </c>
      <c r="O585" s="18">
        <v>0.26</v>
      </c>
      <c r="P585" s="71">
        <v>0</v>
      </c>
      <c r="Q585" s="84">
        <v>840</v>
      </c>
      <c r="R585" s="18" t="s">
        <v>62</v>
      </c>
      <c r="S585" s="21">
        <v>0.63</v>
      </c>
      <c r="T585" s="18">
        <v>17.12</v>
      </c>
      <c r="U585" s="21">
        <v>38.3487297921478</v>
      </c>
      <c r="V585" s="21">
        <v>16.5473441108545</v>
      </c>
      <c r="W585" s="21">
        <v>29.018475750577299</v>
      </c>
      <c r="X585" s="21">
        <v>11.3741339491916</v>
      </c>
      <c r="Y585" s="73">
        <f t="shared" si="517"/>
        <v>5.9568412695826016E-2</v>
      </c>
      <c r="Z585" s="18" t="s">
        <v>51</v>
      </c>
      <c r="AA585" s="18" t="s">
        <v>51</v>
      </c>
      <c r="AB585" s="18" t="s">
        <v>51</v>
      </c>
      <c r="AC585" s="28">
        <f t="shared" si="518"/>
        <v>10306.024826789808</v>
      </c>
      <c r="AD585" s="18" t="s">
        <v>51</v>
      </c>
      <c r="AF585" s="1"/>
      <c r="AK585" s="1">
        <f t="shared" si="519"/>
        <v>4.2857142857142859E-3</v>
      </c>
      <c r="AL585" s="1">
        <f t="shared" si="520"/>
        <v>7.190323125802764</v>
      </c>
      <c r="AM585" s="1">
        <f t="shared" si="521"/>
        <v>7.1946088400884785</v>
      </c>
      <c r="AN585" s="1"/>
      <c r="AO585" s="30">
        <f t="shared" si="522"/>
        <v>38.325886062521604</v>
      </c>
      <c r="AP585" s="30">
        <f t="shared" si="523"/>
        <v>16.537487120624348</v>
      </c>
      <c r="AQ585" s="30">
        <f t="shared" si="524"/>
        <v>29.001189905184159</v>
      </c>
      <c r="AR585" s="30">
        <f t="shared" si="525"/>
        <v>11.36735855814017</v>
      </c>
      <c r="AS585" s="30">
        <f t="shared" si="526"/>
        <v>5.9568412695826016E-2</v>
      </c>
      <c r="AT585" s="31">
        <f t="shared" si="502"/>
        <v>95.291490059166108</v>
      </c>
      <c r="AV585" s="28">
        <f t="shared" si="527"/>
        <v>10299.88569138845</v>
      </c>
    </row>
    <row r="586" spans="1:48" ht="15.75" customHeight="1" x14ac:dyDescent="0.25">
      <c r="B586" s="78"/>
      <c r="C586" s="94" t="s">
        <v>46</v>
      </c>
      <c r="D586" s="69"/>
      <c r="E586" s="79" t="s">
        <v>75</v>
      </c>
      <c r="F586" s="70"/>
      <c r="G586" s="23">
        <v>49.13</v>
      </c>
      <c r="H586" s="23">
        <v>6.54</v>
      </c>
      <c r="I586" s="23">
        <v>44.16</v>
      </c>
      <c r="J586" s="23">
        <v>0.12</v>
      </c>
      <c r="K586" s="23">
        <v>0.05</v>
      </c>
      <c r="L586" s="58">
        <f t="shared" si="533"/>
        <v>12.439999999999998</v>
      </c>
      <c r="M586" s="36">
        <v>80</v>
      </c>
      <c r="N586" s="36">
        <v>7.3</v>
      </c>
      <c r="O586" s="18">
        <v>0.26</v>
      </c>
      <c r="P586" s="71">
        <v>0</v>
      </c>
      <c r="Q586" s="84">
        <v>840</v>
      </c>
      <c r="R586" s="18" t="s">
        <v>62</v>
      </c>
      <c r="S586" s="21">
        <v>0.63</v>
      </c>
      <c r="T586" s="18">
        <v>17.12</v>
      </c>
      <c r="U586" s="21">
        <v>38.7182448036951</v>
      </c>
      <c r="V586" s="21">
        <v>17.193995381062301</v>
      </c>
      <c r="W586" s="21">
        <v>28.833718244803599</v>
      </c>
      <c r="X586" s="21">
        <v>11.096997690531101</v>
      </c>
      <c r="Y586" s="73">
        <f t="shared" si="517"/>
        <v>5.9761583456058448E-2</v>
      </c>
      <c r="Z586" s="18" t="s">
        <v>51</v>
      </c>
      <c r="AA586" s="18" t="s">
        <v>51</v>
      </c>
      <c r="AB586" s="18" t="s">
        <v>51</v>
      </c>
      <c r="AC586" s="28">
        <f t="shared" si="518"/>
        <v>10328.312025734042</v>
      </c>
      <c r="AD586" s="18" t="s">
        <v>51</v>
      </c>
      <c r="AF586" s="1"/>
      <c r="AK586" s="1">
        <f t="shared" si="519"/>
        <v>4.2857142857142859E-3</v>
      </c>
      <c r="AL586" s="1">
        <f t="shared" si="520"/>
        <v>7.1670675830469932</v>
      </c>
      <c r="AM586" s="1">
        <f t="shared" si="521"/>
        <v>7.1713532973327077</v>
      </c>
      <c r="AN586" s="1"/>
      <c r="AO586" s="30">
        <f t="shared" si="522"/>
        <v>38.695106167514012</v>
      </c>
      <c r="AP586" s="30">
        <f t="shared" si="523"/>
        <v>17.183719977163218</v>
      </c>
      <c r="AQ586" s="30">
        <f t="shared" si="524"/>
        <v>28.816486758211241</v>
      </c>
      <c r="AR586" s="30">
        <f t="shared" si="525"/>
        <v>11.090365948995155</v>
      </c>
      <c r="AS586" s="30">
        <f t="shared" si="526"/>
        <v>5.9761583456058448E-2</v>
      </c>
      <c r="AT586" s="31">
        <f t="shared" si="502"/>
        <v>95.845440435339682</v>
      </c>
      <c r="AV586" s="28">
        <f t="shared" si="527"/>
        <v>10322.139662923179</v>
      </c>
    </row>
    <row r="587" spans="1:48" ht="15.75" customHeight="1" x14ac:dyDescent="0.25">
      <c r="B587" s="78"/>
      <c r="C587" s="94" t="s">
        <v>46</v>
      </c>
      <c r="D587" s="69"/>
      <c r="E587" s="79" t="s">
        <v>75</v>
      </c>
      <c r="F587" s="70"/>
      <c r="G587" s="23">
        <v>49.13</v>
      </c>
      <c r="H587" s="23">
        <v>6.54</v>
      </c>
      <c r="I587" s="23">
        <v>44.16</v>
      </c>
      <c r="J587" s="23">
        <v>0.12</v>
      </c>
      <c r="K587" s="23">
        <v>0.05</v>
      </c>
      <c r="L587" s="58">
        <f t="shared" si="533"/>
        <v>12.439999999999998</v>
      </c>
      <c r="M587" s="36">
        <v>80</v>
      </c>
      <c r="N587" s="36">
        <v>7.3</v>
      </c>
      <c r="O587" s="18">
        <v>0.26</v>
      </c>
      <c r="P587" s="71">
        <v>0</v>
      </c>
      <c r="Q587" s="84">
        <v>840</v>
      </c>
      <c r="R587" s="18" t="s">
        <v>62</v>
      </c>
      <c r="S587" s="21">
        <v>0.63</v>
      </c>
      <c r="T587" s="18">
        <v>17.12</v>
      </c>
      <c r="U587" s="21">
        <v>39.0877598152424</v>
      </c>
      <c r="V587" s="21">
        <v>17.009237875288601</v>
      </c>
      <c r="W587" s="21">
        <v>28.556581986143101</v>
      </c>
      <c r="X587" s="21">
        <v>11.004618937644301</v>
      </c>
      <c r="Y587" s="73">
        <f t="shared" si="517"/>
        <v>5.9182068935116912E-2</v>
      </c>
      <c r="Z587" s="18" t="s">
        <v>51</v>
      </c>
      <c r="AA587" s="18" t="s">
        <v>51</v>
      </c>
      <c r="AB587" s="18" t="s">
        <v>51</v>
      </c>
      <c r="AC587" s="28">
        <f t="shared" si="518"/>
        <v>10311.760557571723</v>
      </c>
      <c r="AD587" s="18" t="s">
        <v>51</v>
      </c>
      <c r="AF587" s="1"/>
      <c r="AK587" s="1">
        <f t="shared" si="519"/>
        <v>4.2857142857142859E-3</v>
      </c>
      <c r="AL587" s="1">
        <f t="shared" si="520"/>
        <v>7.237289923113587</v>
      </c>
      <c r="AM587" s="1">
        <f t="shared" si="521"/>
        <v>7.2415756373993014</v>
      </c>
      <c r="AN587" s="1"/>
      <c r="AO587" s="30">
        <f t="shared" si="522"/>
        <v>39.064626870283355</v>
      </c>
      <c r="AP587" s="30">
        <f t="shared" si="523"/>
        <v>16.999171456403907</v>
      </c>
      <c r="AQ587" s="30">
        <f t="shared" si="524"/>
        <v>28.539681610106548</v>
      </c>
      <c r="AR587" s="30">
        <f t="shared" si="525"/>
        <v>10.998106176478577</v>
      </c>
      <c r="AS587" s="30">
        <f t="shared" si="526"/>
        <v>5.9182068935116912E-2</v>
      </c>
      <c r="AT587" s="31">
        <f t="shared" si="502"/>
        <v>95.660768182207491</v>
      </c>
      <c r="AV587" s="28">
        <f t="shared" si="527"/>
        <v>10305.657844330117</v>
      </c>
    </row>
    <row r="588" spans="1:48" ht="15.75" customHeight="1" x14ac:dyDescent="0.25">
      <c r="B588" s="78"/>
      <c r="C588" s="94" t="s">
        <v>46</v>
      </c>
      <c r="D588" s="69"/>
      <c r="E588" s="79" t="s">
        <v>75</v>
      </c>
      <c r="F588" s="70"/>
      <c r="G588" s="23">
        <v>49.13</v>
      </c>
      <c r="H588" s="23">
        <v>6.54</v>
      </c>
      <c r="I588" s="23">
        <v>44.16</v>
      </c>
      <c r="J588" s="23">
        <v>0.12</v>
      </c>
      <c r="K588" s="23">
        <v>0.05</v>
      </c>
      <c r="L588" s="58">
        <f t="shared" si="533"/>
        <v>12.439999999999998</v>
      </c>
      <c r="M588" s="36">
        <v>80</v>
      </c>
      <c r="N588" s="36">
        <v>7.3</v>
      </c>
      <c r="O588" s="18">
        <v>0.26</v>
      </c>
      <c r="P588" s="71">
        <v>0</v>
      </c>
      <c r="Q588" s="84">
        <v>840</v>
      </c>
      <c r="R588" s="18" t="s">
        <v>62</v>
      </c>
      <c r="S588" s="21">
        <v>0.63</v>
      </c>
      <c r="T588" s="18">
        <v>17.12</v>
      </c>
      <c r="U588" s="21">
        <v>38.3487297921478</v>
      </c>
      <c r="V588" s="21">
        <v>17.378752886836001</v>
      </c>
      <c r="W588" s="21">
        <v>29.1108545034642</v>
      </c>
      <c r="X588" s="21">
        <v>11.096997690531101</v>
      </c>
      <c r="Y588" s="73">
        <f t="shared" si="517"/>
        <v>6.0244507089652094E-2</v>
      </c>
      <c r="Z588" s="18" t="s">
        <v>51</v>
      </c>
      <c r="AA588" s="18" t="s">
        <v>51</v>
      </c>
      <c r="AB588" s="18" t="s">
        <v>51</v>
      </c>
      <c r="AC588" s="28">
        <f t="shared" si="518"/>
        <v>10311.763032002607</v>
      </c>
      <c r="AD588" s="18" t="s">
        <v>51</v>
      </c>
      <c r="AF588" s="1"/>
      <c r="AK588" s="1">
        <f t="shared" si="519"/>
        <v>4.2857142857142859E-3</v>
      </c>
      <c r="AL588" s="1">
        <f t="shared" si="520"/>
        <v>7.1095815787714853</v>
      </c>
      <c r="AM588" s="1">
        <f t="shared" si="521"/>
        <v>7.1138672930571998</v>
      </c>
      <c r="AN588" s="1"/>
      <c r="AO588" s="30">
        <f t="shared" si="522"/>
        <v>38.325626788909375</v>
      </c>
      <c r="AP588" s="30">
        <f t="shared" si="523"/>
        <v>17.368283142820999</v>
      </c>
      <c r="AQ588" s="30">
        <f t="shared" si="524"/>
        <v>29.093316812658998</v>
      </c>
      <c r="AR588" s="30">
        <f t="shared" si="525"/>
        <v>11.090312358970689</v>
      </c>
      <c r="AS588" s="30">
        <f t="shared" si="526"/>
        <v>6.0244507089652094E-2</v>
      </c>
      <c r="AT588" s="31">
        <f t="shared" si="502"/>
        <v>95.937783610449713</v>
      </c>
      <c r="AV588" s="28">
        <f t="shared" si="527"/>
        <v>10305.550761191726</v>
      </c>
    </row>
    <row r="589" spans="1:48" ht="15.75" customHeight="1" x14ac:dyDescent="0.25">
      <c r="B589" s="78"/>
      <c r="C589" s="94" t="s">
        <v>46</v>
      </c>
      <c r="D589" s="69"/>
      <c r="E589" s="79" t="s">
        <v>75</v>
      </c>
      <c r="F589" s="70"/>
      <c r="G589" s="23">
        <v>49.13</v>
      </c>
      <c r="H589" s="23">
        <v>6.54</v>
      </c>
      <c r="I589" s="23">
        <v>44.16</v>
      </c>
      <c r="J589" s="23">
        <v>0.12</v>
      </c>
      <c r="K589" s="23">
        <v>0.05</v>
      </c>
      <c r="L589" s="58">
        <f t="shared" si="533"/>
        <v>12.439999999999998</v>
      </c>
      <c r="M589" s="36">
        <v>80</v>
      </c>
      <c r="N589" s="36">
        <v>7.3</v>
      </c>
      <c r="O589" s="18">
        <v>0.26</v>
      </c>
      <c r="P589" s="71">
        <v>0</v>
      </c>
      <c r="Q589" s="84">
        <v>840</v>
      </c>
      <c r="R589" s="18" t="s">
        <v>62</v>
      </c>
      <c r="S589" s="21">
        <v>0.63</v>
      </c>
      <c r="T589" s="18">
        <v>17.12</v>
      </c>
      <c r="U589" s="21">
        <v>38.995381062355598</v>
      </c>
      <c r="V589" s="21">
        <v>17.655889145496499</v>
      </c>
      <c r="W589" s="21">
        <v>29.572748267898302</v>
      </c>
      <c r="X589" s="21">
        <v>11.3741339491916</v>
      </c>
      <c r="Y589" s="73">
        <f t="shared" si="517"/>
        <v>6.1306922655562E-2</v>
      </c>
      <c r="Z589" s="18" t="s">
        <v>51</v>
      </c>
      <c r="AA589" s="18" t="s">
        <v>51</v>
      </c>
      <c r="AB589" s="18" t="s">
        <v>51</v>
      </c>
      <c r="AC589" s="28">
        <f t="shared" si="518"/>
        <v>10515.887083470761</v>
      </c>
      <c r="AD589" s="18" t="s">
        <v>51</v>
      </c>
      <c r="AF589" s="1"/>
      <c r="AK589" s="1">
        <f t="shared" si="519"/>
        <v>4.2857142857142859E-3</v>
      </c>
      <c r="AL589" s="1">
        <f t="shared" si="520"/>
        <v>6.9863021346469862</v>
      </c>
      <c r="AM589" s="1">
        <f t="shared" si="521"/>
        <v>6.9905878489327007</v>
      </c>
      <c r="AN589" s="1"/>
      <c r="AO589" s="30">
        <f t="shared" si="522"/>
        <v>38.971474194248458</v>
      </c>
      <c r="AP589" s="30">
        <f t="shared" si="523"/>
        <v>17.645064863193916</v>
      </c>
      <c r="AQ589" s="30">
        <f t="shared" si="524"/>
        <v>29.554618125990572</v>
      </c>
      <c r="AR589" s="30">
        <f t="shared" si="525"/>
        <v>11.36716081768863</v>
      </c>
      <c r="AS589" s="30">
        <f t="shared" si="526"/>
        <v>6.1306922655562E-2</v>
      </c>
      <c r="AT589" s="31">
        <f t="shared" si="502"/>
        <v>97.599624923777128</v>
      </c>
      <c r="AV589" s="28">
        <f t="shared" si="527"/>
        <v>10509.44011670995</v>
      </c>
    </row>
    <row r="590" spans="1:48" ht="15.75" customHeight="1" x14ac:dyDescent="0.25">
      <c r="B590" s="78"/>
      <c r="C590" s="94" t="s">
        <v>46</v>
      </c>
      <c r="D590" s="69"/>
      <c r="E590" s="79" t="s">
        <v>75</v>
      </c>
      <c r="F590" s="70"/>
      <c r="G590" s="23">
        <v>49.13</v>
      </c>
      <c r="H590" s="23">
        <v>6.54</v>
      </c>
      <c r="I590" s="23">
        <v>44.16</v>
      </c>
      <c r="J590" s="23">
        <v>0.12</v>
      </c>
      <c r="K590" s="23">
        <v>0.05</v>
      </c>
      <c r="L590" s="58">
        <f t="shared" si="533"/>
        <v>12.439999999999998</v>
      </c>
      <c r="M590" s="36">
        <v>80</v>
      </c>
      <c r="N590" s="36">
        <v>7.3</v>
      </c>
      <c r="O590" s="18">
        <v>0.26</v>
      </c>
      <c r="P590" s="71">
        <v>0</v>
      </c>
      <c r="Q590" s="84">
        <v>840</v>
      </c>
      <c r="R590" s="18" t="s">
        <v>62</v>
      </c>
      <c r="S590" s="21">
        <v>0.63</v>
      </c>
      <c r="T590" s="18">
        <v>17.12</v>
      </c>
      <c r="U590" s="21">
        <v>38.441108545034602</v>
      </c>
      <c r="V590" s="21">
        <v>18.025404157043798</v>
      </c>
      <c r="W590" s="21">
        <v>29.1108545034642</v>
      </c>
      <c r="X590" s="21">
        <v>11.4665127020785</v>
      </c>
      <c r="Y590" s="73">
        <f t="shared" si="517"/>
        <v>6.1306922655562091E-2</v>
      </c>
      <c r="Z590" s="18" t="s">
        <v>51</v>
      </c>
      <c r="AA590" s="18" t="s">
        <v>51</v>
      </c>
      <c r="AB590" s="18" t="s">
        <v>51</v>
      </c>
      <c r="AC590" s="28">
        <f t="shared" si="518"/>
        <v>10535.83512042228</v>
      </c>
      <c r="AD590" s="18" t="s">
        <v>51</v>
      </c>
      <c r="AF590" s="1"/>
      <c r="AK590" s="1">
        <f t="shared" si="519"/>
        <v>4.2857142857142859E-3</v>
      </c>
      <c r="AL590" s="1">
        <f t="shared" si="520"/>
        <v>6.9863021346469756</v>
      </c>
      <c r="AM590" s="1">
        <f t="shared" si="521"/>
        <v>6.99058784893269</v>
      </c>
      <c r="AN590" s="1"/>
      <c r="AO590" s="30">
        <f t="shared" si="522"/>
        <v>38.417541484350956</v>
      </c>
      <c r="AP590" s="30">
        <f t="shared" si="523"/>
        <v>18.014353336458885</v>
      </c>
      <c r="AQ590" s="30">
        <f t="shared" si="524"/>
        <v>29.093007534409388</v>
      </c>
      <c r="AR590" s="30">
        <f t="shared" si="525"/>
        <v>11.459482936004946</v>
      </c>
      <c r="AS590" s="30">
        <f t="shared" si="526"/>
        <v>6.1306922655562091E-2</v>
      </c>
      <c r="AT590" s="31">
        <f t="shared" si="502"/>
        <v>97.045692213879747</v>
      </c>
      <c r="AV590" s="28">
        <f t="shared" si="527"/>
        <v>10529.375924133887</v>
      </c>
    </row>
    <row r="591" spans="1:48" ht="15.75" customHeight="1" x14ac:dyDescent="0.25">
      <c r="B591" s="78"/>
      <c r="C591" s="94" t="s">
        <v>46</v>
      </c>
      <c r="D591" s="69"/>
      <c r="E591" s="79" t="s">
        <v>75</v>
      </c>
      <c r="F591" s="70"/>
      <c r="G591" s="23">
        <v>49.13</v>
      </c>
      <c r="H591" s="23">
        <v>6.54</v>
      </c>
      <c r="I591" s="23">
        <v>44.16</v>
      </c>
      <c r="J591" s="23">
        <v>0.12</v>
      </c>
      <c r="K591" s="23">
        <v>0.05</v>
      </c>
      <c r="L591" s="58">
        <f t="shared" si="533"/>
        <v>12.439999999999998</v>
      </c>
      <c r="M591" s="36">
        <v>80</v>
      </c>
      <c r="N591" s="36">
        <v>7.3</v>
      </c>
      <c r="O591" s="18">
        <v>0.26</v>
      </c>
      <c r="P591" s="71">
        <v>0</v>
      </c>
      <c r="Q591" s="84">
        <v>840</v>
      </c>
      <c r="R591" s="18" t="s">
        <v>62</v>
      </c>
      <c r="S591" s="21">
        <v>0.63</v>
      </c>
      <c r="T591" s="18">
        <v>17.12</v>
      </c>
      <c r="U591" s="21">
        <v>38.3487297921478</v>
      </c>
      <c r="V591" s="21">
        <v>17.655889145496499</v>
      </c>
      <c r="W591" s="21">
        <v>29.572748267898302</v>
      </c>
      <c r="X591" s="21">
        <v>11.189376443418</v>
      </c>
      <c r="Y591" s="73">
        <f t="shared" si="517"/>
        <v>6.1113757869146169E-2</v>
      </c>
      <c r="Z591" s="18" t="s">
        <v>51</v>
      </c>
      <c r="AA591" s="18" t="s">
        <v>51</v>
      </c>
      <c r="AB591" s="18" t="s">
        <v>51</v>
      </c>
      <c r="AC591" s="28">
        <f t="shared" si="518"/>
        <v>10379.876690861092</v>
      </c>
      <c r="AD591" s="18" t="s">
        <v>51</v>
      </c>
      <c r="AF591" s="1"/>
      <c r="AK591" s="1">
        <f t="shared" si="519"/>
        <v>4.2857142857142859E-3</v>
      </c>
      <c r="AL591" s="1">
        <f t="shared" si="520"/>
        <v>7.0083975752783978</v>
      </c>
      <c r="AM591" s="1">
        <f t="shared" si="521"/>
        <v>7.0126832895641122</v>
      </c>
      <c r="AN591" s="1"/>
      <c r="AO591" s="30">
        <f t="shared" si="522"/>
        <v>38.325293442276731</v>
      </c>
      <c r="AP591" s="30">
        <f t="shared" si="523"/>
        <v>17.645098968154475</v>
      </c>
      <c r="AQ591" s="30">
        <f t="shared" si="524"/>
        <v>29.554675250126607</v>
      </c>
      <c r="AR591" s="30">
        <f t="shared" si="525"/>
        <v>11.182538194991301</v>
      </c>
      <c r="AS591" s="30">
        <f t="shared" si="526"/>
        <v>6.1113757869146169E-2</v>
      </c>
      <c r="AT591" s="31">
        <f t="shared" si="502"/>
        <v>96.768719613418256</v>
      </c>
      <c r="AV591" s="28">
        <f t="shared" si="527"/>
        <v>10373.533158153123</v>
      </c>
    </row>
    <row r="592" spans="1:48" ht="15.75" customHeight="1" x14ac:dyDescent="0.25">
      <c r="B592" s="78"/>
      <c r="C592" s="94" t="s">
        <v>46</v>
      </c>
      <c r="D592" s="69"/>
      <c r="E592" s="79" t="s">
        <v>75</v>
      </c>
      <c r="F592" s="70"/>
      <c r="G592" s="23">
        <v>49.13</v>
      </c>
      <c r="H592" s="23">
        <v>6.54</v>
      </c>
      <c r="I592" s="23">
        <v>44.16</v>
      </c>
      <c r="J592" s="23">
        <v>0.12</v>
      </c>
      <c r="K592" s="23">
        <v>0.05</v>
      </c>
      <c r="L592" s="58">
        <f t="shared" si="533"/>
        <v>12.439999999999998</v>
      </c>
      <c r="M592" s="36">
        <v>80</v>
      </c>
      <c r="N592" s="36">
        <v>7.3</v>
      </c>
      <c r="O592" s="18">
        <v>0.26</v>
      </c>
      <c r="P592" s="71">
        <v>0</v>
      </c>
      <c r="Q592" s="84">
        <v>840</v>
      </c>
      <c r="R592" s="18" t="s">
        <v>62</v>
      </c>
      <c r="S592" s="21">
        <v>0.63</v>
      </c>
      <c r="T592" s="18">
        <v>17.12</v>
      </c>
      <c r="U592" s="21">
        <v>38.071593533487302</v>
      </c>
      <c r="V592" s="21">
        <v>17.655889145496499</v>
      </c>
      <c r="W592" s="21">
        <v>29.4803695150115</v>
      </c>
      <c r="X592" s="21">
        <v>11.3741339491916</v>
      </c>
      <c r="Y592" s="73">
        <f t="shared" si="517"/>
        <v>6.121034035569279E-2</v>
      </c>
      <c r="Z592" s="18" t="s">
        <v>51</v>
      </c>
      <c r="AA592" s="18" t="s">
        <v>51</v>
      </c>
      <c r="AB592" s="18" t="s">
        <v>51</v>
      </c>
      <c r="AC592" s="28">
        <f t="shared" si="518"/>
        <v>10416.159270867665</v>
      </c>
      <c r="AD592" s="18" t="s">
        <v>51</v>
      </c>
      <c r="AF592" s="1"/>
      <c r="AK592" s="1">
        <f t="shared" si="519"/>
        <v>4.2857142857142859E-3</v>
      </c>
      <c r="AL592" s="1">
        <f t="shared" si="520"/>
        <v>6.9973324123413141</v>
      </c>
      <c r="AM592" s="1">
        <f t="shared" si="521"/>
        <v>7.0016181266270285</v>
      </c>
      <c r="AN592" s="1"/>
      <c r="AO592" s="30">
        <f t="shared" si="522"/>
        <v>38.048289781506618</v>
      </c>
      <c r="AP592" s="30">
        <f t="shared" si="523"/>
        <v>17.645081915657716</v>
      </c>
      <c r="AQ592" s="30">
        <f t="shared" si="524"/>
        <v>29.462324480493248</v>
      </c>
      <c r="AR592" s="30">
        <f t="shared" si="525"/>
        <v>11.367171803088787</v>
      </c>
      <c r="AS592" s="30">
        <f t="shared" si="526"/>
        <v>6.121034035569279E-2</v>
      </c>
      <c r="AT592" s="31">
        <f t="shared" si="502"/>
        <v>96.584078321102069</v>
      </c>
      <c r="AV592" s="28">
        <f t="shared" si="527"/>
        <v>10409.783504325977</v>
      </c>
    </row>
    <row r="593" spans="2:48" ht="15.75" customHeight="1" x14ac:dyDescent="0.25">
      <c r="B593" s="78"/>
      <c r="C593" s="94" t="s">
        <v>46</v>
      </c>
      <c r="D593" s="69"/>
      <c r="E593" s="79" t="s">
        <v>75</v>
      </c>
      <c r="F593" s="70"/>
      <c r="G593" s="23">
        <v>49.13</v>
      </c>
      <c r="H593" s="23">
        <v>6.54</v>
      </c>
      <c r="I593" s="23">
        <v>44.16</v>
      </c>
      <c r="J593" s="23">
        <v>0.12</v>
      </c>
      <c r="K593" s="23">
        <v>0.05</v>
      </c>
      <c r="L593" s="58">
        <f t="shared" si="533"/>
        <v>12.439999999999998</v>
      </c>
      <c r="M593" s="36">
        <v>80</v>
      </c>
      <c r="N593" s="36">
        <v>7.3</v>
      </c>
      <c r="O593" s="18">
        <v>0.26</v>
      </c>
      <c r="P593" s="71">
        <v>0</v>
      </c>
      <c r="Q593" s="84">
        <v>840</v>
      </c>
      <c r="R593" s="18" t="s">
        <v>62</v>
      </c>
      <c r="S593" s="21">
        <v>0.63</v>
      </c>
      <c r="T593" s="18">
        <v>17.12</v>
      </c>
      <c r="U593" s="21">
        <v>38.071593533487302</v>
      </c>
      <c r="V593" s="21">
        <v>17.5635103926097</v>
      </c>
      <c r="W593" s="21">
        <v>29.4803695150115</v>
      </c>
      <c r="X593" s="21">
        <v>11.743648960739</v>
      </c>
      <c r="Y593" s="73">
        <f t="shared" si="517"/>
        <v>6.1500086695270441E-2</v>
      </c>
      <c r="Z593" s="18" t="s">
        <v>51</v>
      </c>
      <c r="AA593" s="18" t="s">
        <v>51</v>
      </c>
      <c r="AB593" s="18" t="s">
        <v>51</v>
      </c>
      <c r="AC593" s="28">
        <f t="shared" si="518"/>
        <v>10536.890052787849</v>
      </c>
      <c r="AD593" s="18" t="s">
        <v>51</v>
      </c>
      <c r="AF593" s="1"/>
      <c r="AK593" s="1">
        <f t="shared" si="519"/>
        <v>4.2857142857142859E-3</v>
      </c>
      <c r="AL593" s="1">
        <f t="shared" si="520"/>
        <v>6.9643455771623213</v>
      </c>
      <c r="AM593" s="1">
        <f t="shared" si="521"/>
        <v>6.9686312914480357</v>
      </c>
      <c r="AN593" s="1"/>
      <c r="AO593" s="30">
        <f t="shared" si="522"/>
        <v>38.048179470457931</v>
      </c>
      <c r="AP593" s="30">
        <f t="shared" si="523"/>
        <v>17.55270881849151</v>
      </c>
      <c r="AQ593" s="30">
        <f t="shared" si="524"/>
        <v>29.462239062201682</v>
      </c>
      <c r="AR593" s="30">
        <f t="shared" si="525"/>
        <v>11.736426606446956</v>
      </c>
      <c r="AS593" s="30">
        <f t="shared" si="526"/>
        <v>6.1500086695270441E-2</v>
      </c>
      <c r="AT593" s="31">
        <f t="shared" si="502"/>
        <v>96.861054044293354</v>
      </c>
      <c r="AV593" s="28">
        <f t="shared" si="527"/>
        <v>10530.409856270397</v>
      </c>
    </row>
    <row r="594" spans="2:48" ht="15.75" customHeight="1" x14ac:dyDescent="0.25">
      <c r="B594" s="78"/>
      <c r="C594" s="94" t="s">
        <v>46</v>
      </c>
      <c r="D594" s="69"/>
      <c r="E594" s="79" t="s">
        <v>75</v>
      </c>
      <c r="F594" s="70"/>
      <c r="G594" s="23">
        <v>49.13</v>
      </c>
      <c r="H594" s="23">
        <v>6.54</v>
      </c>
      <c r="I594" s="23">
        <v>44.16</v>
      </c>
      <c r="J594" s="23">
        <v>0.12</v>
      </c>
      <c r="K594" s="23">
        <v>0.05</v>
      </c>
      <c r="L594" s="58">
        <f t="shared" si="533"/>
        <v>12.439999999999998</v>
      </c>
      <c r="M594" s="36">
        <v>80</v>
      </c>
      <c r="N594" s="36">
        <v>7.3</v>
      </c>
      <c r="O594" s="18">
        <v>0.26</v>
      </c>
      <c r="P594" s="71">
        <v>0</v>
      </c>
      <c r="Q594" s="84">
        <v>840</v>
      </c>
      <c r="R594" s="18" t="s">
        <v>62</v>
      </c>
      <c r="S594" s="21">
        <v>0.63</v>
      </c>
      <c r="T594" s="18">
        <v>17.12</v>
      </c>
      <c r="U594" s="21">
        <v>38.071593533487302</v>
      </c>
      <c r="V594" s="21">
        <v>17.7482678983833</v>
      </c>
      <c r="W594" s="21">
        <v>29.2956120092378</v>
      </c>
      <c r="X594" s="21">
        <v>11.5588914549653</v>
      </c>
      <c r="Y594" s="73">
        <f t="shared" si="517"/>
        <v>6.1306922655562E-2</v>
      </c>
      <c r="Z594" s="18" t="s">
        <v>51</v>
      </c>
      <c r="AA594" s="18" t="s">
        <v>51</v>
      </c>
      <c r="AB594" s="18" t="s">
        <v>51</v>
      </c>
      <c r="AC594" s="28">
        <f t="shared" si="518"/>
        <v>10494.031260310099</v>
      </c>
      <c r="AD594" s="18" t="s">
        <v>51</v>
      </c>
      <c r="AF594" s="1"/>
      <c r="AK594" s="1">
        <f t="shared" si="519"/>
        <v>4.2857142857142859E-3</v>
      </c>
      <c r="AL594" s="1">
        <f t="shared" si="520"/>
        <v>6.9863021346469862</v>
      </c>
      <c r="AM594" s="1">
        <f t="shared" si="521"/>
        <v>6.9905878489327007</v>
      </c>
      <c r="AN594" s="1"/>
      <c r="AO594" s="30">
        <f t="shared" si="522"/>
        <v>38.04825301108599</v>
      </c>
      <c r="AP594" s="30">
        <f t="shared" si="523"/>
        <v>17.737386981510134</v>
      </c>
      <c r="AQ594" s="30">
        <f t="shared" si="524"/>
        <v>29.277651771041818</v>
      </c>
      <c r="AR594" s="30">
        <f t="shared" si="525"/>
        <v>11.551805054321164</v>
      </c>
      <c r="AS594" s="30">
        <f t="shared" si="526"/>
        <v>6.1306922655562E-2</v>
      </c>
      <c r="AT594" s="31">
        <f t="shared" si="502"/>
        <v>96.676403740614674</v>
      </c>
      <c r="AV594" s="28">
        <f t="shared" si="527"/>
        <v>10487.597692681891</v>
      </c>
    </row>
    <row r="595" spans="2:48" ht="15.75" customHeight="1" x14ac:dyDescent="0.25">
      <c r="B595" s="78"/>
      <c r="C595" s="94" t="s">
        <v>46</v>
      </c>
      <c r="D595" s="69"/>
      <c r="E595" s="79" t="s">
        <v>75</v>
      </c>
      <c r="F595" s="70"/>
      <c r="G595" s="23">
        <v>49.13</v>
      </c>
      <c r="H595" s="23">
        <v>6.54</v>
      </c>
      <c r="I595" s="23">
        <v>44.16</v>
      </c>
      <c r="J595" s="23">
        <v>0.12</v>
      </c>
      <c r="K595" s="23">
        <v>0.05</v>
      </c>
      <c r="L595" s="58">
        <f t="shared" si="533"/>
        <v>12.439999999999998</v>
      </c>
      <c r="M595" s="36">
        <v>80</v>
      </c>
      <c r="N595" s="36">
        <v>7.3</v>
      </c>
      <c r="O595" s="18">
        <v>0.26</v>
      </c>
      <c r="P595" s="71">
        <v>0</v>
      </c>
      <c r="Q595" s="84">
        <v>840</v>
      </c>
      <c r="R595" s="18" t="s">
        <v>62</v>
      </c>
      <c r="S595" s="21">
        <v>0.63</v>
      </c>
      <c r="T595" s="18">
        <v>17.12</v>
      </c>
      <c r="U595" s="21">
        <v>39.0877598152424</v>
      </c>
      <c r="V595" s="21">
        <v>17.7482678983833</v>
      </c>
      <c r="W595" s="21">
        <v>29.572748267898302</v>
      </c>
      <c r="X595" s="21">
        <v>11.4665127020785</v>
      </c>
      <c r="Y595" s="73">
        <f t="shared" si="517"/>
        <v>6.1500086695270344E-2</v>
      </c>
      <c r="Z595" s="18" t="s">
        <v>51</v>
      </c>
      <c r="AA595" s="18" t="s">
        <v>51</v>
      </c>
      <c r="AB595" s="18" t="s">
        <v>51</v>
      </c>
      <c r="AC595" s="28">
        <f t="shared" si="518"/>
        <v>10570.631392279749</v>
      </c>
      <c r="AD595" s="18" t="s">
        <v>51</v>
      </c>
      <c r="AF595" s="1"/>
      <c r="AK595" s="1">
        <f t="shared" si="519"/>
        <v>4.2857142857142859E-3</v>
      </c>
      <c r="AL595" s="1">
        <f t="shared" si="520"/>
        <v>6.9643455771623328</v>
      </c>
      <c r="AM595" s="1">
        <f t="shared" si="521"/>
        <v>6.9686312914480473</v>
      </c>
      <c r="AN595" s="1"/>
      <c r="AO595" s="30">
        <f t="shared" si="522"/>
        <v>39.063720809068784</v>
      </c>
      <c r="AP595" s="30">
        <f t="shared" si="523"/>
        <v>17.737352698238887</v>
      </c>
      <c r="AQ595" s="30">
        <f t="shared" si="524"/>
        <v>29.554561002075374</v>
      </c>
      <c r="AR595" s="30">
        <f t="shared" si="525"/>
        <v>11.459460786825797</v>
      </c>
      <c r="AS595" s="30">
        <f t="shared" si="526"/>
        <v>6.1500086695270344E-2</v>
      </c>
      <c r="AT595" s="31">
        <f t="shared" si="502"/>
        <v>97.876595382904114</v>
      </c>
      <c r="AV595" s="28">
        <f t="shared" si="527"/>
        <v>10564.130444809258</v>
      </c>
    </row>
    <row r="596" spans="2:48" ht="15.75" customHeight="1" x14ac:dyDescent="0.25">
      <c r="B596" s="78"/>
      <c r="C596" s="94" t="s">
        <v>46</v>
      </c>
      <c r="D596" s="69"/>
      <c r="E596" s="79" t="s">
        <v>75</v>
      </c>
      <c r="F596" s="70"/>
      <c r="G596" s="23">
        <v>49.13</v>
      </c>
      <c r="H596" s="23">
        <v>6.54</v>
      </c>
      <c r="I596" s="23">
        <v>44.16</v>
      </c>
      <c r="J596" s="23">
        <v>0.12</v>
      </c>
      <c r="K596" s="23">
        <v>0.05</v>
      </c>
      <c r="L596" s="58">
        <f t="shared" si="533"/>
        <v>12.439999999999998</v>
      </c>
      <c r="M596" s="36">
        <v>80</v>
      </c>
      <c r="N596" s="36">
        <v>7.3</v>
      </c>
      <c r="O596" s="18">
        <v>0.26</v>
      </c>
      <c r="P596" s="71">
        <v>0</v>
      </c>
      <c r="Q596" s="84">
        <v>840</v>
      </c>
      <c r="R596" s="18" t="s">
        <v>62</v>
      </c>
      <c r="S596" s="21">
        <v>0.63</v>
      </c>
      <c r="T596" s="18">
        <v>17.12</v>
      </c>
      <c r="U596" s="21">
        <v>38.7182448036951</v>
      </c>
      <c r="V596" s="21">
        <v>17.655889145496499</v>
      </c>
      <c r="W596" s="21">
        <v>29.018475750577299</v>
      </c>
      <c r="X596" s="21">
        <v>11.096997690531101</v>
      </c>
      <c r="Y596" s="73">
        <f t="shared" si="517"/>
        <v>6.0437675236305666E-2</v>
      </c>
      <c r="Z596" s="18" t="s">
        <v>51</v>
      </c>
      <c r="AA596" s="18" t="s">
        <v>51</v>
      </c>
      <c r="AB596" s="18" t="s">
        <v>51</v>
      </c>
      <c r="AC596" s="28">
        <f t="shared" si="518"/>
        <v>10386.667354008541</v>
      </c>
      <c r="AD596" s="18" t="s">
        <v>51</v>
      </c>
      <c r="AF596" s="1"/>
      <c r="AK596" s="1">
        <f t="shared" si="519"/>
        <v>4.2857142857142859E-3</v>
      </c>
      <c r="AL596" s="1">
        <f t="shared" si="520"/>
        <v>7.0868445599307304</v>
      </c>
      <c r="AM596" s="1">
        <f t="shared" si="521"/>
        <v>7.0911302742164448</v>
      </c>
      <c r="AN596" s="1"/>
      <c r="AO596" s="30">
        <f t="shared" si="522"/>
        <v>38.69484439664344</v>
      </c>
      <c r="AP596" s="30">
        <f t="shared" si="523"/>
        <v>17.64521833655466</v>
      </c>
      <c r="AQ596" s="30">
        <f t="shared" si="524"/>
        <v>29.000937658444641</v>
      </c>
      <c r="AR596" s="30">
        <f t="shared" si="525"/>
        <v>11.090290923105918</v>
      </c>
      <c r="AS596" s="30">
        <f t="shared" si="526"/>
        <v>6.0437675236305666E-2</v>
      </c>
      <c r="AT596" s="31">
        <f t="shared" si="502"/>
        <v>96.491728989984949</v>
      </c>
      <c r="AV596" s="28">
        <f t="shared" si="527"/>
        <v>10380.389893725249</v>
      </c>
    </row>
    <row r="597" spans="2:48" ht="15.75" customHeight="1" x14ac:dyDescent="0.25">
      <c r="B597" s="78"/>
      <c r="C597" s="94" t="s">
        <v>46</v>
      </c>
      <c r="D597" s="69"/>
      <c r="E597" s="79" t="s">
        <v>75</v>
      </c>
      <c r="F597" s="70"/>
      <c r="G597" s="23">
        <v>49.13</v>
      </c>
      <c r="H597" s="23">
        <v>6.54</v>
      </c>
      <c r="I597" s="23">
        <v>44.16</v>
      </c>
      <c r="J597" s="23">
        <v>0.12</v>
      </c>
      <c r="K597" s="23">
        <v>0.05</v>
      </c>
      <c r="L597" s="58">
        <f t="shared" si="533"/>
        <v>12.439999999999998</v>
      </c>
      <c r="M597" s="36">
        <v>80</v>
      </c>
      <c r="N597" s="36">
        <v>7.3</v>
      </c>
      <c r="O597" s="18">
        <v>0.26</v>
      </c>
      <c r="P597" s="71">
        <v>0</v>
      </c>
      <c r="Q597" s="84">
        <v>840</v>
      </c>
      <c r="R597" s="18" t="s">
        <v>62</v>
      </c>
      <c r="S597" s="21">
        <v>0.63</v>
      </c>
      <c r="T597" s="18">
        <v>17.12</v>
      </c>
      <c r="U597" s="21">
        <v>38.441108545034602</v>
      </c>
      <c r="V597" s="21">
        <v>17.471131639722799</v>
      </c>
      <c r="W597" s="21">
        <v>29.4803695150115</v>
      </c>
      <c r="X597" s="21">
        <v>11.096997690531101</v>
      </c>
      <c r="Y597" s="73">
        <f t="shared" si="517"/>
        <v>6.0727426056174212E-2</v>
      </c>
      <c r="Z597" s="18" t="s">
        <v>51</v>
      </c>
      <c r="AA597" s="18" t="s">
        <v>51</v>
      </c>
      <c r="AB597" s="18" t="s">
        <v>51</v>
      </c>
      <c r="AC597" s="28">
        <f t="shared" si="518"/>
        <v>10333.406878917807</v>
      </c>
      <c r="AD597" s="18" t="s">
        <v>51</v>
      </c>
      <c r="AF597" s="1"/>
      <c r="AK597" s="1">
        <f t="shared" si="519"/>
        <v>4.2857142857142859E-3</v>
      </c>
      <c r="AL597" s="1">
        <f t="shared" si="520"/>
        <v>7.0530104104502582</v>
      </c>
      <c r="AM597" s="1">
        <f t="shared" si="521"/>
        <v>7.0572961247359727</v>
      </c>
      <c r="AN597" s="1"/>
      <c r="AO597" s="30">
        <f t="shared" si="522"/>
        <v>38.417764249267741</v>
      </c>
      <c r="AP597" s="30">
        <f t="shared" si="523"/>
        <v>17.460521871175107</v>
      </c>
      <c r="AQ597" s="30">
        <f t="shared" si="524"/>
        <v>29.462466845413189</v>
      </c>
      <c r="AR597" s="30">
        <f t="shared" si="525"/>
        <v>11.090258769464127</v>
      </c>
      <c r="AS597" s="30">
        <f t="shared" si="526"/>
        <v>6.0727426056174212E-2</v>
      </c>
      <c r="AT597" s="31">
        <f t="shared" si="502"/>
        <v>96.491739161376344</v>
      </c>
      <c r="AV597" s="28">
        <f t="shared" si="527"/>
        <v>10327.13166689633</v>
      </c>
    </row>
    <row r="598" spans="2:48" ht="15.75" customHeight="1" x14ac:dyDescent="0.25">
      <c r="B598" s="78"/>
      <c r="C598" s="94" t="s">
        <v>46</v>
      </c>
      <c r="D598" s="69"/>
      <c r="E598" s="79" t="s">
        <v>75</v>
      </c>
      <c r="F598" s="70"/>
      <c r="G598" s="23">
        <v>49.13</v>
      </c>
      <c r="H598" s="23">
        <v>6.54</v>
      </c>
      <c r="I598" s="23">
        <v>44.16</v>
      </c>
      <c r="J598" s="23">
        <v>0.12</v>
      </c>
      <c r="K598" s="23">
        <v>0.05</v>
      </c>
      <c r="L598" s="58">
        <f t="shared" si="533"/>
        <v>12.439999999999998</v>
      </c>
      <c r="M598" s="36">
        <v>80</v>
      </c>
      <c r="N598" s="36">
        <v>7.3</v>
      </c>
      <c r="O598" s="18">
        <v>0.26</v>
      </c>
      <c r="P598" s="71">
        <v>0</v>
      </c>
      <c r="Q598" s="84">
        <v>840</v>
      </c>
      <c r="R598" s="18" t="s">
        <v>62</v>
      </c>
      <c r="S598" s="21">
        <v>0.63</v>
      </c>
      <c r="T598" s="18">
        <v>17.12</v>
      </c>
      <c r="U598" s="21">
        <v>38.163972286374097</v>
      </c>
      <c r="V598" s="21">
        <v>17.5635103926097</v>
      </c>
      <c r="W598" s="21">
        <v>29.4803695150115</v>
      </c>
      <c r="X598" s="21">
        <v>11.2817551963048</v>
      </c>
      <c r="Y598" s="73">
        <f t="shared" si="517"/>
        <v>6.1017175195921557E-2</v>
      </c>
      <c r="Z598" s="18" t="s">
        <v>51</v>
      </c>
      <c r="AA598" s="18" t="s">
        <v>51</v>
      </c>
      <c r="AB598" s="18" t="s">
        <v>51</v>
      </c>
      <c r="AC598" s="28">
        <f t="shared" si="518"/>
        <v>10381.360524579324</v>
      </c>
      <c r="AD598" s="18" t="s">
        <v>51</v>
      </c>
      <c r="AF598" s="1"/>
      <c r="AK598" s="1">
        <f t="shared" si="519"/>
        <v>4.2857142857142859E-3</v>
      </c>
      <c r="AL598" s="1">
        <f t="shared" si="520"/>
        <v>7.0194977892166683</v>
      </c>
      <c r="AM598" s="1">
        <f t="shared" si="521"/>
        <v>7.0237835035023828</v>
      </c>
      <c r="AN598" s="1"/>
      <c r="AO598" s="30">
        <f t="shared" si="522"/>
        <v>38.140685708542399</v>
      </c>
      <c r="AP598" s="30">
        <f t="shared" si="523"/>
        <v>17.552793634702883</v>
      </c>
      <c r="AQ598" s="30">
        <f t="shared" si="524"/>
        <v>29.462381426296119</v>
      </c>
      <c r="AR598" s="30">
        <f t="shared" si="525"/>
        <v>11.274871387971498</v>
      </c>
      <c r="AS598" s="30">
        <f t="shared" si="526"/>
        <v>6.1017175195921557E-2</v>
      </c>
      <c r="AT598" s="31">
        <f t="shared" si="502"/>
        <v>96.491749332708835</v>
      </c>
      <c r="AV598" s="28">
        <f t="shared" si="527"/>
        <v>10375.026111640324</v>
      </c>
    </row>
    <row r="599" spans="2:48" ht="15.75" customHeight="1" x14ac:dyDescent="0.25">
      <c r="B599" s="78"/>
      <c r="C599" s="94" t="s">
        <v>46</v>
      </c>
      <c r="D599" s="69"/>
      <c r="E599" s="79" t="s">
        <v>75</v>
      </c>
      <c r="F599" s="70"/>
      <c r="G599" s="23">
        <v>49.13</v>
      </c>
      <c r="H599" s="23">
        <v>6.54</v>
      </c>
      <c r="I599" s="23">
        <v>44.16</v>
      </c>
      <c r="J599" s="23">
        <v>0.12</v>
      </c>
      <c r="K599" s="23">
        <v>0.05</v>
      </c>
      <c r="L599" s="58">
        <f t="shared" si="533"/>
        <v>12.439999999999998</v>
      </c>
      <c r="M599" s="36">
        <v>80</v>
      </c>
      <c r="N599" s="36">
        <v>7.3</v>
      </c>
      <c r="O599" s="18">
        <v>0.26</v>
      </c>
      <c r="P599" s="71">
        <v>0</v>
      </c>
      <c r="Q599" s="84">
        <v>840</v>
      </c>
      <c r="R599" s="18" t="s">
        <v>62</v>
      </c>
      <c r="S599" s="21">
        <v>0.63</v>
      </c>
      <c r="T599" s="18">
        <v>17.12</v>
      </c>
      <c r="U599" s="21">
        <v>38.256351039260899</v>
      </c>
      <c r="V599" s="21">
        <v>17.7482678983833</v>
      </c>
      <c r="W599" s="21">
        <v>29.4803695150115</v>
      </c>
      <c r="X599" s="21">
        <v>11.5588914549653</v>
      </c>
      <c r="Y599" s="73">
        <f t="shared" si="517"/>
        <v>6.1500086695270344E-2</v>
      </c>
      <c r="Z599" s="18" t="s">
        <v>51</v>
      </c>
      <c r="AA599" s="18" t="s">
        <v>51</v>
      </c>
      <c r="AB599" s="18" t="s">
        <v>51</v>
      </c>
      <c r="AC599" s="28">
        <f t="shared" si="518"/>
        <v>10513.976822830711</v>
      </c>
      <c r="AD599" s="18" t="s">
        <v>51</v>
      </c>
      <c r="AF599" s="1"/>
      <c r="AK599" s="1">
        <f t="shared" si="519"/>
        <v>4.2857142857142859E-3</v>
      </c>
      <c r="AL599" s="1">
        <f t="shared" si="520"/>
        <v>6.9643455771623328</v>
      </c>
      <c r="AM599" s="1">
        <f t="shared" si="521"/>
        <v>6.9686312914480473</v>
      </c>
      <c r="AN599" s="1"/>
      <c r="AO599" s="30">
        <f t="shared" si="522"/>
        <v>38.232823350205308</v>
      </c>
      <c r="AP599" s="30">
        <f t="shared" si="523"/>
        <v>17.737352698238887</v>
      </c>
      <c r="AQ599" s="30">
        <f t="shared" si="524"/>
        <v>29.462239062201679</v>
      </c>
      <c r="AR599" s="30">
        <f t="shared" si="525"/>
        <v>11.551782726699484</v>
      </c>
      <c r="AS599" s="30">
        <f t="shared" si="526"/>
        <v>6.1500086695270344E-2</v>
      </c>
      <c r="AT599" s="31">
        <f t="shared" si="502"/>
        <v>97.045697924040638</v>
      </c>
      <c r="AV599" s="28">
        <f t="shared" si="527"/>
        <v>10507.51071796955</v>
      </c>
    </row>
    <row r="600" spans="2:48" ht="15.75" customHeight="1" x14ac:dyDescent="0.25">
      <c r="B600" s="78"/>
      <c r="C600" s="94" t="s">
        <v>46</v>
      </c>
      <c r="D600" s="69"/>
      <c r="E600" s="79" t="s">
        <v>75</v>
      </c>
      <c r="F600" s="70"/>
      <c r="G600" s="23">
        <v>49.13</v>
      </c>
      <c r="H600" s="23">
        <v>6.54</v>
      </c>
      <c r="I600" s="23">
        <v>44.16</v>
      </c>
      <c r="J600" s="23">
        <v>0.12</v>
      </c>
      <c r="K600" s="23">
        <v>0.05</v>
      </c>
      <c r="L600" s="58">
        <f t="shared" si="533"/>
        <v>12.439999999999998</v>
      </c>
      <c r="M600" s="36">
        <v>80</v>
      </c>
      <c r="N600" s="36">
        <v>7.3</v>
      </c>
      <c r="O600" s="18">
        <v>0.26</v>
      </c>
      <c r="P600" s="71">
        <v>0</v>
      </c>
      <c r="Q600" s="84">
        <v>840</v>
      </c>
      <c r="R600" s="18" t="s">
        <v>62</v>
      </c>
      <c r="S600" s="21">
        <v>0.63</v>
      </c>
      <c r="T600" s="18">
        <v>17.12</v>
      </c>
      <c r="U600" s="21">
        <v>37.886836027713599</v>
      </c>
      <c r="V600" s="21">
        <v>18.025404157043798</v>
      </c>
      <c r="W600" s="21">
        <v>29.4803695150115</v>
      </c>
      <c r="X600" s="21">
        <v>11.6512702078522</v>
      </c>
      <c r="Y600" s="73">
        <f t="shared" si="517"/>
        <v>6.1886412534581541E-2</v>
      </c>
      <c r="Z600" s="18" t="s">
        <v>51</v>
      </c>
      <c r="AA600" s="18" t="s">
        <v>51</v>
      </c>
      <c r="AB600" s="18" t="s">
        <v>51</v>
      </c>
      <c r="AC600" s="28">
        <f t="shared" si="518"/>
        <v>10542.19935664796</v>
      </c>
      <c r="AD600" s="18" t="s">
        <v>51</v>
      </c>
      <c r="AF600" s="1"/>
      <c r="AK600" s="1">
        <f t="shared" si="519"/>
        <v>4.2857142857142859E-3</v>
      </c>
      <c r="AL600" s="1">
        <f t="shared" si="520"/>
        <v>6.9208439065651781</v>
      </c>
      <c r="AM600" s="1">
        <f t="shared" si="521"/>
        <v>6.9251296208508926</v>
      </c>
      <c r="AN600" s="1"/>
      <c r="AO600" s="30">
        <f t="shared" si="522"/>
        <v>37.863389224073188</v>
      </c>
      <c r="AP600" s="30">
        <f t="shared" si="523"/>
        <v>18.014248881066145</v>
      </c>
      <c r="AQ600" s="30">
        <f t="shared" si="524"/>
        <v>29.462125171916721</v>
      </c>
      <c r="AR600" s="30">
        <f t="shared" si="525"/>
        <v>11.644059654705849</v>
      </c>
      <c r="AS600" s="30">
        <f t="shared" si="526"/>
        <v>6.1886412534581541E-2</v>
      </c>
      <c r="AT600" s="31">
        <f t="shared" si="502"/>
        <v>97.045709344296469</v>
      </c>
      <c r="AV600" s="28">
        <f t="shared" si="527"/>
        <v>10535.675167663887</v>
      </c>
    </row>
    <row r="601" spans="2:48" ht="15.75" customHeight="1" x14ac:dyDescent="0.25">
      <c r="B601" s="78"/>
      <c r="C601" s="94" t="s">
        <v>46</v>
      </c>
      <c r="D601" s="69"/>
      <c r="E601" s="79" t="s">
        <v>75</v>
      </c>
      <c r="F601" s="70"/>
      <c r="G601" s="23">
        <v>49.13</v>
      </c>
      <c r="H601" s="23">
        <v>6.54</v>
      </c>
      <c r="I601" s="23">
        <v>44.16</v>
      </c>
      <c r="J601" s="23">
        <v>0.12</v>
      </c>
      <c r="K601" s="23">
        <v>0.05</v>
      </c>
      <c r="L601" s="58">
        <f t="shared" si="533"/>
        <v>12.439999999999998</v>
      </c>
      <c r="M601" s="36">
        <v>80</v>
      </c>
      <c r="N601" s="36">
        <v>7.3</v>
      </c>
      <c r="O601" s="18">
        <v>0.26</v>
      </c>
      <c r="P601" s="71">
        <v>0</v>
      </c>
      <c r="Q601" s="84">
        <v>840</v>
      </c>
      <c r="R601" s="18" t="s">
        <v>62</v>
      </c>
      <c r="S601" s="21">
        <v>0.63</v>
      </c>
      <c r="T601" s="18">
        <v>17.12</v>
      </c>
      <c r="U601" s="21">
        <v>38.810623556581902</v>
      </c>
      <c r="V601" s="21">
        <v>17.655889145496499</v>
      </c>
      <c r="W601" s="21">
        <v>29.757505773672001</v>
      </c>
      <c r="X601" s="21">
        <v>11.096997690531101</v>
      </c>
      <c r="Y601" s="73">
        <f t="shared" si="517"/>
        <v>6.121034035569279E-2</v>
      </c>
      <c r="Z601" s="18" t="s">
        <v>51</v>
      </c>
      <c r="AA601" s="18" t="s">
        <v>51</v>
      </c>
      <c r="AB601" s="18" t="s">
        <v>51</v>
      </c>
      <c r="AC601" s="28">
        <f t="shared" si="518"/>
        <v>10396.640135268846</v>
      </c>
      <c r="AD601" s="18" t="s">
        <v>51</v>
      </c>
      <c r="AF601" s="1"/>
      <c r="AK601" s="1">
        <f t="shared" si="519"/>
        <v>4.2857142857142859E-3</v>
      </c>
      <c r="AL601" s="1">
        <f t="shared" si="520"/>
        <v>6.9973324123413141</v>
      </c>
      <c r="AM601" s="1">
        <f t="shared" si="521"/>
        <v>7.0016181266270285</v>
      </c>
      <c r="AN601" s="1"/>
      <c r="AO601" s="30">
        <f t="shared" si="522"/>
        <v>38.786867441808752</v>
      </c>
      <c r="AP601" s="30">
        <f t="shared" si="523"/>
        <v>17.645081915657716</v>
      </c>
      <c r="AQ601" s="30">
        <f t="shared" si="524"/>
        <v>29.73929110310657</v>
      </c>
      <c r="AR601" s="30">
        <f t="shared" si="525"/>
        <v>11.090205180475463</v>
      </c>
      <c r="AS601" s="30">
        <f t="shared" si="526"/>
        <v>6.121034035569279E-2</v>
      </c>
      <c r="AT601" s="31">
        <f t="shared" si="502"/>
        <v>97.322655981404182</v>
      </c>
      <c r="AV601" s="28">
        <f t="shared" si="527"/>
        <v>10390.276316456491</v>
      </c>
    </row>
    <row r="602" spans="2:48" ht="15.75" customHeight="1" x14ac:dyDescent="0.25">
      <c r="B602" s="78"/>
      <c r="C602" s="94" t="s">
        <v>46</v>
      </c>
      <c r="D602" s="69"/>
      <c r="E602" s="79" t="s">
        <v>75</v>
      </c>
      <c r="F602" s="70"/>
      <c r="G602" s="23">
        <v>49.13</v>
      </c>
      <c r="H602" s="23">
        <v>6.54</v>
      </c>
      <c r="I602" s="23">
        <v>44.16</v>
      </c>
      <c r="J602" s="23">
        <v>0.12</v>
      </c>
      <c r="K602" s="23">
        <v>0.05</v>
      </c>
      <c r="L602" s="58">
        <f t="shared" si="533"/>
        <v>12.439999999999998</v>
      </c>
      <c r="M602" s="36">
        <v>80</v>
      </c>
      <c r="N602" s="36">
        <v>7.3</v>
      </c>
      <c r="O602" s="18">
        <v>0.26</v>
      </c>
      <c r="P602" s="71">
        <v>0</v>
      </c>
      <c r="Q602" s="84">
        <v>840</v>
      </c>
      <c r="R602" s="18" t="s">
        <v>62</v>
      </c>
      <c r="S602" s="21">
        <v>0.63</v>
      </c>
      <c r="T602" s="18">
        <v>17.12</v>
      </c>
      <c r="U602" s="21">
        <v>38.441108545034602</v>
      </c>
      <c r="V602" s="21">
        <v>17.7482678983833</v>
      </c>
      <c r="W602" s="21">
        <v>29.572748267898302</v>
      </c>
      <c r="X602" s="21">
        <v>11.3741339491916</v>
      </c>
      <c r="Y602" s="73">
        <f t="shared" si="517"/>
        <v>6.1403504768754294E-2</v>
      </c>
      <c r="Z602" s="18" t="s">
        <v>51</v>
      </c>
      <c r="AA602" s="18" t="s">
        <v>51</v>
      </c>
      <c r="AB602" s="18" t="s">
        <v>51</v>
      </c>
      <c r="AC602" s="28">
        <f t="shared" si="518"/>
        <v>10467.721461563797</v>
      </c>
      <c r="AD602" s="18" t="s">
        <v>51</v>
      </c>
      <c r="AF602" s="1"/>
      <c r="AK602" s="1">
        <f t="shared" si="519"/>
        <v>4.2857142857142859E-3</v>
      </c>
      <c r="AL602" s="1">
        <f t="shared" si="520"/>
        <v>6.9753065774805192</v>
      </c>
      <c r="AM602" s="1">
        <f t="shared" si="521"/>
        <v>6.9795922917662336</v>
      </c>
      <c r="AN602" s="1"/>
      <c r="AO602" s="30">
        <f t="shared" si="522"/>
        <v>38.417504357115995</v>
      </c>
      <c r="AP602" s="30">
        <f t="shared" si="523"/>
        <v>17.737369839857941</v>
      </c>
      <c r="AQ602" s="30">
        <f t="shared" si="524"/>
        <v>29.554589564005372</v>
      </c>
      <c r="AR602" s="30">
        <f t="shared" si="525"/>
        <v>11.367149832309703</v>
      </c>
      <c r="AS602" s="30">
        <f t="shared" si="526"/>
        <v>6.1403504768754294E-2</v>
      </c>
      <c r="AT602" s="31">
        <f t="shared" si="502"/>
        <v>97.138017098057759</v>
      </c>
      <c r="AV602" s="28">
        <f t="shared" si="527"/>
        <v>10461.293913716965</v>
      </c>
    </row>
    <row r="603" spans="2:48" ht="15.75" customHeight="1" x14ac:dyDescent="0.25">
      <c r="B603" s="78"/>
      <c r="C603" s="94" t="s">
        <v>46</v>
      </c>
      <c r="D603" s="69"/>
      <c r="E603" s="79" t="s">
        <v>75</v>
      </c>
      <c r="F603" s="70"/>
      <c r="G603" s="23">
        <v>49.13</v>
      </c>
      <c r="H603" s="23">
        <v>6.54</v>
      </c>
      <c r="I603" s="23">
        <v>44.16</v>
      </c>
      <c r="J603" s="23">
        <v>0.12</v>
      </c>
      <c r="K603" s="23">
        <v>0.05</v>
      </c>
      <c r="L603" s="58">
        <f t="shared" si="533"/>
        <v>12.439999999999998</v>
      </c>
      <c r="M603" s="36">
        <v>80</v>
      </c>
      <c r="N603" s="36">
        <v>7.3</v>
      </c>
      <c r="O603" s="18">
        <v>0.26</v>
      </c>
      <c r="P603" s="71">
        <v>0</v>
      </c>
      <c r="Q603" s="84">
        <v>840</v>
      </c>
      <c r="R603" s="18" t="s">
        <v>62</v>
      </c>
      <c r="S603" s="21">
        <v>0.63</v>
      </c>
      <c r="T603" s="18">
        <v>17.12</v>
      </c>
      <c r="U603" s="21">
        <v>38.256351039260899</v>
      </c>
      <c r="V603" s="21">
        <v>17.933025404157</v>
      </c>
      <c r="W603" s="21">
        <v>29.2956120092378</v>
      </c>
      <c r="X603" s="21">
        <v>11.5588914549653</v>
      </c>
      <c r="Y603" s="73">
        <f t="shared" si="517"/>
        <v>6.1500086695270344E-2</v>
      </c>
      <c r="Z603" s="18" t="s">
        <v>51</v>
      </c>
      <c r="AA603" s="18" t="s">
        <v>51</v>
      </c>
      <c r="AB603" s="18" t="s">
        <v>51</v>
      </c>
      <c r="AC603" s="28">
        <f t="shared" si="518"/>
        <v>10537.318954140515</v>
      </c>
      <c r="AD603" s="18" t="s">
        <v>51</v>
      </c>
      <c r="AF603" s="1"/>
      <c r="AK603" s="1">
        <f t="shared" si="519"/>
        <v>4.2857142857142859E-3</v>
      </c>
      <c r="AL603" s="1">
        <f t="shared" si="520"/>
        <v>6.9643455771623328</v>
      </c>
      <c r="AM603" s="1">
        <f t="shared" si="521"/>
        <v>6.9686312914480473</v>
      </c>
      <c r="AN603" s="1"/>
      <c r="AO603" s="30">
        <f t="shared" si="522"/>
        <v>38.232823350205308</v>
      </c>
      <c r="AP603" s="30">
        <f t="shared" si="523"/>
        <v>17.921996577986359</v>
      </c>
      <c r="AQ603" s="30">
        <f t="shared" si="524"/>
        <v>29.277595182454206</v>
      </c>
      <c r="AR603" s="30">
        <f t="shared" si="525"/>
        <v>11.551782726699484</v>
      </c>
      <c r="AS603" s="30">
        <f t="shared" si="526"/>
        <v>6.1500086695270344E-2</v>
      </c>
      <c r="AT603" s="31">
        <f t="shared" si="502"/>
        <v>97.045697924040638</v>
      </c>
      <c r="AV603" s="28">
        <f t="shared" si="527"/>
        <v>10530.838493848361</v>
      </c>
    </row>
    <row r="604" spans="2:48" ht="15.75" customHeight="1" x14ac:dyDescent="0.25">
      <c r="B604" s="78"/>
      <c r="C604" s="94" t="s">
        <v>46</v>
      </c>
      <c r="D604" s="69"/>
      <c r="E604" s="79" t="s">
        <v>75</v>
      </c>
      <c r="F604" s="70"/>
      <c r="G604" s="23">
        <v>49.13</v>
      </c>
      <c r="H604" s="23">
        <v>6.54</v>
      </c>
      <c r="I604" s="23">
        <v>44.16</v>
      </c>
      <c r="J604" s="23">
        <v>0.12</v>
      </c>
      <c r="K604" s="23">
        <v>0.05</v>
      </c>
      <c r="L604" s="58">
        <f t="shared" si="533"/>
        <v>12.439999999999998</v>
      </c>
      <c r="M604" s="36">
        <v>80</v>
      </c>
      <c r="N604" s="36">
        <v>7.3</v>
      </c>
      <c r="O604" s="18">
        <v>0.26</v>
      </c>
      <c r="P604" s="71">
        <v>0</v>
      </c>
      <c r="Q604" s="84">
        <v>840</v>
      </c>
      <c r="R604" s="18" t="s">
        <v>62</v>
      </c>
      <c r="S604" s="21">
        <v>0.63</v>
      </c>
      <c r="T604" s="18">
        <v>17.12</v>
      </c>
      <c r="U604" s="21">
        <v>38.163972286374097</v>
      </c>
      <c r="V604" s="21">
        <v>17.378752886836001</v>
      </c>
      <c r="W604" s="21">
        <v>29.572748267898302</v>
      </c>
      <c r="X604" s="21">
        <v>11.5588914549653</v>
      </c>
      <c r="Y604" s="73">
        <f t="shared" si="517"/>
        <v>6.121034035569279E-2</v>
      </c>
      <c r="Z604" s="18" t="s">
        <v>51</v>
      </c>
      <c r="AA604" s="18" t="s">
        <v>51</v>
      </c>
      <c r="AB604" s="18" t="s">
        <v>51</v>
      </c>
      <c r="AC604" s="28">
        <f t="shared" si="518"/>
        <v>10457.319778950814</v>
      </c>
      <c r="AD604" s="18" t="s">
        <v>51</v>
      </c>
      <c r="AF604" s="1"/>
      <c r="AK604" s="1">
        <f t="shared" si="519"/>
        <v>4.2857142857142859E-3</v>
      </c>
      <c r="AL604" s="1">
        <f t="shared" si="520"/>
        <v>6.9973324123413141</v>
      </c>
      <c r="AM604" s="1">
        <f t="shared" si="521"/>
        <v>7.0016181266270285</v>
      </c>
      <c r="AN604" s="1"/>
      <c r="AO604" s="30">
        <f t="shared" si="522"/>
        <v>38.140611989044359</v>
      </c>
      <c r="AP604" s="30">
        <f t="shared" si="523"/>
        <v>17.368115293044394</v>
      </c>
      <c r="AQ604" s="30">
        <f t="shared" si="524"/>
        <v>29.554646688030989</v>
      </c>
      <c r="AR604" s="30">
        <f t="shared" si="525"/>
        <v>11.551816218164371</v>
      </c>
      <c r="AS604" s="30">
        <f t="shared" si="526"/>
        <v>6.121034035569279E-2</v>
      </c>
      <c r="AT604" s="31">
        <f t="shared" si="502"/>
        <v>96.676400528639803</v>
      </c>
      <c r="AV604" s="28">
        <f t="shared" si="527"/>
        <v>10450.918817922036</v>
      </c>
    </row>
    <row r="605" spans="2:48" ht="15.75" customHeight="1" x14ac:dyDescent="0.25">
      <c r="B605" s="78"/>
      <c r="C605" s="94" t="s">
        <v>46</v>
      </c>
      <c r="D605" s="69"/>
      <c r="E605" s="79" t="s">
        <v>75</v>
      </c>
      <c r="F605" s="70"/>
      <c r="G605" s="23">
        <v>49.13</v>
      </c>
      <c r="H605" s="23">
        <v>6.54</v>
      </c>
      <c r="I605" s="23">
        <v>44.16</v>
      </c>
      <c r="J605" s="23">
        <v>0.12</v>
      </c>
      <c r="K605" s="23">
        <v>0.05</v>
      </c>
      <c r="L605" s="58">
        <f t="shared" si="533"/>
        <v>12.439999999999998</v>
      </c>
      <c r="M605" s="36">
        <v>80</v>
      </c>
      <c r="N605" s="36">
        <v>7.3</v>
      </c>
      <c r="O605" s="18">
        <v>0.26</v>
      </c>
      <c r="P605" s="71">
        <v>0</v>
      </c>
      <c r="Q605" s="84">
        <v>840</v>
      </c>
      <c r="R605" s="18" t="s">
        <v>62</v>
      </c>
      <c r="S605" s="21">
        <v>0.63</v>
      </c>
      <c r="T605" s="18">
        <v>17.12</v>
      </c>
      <c r="U605" s="21">
        <v>38.533487297921397</v>
      </c>
      <c r="V605" s="21">
        <v>17.5635103926097</v>
      </c>
      <c r="W605" s="21">
        <v>29.4803695150115</v>
      </c>
      <c r="X605" s="21">
        <v>11.6512702078522</v>
      </c>
      <c r="Y605" s="73">
        <f t="shared" si="517"/>
        <v>6.1403504768754495E-2</v>
      </c>
      <c r="Z605" s="18" t="s">
        <v>51</v>
      </c>
      <c r="AA605" s="18" t="s">
        <v>51</v>
      </c>
      <c r="AB605" s="18" t="s">
        <v>51</v>
      </c>
      <c r="AC605" s="28">
        <f t="shared" si="518"/>
        <v>10553.653497195639</v>
      </c>
      <c r="AD605" s="18" t="s">
        <v>51</v>
      </c>
      <c r="AF605" s="1"/>
      <c r="AK605" s="1">
        <f t="shared" si="519"/>
        <v>4.2857142857142859E-3</v>
      </c>
      <c r="AL605" s="1">
        <f t="shared" si="520"/>
        <v>6.9753065774804952</v>
      </c>
      <c r="AM605" s="1">
        <f t="shared" si="521"/>
        <v>6.9795922917662097</v>
      </c>
      <c r="AN605" s="1"/>
      <c r="AO605" s="30">
        <f t="shared" si="522"/>
        <v>38.509826386210854</v>
      </c>
      <c r="AP605" s="30">
        <f t="shared" si="523"/>
        <v>17.552725781668212</v>
      </c>
      <c r="AQ605" s="30">
        <f t="shared" si="524"/>
        <v>29.462267534910502</v>
      </c>
      <c r="AR605" s="30">
        <f t="shared" si="525"/>
        <v>11.644115919594499</v>
      </c>
      <c r="AS605" s="30">
        <f t="shared" si="526"/>
        <v>6.1403504768754495E-2</v>
      </c>
      <c r="AT605" s="31">
        <f t="shared" si="502"/>
        <v>97.230339127152803</v>
      </c>
      <c r="AV605" s="28">
        <f t="shared" si="527"/>
        <v>10547.173184067209</v>
      </c>
    </row>
    <row r="606" spans="2:48" ht="15.75" customHeight="1" x14ac:dyDescent="0.25">
      <c r="B606" s="78"/>
      <c r="C606" s="94" t="s">
        <v>46</v>
      </c>
      <c r="D606" s="69"/>
      <c r="E606" s="79" t="s">
        <v>75</v>
      </c>
      <c r="F606" s="70"/>
      <c r="G606" s="23">
        <v>49.13</v>
      </c>
      <c r="H606" s="23">
        <v>6.54</v>
      </c>
      <c r="I606" s="23">
        <v>44.16</v>
      </c>
      <c r="J606" s="23">
        <v>0.12</v>
      </c>
      <c r="K606" s="23">
        <v>0.05</v>
      </c>
      <c r="L606" s="58">
        <f t="shared" si="533"/>
        <v>12.439999999999998</v>
      </c>
      <c r="M606" s="36">
        <v>80</v>
      </c>
      <c r="N606" s="36">
        <v>7.3</v>
      </c>
      <c r="O606" s="18">
        <v>0.26</v>
      </c>
      <c r="P606" s="71">
        <v>0</v>
      </c>
      <c r="Q606" s="84">
        <v>840</v>
      </c>
      <c r="R606" s="18" t="s">
        <v>62</v>
      </c>
      <c r="S606" s="21">
        <v>0.63</v>
      </c>
      <c r="T606" s="18">
        <v>17.12</v>
      </c>
      <c r="U606" s="21">
        <v>38.7182448036951</v>
      </c>
      <c r="V606" s="21">
        <v>18.025404157043798</v>
      </c>
      <c r="W606" s="21">
        <v>29.387990762124701</v>
      </c>
      <c r="X606" s="21">
        <v>11.5588914549653</v>
      </c>
      <c r="Y606" s="73">
        <f t="shared" si="517"/>
        <v>6.1693249988275398E-2</v>
      </c>
      <c r="Z606" s="18" t="s">
        <v>51</v>
      </c>
      <c r="AA606" s="18" t="s">
        <v>51</v>
      </c>
      <c r="AB606" s="18" t="s">
        <v>51</v>
      </c>
      <c r="AC606" s="28">
        <f t="shared" si="518"/>
        <v>10598.853926096959</v>
      </c>
      <c r="AD606" s="18" t="s">
        <v>51</v>
      </c>
      <c r="AF606" s="1"/>
      <c r="AK606" s="1">
        <f t="shared" si="519"/>
        <v>4.2857142857142859E-3</v>
      </c>
      <c r="AL606" s="1">
        <f t="shared" si="520"/>
        <v>6.942526597480601</v>
      </c>
      <c r="AM606" s="1">
        <f t="shared" si="521"/>
        <v>6.9468123117663154</v>
      </c>
      <c r="AN606" s="1"/>
      <c r="AO606" s="30">
        <f t="shared" si="522"/>
        <v>38.694358260137285</v>
      </c>
      <c r="AP606" s="30">
        <f t="shared" si="523"/>
        <v>18.014283699395794</v>
      </c>
      <c r="AQ606" s="30">
        <f t="shared" si="524"/>
        <v>29.369860355517289</v>
      </c>
      <c r="AR606" s="30">
        <f t="shared" si="525"/>
        <v>11.551760399164115</v>
      </c>
      <c r="AS606" s="30">
        <f t="shared" si="526"/>
        <v>6.1693249988275398E-2</v>
      </c>
      <c r="AT606" s="31">
        <f t="shared" si="502"/>
        <v>97.691955964202762</v>
      </c>
      <c r="AV606" s="28">
        <f t="shared" si="527"/>
        <v>10592.315148648442</v>
      </c>
    </row>
    <row r="607" spans="2:48" ht="15.75" customHeight="1" x14ac:dyDescent="0.25">
      <c r="B607" s="78"/>
      <c r="C607" s="94" t="s">
        <v>46</v>
      </c>
      <c r="D607" s="69"/>
      <c r="E607" s="79" t="s">
        <v>75</v>
      </c>
      <c r="F607" s="70"/>
      <c r="G607" s="23">
        <v>49.13</v>
      </c>
      <c r="H607" s="23">
        <v>6.54</v>
      </c>
      <c r="I607" s="23">
        <v>44.16</v>
      </c>
      <c r="J607" s="23">
        <v>0.12</v>
      </c>
      <c r="K607" s="23">
        <v>0.05</v>
      </c>
      <c r="L607" s="58">
        <f t="shared" si="533"/>
        <v>12.439999999999998</v>
      </c>
      <c r="M607" s="36">
        <v>80</v>
      </c>
      <c r="N607" s="36">
        <v>7.3</v>
      </c>
      <c r="O607" s="18">
        <v>0.26</v>
      </c>
      <c r="P607" s="71">
        <v>0</v>
      </c>
      <c r="Q607" s="84">
        <v>840</v>
      </c>
      <c r="R607" s="18" t="s">
        <v>62</v>
      </c>
      <c r="S607" s="21">
        <v>0.63</v>
      </c>
      <c r="T607" s="18">
        <v>17.12</v>
      </c>
      <c r="U607" s="21">
        <v>38.3487297921478</v>
      </c>
      <c r="V607" s="21">
        <v>17.471131639722799</v>
      </c>
      <c r="W607" s="21">
        <v>28.9260969976905</v>
      </c>
      <c r="X607" s="21">
        <v>11.4665127020785</v>
      </c>
      <c r="Y607" s="73">
        <f t="shared" si="517"/>
        <v>6.053425902960962E-2</v>
      </c>
      <c r="Z607" s="18" t="s">
        <v>51</v>
      </c>
      <c r="AA607" s="18" t="s">
        <v>51</v>
      </c>
      <c r="AB607" s="18" t="s">
        <v>51</v>
      </c>
      <c r="AC607" s="28">
        <f t="shared" si="518"/>
        <v>10455.83594523258</v>
      </c>
      <c r="AD607" s="18" t="s">
        <v>51</v>
      </c>
      <c r="AF607" s="1"/>
      <c r="AK607" s="1">
        <f t="shared" si="519"/>
        <v>4.2857142857142859E-3</v>
      </c>
      <c r="AL607" s="1">
        <f t="shared" si="520"/>
        <v>7.0755304995676331</v>
      </c>
      <c r="AM607" s="1">
        <f t="shared" si="521"/>
        <v>7.0798162138533476</v>
      </c>
      <c r="AN607" s="1"/>
      <c r="AO607" s="30">
        <f t="shared" si="522"/>
        <v>38.325515672720854</v>
      </c>
      <c r="AP607" s="30">
        <f t="shared" si="523"/>
        <v>17.460555619640601</v>
      </c>
      <c r="AQ607" s="30">
        <f t="shared" si="524"/>
        <v>28.908586799206759</v>
      </c>
      <c r="AR607" s="30">
        <f t="shared" si="525"/>
        <v>11.45957153357776</v>
      </c>
      <c r="AS607" s="30">
        <f t="shared" si="526"/>
        <v>6.053425902960962E-2</v>
      </c>
      <c r="AT607" s="31">
        <f t="shared" si="502"/>
        <v>96.214763884175582</v>
      </c>
      <c r="AV607" s="28">
        <f t="shared" si="527"/>
        <v>10449.50658241778</v>
      </c>
    </row>
    <row r="608" spans="2:48" ht="15.75" customHeight="1" x14ac:dyDescent="0.25">
      <c r="B608" s="78"/>
      <c r="C608" s="94" t="s">
        <v>46</v>
      </c>
      <c r="D608" s="69"/>
      <c r="E608" s="79" t="s">
        <v>75</v>
      </c>
      <c r="F608" s="70"/>
      <c r="G608" s="23">
        <v>49.13</v>
      </c>
      <c r="H608" s="23">
        <v>6.54</v>
      </c>
      <c r="I608" s="23">
        <v>44.16</v>
      </c>
      <c r="J608" s="23">
        <v>0.12</v>
      </c>
      <c r="K608" s="23">
        <v>0.05</v>
      </c>
      <c r="L608" s="58">
        <f t="shared" si="533"/>
        <v>12.439999999999998</v>
      </c>
      <c r="M608" s="36">
        <v>80</v>
      </c>
      <c r="N608" s="36">
        <v>7.3</v>
      </c>
      <c r="O608" s="18">
        <v>0.26</v>
      </c>
      <c r="P608" s="71">
        <v>0</v>
      </c>
      <c r="Q608" s="84">
        <v>840</v>
      </c>
      <c r="R608" s="18" t="s">
        <v>62</v>
      </c>
      <c r="S608" s="21">
        <v>0.63</v>
      </c>
      <c r="T608" s="18">
        <v>17.12</v>
      </c>
      <c r="U608" s="21">
        <v>37.609699769053101</v>
      </c>
      <c r="V608" s="21">
        <v>17.655889145496499</v>
      </c>
      <c r="W608" s="21">
        <v>29.2956120092378</v>
      </c>
      <c r="X608" s="21">
        <v>11.6512702078522</v>
      </c>
      <c r="Y608" s="73">
        <f t="shared" si="517"/>
        <v>6.1306922655562097E-2</v>
      </c>
      <c r="Z608" s="18" t="s">
        <v>51</v>
      </c>
      <c r="AA608" s="18" t="s">
        <v>51</v>
      </c>
      <c r="AB608" s="18" t="s">
        <v>51</v>
      </c>
      <c r="AC608" s="28">
        <f t="shared" si="518"/>
        <v>10465.596750247438</v>
      </c>
      <c r="AD608" s="18" t="s">
        <v>51</v>
      </c>
      <c r="AF608" s="1"/>
      <c r="AK608" s="1">
        <f t="shared" si="519"/>
        <v>4.2857142857142859E-3</v>
      </c>
      <c r="AL608" s="1">
        <f t="shared" si="520"/>
        <v>6.9863021346469747</v>
      </c>
      <c r="AM608" s="1">
        <f t="shared" si="521"/>
        <v>6.9905878489326891</v>
      </c>
      <c r="AN608" s="1"/>
      <c r="AO608" s="30">
        <f t="shared" si="522"/>
        <v>37.586642419504699</v>
      </c>
      <c r="AP608" s="30">
        <f t="shared" si="523"/>
        <v>17.64506486319392</v>
      </c>
      <c r="AQ608" s="30">
        <f t="shared" si="524"/>
        <v>29.277651771041825</v>
      </c>
      <c r="AR608" s="30">
        <f t="shared" si="525"/>
        <v>11.64412717263748</v>
      </c>
      <c r="AS608" s="30">
        <f t="shared" si="526"/>
        <v>6.1306922655562097E-2</v>
      </c>
      <c r="AT608" s="31">
        <f t="shared" si="502"/>
        <v>96.214793149033483</v>
      </c>
      <c r="AV608" s="28">
        <f t="shared" si="527"/>
        <v>10459.180614942323</v>
      </c>
    </row>
    <row r="609" spans="2:48" ht="15.75" customHeight="1" x14ac:dyDescent="0.25">
      <c r="B609" s="78"/>
      <c r="C609" s="94" t="s">
        <v>46</v>
      </c>
      <c r="D609" s="69"/>
      <c r="E609" s="79" t="s">
        <v>75</v>
      </c>
      <c r="F609" s="70"/>
      <c r="G609" s="23">
        <v>49.13</v>
      </c>
      <c r="H609" s="23">
        <v>6.54</v>
      </c>
      <c r="I609" s="23">
        <v>44.16</v>
      </c>
      <c r="J609" s="23">
        <v>0.12</v>
      </c>
      <c r="K609" s="23">
        <v>0.05</v>
      </c>
      <c r="L609" s="58">
        <f t="shared" si="533"/>
        <v>12.439999999999998</v>
      </c>
      <c r="M609" s="36">
        <v>80</v>
      </c>
      <c r="N609" s="36">
        <v>7.3</v>
      </c>
      <c r="O609" s="18">
        <v>0.26</v>
      </c>
      <c r="P609" s="71">
        <v>0</v>
      </c>
      <c r="Q609" s="84">
        <v>840</v>
      </c>
      <c r="R609" s="18" t="s">
        <v>62</v>
      </c>
      <c r="S609" s="21">
        <v>0.63</v>
      </c>
      <c r="T609" s="18">
        <v>17.12</v>
      </c>
      <c r="U609" s="21">
        <v>38.256351039260899</v>
      </c>
      <c r="V609" s="21">
        <v>18.1177829099307</v>
      </c>
      <c r="W609" s="21">
        <v>29.2956120092378</v>
      </c>
      <c r="X609" s="21">
        <v>11.6512702078522</v>
      </c>
      <c r="Y609" s="73">
        <f t="shared" si="517"/>
        <v>6.1789831354765609E-2</v>
      </c>
      <c r="Z609" s="18" t="s">
        <v>51</v>
      </c>
      <c r="AA609" s="18" t="s">
        <v>51</v>
      </c>
      <c r="AB609" s="18" t="s">
        <v>51</v>
      </c>
      <c r="AC609" s="28">
        <f t="shared" si="518"/>
        <v>10593.761547344104</v>
      </c>
      <c r="AD609" s="18" t="s">
        <v>51</v>
      </c>
      <c r="AF609" s="1"/>
      <c r="AK609" s="1">
        <f t="shared" si="519"/>
        <v>4.2857142857142859E-3</v>
      </c>
      <c r="AL609" s="1">
        <f t="shared" si="520"/>
        <v>6.9316682958618552</v>
      </c>
      <c r="AM609" s="1">
        <f t="shared" si="521"/>
        <v>6.9359540101475696</v>
      </c>
      <c r="AN609" s="1"/>
      <c r="AO609" s="30">
        <f t="shared" si="522"/>
        <v>38.232712504471259</v>
      </c>
      <c r="AP609" s="30">
        <f t="shared" si="523"/>
        <v>18.106587962425429</v>
      </c>
      <c r="AQ609" s="30">
        <f t="shared" si="524"/>
        <v>29.277510299982946</v>
      </c>
      <c r="AR609" s="30">
        <f t="shared" si="525"/>
        <v>11.64407090764008</v>
      </c>
      <c r="AS609" s="30">
        <f t="shared" si="526"/>
        <v>6.1789831354765609E-2</v>
      </c>
      <c r="AT609" s="31">
        <f t="shared" si="502"/>
        <v>97.322671505874496</v>
      </c>
      <c r="AV609" s="28">
        <f t="shared" si="527"/>
        <v>10587.215679949875</v>
      </c>
    </row>
    <row r="610" spans="2:48" ht="15.75" customHeight="1" x14ac:dyDescent="0.25">
      <c r="B610" s="78"/>
      <c r="C610" s="94" t="s">
        <v>46</v>
      </c>
      <c r="D610" s="69"/>
      <c r="E610" s="79" t="s">
        <v>75</v>
      </c>
      <c r="F610" s="70"/>
      <c r="G610" s="23">
        <v>49.13</v>
      </c>
      <c r="H610" s="23">
        <v>6.54</v>
      </c>
      <c r="I610" s="23">
        <v>44.16</v>
      </c>
      <c r="J610" s="23">
        <v>0.12</v>
      </c>
      <c r="K610" s="23">
        <v>0.05</v>
      </c>
      <c r="L610" s="58">
        <f t="shared" si="533"/>
        <v>12.439999999999998</v>
      </c>
      <c r="M610" s="36">
        <v>80</v>
      </c>
      <c r="N610" s="36">
        <v>7.3</v>
      </c>
      <c r="O610" s="18">
        <v>0.26</v>
      </c>
      <c r="P610" s="71">
        <v>0</v>
      </c>
      <c r="Q610" s="84">
        <v>840</v>
      </c>
      <c r="R610" s="18" t="s">
        <v>62</v>
      </c>
      <c r="S610" s="21">
        <v>0.63</v>
      </c>
      <c r="T610" s="18">
        <v>17.12</v>
      </c>
      <c r="U610" s="21">
        <v>37.702078521939903</v>
      </c>
      <c r="V610" s="21">
        <v>17.840646651270202</v>
      </c>
      <c r="W610" s="21">
        <v>29.387990762124701</v>
      </c>
      <c r="X610" s="21">
        <v>11.3741339491916</v>
      </c>
      <c r="Y610" s="73">
        <f t="shared" si="517"/>
        <v>6.1306922655562111E-2</v>
      </c>
      <c r="Z610" s="18" t="s">
        <v>51</v>
      </c>
      <c r="AA610" s="18" t="s">
        <v>51</v>
      </c>
      <c r="AB610" s="18" t="s">
        <v>51</v>
      </c>
      <c r="AC610" s="28">
        <f t="shared" si="518"/>
        <v>10399.610277136222</v>
      </c>
      <c r="AD610" s="18" t="s">
        <v>51</v>
      </c>
      <c r="AF610" s="1"/>
      <c r="AK610" s="1">
        <f t="shared" si="519"/>
        <v>4.2857142857142859E-3</v>
      </c>
      <c r="AL610" s="1">
        <f t="shared" si="520"/>
        <v>6.9863021346469738</v>
      </c>
      <c r="AM610" s="1">
        <f t="shared" si="521"/>
        <v>6.9905878489326883</v>
      </c>
      <c r="AN610" s="1"/>
      <c r="AO610" s="30">
        <f t="shared" si="522"/>
        <v>37.678964537820917</v>
      </c>
      <c r="AP610" s="30">
        <f t="shared" si="523"/>
        <v>17.829709099826456</v>
      </c>
      <c r="AQ610" s="30">
        <f t="shared" si="524"/>
        <v>29.369973889358143</v>
      </c>
      <c r="AR610" s="30">
        <f t="shared" si="525"/>
        <v>11.36716081768863</v>
      </c>
      <c r="AS610" s="30">
        <f t="shared" si="526"/>
        <v>6.1306922655562111E-2</v>
      </c>
      <c r="AT610" s="31">
        <f t="shared" si="502"/>
        <v>96.307115267349701</v>
      </c>
      <c r="AV610" s="28">
        <f t="shared" si="527"/>
        <v>10393.234596107139</v>
      </c>
    </row>
    <row r="611" spans="2:48" ht="15.75" customHeight="1" x14ac:dyDescent="0.25">
      <c r="B611" s="78"/>
      <c r="C611" s="94" t="s">
        <v>46</v>
      </c>
      <c r="D611" s="69"/>
      <c r="E611" s="79" t="s">
        <v>75</v>
      </c>
      <c r="F611" s="70"/>
      <c r="G611" s="23">
        <v>49.13</v>
      </c>
      <c r="H611" s="23">
        <v>6.54</v>
      </c>
      <c r="I611" s="23">
        <v>44.16</v>
      </c>
      <c r="J611" s="23">
        <v>0.12</v>
      </c>
      <c r="K611" s="23">
        <v>0.05</v>
      </c>
      <c r="L611" s="58">
        <f t="shared" si="533"/>
        <v>12.439999999999998</v>
      </c>
      <c r="M611" s="36">
        <v>80</v>
      </c>
      <c r="N611" s="36">
        <v>7.3</v>
      </c>
      <c r="O611" s="18">
        <v>0.26</v>
      </c>
      <c r="P611" s="71">
        <v>0</v>
      </c>
      <c r="Q611" s="84">
        <v>840</v>
      </c>
      <c r="R611" s="18" t="s">
        <v>62</v>
      </c>
      <c r="S611" s="21">
        <v>0.63</v>
      </c>
      <c r="T611" s="18">
        <v>17.12</v>
      </c>
      <c r="U611" s="21">
        <v>38.7182448036951</v>
      </c>
      <c r="V611" s="21">
        <v>18.025404157043798</v>
      </c>
      <c r="W611" s="21">
        <v>29.4803695150115</v>
      </c>
      <c r="X611" s="21">
        <v>11.3741339491916</v>
      </c>
      <c r="Y611" s="73">
        <f t="shared" si="517"/>
        <v>6.1596668435110455E-2</v>
      </c>
      <c r="Z611" s="18" t="s">
        <v>51</v>
      </c>
      <c r="AA611" s="18" t="s">
        <v>51</v>
      </c>
      <c r="AB611" s="18" t="s">
        <v>51</v>
      </c>
      <c r="AC611" s="28">
        <f t="shared" si="518"/>
        <v>10532.653002309422</v>
      </c>
      <c r="AD611" s="18" t="s">
        <v>51</v>
      </c>
      <c r="AF611" s="1"/>
      <c r="AK611" s="1">
        <f t="shared" si="519"/>
        <v>4.2857142857142859E-3</v>
      </c>
      <c r="AL611" s="1">
        <f t="shared" si="520"/>
        <v>6.9534189710400982</v>
      </c>
      <c r="AM611" s="1">
        <f t="shared" si="521"/>
        <v>6.9577046853258127</v>
      </c>
      <c r="AN611" s="1"/>
      <c r="AO611" s="30">
        <f t="shared" si="522"/>
        <v>38.694395654819466</v>
      </c>
      <c r="AP611" s="30">
        <f t="shared" si="523"/>
        <v>18.014301108611093</v>
      </c>
      <c r="AQ611" s="30">
        <f t="shared" si="524"/>
        <v>29.462210589547894</v>
      </c>
      <c r="AR611" s="30">
        <f t="shared" si="525"/>
        <v>11.367127861615552</v>
      </c>
      <c r="AS611" s="30">
        <f t="shared" si="526"/>
        <v>6.1596668435110455E-2</v>
      </c>
      <c r="AT611" s="31">
        <f t="shared" si="502"/>
        <v>97.599631883029119</v>
      </c>
      <c r="AV611" s="28">
        <f t="shared" si="527"/>
        <v>10526.165238962169</v>
      </c>
    </row>
    <row r="612" spans="2:48" ht="15.75" customHeight="1" x14ac:dyDescent="0.25">
      <c r="B612" s="78"/>
      <c r="C612" s="94" t="s">
        <v>46</v>
      </c>
      <c r="D612" s="69"/>
      <c r="E612" s="79" t="s">
        <v>75</v>
      </c>
      <c r="F612" s="70"/>
      <c r="G612" s="23">
        <v>49.13</v>
      </c>
      <c r="H612" s="23">
        <v>6.54</v>
      </c>
      <c r="I612" s="23">
        <v>44.16</v>
      </c>
      <c r="J612" s="23">
        <v>0.12</v>
      </c>
      <c r="K612" s="23">
        <v>0.05</v>
      </c>
      <c r="L612" s="58">
        <f t="shared" si="533"/>
        <v>12.439999999999998</v>
      </c>
      <c r="M612" s="36">
        <v>80</v>
      </c>
      <c r="N612" s="36">
        <v>7.3</v>
      </c>
      <c r="O612" s="18">
        <v>0.26</v>
      </c>
      <c r="P612" s="71">
        <v>0</v>
      </c>
      <c r="Q612" s="84">
        <v>840</v>
      </c>
      <c r="R612" s="18" t="s">
        <v>62</v>
      </c>
      <c r="S612" s="21">
        <v>0.63</v>
      </c>
      <c r="T612" s="18">
        <v>17.12</v>
      </c>
      <c r="U612" s="21">
        <v>37.5173210161662</v>
      </c>
      <c r="V612" s="21">
        <v>17.933025404157</v>
      </c>
      <c r="W612" s="21">
        <v>29.8498845265588</v>
      </c>
      <c r="X612" s="21">
        <v>11.5588914549653</v>
      </c>
      <c r="Y612" s="73">
        <f t="shared" si="517"/>
        <v>6.2079574334192984E-2</v>
      </c>
      <c r="Z612" s="18" t="s">
        <v>51</v>
      </c>
      <c r="AA612" s="18" t="s">
        <v>51</v>
      </c>
      <c r="AB612" s="18" t="s">
        <v>51</v>
      </c>
      <c r="AC612" s="28">
        <f t="shared" si="518"/>
        <v>10457.536704058029</v>
      </c>
      <c r="AD612" s="18" t="s">
        <v>51</v>
      </c>
      <c r="AF612" s="1"/>
      <c r="AK612" s="1">
        <f t="shared" si="519"/>
        <v>4.2857142857142859E-3</v>
      </c>
      <c r="AL612" s="1">
        <f t="shared" si="520"/>
        <v>6.8992962314328556</v>
      </c>
      <c r="AM612" s="1">
        <f t="shared" si="521"/>
        <v>6.9035819457185701</v>
      </c>
      <c r="AN612" s="1"/>
      <c r="AO612" s="30">
        <f t="shared" si="522"/>
        <v>37.494030422977772</v>
      </c>
      <c r="AP612" s="30">
        <f t="shared" si="523"/>
        <v>17.921892658320857</v>
      </c>
      <c r="AQ612" s="30">
        <f t="shared" si="524"/>
        <v>29.831353845305465</v>
      </c>
      <c r="AR612" s="30">
        <f t="shared" si="525"/>
        <v>11.551715744352306</v>
      </c>
      <c r="AS612" s="30">
        <f t="shared" si="526"/>
        <v>6.2079574334192984E-2</v>
      </c>
      <c r="AT612" s="31">
        <f t="shared" si="502"/>
        <v>96.861072245290586</v>
      </c>
      <c r="AV612" s="28">
        <f t="shared" si="527"/>
        <v>10451.044709786311</v>
      </c>
    </row>
    <row r="613" spans="2:48" ht="15.75" customHeight="1" x14ac:dyDescent="0.25">
      <c r="B613" s="78"/>
      <c r="C613" s="94" t="s">
        <v>46</v>
      </c>
      <c r="D613" s="69"/>
      <c r="E613" s="79" t="s">
        <v>75</v>
      </c>
      <c r="F613" s="70"/>
      <c r="G613" s="23">
        <v>49.13</v>
      </c>
      <c r="H613" s="23">
        <v>6.54</v>
      </c>
      <c r="I613" s="23">
        <v>44.16</v>
      </c>
      <c r="J613" s="23">
        <v>0.12</v>
      </c>
      <c r="K613" s="23">
        <v>0.05</v>
      </c>
      <c r="L613" s="58">
        <f t="shared" si="533"/>
        <v>12.439999999999998</v>
      </c>
      <c r="M613" s="36">
        <v>80</v>
      </c>
      <c r="N613" s="36">
        <v>7.3</v>
      </c>
      <c r="O613" s="18">
        <v>0.26</v>
      </c>
      <c r="P613" s="71">
        <v>0</v>
      </c>
      <c r="Q613" s="84">
        <v>840</v>
      </c>
      <c r="R613" s="18" t="s">
        <v>62</v>
      </c>
      <c r="S613" s="21">
        <v>0.63</v>
      </c>
      <c r="T613" s="18">
        <v>17.12</v>
      </c>
      <c r="U613" s="21">
        <v>37.1478060046189</v>
      </c>
      <c r="V613" s="21">
        <v>17.655889145496499</v>
      </c>
      <c r="W613" s="21">
        <v>29.8498845265588</v>
      </c>
      <c r="X613" s="21">
        <v>11.4665127020785</v>
      </c>
      <c r="Y613" s="73">
        <f t="shared" si="517"/>
        <v>6.1693249988275405E-2</v>
      </c>
      <c r="Z613" s="18" t="s">
        <v>51</v>
      </c>
      <c r="AA613" s="18" t="s">
        <v>51</v>
      </c>
      <c r="AB613" s="18" t="s">
        <v>51</v>
      </c>
      <c r="AC613" s="28">
        <f t="shared" si="518"/>
        <v>10349.531920158348</v>
      </c>
      <c r="AD613" s="18" t="s">
        <v>51</v>
      </c>
      <c r="AF613" s="1"/>
      <c r="AK613" s="1">
        <f t="shared" si="519"/>
        <v>4.2857142857142859E-3</v>
      </c>
      <c r="AL613" s="1">
        <f t="shared" si="520"/>
        <v>6.9425265974805992</v>
      </c>
      <c r="AM613" s="1">
        <f t="shared" si="521"/>
        <v>6.9468123117663136</v>
      </c>
      <c r="AN613" s="1"/>
      <c r="AO613" s="30">
        <f t="shared" si="522"/>
        <v>37.12488831579531</v>
      </c>
      <c r="AP613" s="30">
        <f t="shared" si="523"/>
        <v>17.644996653668315</v>
      </c>
      <c r="AQ613" s="30">
        <f t="shared" si="524"/>
        <v>29.831469162676616</v>
      </c>
      <c r="AR613" s="30">
        <f t="shared" si="525"/>
        <v>11.459438637732271</v>
      </c>
      <c r="AS613" s="30">
        <f t="shared" si="526"/>
        <v>6.1693249988275405E-2</v>
      </c>
      <c r="AT613" s="31">
        <f t="shared" si="502"/>
        <v>96.122486019860801</v>
      </c>
      <c r="AV613" s="28">
        <f t="shared" si="527"/>
        <v>10343.146957558229</v>
      </c>
    </row>
    <row r="614" spans="2:48" ht="15.75" customHeight="1" x14ac:dyDescent="0.25">
      <c r="B614" s="78"/>
      <c r="C614" s="94" t="s">
        <v>46</v>
      </c>
      <c r="D614" s="69"/>
      <c r="E614" s="79" t="s">
        <v>75</v>
      </c>
      <c r="F614" s="70"/>
      <c r="G614" s="23">
        <v>49.13</v>
      </c>
      <c r="H614" s="23">
        <v>6.54</v>
      </c>
      <c r="I614" s="23">
        <v>44.16</v>
      </c>
      <c r="J614" s="23">
        <v>0.12</v>
      </c>
      <c r="K614" s="23">
        <v>0.05</v>
      </c>
      <c r="L614" s="58">
        <f t="shared" si="533"/>
        <v>12.439999999999998</v>
      </c>
      <c r="M614" s="36">
        <v>80</v>
      </c>
      <c r="N614" s="36">
        <v>7.3</v>
      </c>
      <c r="O614" s="18">
        <v>0.26</v>
      </c>
      <c r="P614" s="71">
        <v>0</v>
      </c>
      <c r="Q614" s="84">
        <v>840</v>
      </c>
      <c r="R614" s="18" t="s">
        <v>62</v>
      </c>
      <c r="S614" s="21">
        <v>0.63</v>
      </c>
      <c r="T614" s="18">
        <v>17.12</v>
      </c>
      <c r="U614" s="21">
        <v>37.609699769053101</v>
      </c>
      <c r="V614" s="21">
        <v>17.840646651270202</v>
      </c>
      <c r="W614" s="21">
        <v>29.8498845265588</v>
      </c>
      <c r="X614" s="21">
        <v>11.4665127020785</v>
      </c>
      <c r="Y614" s="73">
        <f t="shared" si="517"/>
        <v>6.1886412534581541E-2</v>
      </c>
      <c r="Z614" s="18" t="s">
        <v>51</v>
      </c>
      <c r="AA614" s="18" t="s">
        <v>51</v>
      </c>
      <c r="AB614" s="18" t="s">
        <v>51</v>
      </c>
      <c r="AC614" s="28">
        <f t="shared" si="518"/>
        <v>10422.737957769703</v>
      </c>
      <c r="AD614" s="18" t="s">
        <v>51</v>
      </c>
      <c r="AF614" s="1"/>
      <c r="AK614" s="1">
        <f t="shared" si="519"/>
        <v>4.2857142857142859E-3</v>
      </c>
      <c r="AL614" s="1">
        <f t="shared" si="520"/>
        <v>6.9208439065651781</v>
      </c>
      <c r="AM614" s="1">
        <f t="shared" si="521"/>
        <v>6.9251296208508926</v>
      </c>
      <c r="AN614" s="1"/>
      <c r="AO614" s="30">
        <f t="shared" si="522"/>
        <v>37.586424475101005</v>
      </c>
      <c r="AP614" s="30">
        <f t="shared" si="523"/>
        <v>17.82960571508476</v>
      </c>
      <c r="AQ614" s="30">
        <f t="shared" si="524"/>
        <v>29.8314115038796</v>
      </c>
      <c r="AR614" s="30">
        <f t="shared" si="525"/>
        <v>11.459416488724363</v>
      </c>
      <c r="AS614" s="30">
        <f t="shared" si="526"/>
        <v>6.1886412534581541E-2</v>
      </c>
      <c r="AT614" s="31">
        <f t="shared" si="502"/>
        <v>96.768744595324307</v>
      </c>
      <c r="AV614" s="28">
        <f t="shared" si="527"/>
        <v>10416.287699159759</v>
      </c>
    </row>
    <row r="615" spans="2:48" ht="15.75" customHeight="1" x14ac:dyDescent="0.25">
      <c r="B615" s="78"/>
      <c r="C615" s="94" t="s">
        <v>46</v>
      </c>
      <c r="D615" s="69"/>
      <c r="E615" s="79" t="s">
        <v>75</v>
      </c>
      <c r="F615" s="70"/>
      <c r="G615" s="23">
        <v>49.13</v>
      </c>
      <c r="H615" s="23">
        <v>6.54</v>
      </c>
      <c r="I615" s="23">
        <v>44.16</v>
      </c>
      <c r="J615" s="23">
        <v>0.12</v>
      </c>
      <c r="K615" s="23">
        <v>0.05</v>
      </c>
      <c r="L615" s="58">
        <f t="shared" si="533"/>
        <v>12.439999999999998</v>
      </c>
      <c r="M615" s="36">
        <v>80</v>
      </c>
      <c r="N615" s="36">
        <v>7.3</v>
      </c>
      <c r="O615" s="18">
        <v>0.26</v>
      </c>
      <c r="P615" s="71">
        <v>0</v>
      </c>
      <c r="Q615" s="84">
        <v>840</v>
      </c>
      <c r="R615" s="18" t="s">
        <v>62</v>
      </c>
      <c r="S615" s="21">
        <v>0.63</v>
      </c>
      <c r="T615" s="18">
        <v>17.12</v>
      </c>
      <c r="U615" s="21">
        <v>37.979214780600401</v>
      </c>
      <c r="V615" s="21">
        <v>18.025404157043798</v>
      </c>
      <c r="W615" s="21">
        <v>29.4803695150115</v>
      </c>
      <c r="X615" s="21">
        <v>11.4665127020785</v>
      </c>
      <c r="Y615" s="73">
        <f t="shared" si="517"/>
        <v>6.1693249988275405E-2</v>
      </c>
      <c r="Z615" s="18" t="s">
        <v>51</v>
      </c>
      <c r="AA615" s="18" t="s">
        <v>51</v>
      </c>
      <c r="AB615" s="18" t="s">
        <v>51</v>
      </c>
      <c r="AC615" s="28">
        <f t="shared" si="518"/>
        <v>10485.971214120727</v>
      </c>
      <c r="AD615" s="18" t="s">
        <v>51</v>
      </c>
      <c r="AF615" s="1"/>
      <c r="AK615" s="1">
        <f t="shared" si="519"/>
        <v>4.2857142857142859E-3</v>
      </c>
      <c r="AL615" s="1">
        <f t="shared" si="520"/>
        <v>6.9425265974805992</v>
      </c>
      <c r="AM615" s="1">
        <f t="shared" si="521"/>
        <v>6.9468123117663136</v>
      </c>
      <c r="AN615" s="1"/>
      <c r="AO615" s="30">
        <f t="shared" si="522"/>
        <v>37.955784168682214</v>
      </c>
      <c r="AP615" s="30">
        <f t="shared" si="523"/>
        <v>18.014283699395794</v>
      </c>
      <c r="AQ615" s="30">
        <f t="shared" si="524"/>
        <v>29.462182116949144</v>
      </c>
      <c r="AR615" s="30">
        <f t="shared" si="525"/>
        <v>11.459438637732271</v>
      </c>
      <c r="AS615" s="30">
        <f t="shared" si="526"/>
        <v>6.1693249988275405E-2</v>
      </c>
      <c r="AT615" s="31">
        <f t="shared" si="502"/>
        <v>96.953381872747698</v>
      </c>
      <c r="AV615" s="28">
        <f t="shared" si="527"/>
        <v>10479.502077685902</v>
      </c>
    </row>
    <row r="616" spans="2:48" ht="15.75" customHeight="1" x14ac:dyDescent="0.25">
      <c r="B616" s="78"/>
      <c r="C616" s="94" t="s">
        <v>46</v>
      </c>
      <c r="D616" s="69"/>
      <c r="E616" s="79" t="s">
        <v>75</v>
      </c>
      <c r="F616" s="70"/>
      <c r="G616" s="23">
        <v>49.13</v>
      </c>
      <c r="H616" s="23">
        <v>6.54</v>
      </c>
      <c r="I616" s="23">
        <v>44.16</v>
      </c>
      <c r="J616" s="23">
        <v>0.12</v>
      </c>
      <c r="K616" s="23">
        <v>0.05</v>
      </c>
      <c r="L616" s="58">
        <f t="shared" si="533"/>
        <v>12.439999999999998</v>
      </c>
      <c r="M616" s="36">
        <v>80</v>
      </c>
      <c r="N616" s="36">
        <v>7.3</v>
      </c>
      <c r="O616" s="18">
        <v>0.26</v>
      </c>
      <c r="P616" s="71">
        <v>0</v>
      </c>
      <c r="Q616" s="84">
        <v>840</v>
      </c>
      <c r="R616" s="18" t="s">
        <v>62</v>
      </c>
      <c r="S616" s="21">
        <v>0.63</v>
      </c>
      <c r="T616" s="18">
        <v>17.12</v>
      </c>
      <c r="U616" s="21">
        <v>38.163972286374097</v>
      </c>
      <c r="V616" s="21">
        <v>17.655889145496499</v>
      </c>
      <c r="W616" s="21">
        <v>29.665127020785199</v>
      </c>
      <c r="X616" s="21">
        <v>11.743648960739</v>
      </c>
      <c r="Y616" s="73">
        <f t="shared" si="517"/>
        <v>6.1789831354765609E-2</v>
      </c>
      <c r="Z616" s="18" t="s">
        <v>51</v>
      </c>
      <c r="AA616" s="18" t="s">
        <v>51</v>
      </c>
      <c r="AB616" s="18" t="s">
        <v>51</v>
      </c>
      <c r="AC616" s="28">
        <f t="shared" si="518"/>
        <v>10558.533899703049</v>
      </c>
      <c r="AD616" s="18" t="s">
        <v>51</v>
      </c>
      <c r="AF616" s="1"/>
      <c r="AK616" s="1">
        <f t="shared" si="519"/>
        <v>4.2857142857142859E-3</v>
      </c>
      <c r="AL616" s="1">
        <f t="shared" si="520"/>
        <v>6.9316682958618552</v>
      </c>
      <c r="AM616" s="1">
        <f t="shared" si="521"/>
        <v>6.9359540101475696</v>
      </c>
      <c r="AN616" s="1"/>
      <c r="AO616" s="30">
        <f t="shared" si="522"/>
        <v>38.140390832260067</v>
      </c>
      <c r="AP616" s="30">
        <f t="shared" si="523"/>
        <v>17.644979601369311</v>
      </c>
      <c r="AQ616" s="30">
        <f t="shared" si="524"/>
        <v>29.646796988827877</v>
      </c>
      <c r="AR616" s="30">
        <f t="shared" si="525"/>
        <v>11.736392579851264</v>
      </c>
      <c r="AS616" s="30">
        <f t="shared" si="526"/>
        <v>6.1789831354765609E-2</v>
      </c>
      <c r="AT616" s="31">
        <f t="shared" si="502"/>
        <v>97.230349833663297</v>
      </c>
      <c r="AV616" s="28">
        <f t="shared" si="527"/>
        <v>10552.009799412888</v>
      </c>
    </row>
    <row r="617" spans="2:48" ht="15.75" customHeight="1" x14ac:dyDescent="0.25">
      <c r="B617" s="78"/>
      <c r="C617" s="94" t="s">
        <v>46</v>
      </c>
      <c r="D617" s="69"/>
      <c r="E617" s="79" t="s">
        <v>75</v>
      </c>
      <c r="F617" s="70"/>
      <c r="G617" s="23">
        <v>49.13</v>
      </c>
      <c r="H617" s="23">
        <v>6.54</v>
      </c>
      <c r="I617" s="23">
        <v>44.16</v>
      </c>
      <c r="J617" s="23">
        <v>0.12</v>
      </c>
      <c r="K617" s="23">
        <v>0.05</v>
      </c>
      <c r="L617" s="58">
        <f t="shared" si="533"/>
        <v>12.439999999999998</v>
      </c>
      <c r="M617" s="36">
        <v>80</v>
      </c>
      <c r="N617" s="36">
        <v>7.3</v>
      </c>
      <c r="O617" s="18">
        <v>0.26</v>
      </c>
      <c r="P617" s="71">
        <v>0</v>
      </c>
      <c r="Q617" s="84">
        <v>840</v>
      </c>
      <c r="R617" s="18" t="s">
        <v>62</v>
      </c>
      <c r="S617" s="21">
        <v>0.63</v>
      </c>
      <c r="T617" s="18">
        <v>17.12</v>
      </c>
      <c r="U617" s="21">
        <v>37.702078521939903</v>
      </c>
      <c r="V617" s="21">
        <v>17.933025404157</v>
      </c>
      <c r="W617" s="21">
        <v>29.4803695150115</v>
      </c>
      <c r="X617" s="21">
        <v>10.912240184757501</v>
      </c>
      <c r="Y617" s="73">
        <f t="shared" si="517"/>
        <v>6.1017175195921543E-2</v>
      </c>
      <c r="Z617" s="18" t="s">
        <v>51</v>
      </c>
      <c r="AA617" s="18" t="s">
        <v>51</v>
      </c>
      <c r="AB617" s="18" t="s">
        <v>51</v>
      </c>
      <c r="AC617" s="28">
        <f t="shared" si="518"/>
        <v>10245.779033322324</v>
      </c>
      <c r="AD617" s="18" t="s">
        <v>51</v>
      </c>
      <c r="AF617" s="1"/>
      <c r="AK617" s="1">
        <f t="shared" si="519"/>
        <v>4.2857142857142859E-3</v>
      </c>
      <c r="AL617" s="1">
        <f t="shared" si="520"/>
        <v>7.0194977892166692</v>
      </c>
      <c r="AM617" s="1">
        <f t="shared" si="521"/>
        <v>7.0237835035023837</v>
      </c>
      <c r="AN617" s="1"/>
      <c r="AO617" s="30">
        <f t="shared" si="522"/>
        <v>37.679073778635669</v>
      </c>
      <c r="AP617" s="30">
        <f t="shared" si="523"/>
        <v>17.922083178628213</v>
      </c>
      <c r="AQ617" s="30">
        <f t="shared" si="524"/>
        <v>29.462381426296126</v>
      </c>
      <c r="AR617" s="30">
        <f t="shared" si="525"/>
        <v>10.905581844046166</v>
      </c>
      <c r="AS617" s="30">
        <f t="shared" si="526"/>
        <v>6.1017175195921543E-2</v>
      </c>
      <c r="AT617" s="31">
        <f t="shared" si="502"/>
        <v>96.030137402802097</v>
      </c>
      <c r="AV617" s="28">
        <f t="shared" si="527"/>
        <v>10239.527348379374</v>
      </c>
    </row>
    <row r="618" spans="2:48" ht="15.75" customHeight="1" x14ac:dyDescent="0.25">
      <c r="B618" s="78"/>
      <c r="C618" s="94" t="s">
        <v>46</v>
      </c>
      <c r="D618" s="69"/>
      <c r="E618" s="79" t="s">
        <v>75</v>
      </c>
      <c r="F618" s="70"/>
      <c r="G618" s="23">
        <v>49.13</v>
      </c>
      <c r="H618" s="23">
        <v>6.54</v>
      </c>
      <c r="I618" s="23">
        <v>44.16</v>
      </c>
      <c r="J618" s="23">
        <v>0.12</v>
      </c>
      <c r="K618" s="23">
        <v>0.05</v>
      </c>
      <c r="L618" s="58">
        <f t="shared" si="533"/>
        <v>12.439999999999998</v>
      </c>
      <c r="M618" s="36">
        <v>80</v>
      </c>
      <c r="N618" s="36">
        <v>7.3</v>
      </c>
      <c r="O618" s="18">
        <v>0.26</v>
      </c>
      <c r="P618" s="71">
        <v>0</v>
      </c>
      <c r="Q618" s="84">
        <v>840</v>
      </c>
      <c r="R618" s="18" t="s">
        <v>62</v>
      </c>
      <c r="S618" s="21">
        <v>0.63</v>
      </c>
      <c r="T618" s="18">
        <v>17.12</v>
      </c>
      <c r="U618" s="21">
        <v>38.533487297921397</v>
      </c>
      <c r="V618" s="21">
        <v>17.655889145496499</v>
      </c>
      <c r="W618" s="21">
        <v>29.203233256351002</v>
      </c>
      <c r="X618" s="21">
        <v>10.819861431870599</v>
      </c>
      <c r="Y618" s="73">
        <f t="shared" si="517"/>
        <v>6.0341091256320034E-2</v>
      </c>
      <c r="Z618" s="18" t="s">
        <v>51</v>
      </c>
      <c r="AA618" s="18" t="s">
        <v>51</v>
      </c>
      <c r="AB618" s="18" t="s">
        <v>51</v>
      </c>
      <c r="AC618" s="28">
        <f t="shared" si="518"/>
        <v>10267.420405806626</v>
      </c>
      <c r="AD618" s="18" t="s">
        <v>51</v>
      </c>
      <c r="AF618" s="1"/>
      <c r="AK618" s="1">
        <f t="shared" si="519"/>
        <v>4.2857142857142859E-3</v>
      </c>
      <c r="AL618" s="1">
        <f t="shared" si="520"/>
        <v>7.0981948615282127</v>
      </c>
      <c r="AM618" s="1">
        <f t="shared" si="521"/>
        <v>7.1024805758139271</v>
      </c>
      <c r="AN618" s="1"/>
      <c r="AO618" s="30">
        <f t="shared" si="522"/>
        <v>38.510235771186721</v>
      </c>
      <c r="AP618" s="30">
        <f t="shared" si="523"/>
        <v>17.645235389315097</v>
      </c>
      <c r="AQ618" s="30">
        <f t="shared" si="524"/>
        <v>29.185611706721986</v>
      </c>
      <c r="AR618" s="30">
        <f t="shared" si="525"/>
        <v>10.813332609410187</v>
      </c>
      <c r="AS618" s="30">
        <f t="shared" si="526"/>
        <v>6.0341091256320034E-2</v>
      </c>
      <c r="AT618" s="31">
        <f t="shared" si="502"/>
        <v>96.214756567890305</v>
      </c>
      <c r="AV618" s="28">
        <f t="shared" si="527"/>
        <v>10261.22493228989</v>
      </c>
    </row>
    <row r="619" spans="2:48" ht="15.75" customHeight="1" x14ac:dyDescent="0.25">
      <c r="B619" s="78"/>
      <c r="C619" s="94" t="s">
        <v>46</v>
      </c>
      <c r="D619" s="69"/>
      <c r="E619" s="79" t="s">
        <v>75</v>
      </c>
      <c r="F619" s="70"/>
      <c r="G619" s="23">
        <v>49.13</v>
      </c>
      <c r="H619" s="23">
        <v>6.54</v>
      </c>
      <c r="I619" s="23">
        <v>44.16</v>
      </c>
      <c r="J619" s="23">
        <v>0.12</v>
      </c>
      <c r="K619" s="23">
        <v>0.05</v>
      </c>
      <c r="L619" s="58">
        <f t="shared" si="533"/>
        <v>12.439999999999998</v>
      </c>
      <c r="M619" s="36">
        <v>80</v>
      </c>
      <c r="N619" s="36">
        <v>7.3</v>
      </c>
      <c r="O619" s="18">
        <v>0.26</v>
      </c>
      <c r="P619" s="71">
        <v>0</v>
      </c>
      <c r="Q619" s="84">
        <v>840</v>
      </c>
      <c r="R619" s="18" t="s">
        <v>62</v>
      </c>
      <c r="S619" s="21">
        <v>0.63</v>
      </c>
      <c r="T619" s="18">
        <v>17.12</v>
      </c>
      <c r="U619" s="21">
        <v>39.457274826789799</v>
      </c>
      <c r="V619" s="21">
        <v>17.193995381062301</v>
      </c>
      <c r="W619" s="21">
        <v>28.741339491916801</v>
      </c>
      <c r="X619" s="21">
        <v>10.727482678983799</v>
      </c>
      <c r="Y619" s="73">
        <f t="shared" si="517"/>
        <v>5.9278655155326085E-2</v>
      </c>
      <c r="Z619" s="18" t="s">
        <v>51</v>
      </c>
      <c r="AA619" s="18" t="s">
        <v>51</v>
      </c>
      <c r="AB619" s="18" t="s">
        <v>51</v>
      </c>
      <c r="AC619" s="28">
        <f t="shared" si="518"/>
        <v>10275.69242824148</v>
      </c>
      <c r="AD619" s="18" t="s">
        <v>51</v>
      </c>
      <c r="AF619" s="1"/>
      <c r="AK619" s="1">
        <f t="shared" si="519"/>
        <v>4.2857142857142859E-3</v>
      </c>
      <c r="AL619" s="1">
        <f t="shared" si="520"/>
        <v>7.2254907954622842</v>
      </c>
      <c r="AM619" s="1">
        <f t="shared" si="521"/>
        <v>7.2297765097479987</v>
      </c>
      <c r="AN619" s="1"/>
      <c r="AO619" s="30">
        <f t="shared" si="522"/>
        <v>39.433885084911537</v>
      </c>
      <c r="AP619" s="30">
        <f t="shared" si="523"/>
        <v>17.183803011832939</v>
      </c>
      <c r="AQ619" s="30">
        <f t="shared" si="524"/>
        <v>28.724302012392368</v>
      </c>
      <c r="AR619" s="30">
        <f t="shared" si="525"/>
        <v>10.721123571519676</v>
      </c>
      <c r="AS619" s="30">
        <f t="shared" si="526"/>
        <v>5.9278655155326085E-2</v>
      </c>
      <c r="AT619" s="31">
        <f t="shared" si="502"/>
        <v>96.122392335811853</v>
      </c>
      <c r="AV619" s="28">
        <f t="shared" si="527"/>
        <v>10269.601135962122</v>
      </c>
    </row>
    <row r="620" spans="2:48" ht="15.75" customHeight="1" x14ac:dyDescent="0.25">
      <c r="B620" s="78"/>
      <c r="C620" s="94" t="s">
        <v>46</v>
      </c>
      <c r="D620" s="69"/>
      <c r="E620" s="79" t="s">
        <v>75</v>
      </c>
      <c r="F620" s="70"/>
      <c r="G620" s="23">
        <v>49.13</v>
      </c>
      <c r="H620" s="23">
        <v>6.54</v>
      </c>
      <c r="I620" s="23">
        <v>44.16</v>
      </c>
      <c r="J620" s="23">
        <v>0.12</v>
      </c>
      <c r="K620" s="23">
        <v>0.05</v>
      </c>
      <c r="L620" s="58">
        <f t="shared" si="533"/>
        <v>12.439999999999998</v>
      </c>
      <c r="M620" s="36">
        <v>80</v>
      </c>
      <c r="N620" s="36">
        <v>7.3</v>
      </c>
      <c r="O620" s="18">
        <v>0.26</v>
      </c>
      <c r="P620" s="71">
        <v>0</v>
      </c>
      <c r="Q620" s="84">
        <v>840</v>
      </c>
      <c r="R620" s="18" t="s">
        <v>62</v>
      </c>
      <c r="S620" s="21">
        <v>0.63</v>
      </c>
      <c r="T620" s="18">
        <v>17.12</v>
      </c>
      <c r="U620" s="21">
        <v>39.734411085450297</v>
      </c>
      <c r="V620" s="21">
        <v>17.193995381062301</v>
      </c>
      <c r="W620" s="21">
        <v>29.4803695150115</v>
      </c>
      <c r="X620" s="21">
        <v>11.6512702078522</v>
      </c>
      <c r="Y620" s="73">
        <f t="shared" si="517"/>
        <v>6.1017175195921543E-2</v>
      </c>
      <c r="Z620" s="18" t="s">
        <v>51</v>
      </c>
      <c r="AA620" s="18" t="s">
        <v>51</v>
      </c>
      <c r="AB620" s="18" t="s">
        <v>51</v>
      </c>
      <c r="AC620" s="28">
        <f t="shared" si="518"/>
        <v>10636.615390960069</v>
      </c>
      <c r="AD620" s="18" t="s">
        <v>51</v>
      </c>
      <c r="AF620" s="1"/>
      <c r="AK620" s="1">
        <f t="shared" si="519"/>
        <v>4.2857142857142859E-3</v>
      </c>
      <c r="AL620" s="1">
        <f t="shared" si="520"/>
        <v>7.0194977892166692</v>
      </c>
      <c r="AM620" s="1">
        <f t="shared" si="521"/>
        <v>7.0237835035023837</v>
      </c>
      <c r="AN620" s="1"/>
      <c r="AO620" s="30">
        <f t="shared" si="522"/>
        <v>39.710166270225223</v>
      </c>
      <c r="AP620" s="30">
        <f t="shared" si="523"/>
        <v>17.183504090777461</v>
      </c>
      <c r="AQ620" s="30">
        <f t="shared" si="524"/>
        <v>29.462381426296126</v>
      </c>
      <c r="AR620" s="30">
        <f t="shared" si="525"/>
        <v>11.644160931896923</v>
      </c>
      <c r="AS620" s="30">
        <f t="shared" si="526"/>
        <v>6.1017175195921543E-2</v>
      </c>
      <c r="AT620" s="31">
        <f t="shared" si="502"/>
        <v>98.061229894391658</v>
      </c>
      <c r="AV620" s="28">
        <f t="shared" si="527"/>
        <v>10630.125228712051</v>
      </c>
    </row>
    <row r="621" spans="2:48" ht="15.75" customHeight="1" x14ac:dyDescent="0.25">
      <c r="B621" s="78"/>
      <c r="C621" s="94" t="s">
        <v>46</v>
      </c>
      <c r="D621" s="69"/>
      <c r="E621" s="79" t="s">
        <v>75</v>
      </c>
      <c r="F621" s="70"/>
      <c r="G621" s="23">
        <v>49.13</v>
      </c>
      <c r="H621" s="23">
        <v>6.54</v>
      </c>
      <c r="I621" s="23">
        <v>44.16</v>
      </c>
      <c r="J621" s="23">
        <v>0.12</v>
      </c>
      <c r="K621" s="23">
        <v>0.05</v>
      </c>
      <c r="L621" s="58">
        <f t="shared" si="533"/>
        <v>12.439999999999998</v>
      </c>
      <c r="M621" s="36">
        <v>80</v>
      </c>
      <c r="N621" s="36">
        <v>7.3</v>
      </c>
      <c r="O621" s="18">
        <v>0.26</v>
      </c>
      <c r="P621" s="71">
        <v>0</v>
      </c>
      <c r="Q621" s="84">
        <v>840</v>
      </c>
      <c r="R621" s="18" t="s">
        <v>62</v>
      </c>
      <c r="S621" s="21">
        <v>0.63</v>
      </c>
      <c r="T621" s="18">
        <v>17.12</v>
      </c>
      <c r="U621" s="21">
        <v>40.2886836027713</v>
      </c>
      <c r="V621" s="21">
        <v>17.5635103926097</v>
      </c>
      <c r="W621" s="21">
        <v>28.741339491916801</v>
      </c>
      <c r="X621" s="21">
        <v>10.450346420323299</v>
      </c>
      <c r="Y621" s="73">
        <f t="shared" si="517"/>
        <v>5.9375241188847017E-2</v>
      </c>
      <c r="Z621" s="18" t="s">
        <v>51</v>
      </c>
      <c r="AA621" s="18" t="s">
        <v>51</v>
      </c>
      <c r="AB621" s="18" t="s">
        <v>51</v>
      </c>
      <c r="AC621" s="28">
        <f t="shared" si="518"/>
        <v>10312.830336522584</v>
      </c>
      <c r="AD621" s="18" t="s">
        <v>51</v>
      </c>
      <c r="AF621" s="1"/>
      <c r="AK621" s="1">
        <f t="shared" si="519"/>
        <v>4.2857142857142859E-3</v>
      </c>
      <c r="AL621" s="1">
        <f t="shared" si="520"/>
        <v>7.2137300779925493</v>
      </c>
      <c r="AM621" s="1">
        <f t="shared" si="521"/>
        <v>7.2180157922782637</v>
      </c>
      <c r="AN621" s="1"/>
      <c r="AO621" s="30">
        <f t="shared" si="522"/>
        <v>40.264762099710346</v>
      </c>
      <c r="AP621" s="30">
        <f t="shared" si="523"/>
        <v>17.55308201595286</v>
      </c>
      <c r="AQ621" s="30">
        <f t="shared" si="524"/>
        <v>28.724274252272565</v>
      </c>
      <c r="AR621" s="30">
        <f t="shared" si="525"/>
        <v>10.444141501931162</v>
      </c>
      <c r="AS621" s="30">
        <f t="shared" si="526"/>
        <v>5.9375241188847017E-2</v>
      </c>
      <c r="AT621" s="31">
        <f t="shared" si="502"/>
        <v>97.045635111055773</v>
      </c>
      <c r="AV621" s="28">
        <f t="shared" si="527"/>
        <v>10306.707068636879</v>
      </c>
    </row>
    <row r="622" spans="2:48" ht="15.75" customHeight="1" x14ac:dyDescent="0.25">
      <c r="B622" s="78"/>
      <c r="C622" s="94" t="s">
        <v>46</v>
      </c>
      <c r="D622" s="69"/>
      <c r="E622" s="79" t="s">
        <v>75</v>
      </c>
      <c r="F622" s="70"/>
      <c r="G622" s="23">
        <v>49.13</v>
      </c>
      <c r="H622" s="23">
        <v>6.54</v>
      </c>
      <c r="I622" s="23">
        <v>44.16</v>
      </c>
      <c r="J622" s="23">
        <v>0.12</v>
      </c>
      <c r="K622" s="23">
        <v>0.05</v>
      </c>
      <c r="L622" s="58">
        <f t="shared" si="533"/>
        <v>12.439999999999998</v>
      </c>
      <c r="M622" s="36">
        <v>80</v>
      </c>
      <c r="N622" s="36">
        <v>7.3</v>
      </c>
      <c r="O622" s="18">
        <v>0.26</v>
      </c>
      <c r="P622" s="71">
        <v>0</v>
      </c>
      <c r="Q622" s="84">
        <v>840</v>
      </c>
      <c r="R622" s="18" t="s">
        <v>62</v>
      </c>
      <c r="S622" s="21">
        <v>0.63</v>
      </c>
      <c r="T622" s="18">
        <v>17.12</v>
      </c>
      <c r="U622" s="21">
        <v>39.642032332563502</v>
      </c>
      <c r="V622" s="21">
        <v>17.101616628175499</v>
      </c>
      <c r="W622" s="21">
        <v>28.741339491916801</v>
      </c>
      <c r="X622" s="21">
        <v>11.6512702078522</v>
      </c>
      <c r="Y622" s="73">
        <f t="shared" si="517"/>
        <v>6.014792273630129E-2</v>
      </c>
      <c r="Z622" s="18" t="s">
        <v>51</v>
      </c>
      <c r="AA622" s="18" t="s">
        <v>51</v>
      </c>
      <c r="AB622" s="18" t="s">
        <v>51</v>
      </c>
      <c r="AC622" s="28">
        <f t="shared" si="518"/>
        <v>10614.971544044869</v>
      </c>
      <c r="AD622" s="18" t="s">
        <v>51</v>
      </c>
      <c r="AF622" s="1"/>
      <c r="AK622" s="1">
        <f t="shared" si="519"/>
        <v>4.2857142857142859E-3</v>
      </c>
      <c r="AL622" s="1">
        <f t="shared" si="520"/>
        <v>7.1210048871928864</v>
      </c>
      <c r="AM622" s="1">
        <f t="shared" si="521"/>
        <v>7.1252906014786008</v>
      </c>
      <c r="AN622" s="1"/>
      <c r="AO622" s="30">
        <f t="shared" si="522"/>
        <v>39.618188473585008</v>
      </c>
      <c r="AP622" s="30">
        <f t="shared" si="523"/>
        <v>17.09133036101932</v>
      </c>
      <c r="AQ622" s="30">
        <f t="shared" si="524"/>
        <v>28.724052173245823</v>
      </c>
      <c r="AR622" s="30">
        <f t="shared" si="525"/>
        <v>11.644262210849783</v>
      </c>
      <c r="AS622" s="30">
        <f t="shared" si="526"/>
        <v>6.014792273630129E-2</v>
      </c>
      <c r="AT622" s="31">
        <f t="shared" si="502"/>
        <v>97.137981141436242</v>
      </c>
      <c r="AV622" s="28">
        <f t="shared" si="527"/>
        <v>10608.586859162075</v>
      </c>
    </row>
    <row r="623" spans="2:48" ht="15.75" customHeight="1" x14ac:dyDescent="0.25">
      <c r="B623" s="78"/>
      <c r="C623" s="94" t="s">
        <v>46</v>
      </c>
      <c r="D623" s="69"/>
      <c r="E623" s="79" t="s">
        <v>75</v>
      </c>
      <c r="F623" s="70"/>
      <c r="G623" s="23">
        <v>49.13</v>
      </c>
      <c r="H623" s="23">
        <v>6.54</v>
      </c>
      <c r="I623" s="23">
        <v>44.16</v>
      </c>
      <c r="J623" s="23">
        <v>0.12</v>
      </c>
      <c r="K623" s="23">
        <v>0.05</v>
      </c>
      <c r="L623" s="58">
        <f t="shared" si="533"/>
        <v>12.439999999999998</v>
      </c>
      <c r="M623" s="36">
        <v>80</v>
      </c>
      <c r="N623" s="36">
        <v>7.3</v>
      </c>
      <c r="O623" s="18">
        <v>0.26</v>
      </c>
      <c r="P623" s="71">
        <v>0</v>
      </c>
      <c r="Q623" s="84">
        <v>840</v>
      </c>
      <c r="R623" s="18" t="s">
        <v>62</v>
      </c>
      <c r="S623" s="21">
        <v>0.63</v>
      </c>
      <c r="T623" s="18">
        <v>17.12</v>
      </c>
      <c r="U623" s="21">
        <v>39.0877598152424</v>
      </c>
      <c r="V623" s="21">
        <v>17.009237875288601</v>
      </c>
      <c r="W623" s="21">
        <v>29.203233256351002</v>
      </c>
      <c r="X623" s="21">
        <v>11.2817551963048</v>
      </c>
      <c r="Y623" s="73">
        <f t="shared" si="517"/>
        <v>6.0147922736301193E-2</v>
      </c>
      <c r="Z623" s="18" t="s">
        <v>51</v>
      </c>
      <c r="AA623" s="18" t="s">
        <v>51</v>
      </c>
      <c r="AB623" s="18" t="s">
        <v>51</v>
      </c>
      <c r="AC623" s="28">
        <f t="shared" si="518"/>
        <v>10411.061943253013</v>
      </c>
      <c r="AD623" s="18" t="s">
        <v>51</v>
      </c>
      <c r="AF623" s="1"/>
      <c r="AK623" s="1">
        <f t="shared" si="519"/>
        <v>4.2857142857142859E-3</v>
      </c>
      <c r="AL623" s="1">
        <f t="shared" si="520"/>
        <v>7.1210048871928979</v>
      </c>
      <c r="AM623" s="1">
        <f t="shared" si="521"/>
        <v>7.1252906014786124</v>
      </c>
      <c r="AN623" s="1"/>
      <c r="AO623" s="30">
        <f t="shared" si="522"/>
        <v>39.064249339669374</v>
      </c>
      <c r="AP623" s="30">
        <f t="shared" si="523"/>
        <v>16.999007172033338</v>
      </c>
      <c r="AQ623" s="30">
        <f t="shared" si="524"/>
        <v>29.185668118175474</v>
      </c>
      <c r="AR623" s="30">
        <f t="shared" si="525"/>
        <v>11.274969454906028</v>
      </c>
      <c r="AS623" s="30">
        <f t="shared" si="526"/>
        <v>6.0147922736301193E-2</v>
      </c>
      <c r="AT623" s="31">
        <f t="shared" si="502"/>
        <v>96.584042007520523</v>
      </c>
      <c r="AV623" s="28">
        <f t="shared" si="527"/>
        <v>10404.799905759357</v>
      </c>
    </row>
    <row r="624" spans="2:48" ht="15.75" customHeight="1" x14ac:dyDescent="0.25">
      <c r="B624" s="78"/>
      <c r="C624" s="94" t="s">
        <v>46</v>
      </c>
      <c r="D624" s="69"/>
      <c r="E624" s="79" t="s">
        <v>75</v>
      </c>
      <c r="F624" s="70"/>
      <c r="G624" s="23">
        <v>49.13</v>
      </c>
      <c r="H624" s="23">
        <v>6.54</v>
      </c>
      <c r="I624" s="23">
        <v>44.16</v>
      </c>
      <c r="J624" s="23">
        <v>0.12</v>
      </c>
      <c r="K624" s="23">
        <v>0.05</v>
      </c>
      <c r="L624" s="58">
        <f t="shared" si="533"/>
        <v>12.439999999999998</v>
      </c>
      <c r="M624" s="36">
        <v>80</v>
      </c>
      <c r="N624" s="36">
        <v>7.3</v>
      </c>
      <c r="O624" s="18">
        <v>0.26</v>
      </c>
      <c r="P624" s="71">
        <v>0</v>
      </c>
      <c r="Q624" s="84">
        <v>840</v>
      </c>
      <c r="R624" s="18" t="s">
        <v>62</v>
      </c>
      <c r="S624" s="21">
        <v>0.63</v>
      </c>
      <c r="T624" s="18">
        <v>17.12</v>
      </c>
      <c r="U624" s="21">
        <v>40.011547344110802</v>
      </c>
      <c r="V624" s="21">
        <v>16.916859122401799</v>
      </c>
      <c r="W624" s="21">
        <v>28.648960739029999</v>
      </c>
      <c r="X624" s="21">
        <v>11.2817551963048</v>
      </c>
      <c r="Y624" s="73">
        <f t="shared" si="517"/>
        <v>5.9471827035680089E-2</v>
      </c>
      <c r="Z624" s="18" t="s">
        <v>51</v>
      </c>
      <c r="AA624" s="18" t="s">
        <v>51</v>
      </c>
      <c r="AB624" s="18" t="s">
        <v>51</v>
      </c>
      <c r="AC624" s="28">
        <f t="shared" si="518"/>
        <v>10499.118690201225</v>
      </c>
      <c r="AD624" s="18" t="s">
        <v>51</v>
      </c>
      <c r="AF624" s="1"/>
      <c r="AK624" s="1">
        <f t="shared" si="519"/>
        <v>4.2857142857142859E-3</v>
      </c>
      <c r="AL624" s="1">
        <f t="shared" si="520"/>
        <v>7.2020075834518407</v>
      </c>
      <c r="AM624" s="1">
        <f t="shared" si="521"/>
        <v>7.2062932977375551</v>
      </c>
      <c r="AN624" s="1"/>
      <c r="AO624" s="30">
        <f t="shared" si="522"/>
        <v>39.987751745880011</v>
      </c>
      <c r="AP624" s="30">
        <f t="shared" si="523"/>
        <v>16.906798357204657</v>
      </c>
      <c r="AQ624" s="30">
        <f t="shared" si="524"/>
        <v>28.631922678651762</v>
      </c>
      <c r="AR624" s="30">
        <f t="shared" si="525"/>
        <v>11.275045730367864</v>
      </c>
      <c r="AS624" s="30">
        <f t="shared" si="526"/>
        <v>5.9471827035680089E-2</v>
      </c>
      <c r="AT624" s="31">
        <f t="shared" si="502"/>
        <v>96.860990339139974</v>
      </c>
      <c r="AV624" s="28">
        <f t="shared" si="527"/>
        <v>10492.874672493517</v>
      </c>
    </row>
    <row r="625" spans="2:48" ht="15.75" customHeight="1" x14ac:dyDescent="0.25">
      <c r="B625" s="78"/>
      <c r="C625" s="94" t="s">
        <v>46</v>
      </c>
      <c r="D625" s="69"/>
      <c r="E625" s="79" t="s">
        <v>75</v>
      </c>
      <c r="F625" s="70"/>
      <c r="G625" s="23">
        <v>49.13</v>
      </c>
      <c r="H625" s="23">
        <v>6.54</v>
      </c>
      <c r="I625" s="23">
        <v>44.16</v>
      </c>
      <c r="J625" s="23">
        <v>0.12</v>
      </c>
      <c r="K625" s="23">
        <v>0.05</v>
      </c>
      <c r="L625" s="58">
        <f t="shared" si="533"/>
        <v>12.439999999999998</v>
      </c>
      <c r="M625" s="36">
        <v>80</v>
      </c>
      <c r="N625" s="36">
        <v>7.3</v>
      </c>
      <c r="O625" s="18">
        <v>0.26</v>
      </c>
      <c r="P625" s="71">
        <v>0</v>
      </c>
      <c r="Q625" s="84">
        <v>840</v>
      </c>
      <c r="R625" s="18" t="s">
        <v>62</v>
      </c>
      <c r="S625" s="21">
        <v>0.63</v>
      </c>
      <c r="T625" s="18">
        <v>17.12</v>
      </c>
      <c r="U625" s="21">
        <v>39.364896073902997</v>
      </c>
      <c r="V625" s="21">
        <v>17.378752886836001</v>
      </c>
      <c r="W625" s="21">
        <v>28.833718244803599</v>
      </c>
      <c r="X625" s="21">
        <v>11.2817551963048</v>
      </c>
      <c r="Y625" s="73">
        <f t="shared" si="517"/>
        <v>6.0147922736301193E-2</v>
      </c>
      <c r="Z625" s="18" t="s">
        <v>51</v>
      </c>
      <c r="AA625" s="18" t="s">
        <v>51</v>
      </c>
      <c r="AB625" s="18" t="s">
        <v>51</v>
      </c>
      <c r="AC625" s="28">
        <f t="shared" si="518"/>
        <v>10487.664549653558</v>
      </c>
      <c r="AD625" s="18" t="s">
        <v>51</v>
      </c>
      <c r="AF625" s="1"/>
      <c r="AK625" s="1">
        <f t="shared" si="519"/>
        <v>4.2857142857142859E-3</v>
      </c>
      <c r="AL625" s="1">
        <f t="shared" si="520"/>
        <v>7.1210048871928979</v>
      </c>
      <c r="AM625" s="1">
        <f t="shared" si="521"/>
        <v>7.1252906014786124</v>
      </c>
      <c r="AN625" s="1"/>
      <c r="AO625" s="30">
        <f t="shared" si="522"/>
        <v>39.34121890662724</v>
      </c>
      <c r="AP625" s="30">
        <f t="shared" si="523"/>
        <v>17.368299927977095</v>
      </c>
      <c r="AQ625" s="30">
        <f t="shared" si="524"/>
        <v>28.81637536223171</v>
      </c>
      <c r="AR625" s="30">
        <f t="shared" si="525"/>
        <v>11.274969454906028</v>
      </c>
      <c r="AS625" s="30">
        <f t="shared" si="526"/>
        <v>6.0147922736301193E-2</v>
      </c>
      <c r="AT625" s="31">
        <f t="shared" si="502"/>
        <v>96.861011574478383</v>
      </c>
      <c r="AV625" s="28">
        <f t="shared" si="527"/>
        <v>10481.35643728339</v>
      </c>
    </row>
    <row r="626" spans="2:48" ht="15.75" customHeight="1" x14ac:dyDescent="0.25">
      <c r="B626" s="78"/>
      <c r="C626" s="94" t="s">
        <v>46</v>
      </c>
      <c r="D626" s="69"/>
      <c r="E626" s="79" t="s">
        <v>75</v>
      </c>
      <c r="F626" s="70"/>
      <c r="G626" s="23">
        <v>49.13</v>
      </c>
      <c r="H626" s="23">
        <v>6.54</v>
      </c>
      <c r="I626" s="23">
        <v>44.16</v>
      </c>
      <c r="J626" s="23">
        <v>0.12</v>
      </c>
      <c r="K626" s="23">
        <v>0.05</v>
      </c>
      <c r="L626" s="58">
        <f t="shared" si="533"/>
        <v>12.439999999999998</v>
      </c>
      <c r="M626" s="36">
        <v>80</v>
      </c>
      <c r="N626" s="36">
        <v>7.3</v>
      </c>
      <c r="O626" s="18">
        <v>0.26</v>
      </c>
      <c r="P626" s="71">
        <v>0</v>
      </c>
      <c r="Q626" s="84">
        <v>840</v>
      </c>
      <c r="R626" s="18" t="s">
        <v>62</v>
      </c>
      <c r="S626" s="21">
        <v>0.63</v>
      </c>
      <c r="T626" s="18">
        <v>17.12</v>
      </c>
      <c r="U626" s="21">
        <v>39.364896073902997</v>
      </c>
      <c r="V626" s="21">
        <v>17.5635103926097</v>
      </c>
      <c r="W626" s="21">
        <v>29.203233256351002</v>
      </c>
      <c r="X626" s="21">
        <v>11.8360277136258</v>
      </c>
      <c r="Y626" s="73">
        <f t="shared" si="517"/>
        <v>6.1306922655562091E-2</v>
      </c>
      <c r="Z626" s="18" t="s">
        <v>51</v>
      </c>
      <c r="AA626" s="18" t="s">
        <v>51</v>
      </c>
      <c r="AB626" s="18" t="s">
        <v>51</v>
      </c>
      <c r="AC626" s="28">
        <f t="shared" si="518"/>
        <v>10709.60945232594</v>
      </c>
      <c r="AD626" s="18" t="s">
        <v>51</v>
      </c>
      <c r="AF626" s="1"/>
      <c r="AK626" s="1">
        <f t="shared" si="519"/>
        <v>4.2857142857142859E-3</v>
      </c>
      <c r="AL626" s="1">
        <f t="shared" si="520"/>
        <v>6.9863021346469756</v>
      </c>
      <c r="AM626" s="1">
        <f t="shared" si="521"/>
        <v>6.99058784893269</v>
      </c>
      <c r="AN626" s="1"/>
      <c r="AO626" s="30">
        <f t="shared" si="522"/>
        <v>39.34076266751353</v>
      </c>
      <c r="AP626" s="30">
        <f t="shared" si="523"/>
        <v>17.552742744877701</v>
      </c>
      <c r="AQ626" s="30">
        <f t="shared" si="524"/>
        <v>29.185329652725606</v>
      </c>
      <c r="AR626" s="30">
        <f t="shared" si="525"/>
        <v>11.828771409269917</v>
      </c>
      <c r="AS626" s="30">
        <f t="shared" si="526"/>
        <v>6.1306922655562091E-2</v>
      </c>
      <c r="AT626" s="31">
        <f t="shared" si="502"/>
        <v>97.968913397042314</v>
      </c>
      <c r="AV626" s="28">
        <f t="shared" si="527"/>
        <v>10703.043720342292</v>
      </c>
    </row>
    <row r="627" spans="2:48" ht="15.75" customHeight="1" x14ac:dyDescent="0.25">
      <c r="B627" s="78"/>
      <c r="C627" s="94" t="s">
        <v>46</v>
      </c>
      <c r="D627" s="69"/>
      <c r="E627" s="79" t="s">
        <v>75</v>
      </c>
      <c r="F627" s="70"/>
      <c r="G627" s="23">
        <v>49.13</v>
      </c>
      <c r="H627" s="23">
        <v>6.54</v>
      </c>
      <c r="I627" s="23">
        <v>44.16</v>
      </c>
      <c r="J627" s="23">
        <v>0.12</v>
      </c>
      <c r="K627" s="23">
        <v>0.05</v>
      </c>
      <c r="L627" s="58">
        <f t="shared" si="533"/>
        <v>12.439999999999998</v>
      </c>
      <c r="M627" s="36">
        <v>80</v>
      </c>
      <c r="N627" s="36">
        <v>7.3</v>
      </c>
      <c r="O627" s="18">
        <v>0.26</v>
      </c>
      <c r="P627" s="71">
        <v>0</v>
      </c>
      <c r="Q627" s="84">
        <v>840</v>
      </c>
      <c r="R627" s="18" t="s">
        <v>62</v>
      </c>
      <c r="S627" s="21">
        <v>0.63</v>
      </c>
      <c r="T627" s="18">
        <v>17.12</v>
      </c>
      <c r="U627" s="21">
        <v>38.995381062355598</v>
      </c>
      <c r="V627" s="21">
        <v>17.101616628175499</v>
      </c>
      <c r="W627" s="21">
        <v>29.018475750577299</v>
      </c>
      <c r="X627" s="21">
        <v>11.928406466512699</v>
      </c>
      <c r="Y627" s="73">
        <f t="shared" si="517"/>
        <v>6.0727426056174309E-2</v>
      </c>
      <c r="Z627" s="18" t="s">
        <v>51</v>
      </c>
      <c r="AA627" s="18" t="s">
        <v>51</v>
      </c>
      <c r="AB627" s="18" t="s">
        <v>51</v>
      </c>
      <c r="AC627" s="28">
        <f t="shared" si="518"/>
        <v>10644.46346090398</v>
      </c>
      <c r="AD627" s="18" t="s">
        <v>51</v>
      </c>
      <c r="AF627" s="1"/>
      <c r="AK627" s="1">
        <f t="shared" si="519"/>
        <v>4.2857142857142859E-3</v>
      </c>
      <c r="AL627" s="1">
        <f t="shared" si="520"/>
        <v>7.0530104104502467</v>
      </c>
      <c r="AM627" s="1">
        <f t="shared" si="521"/>
        <v>7.0572961247359611</v>
      </c>
      <c r="AN627" s="1"/>
      <c r="AO627" s="30">
        <f t="shared" si="522"/>
        <v>38.971700171155632</v>
      </c>
      <c r="AP627" s="30">
        <f t="shared" si="523"/>
        <v>17.09123125658321</v>
      </c>
      <c r="AQ627" s="30">
        <f t="shared" si="524"/>
        <v>29.000853577173242</v>
      </c>
      <c r="AR627" s="30">
        <f t="shared" si="525"/>
        <v>11.921162652296067</v>
      </c>
      <c r="AS627" s="30">
        <f t="shared" si="526"/>
        <v>6.0727426056174309E-2</v>
      </c>
      <c r="AT627" s="31">
        <f t="shared" si="502"/>
        <v>97.045675083264328</v>
      </c>
      <c r="AV627" s="28">
        <f t="shared" si="527"/>
        <v>10637.999352226685</v>
      </c>
    </row>
    <row r="628" spans="2:48" ht="15.75" customHeight="1" x14ac:dyDescent="0.25">
      <c r="B628" s="78"/>
      <c r="C628" s="94" t="s">
        <v>46</v>
      </c>
      <c r="D628" s="69"/>
      <c r="E628" s="79" t="s">
        <v>75</v>
      </c>
      <c r="F628" s="70"/>
      <c r="G628" s="23">
        <v>49.13</v>
      </c>
      <c r="H628" s="23">
        <v>6.54</v>
      </c>
      <c r="I628" s="23">
        <v>44.16</v>
      </c>
      <c r="J628" s="23">
        <v>0.12</v>
      </c>
      <c r="K628" s="23">
        <v>0.05</v>
      </c>
      <c r="L628" s="58">
        <f t="shared" si="533"/>
        <v>12.439999999999998</v>
      </c>
      <c r="M628" s="36">
        <v>80</v>
      </c>
      <c r="N628" s="36">
        <v>7.3</v>
      </c>
      <c r="O628" s="18">
        <v>0.26</v>
      </c>
      <c r="P628" s="71">
        <v>0</v>
      </c>
      <c r="Q628" s="84">
        <v>840</v>
      </c>
      <c r="R628" s="18" t="s">
        <v>62</v>
      </c>
      <c r="S628" s="21">
        <v>0.63</v>
      </c>
      <c r="T628" s="18">
        <v>17.12</v>
      </c>
      <c r="U628" s="21">
        <v>39.180138568129301</v>
      </c>
      <c r="V628" s="21">
        <v>17.655889145496499</v>
      </c>
      <c r="W628" s="21">
        <v>29.4803695150115</v>
      </c>
      <c r="X628" s="21">
        <v>11.5588914549653</v>
      </c>
      <c r="Y628" s="73">
        <f t="shared" si="517"/>
        <v>6.1403504768754391E-2</v>
      </c>
      <c r="Z628" s="18" t="s">
        <v>51</v>
      </c>
      <c r="AA628" s="18" t="s">
        <v>51</v>
      </c>
      <c r="AB628" s="18" t="s">
        <v>51</v>
      </c>
      <c r="AC628" s="28">
        <f t="shared" si="518"/>
        <v>10602.033569778923</v>
      </c>
      <c r="AD628" s="18" t="s">
        <v>51</v>
      </c>
      <c r="AF628" s="1"/>
      <c r="AK628" s="1">
        <f t="shared" si="519"/>
        <v>4.2857142857142859E-3</v>
      </c>
      <c r="AL628" s="1">
        <f t="shared" si="520"/>
        <v>6.9753065774805076</v>
      </c>
      <c r="AM628" s="1">
        <f t="shared" si="521"/>
        <v>6.9795922917662221</v>
      </c>
      <c r="AN628" s="1"/>
      <c r="AO628" s="30">
        <f t="shared" si="522"/>
        <v>39.156080589875216</v>
      </c>
      <c r="AP628" s="30">
        <f t="shared" si="523"/>
        <v>17.645047810763078</v>
      </c>
      <c r="AQ628" s="30">
        <f t="shared" si="524"/>
        <v>29.462267534910509</v>
      </c>
      <c r="AR628" s="30">
        <f t="shared" si="525"/>
        <v>11.551793890499535</v>
      </c>
      <c r="AS628" s="30">
        <f t="shared" si="526"/>
        <v>6.1403504768754391E-2</v>
      </c>
      <c r="AT628" s="31">
        <f t="shared" si="502"/>
        <v>97.876593330817087</v>
      </c>
      <c r="AV628" s="28">
        <f t="shared" si="527"/>
        <v>10595.523549590318</v>
      </c>
    </row>
    <row r="629" spans="2:48" ht="15.75" customHeight="1" x14ac:dyDescent="0.25">
      <c r="B629" s="78"/>
      <c r="C629" s="94" t="s">
        <v>46</v>
      </c>
      <c r="D629" s="69"/>
      <c r="E629" s="79" t="s">
        <v>75</v>
      </c>
      <c r="F629" s="70"/>
      <c r="G629" s="23">
        <v>49.13</v>
      </c>
      <c r="H629" s="23">
        <v>6.54</v>
      </c>
      <c r="I629" s="23">
        <v>44.16</v>
      </c>
      <c r="J629" s="23">
        <v>0.12</v>
      </c>
      <c r="K629" s="23">
        <v>0.05</v>
      </c>
      <c r="L629" s="58">
        <f t="shared" si="533"/>
        <v>12.439999999999998</v>
      </c>
      <c r="M629" s="36">
        <v>80</v>
      </c>
      <c r="N629" s="36">
        <v>7.3</v>
      </c>
      <c r="O629" s="18">
        <v>0.26</v>
      </c>
      <c r="P629" s="71">
        <v>0</v>
      </c>
      <c r="Q629" s="84">
        <v>840</v>
      </c>
      <c r="R629" s="18" t="s">
        <v>62</v>
      </c>
      <c r="S629" s="21">
        <v>0.63</v>
      </c>
      <c r="T629" s="18">
        <v>17.12</v>
      </c>
      <c r="U629" s="21">
        <v>39.0877598152424</v>
      </c>
      <c r="V629" s="21">
        <v>17.655889145496499</v>
      </c>
      <c r="W629" s="21">
        <v>28.741339491916801</v>
      </c>
      <c r="X629" s="21">
        <v>11.189376443418</v>
      </c>
      <c r="Y629" s="73">
        <f t="shared" si="517"/>
        <v>6.024450708965208E-2</v>
      </c>
      <c r="Z629" s="18" t="s">
        <v>51</v>
      </c>
      <c r="AA629" s="18" t="s">
        <v>51</v>
      </c>
      <c r="AB629" s="18" t="s">
        <v>51</v>
      </c>
      <c r="AC629" s="28">
        <f t="shared" si="518"/>
        <v>10459.658940943566</v>
      </c>
      <c r="AD629" s="18" t="s">
        <v>51</v>
      </c>
      <c r="AF629" s="1"/>
      <c r="AK629" s="1">
        <f t="shared" si="519"/>
        <v>4.2857142857142859E-3</v>
      </c>
      <c r="AL629" s="1">
        <f t="shared" si="520"/>
        <v>7.1095815787714862</v>
      </c>
      <c r="AM629" s="1">
        <f t="shared" si="521"/>
        <v>7.1138672930572007</v>
      </c>
      <c r="AN629" s="1"/>
      <c r="AO629" s="30">
        <f t="shared" si="522"/>
        <v>39.064211587009325</v>
      </c>
      <c r="AP629" s="30">
        <f t="shared" si="523"/>
        <v>17.645252442108497</v>
      </c>
      <c r="AQ629" s="30">
        <f t="shared" si="524"/>
        <v>28.72402441360893</v>
      </c>
      <c r="AR629" s="30">
        <f t="shared" si="525"/>
        <v>11.182635458733257</v>
      </c>
      <c r="AS629" s="30">
        <f t="shared" si="526"/>
        <v>6.024450708965208E-2</v>
      </c>
      <c r="AT629" s="31">
        <f t="shared" si="502"/>
        <v>96.676368408549664</v>
      </c>
      <c r="AV629" s="28">
        <f t="shared" si="527"/>
        <v>10453.357570971331</v>
      </c>
    </row>
    <row r="630" spans="2:48" ht="15.75" customHeight="1" x14ac:dyDescent="0.25">
      <c r="B630" s="78"/>
      <c r="C630" s="94" t="s">
        <v>46</v>
      </c>
      <c r="D630" s="69"/>
      <c r="E630" s="79" t="s">
        <v>75</v>
      </c>
      <c r="F630" s="70"/>
      <c r="G630" s="23">
        <v>49.13</v>
      </c>
      <c r="H630" s="23">
        <v>6.54</v>
      </c>
      <c r="I630" s="23">
        <v>44.16</v>
      </c>
      <c r="J630" s="23">
        <v>0.12</v>
      </c>
      <c r="K630" s="23">
        <v>0.05</v>
      </c>
      <c r="L630" s="58">
        <f t="shared" si="533"/>
        <v>12.439999999999998</v>
      </c>
      <c r="M630" s="36">
        <v>80</v>
      </c>
      <c r="N630" s="36">
        <v>7.3</v>
      </c>
      <c r="O630" s="18">
        <v>0.26</v>
      </c>
      <c r="P630" s="71">
        <v>0</v>
      </c>
      <c r="Q630" s="84">
        <v>840</v>
      </c>
      <c r="R630" s="18" t="s">
        <v>62</v>
      </c>
      <c r="S630" s="21">
        <v>0.63</v>
      </c>
      <c r="T630" s="18">
        <v>17.12</v>
      </c>
      <c r="U630" s="21">
        <v>39.180138568129301</v>
      </c>
      <c r="V630" s="21">
        <v>17.101616628175499</v>
      </c>
      <c r="W630" s="21">
        <v>28.648960739029999</v>
      </c>
      <c r="X630" s="21">
        <v>11.4665127020785</v>
      </c>
      <c r="Y630" s="73">
        <f t="shared" si="517"/>
        <v>5.9858168556146278E-2</v>
      </c>
      <c r="Z630" s="18" t="s">
        <v>51</v>
      </c>
      <c r="AA630" s="18" t="s">
        <v>51</v>
      </c>
      <c r="AB630" s="18" t="s">
        <v>51</v>
      </c>
      <c r="AC630" s="28">
        <f t="shared" si="518"/>
        <v>10498.906713955777</v>
      </c>
      <c r="AD630" s="18" t="s">
        <v>51</v>
      </c>
      <c r="AF630" s="1"/>
      <c r="AK630" s="1">
        <f t="shared" si="519"/>
        <v>4.2857142857142859E-3</v>
      </c>
      <c r="AL630" s="1">
        <f t="shared" si="520"/>
        <v>7.1554961318533543</v>
      </c>
      <c r="AM630" s="1">
        <f t="shared" si="521"/>
        <v>7.1597818461390688</v>
      </c>
      <c r="AN630" s="1"/>
      <c r="AO630" s="30">
        <f t="shared" si="522"/>
        <v>39.156686054744661</v>
      </c>
      <c r="AP630" s="30">
        <f t="shared" si="523"/>
        <v>17.091379913668376</v>
      </c>
      <c r="AQ630" s="30">
        <f t="shared" si="524"/>
        <v>28.631811995821245</v>
      </c>
      <c r="AR630" s="30">
        <f t="shared" si="525"/>
        <v>11.459649057577778</v>
      </c>
      <c r="AS630" s="30">
        <f t="shared" si="526"/>
        <v>5.9858168556146278E-2</v>
      </c>
      <c r="AT630" s="31">
        <f t="shared" si="502"/>
        <v>96.399385190368207</v>
      </c>
      <c r="AV630" s="28">
        <f t="shared" si="527"/>
        <v>10492.622260678385</v>
      </c>
    </row>
    <row r="631" spans="2:48" ht="15.75" customHeight="1" x14ac:dyDescent="0.25">
      <c r="B631" s="78"/>
      <c r="C631" s="94" t="s">
        <v>46</v>
      </c>
      <c r="D631" s="69"/>
      <c r="E631" s="79" t="s">
        <v>75</v>
      </c>
      <c r="F631" s="70"/>
      <c r="G631" s="23">
        <v>49.13</v>
      </c>
      <c r="H631" s="23">
        <v>6.54</v>
      </c>
      <c r="I631" s="23">
        <v>44.16</v>
      </c>
      <c r="J631" s="23">
        <v>0.12</v>
      </c>
      <c r="K631" s="23">
        <v>0.05</v>
      </c>
      <c r="L631" s="58">
        <f t="shared" si="533"/>
        <v>12.439999999999998</v>
      </c>
      <c r="M631" s="36">
        <v>80</v>
      </c>
      <c r="N631" s="36">
        <v>7.3</v>
      </c>
      <c r="O631" s="18">
        <v>0.26</v>
      </c>
      <c r="P631" s="71">
        <v>0</v>
      </c>
      <c r="Q631" s="84">
        <v>840</v>
      </c>
      <c r="R631" s="18" t="s">
        <v>62</v>
      </c>
      <c r="S631" s="21">
        <v>0.63</v>
      </c>
      <c r="T631" s="18">
        <v>17.12</v>
      </c>
      <c r="U631" s="21">
        <v>38.995381062355598</v>
      </c>
      <c r="V631" s="21">
        <v>17.101616628175499</v>
      </c>
      <c r="W631" s="21">
        <v>29.018475750577299</v>
      </c>
      <c r="X631" s="21">
        <v>11.5588914549653</v>
      </c>
      <c r="Y631" s="73">
        <f t="shared" si="517"/>
        <v>6.0341091256320034E-2</v>
      </c>
      <c r="Z631" s="18" t="s">
        <v>51</v>
      </c>
      <c r="AA631" s="18" t="s">
        <v>51</v>
      </c>
      <c r="AB631" s="18" t="s">
        <v>51</v>
      </c>
      <c r="AC631" s="28">
        <f t="shared" si="518"/>
        <v>10512.061613328904</v>
      </c>
      <c r="AD631" s="18" t="s">
        <v>51</v>
      </c>
      <c r="AF631" s="1"/>
      <c r="AK631" s="1">
        <f t="shared" si="519"/>
        <v>4.2857142857142859E-3</v>
      </c>
      <c r="AL631" s="1">
        <f t="shared" si="520"/>
        <v>7.0981948615282127</v>
      </c>
      <c r="AM631" s="1">
        <f t="shared" si="521"/>
        <v>7.1024805758139271</v>
      </c>
      <c r="AN631" s="1"/>
      <c r="AO631" s="30">
        <f t="shared" si="522"/>
        <v>38.971850823883017</v>
      </c>
      <c r="AP631" s="30">
        <f t="shared" si="523"/>
        <v>17.091297326079584</v>
      </c>
      <c r="AQ631" s="30">
        <f t="shared" si="524"/>
        <v>29.000965685643447</v>
      </c>
      <c r="AR631" s="30">
        <f t="shared" si="525"/>
        <v>11.551916693724241</v>
      </c>
      <c r="AS631" s="30">
        <f t="shared" si="526"/>
        <v>6.0341091256320034E-2</v>
      </c>
      <c r="AT631" s="31">
        <f t="shared" si="502"/>
        <v>96.676371620586607</v>
      </c>
      <c r="AV631" s="28">
        <f t="shared" si="527"/>
        <v>10505.718520637885</v>
      </c>
    </row>
    <row r="632" spans="2:48" ht="15.75" customHeight="1" x14ac:dyDescent="0.25">
      <c r="B632" s="78"/>
      <c r="C632" s="94" t="s">
        <v>46</v>
      </c>
      <c r="D632" s="69"/>
      <c r="E632" s="79" t="s">
        <v>75</v>
      </c>
      <c r="F632" s="70"/>
      <c r="G632" s="23">
        <v>49.13</v>
      </c>
      <c r="H632" s="23">
        <v>6.54</v>
      </c>
      <c r="I632" s="23">
        <v>44.16</v>
      </c>
      <c r="J632" s="23">
        <v>0.12</v>
      </c>
      <c r="K632" s="23">
        <v>0.05</v>
      </c>
      <c r="L632" s="58">
        <f t="shared" si="533"/>
        <v>12.439999999999998</v>
      </c>
      <c r="M632" s="36">
        <v>80</v>
      </c>
      <c r="N632" s="36">
        <v>7.3</v>
      </c>
      <c r="O632" s="18">
        <v>0.26</v>
      </c>
      <c r="P632" s="71">
        <v>0</v>
      </c>
      <c r="Q632" s="84">
        <v>840</v>
      </c>
      <c r="R632" s="18" t="s">
        <v>62</v>
      </c>
      <c r="S632" s="21">
        <v>0.63</v>
      </c>
      <c r="T632" s="18">
        <v>17.12</v>
      </c>
      <c r="U632" s="21">
        <v>38.533487297921397</v>
      </c>
      <c r="V632" s="21">
        <v>17.840646651270202</v>
      </c>
      <c r="W632" s="21">
        <v>29.018475750577299</v>
      </c>
      <c r="X632" s="21">
        <v>11.3741339491916</v>
      </c>
      <c r="Y632" s="73">
        <f t="shared" si="517"/>
        <v>6.0920592336018313E-2</v>
      </c>
      <c r="Z632" s="18" t="s">
        <v>51</v>
      </c>
      <c r="AA632" s="18" t="s">
        <v>51</v>
      </c>
      <c r="AB632" s="18" t="s">
        <v>51</v>
      </c>
      <c r="AC632" s="28">
        <f t="shared" si="518"/>
        <v>10489.365308479011</v>
      </c>
      <c r="AD632" s="18" t="s">
        <v>51</v>
      </c>
      <c r="AF632" s="1"/>
      <c r="AK632" s="1">
        <f t="shared" si="519"/>
        <v>4.2857142857142859E-3</v>
      </c>
      <c r="AL632" s="1">
        <f t="shared" si="520"/>
        <v>7.0306332209663749</v>
      </c>
      <c r="AM632" s="1">
        <f t="shared" si="521"/>
        <v>7.0349189352520893</v>
      </c>
      <c r="AN632" s="1"/>
      <c r="AO632" s="30">
        <f t="shared" si="522"/>
        <v>38.51001246921178</v>
      </c>
      <c r="AP632" s="30">
        <f t="shared" si="523"/>
        <v>17.829778023653674</v>
      </c>
      <c r="AQ632" s="30">
        <f t="shared" si="524"/>
        <v>29.000797523263159</v>
      </c>
      <c r="AR632" s="30">
        <f t="shared" si="525"/>
        <v>11.36720475941666</v>
      </c>
      <c r="AS632" s="30">
        <f t="shared" si="526"/>
        <v>6.0920592336018313E-2</v>
      </c>
      <c r="AT632" s="31">
        <f t="shared" si="502"/>
        <v>96.76871336788129</v>
      </c>
      <c r="AV632" s="28">
        <f t="shared" si="527"/>
        <v>10482.975125000796</v>
      </c>
    </row>
    <row r="633" spans="2:48" ht="15.75" customHeight="1" x14ac:dyDescent="0.25">
      <c r="B633" s="78"/>
      <c r="C633" s="94" t="s">
        <v>46</v>
      </c>
      <c r="D633" s="69"/>
      <c r="E633" s="79" t="s">
        <v>75</v>
      </c>
      <c r="F633" s="70"/>
      <c r="G633" s="23">
        <v>49.13</v>
      </c>
      <c r="H633" s="23">
        <v>6.54</v>
      </c>
      <c r="I633" s="23">
        <v>44.16</v>
      </c>
      <c r="J633" s="23">
        <v>0.12</v>
      </c>
      <c r="K633" s="23">
        <v>0.05</v>
      </c>
      <c r="L633" s="58">
        <f t="shared" si="533"/>
        <v>12.439999999999998</v>
      </c>
      <c r="M633" s="36">
        <v>80</v>
      </c>
      <c r="N633" s="36">
        <v>7.3</v>
      </c>
      <c r="O633" s="18">
        <v>0.26</v>
      </c>
      <c r="P633" s="71">
        <v>0</v>
      </c>
      <c r="Q633" s="84">
        <v>840</v>
      </c>
      <c r="R633" s="18" t="s">
        <v>62</v>
      </c>
      <c r="S633" s="21">
        <v>0.63</v>
      </c>
      <c r="T633" s="18">
        <v>17.12</v>
      </c>
      <c r="U633" s="21">
        <v>38.533487297921397</v>
      </c>
      <c r="V633" s="21">
        <v>17.471131639722799</v>
      </c>
      <c r="W633" s="21">
        <v>28.648960739029999</v>
      </c>
      <c r="X633" s="21">
        <v>10.6351039260969</v>
      </c>
      <c r="Y633" s="73">
        <f t="shared" si="517"/>
        <v>5.9375241188846913E-2</v>
      </c>
      <c r="Z633" s="18" t="s">
        <v>51</v>
      </c>
      <c r="AA633" s="18" t="s">
        <v>51</v>
      </c>
      <c r="AB633" s="18" t="s">
        <v>51</v>
      </c>
      <c r="AC633" s="28">
        <f t="shared" si="518"/>
        <v>10177.877350709285</v>
      </c>
      <c r="AD633" s="18" t="s">
        <v>51</v>
      </c>
      <c r="AF633" s="1"/>
      <c r="AK633" s="1">
        <f t="shared" si="519"/>
        <v>4.2857142857142859E-3</v>
      </c>
      <c r="AL633" s="1">
        <f t="shared" si="520"/>
        <v>7.2137300779925626</v>
      </c>
      <c r="AM633" s="1">
        <f t="shared" si="521"/>
        <v>7.2180157922782771</v>
      </c>
      <c r="AN633" s="1"/>
      <c r="AO633" s="30">
        <f t="shared" si="522"/>
        <v>38.510607946899775</v>
      </c>
      <c r="AP633" s="30">
        <f t="shared" si="523"/>
        <v>17.460758113173291</v>
      </c>
      <c r="AQ633" s="30">
        <f t="shared" si="524"/>
        <v>28.631950349493103</v>
      </c>
      <c r="AR633" s="30">
        <f t="shared" si="525"/>
        <v>10.628789307490095</v>
      </c>
      <c r="AS633" s="30">
        <f t="shared" si="526"/>
        <v>5.9375241188846913E-2</v>
      </c>
      <c r="AT633" s="31">
        <f t="shared" si="502"/>
        <v>95.291480958245103</v>
      </c>
      <c r="AV633" s="28">
        <f t="shared" si="527"/>
        <v>10171.834211484396</v>
      </c>
    </row>
    <row r="634" spans="2:48" ht="15.75" customHeight="1" x14ac:dyDescent="0.25">
      <c r="B634" s="78"/>
      <c r="C634" s="94" t="s">
        <v>46</v>
      </c>
      <c r="D634" s="69"/>
      <c r="E634" s="79" t="s">
        <v>75</v>
      </c>
      <c r="F634" s="70"/>
      <c r="G634" s="23">
        <v>49.13</v>
      </c>
      <c r="H634" s="23">
        <v>6.54</v>
      </c>
      <c r="I634" s="23">
        <v>44.16</v>
      </c>
      <c r="J634" s="23">
        <v>0.12</v>
      </c>
      <c r="K634" s="23">
        <v>0.05</v>
      </c>
      <c r="L634" s="58">
        <f t="shared" si="533"/>
        <v>12.439999999999998</v>
      </c>
      <c r="M634" s="36">
        <v>80</v>
      </c>
      <c r="N634" s="36">
        <v>7.3</v>
      </c>
      <c r="O634" s="18">
        <v>0.26</v>
      </c>
      <c r="P634" s="71">
        <v>0</v>
      </c>
      <c r="Q634" s="84">
        <v>840</v>
      </c>
      <c r="R634" s="18" t="s">
        <v>62</v>
      </c>
      <c r="S634" s="21">
        <v>0.63</v>
      </c>
      <c r="T634" s="18">
        <v>17.12</v>
      </c>
      <c r="U634" s="21">
        <v>38.995381062355598</v>
      </c>
      <c r="V634" s="21">
        <v>17.009237875288601</v>
      </c>
      <c r="W634" s="21">
        <v>28.648960739029999</v>
      </c>
      <c r="X634" s="21">
        <v>10.727482678983799</v>
      </c>
      <c r="Y634" s="73">
        <f t="shared" si="517"/>
        <v>5.8988895934631767E-2</v>
      </c>
      <c r="Z634" s="18" t="s">
        <v>51</v>
      </c>
      <c r="AA634" s="18" t="s">
        <v>51</v>
      </c>
      <c r="AB634" s="18" t="s">
        <v>51</v>
      </c>
      <c r="AC634" s="28">
        <f t="shared" si="518"/>
        <v>10202.486390630125</v>
      </c>
      <c r="AD634" s="18" t="s">
        <v>51</v>
      </c>
      <c r="AF634" s="1"/>
      <c r="AK634" s="1">
        <f t="shared" si="519"/>
        <v>4.2857142857142859E-3</v>
      </c>
      <c r="AL634" s="1">
        <f t="shared" si="520"/>
        <v>7.261004164106784</v>
      </c>
      <c r="AM634" s="1">
        <f t="shared" si="521"/>
        <v>7.2652898783924984</v>
      </c>
      <c r="AN634" s="1"/>
      <c r="AO634" s="30">
        <f t="shared" si="522"/>
        <v>38.972378117601416</v>
      </c>
      <c r="AP634" s="30">
        <f t="shared" si="523"/>
        <v>16.999204313659074</v>
      </c>
      <c r="AQ634" s="30">
        <f t="shared" si="524"/>
        <v>28.632061033393295</v>
      </c>
      <c r="AR634" s="30">
        <f t="shared" si="525"/>
        <v>10.721154655389888</v>
      </c>
      <c r="AS634" s="30">
        <f t="shared" si="526"/>
        <v>5.8988895934631767E-2</v>
      </c>
      <c r="AT634" s="31">
        <f t="shared" si="502"/>
        <v>95.383787015978314</v>
      </c>
      <c r="AV634" s="28">
        <f t="shared" si="527"/>
        <v>10196.468056550411</v>
      </c>
    </row>
    <row r="635" spans="2:48" ht="15.75" customHeight="1" x14ac:dyDescent="0.25">
      <c r="B635" s="78"/>
      <c r="C635" s="94" t="s">
        <v>46</v>
      </c>
      <c r="D635" s="69"/>
      <c r="E635" s="79" t="s">
        <v>75</v>
      </c>
      <c r="F635" s="70"/>
      <c r="G635" s="23">
        <v>49.13</v>
      </c>
      <c r="H635" s="23">
        <v>6.54</v>
      </c>
      <c r="I635" s="23">
        <v>44.16</v>
      </c>
      <c r="J635" s="23">
        <v>0.12</v>
      </c>
      <c r="K635" s="23">
        <v>0.05</v>
      </c>
      <c r="L635" s="58">
        <f t="shared" si="533"/>
        <v>12.439999999999998</v>
      </c>
      <c r="M635" s="36">
        <v>80</v>
      </c>
      <c r="N635" s="36">
        <v>7.3</v>
      </c>
      <c r="O635" s="18">
        <v>0.26</v>
      </c>
      <c r="P635" s="71">
        <v>0</v>
      </c>
      <c r="Q635" s="84">
        <v>840</v>
      </c>
      <c r="R635" s="18" t="s">
        <v>62</v>
      </c>
      <c r="S635" s="21">
        <v>0.63</v>
      </c>
      <c r="T635" s="18">
        <v>17.12</v>
      </c>
      <c r="U635" s="21">
        <v>39.457274826789799</v>
      </c>
      <c r="V635" s="21">
        <v>17.655889145496499</v>
      </c>
      <c r="W635" s="21">
        <v>28.648960739029999</v>
      </c>
      <c r="X635" s="21">
        <v>11.6512702078522</v>
      </c>
      <c r="Y635" s="73">
        <f t="shared" si="517"/>
        <v>6.0630842636232363E-2</v>
      </c>
      <c r="Z635" s="18" t="s">
        <v>51</v>
      </c>
      <c r="AA635" s="18" t="s">
        <v>51</v>
      </c>
      <c r="AB635" s="18" t="s">
        <v>51</v>
      </c>
      <c r="AC635" s="28">
        <f t="shared" si="518"/>
        <v>10665.052375453639</v>
      </c>
      <c r="AD635" s="18" t="s">
        <v>51</v>
      </c>
      <c r="AF635" s="1"/>
      <c r="AK635" s="1">
        <f t="shared" si="519"/>
        <v>4.2857142857142859E-3</v>
      </c>
      <c r="AL635" s="1">
        <f t="shared" si="520"/>
        <v>7.0642525071395426</v>
      </c>
      <c r="AM635" s="1">
        <f t="shared" si="521"/>
        <v>7.068538221425257</v>
      </c>
      <c r="AN635" s="1"/>
      <c r="AO635" s="30">
        <f t="shared" si="522"/>
        <v>39.433351548581022</v>
      </c>
      <c r="AP635" s="30">
        <f t="shared" si="523"/>
        <v>17.645184231132667</v>
      </c>
      <c r="AQ635" s="30">
        <f t="shared" si="524"/>
        <v>28.631590632727399</v>
      </c>
      <c r="AR635" s="30">
        <f t="shared" si="525"/>
        <v>11.644205944547354</v>
      </c>
      <c r="AS635" s="30">
        <f t="shared" si="526"/>
        <v>6.0630842636232363E-2</v>
      </c>
      <c r="AT635" s="31">
        <f t="shared" si="502"/>
        <v>97.414963199624665</v>
      </c>
      <c r="AV635" s="28">
        <f t="shared" si="527"/>
        <v>10658.586064330804</v>
      </c>
    </row>
    <row r="636" spans="2:48" ht="15.75" customHeight="1" x14ac:dyDescent="0.25">
      <c r="B636" s="78"/>
      <c r="C636" s="94" t="s">
        <v>46</v>
      </c>
      <c r="D636" s="69"/>
      <c r="E636" s="79" t="s">
        <v>75</v>
      </c>
      <c r="F636" s="70"/>
      <c r="G636" s="23">
        <v>49.13</v>
      </c>
      <c r="H636" s="23">
        <v>6.54</v>
      </c>
      <c r="I636" s="23">
        <v>44.16</v>
      </c>
      <c r="J636" s="23">
        <v>0.12</v>
      </c>
      <c r="K636" s="23">
        <v>0.05</v>
      </c>
      <c r="L636" s="58">
        <f t="shared" si="533"/>
        <v>12.439999999999998</v>
      </c>
      <c r="M636" s="36">
        <v>80</v>
      </c>
      <c r="N636" s="36">
        <v>7.3</v>
      </c>
      <c r="O636" s="18">
        <v>0.26</v>
      </c>
      <c r="P636" s="71">
        <v>0</v>
      </c>
      <c r="Q636" s="84">
        <v>840</v>
      </c>
      <c r="R636" s="18" t="s">
        <v>62</v>
      </c>
      <c r="S636" s="21">
        <v>0.63</v>
      </c>
      <c r="T636" s="18">
        <v>17.12</v>
      </c>
      <c r="U636" s="21">
        <v>39.919168591224</v>
      </c>
      <c r="V636" s="21">
        <v>17.5635103926097</v>
      </c>
      <c r="W636" s="21">
        <v>28.094688221708999</v>
      </c>
      <c r="X636" s="21">
        <v>10.727482678983799</v>
      </c>
      <c r="Y636" s="73">
        <f t="shared" si="517"/>
        <v>5.8988895934631871E-2</v>
      </c>
      <c r="Z636" s="18" t="s">
        <v>51</v>
      </c>
      <c r="AA636" s="18" t="s">
        <v>51</v>
      </c>
      <c r="AB636" s="18" t="s">
        <v>51</v>
      </c>
      <c r="AC636" s="28">
        <f t="shared" si="518"/>
        <v>10372.240597162638</v>
      </c>
      <c r="AD636" s="18" t="s">
        <v>51</v>
      </c>
      <c r="AF636" s="1"/>
      <c r="AK636" s="1">
        <f t="shared" si="519"/>
        <v>4.2857142857142859E-3</v>
      </c>
      <c r="AL636" s="1">
        <f t="shared" si="520"/>
        <v>7.2610041641067706</v>
      </c>
      <c r="AM636" s="1">
        <f t="shared" si="521"/>
        <v>7.2652898783924851</v>
      </c>
      <c r="AN636" s="1"/>
      <c r="AO636" s="30">
        <f t="shared" si="522"/>
        <v>39.895620714405752</v>
      </c>
      <c r="AP636" s="30">
        <f t="shared" si="523"/>
        <v>17.553149871741734</v>
      </c>
      <c r="AQ636" s="30">
        <f t="shared" si="524"/>
        <v>28.078115475310732</v>
      </c>
      <c r="AR636" s="30">
        <f t="shared" si="525"/>
        <v>10.721154655389888</v>
      </c>
      <c r="AS636" s="30">
        <f t="shared" si="526"/>
        <v>5.8988895934631871E-2</v>
      </c>
      <c r="AT636" s="31">
        <f t="shared" si="502"/>
        <v>96.307029612782728</v>
      </c>
      <c r="AV636" s="28">
        <f t="shared" si="527"/>
        <v>10366.122126950688</v>
      </c>
    </row>
    <row r="637" spans="2:48" ht="15.75" customHeight="1" x14ac:dyDescent="0.25">
      <c r="B637" s="78"/>
      <c r="C637" s="94" t="s">
        <v>46</v>
      </c>
      <c r="D637" s="69"/>
      <c r="E637" s="79" t="s">
        <v>75</v>
      </c>
      <c r="F637" s="70"/>
      <c r="G637" s="23">
        <v>49.13</v>
      </c>
      <c r="H637" s="23">
        <v>6.54</v>
      </c>
      <c r="I637" s="23">
        <v>44.16</v>
      </c>
      <c r="J637" s="23">
        <v>0.12</v>
      </c>
      <c r="K637" s="23">
        <v>0.05</v>
      </c>
      <c r="L637" s="58">
        <f t="shared" si="533"/>
        <v>12.439999999999998</v>
      </c>
      <c r="M637" s="36">
        <v>80</v>
      </c>
      <c r="N637" s="36">
        <v>7.3</v>
      </c>
      <c r="O637" s="18">
        <v>0.26</v>
      </c>
      <c r="P637" s="71">
        <v>0</v>
      </c>
      <c r="Q637" s="84">
        <v>840</v>
      </c>
      <c r="R637" s="18" t="s">
        <v>62</v>
      </c>
      <c r="S637" s="21">
        <v>0.63</v>
      </c>
      <c r="T637" s="18">
        <v>17.12</v>
      </c>
      <c r="U637" s="21">
        <v>39.919168591224</v>
      </c>
      <c r="V637" s="21">
        <v>16.639722863741301</v>
      </c>
      <c r="W637" s="21">
        <v>28.464203233256299</v>
      </c>
      <c r="X637" s="21">
        <v>10.2655889145496</v>
      </c>
      <c r="Y637" s="73">
        <f t="shared" si="517"/>
        <v>5.792643108352008E-2</v>
      </c>
      <c r="Z637" s="18" t="s">
        <v>51</v>
      </c>
      <c r="AA637" s="18" t="s">
        <v>51</v>
      </c>
      <c r="AB637" s="18" t="s">
        <v>51</v>
      </c>
      <c r="AC637" s="28">
        <f t="shared" si="518"/>
        <v>10090.027631144811</v>
      </c>
      <c r="AD637" s="18" t="s">
        <v>51</v>
      </c>
      <c r="AF637" s="1"/>
      <c r="AK637" s="1">
        <f t="shared" si="519"/>
        <v>4.2857142857142859E-3</v>
      </c>
      <c r="AL637" s="1">
        <f t="shared" si="520"/>
        <v>7.3942613833854915</v>
      </c>
      <c r="AM637" s="1">
        <f t="shared" si="521"/>
        <v>7.398547097671206</v>
      </c>
      <c r="AN637" s="1"/>
      <c r="AO637" s="30">
        <f t="shared" si="522"/>
        <v>39.896044841540892</v>
      </c>
      <c r="AP637" s="30">
        <f t="shared" si="523"/>
        <v>16.630084066144146</v>
      </c>
      <c r="AQ637" s="30">
        <f t="shared" si="524"/>
        <v>28.447714936186909</v>
      </c>
      <c r="AR637" s="30">
        <f t="shared" si="525"/>
        <v>10.259642425261696</v>
      </c>
      <c r="AS637" s="30">
        <f t="shared" si="526"/>
        <v>5.792643108352008E-2</v>
      </c>
      <c r="AT637" s="31">
        <f t="shared" si="502"/>
        <v>95.291412700217151</v>
      </c>
      <c r="AV637" s="28">
        <f t="shared" si="527"/>
        <v>10084.182838242747</v>
      </c>
    </row>
    <row r="638" spans="2:48" ht="15.75" customHeight="1" x14ac:dyDescent="0.25">
      <c r="B638" s="78"/>
      <c r="C638" s="94" t="s">
        <v>46</v>
      </c>
      <c r="D638" s="69"/>
      <c r="E638" s="79" t="s">
        <v>75</v>
      </c>
      <c r="F638" s="70"/>
      <c r="G638" s="23">
        <v>49.13</v>
      </c>
      <c r="H638" s="23">
        <v>6.54</v>
      </c>
      <c r="I638" s="23">
        <v>44.16</v>
      </c>
      <c r="J638" s="23">
        <v>0.12</v>
      </c>
      <c r="K638" s="23">
        <v>0.05</v>
      </c>
      <c r="L638" s="58">
        <f t="shared" si="533"/>
        <v>12.439999999999998</v>
      </c>
      <c r="M638" s="36">
        <v>80</v>
      </c>
      <c r="N638" s="36">
        <v>7.3</v>
      </c>
      <c r="O638" s="18">
        <v>0.26</v>
      </c>
      <c r="P638" s="71">
        <v>0</v>
      </c>
      <c r="Q638" s="84">
        <v>840</v>
      </c>
      <c r="R638" s="18" t="s">
        <v>62</v>
      </c>
      <c r="S638" s="21">
        <v>0.63</v>
      </c>
      <c r="T638" s="18">
        <v>17.12</v>
      </c>
      <c r="U638" s="21">
        <v>39.826789838337099</v>
      </c>
      <c r="V638" s="21">
        <v>17.009237875288601</v>
      </c>
      <c r="W638" s="21">
        <v>28.648960739029999</v>
      </c>
      <c r="X638" s="21">
        <v>10.450346420323299</v>
      </c>
      <c r="Y638" s="73">
        <f t="shared" si="517"/>
        <v>5.8699135033728471E-2</v>
      </c>
      <c r="Z638" s="18" t="s">
        <v>51</v>
      </c>
      <c r="AA638" s="18" t="s">
        <v>51</v>
      </c>
      <c r="AB638" s="18" t="s">
        <v>51</v>
      </c>
      <c r="AC638" s="28">
        <f t="shared" si="518"/>
        <v>10192.940036291626</v>
      </c>
      <c r="AD638" s="18" t="s">
        <v>51</v>
      </c>
      <c r="AF638" s="1"/>
      <c r="AK638" s="1">
        <f t="shared" si="519"/>
        <v>4.2857142857142859E-3</v>
      </c>
      <c r="AL638" s="1">
        <f t="shared" si="520"/>
        <v>7.2968683542567234</v>
      </c>
      <c r="AM638" s="1">
        <f t="shared" si="521"/>
        <v>7.3011540685424379</v>
      </c>
      <c r="AN638" s="1"/>
      <c r="AO638" s="30">
        <f t="shared" si="522"/>
        <v>39.803411857190291</v>
      </c>
      <c r="AP638" s="30">
        <f t="shared" si="523"/>
        <v>16.999253599779976</v>
      </c>
      <c r="AQ638" s="30">
        <f t="shared" si="524"/>
        <v>28.632144046880036</v>
      </c>
      <c r="AR638" s="30">
        <f t="shared" si="525"/>
        <v>10.444212157366541</v>
      </c>
      <c r="AS638" s="30">
        <f t="shared" si="526"/>
        <v>5.8699135033728471E-2</v>
      </c>
      <c r="AT638" s="31">
        <f t="shared" si="502"/>
        <v>95.937720796250574</v>
      </c>
      <c r="AV638" s="28">
        <f t="shared" si="527"/>
        <v>10186.956868655816</v>
      </c>
    </row>
    <row r="639" spans="2:48" ht="15.75" customHeight="1" x14ac:dyDescent="0.25">
      <c r="B639" s="78"/>
      <c r="C639" s="94" t="s">
        <v>46</v>
      </c>
      <c r="D639" s="69"/>
      <c r="E639" s="79" t="s">
        <v>75</v>
      </c>
      <c r="F639" s="70"/>
      <c r="G639" s="23">
        <v>49.13</v>
      </c>
      <c r="H639" s="23">
        <v>6.54</v>
      </c>
      <c r="I639" s="23">
        <v>44.16</v>
      </c>
      <c r="J639" s="23">
        <v>0.12</v>
      </c>
      <c r="K639" s="23">
        <v>0.05</v>
      </c>
      <c r="L639" s="58">
        <f t="shared" si="533"/>
        <v>12.439999999999998</v>
      </c>
      <c r="M639" s="36">
        <v>80</v>
      </c>
      <c r="N639" s="36">
        <v>7.3</v>
      </c>
      <c r="O639" s="18">
        <v>0.26</v>
      </c>
      <c r="P639" s="71">
        <v>0</v>
      </c>
      <c r="Q639" s="84">
        <v>840</v>
      </c>
      <c r="R639" s="18" t="s">
        <v>62</v>
      </c>
      <c r="S639" s="21">
        <v>0.63</v>
      </c>
      <c r="T639" s="18">
        <v>17.12</v>
      </c>
      <c r="U639" s="21">
        <v>39.642032332563502</v>
      </c>
      <c r="V639" s="21">
        <v>17.655889145496499</v>
      </c>
      <c r="W639" s="21">
        <v>28.279445727482599</v>
      </c>
      <c r="X639" s="21">
        <v>10.912240184757501</v>
      </c>
      <c r="Y639" s="73">
        <f t="shared" si="517"/>
        <v>5.9471827035680089E-2</v>
      </c>
      <c r="Z639" s="18" t="s">
        <v>51</v>
      </c>
      <c r="AA639" s="18" t="s">
        <v>51</v>
      </c>
      <c r="AB639" s="18" t="s">
        <v>51</v>
      </c>
      <c r="AC639" s="28">
        <f t="shared" si="518"/>
        <v>10420.194242824144</v>
      </c>
      <c r="AD639" s="18" t="s">
        <v>51</v>
      </c>
      <c r="AF639" s="1"/>
      <c r="AK639" s="1">
        <f t="shared" si="519"/>
        <v>4.2857142857142859E-3</v>
      </c>
      <c r="AL639" s="1">
        <f t="shared" si="520"/>
        <v>7.2020075834518407</v>
      </c>
      <c r="AM639" s="1">
        <f t="shared" si="521"/>
        <v>7.2062932977375551</v>
      </c>
      <c r="AN639" s="1"/>
      <c r="AO639" s="30">
        <f t="shared" si="522"/>
        <v>39.618456491661256</v>
      </c>
      <c r="AP639" s="30">
        <f t="shared" si="523"/>
        <v>17.645388865642275</v>
      </c>
      <c r="AQ639" s="30">
        <f t="shared" si="524"/>
        <v>28.2626274244329</v>
      </c>
      <c r="AR639" s="30">
        <f t="shared" si="525"/>
        <v>10.905750476149102</v>
      </c>
      <c r="AS639" s="30">
        <f t="shared" si="526"/>
        <v>5.9471827035680089E-2</v>
      </c>
      <c r="AT639" s="31">
        <f t="shared" si="502"/>
        <v>96.491695084921218</v>
      </c>
      <c r="AV639" s="28">
        <f t="shared" si="527"/>
        <v>10413.997162927268</v>
      </c>
    </row>
    <row r="640" spans="2:48" ht="15.75" customHeight="1" x14ac:dyDescent="0.25">
      <c r="B640" s="78"/>
      <c r="C640" s="94" t="s">
        <v>46</v>
      </c>
      <c r="D640" s="69"/>
      <c r="E640" s="79" t="s">
        <v>75</v>
      </c>
      <c r="F640" s="70"/>
      <c r="G640" s="23">
        <v>49.13</v>
      </c>
      <c r="H640" s="23">
        <v>6.54</v>
      </c>
      <c r="I640" s="23">
        <v>44.16</v>
      </c>
      <c r="J640" s="23">
        <v>0.12</v>
      </c>
      <c r="K640" s="23">
        <v>0.05</v>
      </c>
      <c r="L640" s="58">
        <f t="shared" si="533"/>
        <v>12.439999999999998</v>
      </c>
      <c r="M640" s="36">
        <v>80</v>
      </c>
      <c r="N640" s="36">
        <v>7.3</v>
      </c>
      <c r="O640" s="18">
        <v>0.26</v>
      </c>
      <c r="P640" s="71">
        <v>0</v>
      </c>
      <c r="Q640" s="84">
        <v>840</v>
      </c>
      <c r="R640" s="18" t="s">
        <v>62</v>
      </c>
      <c r="S640" s="21">
        <v>0.63</v>
      </c>
      <c r="T640" s="18">
        <v>17.12</v>
      </c>
      <c r="U640" s="21">
        <v>39.180138568129301</v>
      </c>
      <c r="V640" s="21">
        <v>17.101616628175499</v>
      </c>
      <c r="W640" s="21">
        <v>28.741339491916801</v>
      </c>
      <c r="X640" s="21">
        <v>11.5588914549653</v>
      </c>
      <c r="Y640" s="73">
        <f t="shared" si="517"/>
        <v>6.0051338196266991E-2</v>
      </c>
      <c r="Z640" s="18" t="s">
        <v>51</v>
      </c>
      <c r="AA640" s="18" t="s">
        <v>51</v>
      </c>
      <c r="AB640" s="18" t="s">
        <v>51</v>
      </c>
      <c r="AC640" s="28">
        <f t="shared" si="518"/>
        <v>10532.007175849529</v>
      </c>
      <c r="AD640" s="18" t="s">
        <v>51</v>
      </c>
      <c r="AF640" s="1"/>
      <c r="AK640" s="1">
        <f t="shared" si="519"/>
        <v>4.2857142857142859E-3</v>
      </c>
      <c r="AL640" s="1">
        <f t="shared" si="520"/>
        <v>7.132464963454721</v>
      </c>
      <c r="AM640" s="1">
        <f t="shared" si="521"/>
        <v>7.1367506777404355</v>
      </c>
      <c r="AN640" s="1"/>
      <c r="AO640" s="30">
        <f t="shared" si="522"/>
        <v>39.156610370611986</v>
      </c>
      <c r="AP640" s="30">
        <f t="shared" si="523"/>
        <v>17.091346878537081</v>
      </c>
      <c r="AQ640" s="30">
        <f t="shared" si="524"/>
        <v>28.72407993293637</v>
      </c>
      <c r="AR640" s="30">
        <f t="shared" si="525"/>
        <v>11.551950185965939</v>
      </c>
      <c r="AS640" s="30">
        <f t="shared" si="526"/>
        <v>6.0051338196266991E-2</v>
      </c>
      <c r="AT640" s="31">
        <f t="shared" si="502"/>
        <v>96.58403870624764</v>
      </c>
      <c r="AV640" s="28">
        <f t="shared" si="527"/>
        <v>10525.682564601502</v>
      </c>
    </row>
    <row r="641" spans="2:48" ht="15.75" customHeight="1" x14ac:dyDescent="0.25">
      <c r="B641" s="78"/>
      <c r="C641" s="94" t="s">
        <v>46</v>
      </c>
      <c r="D641" s="69"/>
      <c r="E641" s="79" t="s">
        <v>75</v>
      </c>
      <c r="F641" s="70"/>
      <c r="G641" s="23">
        <v>49.13</v>
      </c>
      <c r="H641" s="23">
        <v>6.54</v>
      </c>
      <c r="I641" s="23">
        <v>44.16</v>
      </c>
      <c r="J641" s="23">
        <v>0.12</v>
      </c>
      <c r="K641" s="23">
        <v>0.05</v>
      </c>
      <c r="L641" s="58">
        <f t="shared" si="533"/>
        <v>12.439999999999998</v>
      </c>
      <c r="M641" s="36">
        <v>80</v>
      </c>
      <c r="N641" s="36">
        <v>7.3</v>
      </c>
      <c r="O641" s="18">
        <v>0.26</v>
      </c>
      <c r="P641" s="71">
        <v>0</v>
      </c>
      <c r="Q641" s="84">
        <v>840</v>
      </c>
      <c r="R641" s="18" t="s">
        <v>62</v>
      </c>
      <c r="S641" s="21">
        <v>0.63</v>
      </c>
      <c r="T641" s="18">
        <v>17.12</v>
      </c>
      <c r="U641" s="21">
        <v>40.381062355658202</v>
      </c>
      <c r="V641" s="21">
        <v>16.639722863741301</v>
      </c>
      <c r="W641" s="21">
        <v>28.741339491916801</v>
      </c>
      <c r="X641" s="21">
        <v>11.004618937644301</v>
      </c>
      <c r="Y641" s="73">
        <f t="shared" si="517"/>
        <v>5.8988895934631774E-2</v>
      </c>
      <c r="Z641" s="18" t="s">
        <v>51</v>
      </c>
      <c r="AA641" s="18" t="s">
        <v>51</v>
      </c>
      <c r="AB641" s="18" t="s">
        <v>51</v>
      </c>
      <c r="AC641" s="28">
        <f t="shared" si="518"/>
        <v>10404.695232596485</v>
      </c>
      <c r="AD641" s="18" t="s">
        <v>51</v>
      </c>
      <c r="AF641" s="1"/>
      <c r="AK641" s="1">
        <f t="shared" si="519"/>
        <v>4.2857142857142859E-3</v>
      </c>
      <c r="AL641" s="1">
        <f t="shared" si="520"/>
        <v>7.2610041641067831</v>
      </c>
      <c r="AM641" s="1">
        <f t="shared" si="521"/>
        <v>7.2652898783924975</v>
      </c>
      <c r="AN641" s="1"/>
      <c r="AO641" s="30">
        <f t="shared" si="522"/>
        <v>40.357242012807923</v>
      </c>
      <c r="AP641" s="30">
        <f t="shared" si="523"/>
        <v>16.629907274937398</v>
      </c>
      <c r="AQ641" s="30">
        <f t="shared" si="524"/>
        <v>28.724385293073695</v>
      </c>
      <c r="AR641" s="30">
        <f t="shared" si="525"/>
        <v>10.998127434431169</v>
      </c>
      <c r="AS641" s="30">
        <f t="shared" si="526"/>
        <v>5.8988895934631774E-2</v>
      </c>
      <c r="AT641" s="31">
        <f t="shared" si="502"/>
        <v>96.768650911184821</v>
      </c>
      <c r="AV641" s="28">
        <f t="shared" si="527"/>
        <v>10398.557617753411</v>
      </c>
    </row>
    <row r="642" spans="2:48" ht="15.75" customHeight="1" x14ac:dyDescent="0.25">
      <c r="B642" s="78"/>
      <c r="C642" s="94" t="s">
        <v>46</v>
      </c>
      <c r="D642" s="69"/>
      <c r="E642" s="79" t="s">
        <v>75</v>
      </c>
      <c r="F642" s="70"/>
      <c r="G642" s="23">
        <v>49.13</v>
      </c>
      <c r="H642" s="23">
        <v>6.54</v>
      </c>
      <c r="I642" s="23">
        <v>44.16</v>
      </c>
      <c r="J642" s="23">
        <v>0.12</v>
      </c>
      <c r="K642" s="23">
        <v>0.05</v>
      </c>
      <c r="L642" s="58">
        <f t="shared" si="533"/>
        <v>12.439999999999998</v>
      </c>
      <c r="M642" s="36">
        <v>80</v>
      </c>
      <c r="N642" s="36">
        <v>7.3</v>
      </c>
      <c r="O642" s="18">
        <v>0.26</v>
      </c>
      <c r="P642" s="71">
        <v>0</v>
      </c>
      <c r="Q642" s="84">
        <v>840</v>
      </c>
      <c r="R642" s="18" t="s">
        <v>62</v>
      </c>
      <c r="S642" s="21">
        <v>0.63</v>
      </c>
      <c r="T642" s="18">
        <v>17.12</v>
      </c>
      <c r="U642" s="21">
        <v>40.011547344110802</v>
      </c>
      <c r="V642" s="21">
        <v>17.101616628175499</v>
      </c>
      <c r="W642" s="21">
        <v>29.018475750577299</v>
      </c>
      <c r="X642" s="21">
        <v>12.0207852193995</v>
      </c>
      <c r="Y642" s="73">
        <f t="shared" si="517"/>
        <v>6.0824009289436119E-2</v>
      </c>
      <c r="Z642" s="18" t="s">
        <v>51</v>
      </c>
      <c r="AA642" s="18" t="s">
        <v>51</v>
      </c>
      <c r="AB642" s="18" t="s">
        <v>51</v>
      </c>
      <c r="AC642" s="28">
        <f t="shared" si="518"/>
        <v>10787.264516661146</v>
      </c>
      <c r="AD642" s="18" t="s">
        <v>51</v>
      </c>
      <c r="AF642" s="1"/>
      <c r="AK642" s="1">
        <f t="shared" si="519"/>
        <v>4.2857142857142859E-3</v>
      </c>
      <c r="AL642" s="1">
        <f t="shared" si="520"/>
        <v>7.0418040383978973</v>
      </c>
      <c r="AM642" s="1">
        <f t="shared" si="521"/>
        <v>7.0460897526836117</v>
      </c>
      <c r="AN642" s="1"/>
      <c r="AO642" s="30">
        <f t="shared" si="522"/>
        <v>39.987210716837374</v>
      </c>
      <c r="AP642" s="30">
        <f t="shared" si="523"/>
        <v>17.091214739288933</v>
      </c>
      <c r="AQ642" s="30">
        <f t="shared" si="524"/>
        <v>29.000825550191117</v>
      </c>
      <c r="AR642" s="30">
        <f t="shared" si="525"/>
        <v>12.013473695880988</v>
      </c>
      <c r="AS642" s="30">
        <f t="shared" si="526"/>
        <v>6.0824009289436119E-2</v>
      </c>
      <c r="AT642" s="31">
        <f t="shared" si="502"/>
        <v>98.153548711487858</v>
      </c>
      <c r="AV642" s="28">
        <f t="shared" si="527"/>
        <v>10780.703269889456</v>
      </c>
    </row>
    <row r="643" spans="2:48" ht="15.75" customHeight="1" x14ac:dyDescent="0.25">
      <c r="B643" s="78"/>
      <c r="C643" s="94" t="s">
        <v>46</v>
      </c>
      <c r="D643" s="69"/>
      <c r="E643" s="79" t="s">
        <v>75</v>
      </c>
      <c r="F643" s="70"/>
      <c r="G643" s="23">
        <v>49.13</v>
      </c>
      <c r="H643" s="23">
        <v>6.54</v>
      </c>
      <c r="I643" s="23">
        <v>44.16</v>
      </c>
      <c r="J643" s="23">
        <v>0.12</v>
      </c>
      <c r="K643" s="23">
        <v>0.05</v>
      </c>
      <c r="L643" s="58">
        <f t="shared" si="533"/>
        <v>12.439999999999998</v>
      </c>
      <c r="M643" s="36">
        <v>80</v>
      </c>
      <c r="N643" s="36">
        <v>7.3</v>
      </c>
      <c r="O643" s="18">
        <v>0.26</v>
      </c>
      <c r="P643" s="71">
        <v>0</v>
      </c>
      <c r="Q643" s="84">
        <v>840</v>
      </c>
      <c r="R643" s="18" t="s">
        <v>62</v>
      </c>
      <c r="S643" s="21">
        <v>0.63</v>
      </c>
      <c r="T643" s="18">
        <v>17.12</v>
      </c>
      <c r="U643" s="21">
        <v>40.196304849884498</v>
      </c>
      <c r="V643" s="21">
        <v>17.101616628175499</v>
      </c>
      <c r="W643" s="21">
        <v>28.9260969976905</v>
      </c>
      <c r="X643" s="21">
        <v>11.189376443418</v>
      </c>
      <c r="Y643" s="73">
        <f t="shared" si="517"/>
        <v>5.9858168556146278E-2</v>
      </c>
      <c r="Z643" s="18" t="s">
        <v>51</v>
      </c>
      <c r="AA643" s="18" t="s">
        <v>51</v>
      </c>
      <c r="AB643" s="18" t="s">
        <v>51</v>
      </c>
      <c r="AC643" s="28">
        <f t="shared" si="518"/>
        <v>10509.305922137899</v>
      </c>
      <c r="AD643" s="18" t="s">
        <v>51</v>
      </c>
      <c r="AF643" s="1"/>
      <c r="AK643" s="1">
        <f t="shared" si="519"/>
        <v>4.2857142857142859E-3</v>
      </c>
      <c r="AL643" s="1">
        <f t="shared" si="520"/>
        <v>7.1554961318533543</v>
      </c>
      <c r="AM643" s="1">
        <f t="shared" si="521"/>
        <v>7.1597818461390688</v>
      </c>
      <c r="AN643" s="1"/>
      <c r="AO643" s="30">
        <f t="shared" si="522"/>
        <v>40.172244077974113</v>
      </c>
      <c r="AP643" s="30">
        <f t="shared" si="523"/>
        <v>17.091379913668376</v>
      </c>
      <c r="AQ643" s="30">
        <f t="shared" si="524"/>
        <v>28.908782365792906</v>
      </c>
      <c r="AR643" s="30">
        <f t="shared" si="525"/>
        <v>11.182678687606117</v>
      </c>
      <c r="AS643" s="30">
        <f t="shared" si="526"/>
        <v>5.9858168556146278E-2</v>
      </c>
      <c r="AT643" s="31">
        <f t="shared" si="502"/>
        <v>97.414943213597653</v>
      </c>
      <c r="AV643" s="28">
        <f t="shared" si="527"/>
        <v>10503.015244084943</v>
      </c>
    </row>
    <row r="644" spans="2:48" ht="15.75" customHeight="1" x14ac:dyDescent="0.25">
      <c r="B644" s="78"/>
      <c r="C644" s="94" t="s">
        <v>46</v>
      </c>
      <c r="D644" s="69"/>
      <c r="E644" s="79" t="s">
        <v>75</v>
      </c>
      <c r="F644" s="70"/>
      <c r="G644" s="23">
        <v>49.13</v>
      </c>
      <c r="H644" s="23">
        <v>6.54</v>
      </c>
      <c r="I644" s="23">
        <v>44.16</v>
      </c>
      <c r="J644" s="23">
        <v>0.12</v>
      </c>
      <c r="K644" s="23">
        <v>0.05</v>
      </c>
      <c r="L644" s="58">
        <f t="shared" si="533"/>
        <v>12.439999999999998</v>
      </c>
      <c r="M644" s="36">
        <v>80</v>
      </c>
      <c r="N644" s="36">
        <v>7.3</v>
      </c>
      <c r="O644" s="18">
        <v>0.26</v>
      </c>
      <c r="P644" s="71">
        <v>0</v>
      </c>
      <c r="Q644" s="84">
        <v>840</v>
      </c>
      <c r="R644" s="18" t="s">
        <v>62</v>
      </c>
      <c r="S644" s="21">
        <v>0.63</v>
      </c>
      <c r="T644" s="18">
        <v>17.12</v>
      </c>
      <c r="U644" s="21">
        <v>39.734411085450297</v>
      </c>
      <c r="V644" s="21">
        <v>16.1778290993071</v>
      </c>
      <c r="W644" s="21">
        <v>28.9260969976905</v>
      </c>
      <c r="X644" s="21">
        <v>11.3741339491916</v>
      </c>
      <c r="Y644" s="73">
        <f t="shared" si="517"/>
        <v>5.9085482528219005E-2</v>
      </c>
      <c r="Z644" s="18" t="s">
        <v>51</v>
      </c>
      <c r="AA644" s="18" t="s">
        <v>51</v>
      </c>
      <c r="AB644" s="18" t="s">
        <v>51</v>
      </c>
      <c r="AC644" s="28">
        <f t="shared" si="518"/>
        <v>10408.93228307485</v>
      </c>
      <c r="AD644" s="18" t="s">
        <v>51</v>
      </c>
      <c r="AF644" s="1"/>
      <c r="AK644" s="1">
        <f t="shared" si="519"/>
        <v>4.2857142857142859E-3</v>
      </c>
      <c r="AL644" s="1">
        <f t="shared" si="520"/>
        <v>7.2491276494241355</v>
      </c>
      <c r="AM644" s="1">
        <f t="shared" si="521"/>
        <v>7.2534133637098499</v>
      </c>
      <c r="AN644" s="1"/>
      <c r="AO644" s="30">
        <f t="shared" si="522"/>
        <v>39.710933816930719</v>
      </c>
      <c r="AP644" s="30">
        <f t="shared" si="523"/>
        <v>16.168270350921183</v>
      </c>
      <c r="AQ644" s="30">
        <f t="shared" si="524"/>
        <v>28.909005873702831</v>
      </c>
      <c r="AR644" s="30">
        <f t="shared" si="525"/>
        <v>11.367413487264313</v>
      </c>
      <c r="AS644" s="30">
        <f t="shared" si="526"/>
        <v>5.9085482528219005E-2</v>
      </c>
      <c r="AT644" s="31">
        <f t="shared" si="502"/>
        <v>96.214709011347267</v>
      </c>
      <c r="AV644" s="28">
        <f t="shared" si="527"/>
        <v>10402.782115209358</v>
      </c>
    </row>
    <row r="645" spans="2:48" ht="15.75" customHeight="1" x14ac:dyDescent="0.25">
      <c r="B645" s="78"/>
      <c r="C645" s="94" t="s">
        <v>46</v>
      </c>
      <c r="D645" s="69"/>
      <c r="E645" s="79" t="s">
        <v>75</v>
      </c>
      <c r="F645" s="70"/>
      <c r="G645" s="23">
        <v>49.13</v>
      </c>
      <c r="H645" s="23">
        <v>6.54</v>
      </c>
      <c r="I645" s="23">
        <v>44.16</v>
      </c>
      <c r="J645" s="23">
        <v>0.12</v>
      </c>
      <c r="K645" s="23">
        <v>0.05</v>
      </c>
      <c r="L645" s="58">
        <f t="shared" si="533"/>
        <v>12.439999999999998</v>
      </c>
      <c r="M645" s="36">
        <v>80</v>
      </c>
      <c r="N645" s="36">
        <v>7.3</v>
      </c>
      <c r="O645" s="18">
        <v>0.26</v>
      </c>
      <c r="P645" s="71">
        <v>0</v>
      </c>
      <c r="Q645" s="84">
        <v>840</v>
      </c>
      <c r="R645" s="18" t="s">
        <v>62</v>
      </c>
      <c r="S645" s="21">
        <v>0.63</v>
      </c>
      <c r="T645" s="18">
        <v>17.12</v>
      </c>
      <c r="U645" s="21">
        <v>39.0877598152424</v>
      </c>
      <c r="V645" s="21">
        <v>16.1778290993071</v>
      </c>
      <c r="W645" s="21">
        <v>28.833718244803599</v>
      </c>
      <c r="X645" s="21">
        <v>11.4665127020785</v>
      </c>
      <c r="Y645" s="73">
        <f t="shared" si="517"/>
        <v>5.9085482528219005E-2</v>
      </c>
      <c r="Z645" s="18" t="s">
        <v>51</v>
      </c>
      <c r="AA645" s="18" t="s">
        <v>51</v>
      </c>
      <c r="AB645" s="18" t="s">
        <v>51</v>
      </c>
      <c r="AC645" s="28">
        <f t="shared" si="518"/>
        <v>10372.22327614646</v>
      </c>
      <c r="AD645" s="18" t="s">
        <v>51</v>
      </c>
      <c r="AF645" s="1"/>
      <c r="AK645" s="1">
        <f t="shared" si="519"/>
        <v>4.2857142857142859E-3</v>
      </c>
      <c r="AL645" s="1">
        <f t="shared" si="520"/>
        <v>7.2491276494241355</v>
      </c>
      <c r="AM645" s="1">
        <f t="shared" si="521"/>
        <v>7.2534133637098499</v>
      </c>
      <c r="AN645" s="1"/>
      <c r="AO645" s="30">
        <f t="shared" si="522"/>
        <v>39.06466462374609</v>
      </c>
      <c r="AP645" s="30">
        <f t="shared" si="523"/>
        <v>16.168270350921183</v>
      </c>
      <c r="AQ645" s="30">
        <f t="shared" si="524"/>
        <v>28.816681703247827</v>
      </c>
      <c r="AR645" s="30">
        <f t="shared" si="525"/>
        <v>11.459737657719318</v>
      </c>
      <c r="AS645" s="30">
        <f t="shared" si="526"/>
        <v>5.9085482528219005E-2</v>
      </c>
      <c r="AT645" s="31">
        <f t="shared" si="502"/>
        <v>95.568439818162631</v>
      </c>
      <c r="AV645" s="28">
        <f t="shared" si="527"/>
        <v>10366.094797974845</v>
      </c>
    </row>
    <row r="646" spans="2:48" ht="15.75" customHeight="1" x14ac:dyDescent="0.25">
      <c r="B646" s="78"/>
      <c r="C646" s="94" t="s">
        <v>46</v>
      </c>
      <c r="D646" s="69"/>
      <c r="E646" s="79" t="s">
        <v>75</v>
      </c>
      <c r="F646" s="70"/>
      <c r="G646" s="23">
        <v>49.13</v>
      </c>
      <c r="H646" s="23">
        <v>6.54</v>
      </c>
      <c r="I646" s="23">
        <v>44.16</v>
      </c>
      <c r="J646" s="23">
        <v>0.12</v>
      </c>
      <c r="K646" s="23">
        <v>0.05</v>
      </c>
      <c r="L646" s="58">
        <f t="shared" si="533"/>
        <v>12.439999999999998</v>
      </c>
      <c r="M646" s="36">
        <v>80</v>
      </c>
      <c r="N646" s="36">
        <v>7.3</v>
      </c>
      <c r="O646" s="18">
        <v>0.26</v>
      </c>
      <c r="P646" s="71">
        <v>0</v>
      </c>
      <c r="Q646" s="84">
        <v>840</v>
      </c>
      <c r="R646" s="18" t="s">
        <v>62</v>
      </c>
      <c r="S646" s="21">
        <v>0.63</v>
      </c>
      <c r="T646" s="18">
        <v>17.12</v>
      </c>
      <c r="U646" s="21">
        <v>38.441108545034602</v>
      </c>
      <c r="V646" s="21">
        <v>17.193995381062301</v>
      </c>
      <c r="W646" s="21">
        <v>28.833718244803599</v>
      </c>
      <c r="X646" s="21">
        <v>11.4665127020785</v>
      </c>
      <c r="Y646" s="73">
        <f t="shared" si="517"/>
        <v>6.0147922736301193E-2</v>
      </c>
      <c r="Z646" s="18" t="s">
        <v>51</v>
      </c>
      <c r="AA646" s="18" t="s">
        <v>51</v>
      </c>
      <c r="AB646" s="18" t="s">
        <v>51</v>
      </c>
      <c r="AC646" s="28">
        <f t="shared" si="518"/>
        <v>10430.795529528188</v>
      </c>
      <c r="AD646" s="18" t="s">
        <v>51</v>
      </c>
      <c r="AF646" s="1"/>
      <c r="AK646" s="1">
        <f t="shared" si="519"/>
        <v>4.2857142857142859E-3</v>
      </c>
      <c r="AL646" s="1">
        <f t="shared" si="520"/>
        <v>7.1210048871928979</v>
      </c>
      <c r="AM646" s="1">
        <f t="shared" si="521"/>
        <v>7.1252906014786124</v>
      </c>
      <c r="AN646" s="1"/>
      <c r="AO646" s="30">
        <f t="shared" si="522"/>
        <v>38.41798701676796</v>
      </c>
      <c r="AP646" s="30">
        <f t="shared" si="523"/>
        <v>17.183653550005218</v>
      </c>
      <c r="AQ646" s="30">
        <f t="shared" si="524"/>
        <v>28.81637536223171</v>
      </c>
      <c r="AR646" s="30">
        <f t="shared" si="525"/>
        <v>11.459615832877905</v>
      </c>
      <c r="AS646" s="30">
        <f t="shared" si="526"/>
        <v>6.0147922736301193E-2</v>
      </c>
      <c r="AT646" s="31">
        <f t="shared" si="502"/>
        <v>95.937779684619102</v>
      </c>
      <c r="AV646" s="28">
        <f t="shared" si="527"/>
        <v>10424.521622692309</v>
      </c>
    </row>
    <row r="647" spans="2:48" ht="15.75" customHeight="1" x14ac:dyDescent="0.25">
      <c r="B647" s="78"/>
      <c r="C647" s="94" t="s">
        <v>46</v>
      </c>
      <c r="D647" s="69"/>
      <c r="E647" s="79" t="s">
        <v>75</v>
      </c>
      <c r="F647" s="70"/>
      <c r="G647" s="23">
        <v>49.13</v>
      </c>
      <c r="H647" s="23">
        <v>6.54</v>
      </c>
      <c r="I647" s="23">
        <v>44.16</v>
      </c>
      <c r="J647" s="23">
        <v>0.12</v>
      </c>
      <c r="K647" s="23">
        <v>0.05</v>
      </c>
      <c r="L647" s="58">
        <f t="shared" si="533"/>
        <v>12.439999999999998</v>
      </c>
      <c r="M647" s="36">
        <v>80</v>
      </c>
      <c r="N647" s="36">
        <v>7.3</v>
      </c>
      <c r="O647" s="18">
        <v>0.26</v>
      </c>
      <c r="P647" s="71">
        <v>0</v>
      </c>
      <c r="Q647" s="84">
        <v>840</v>
      </c>
      <c r="R647" s="18" t="s">
        <v>62</v>
      </c>
      <c r="S647" s="21">
        <v>0.63</v>
      </c>
      <c r="T647" s="18">
        <v>17.12</v>
      </c>
      <c r="U647" s="21">
        <v>39.0877598152424</v>
      </c>
      <c r="V647" s="21">
        <v>17.378752886836001</v>
      </c>
      <c r="W647" s="21">
        <v>28.9260969976905</v>
      </c>
      <c r="X647" s="21">
        <v>11.3741339491916</v>
      </c>
      <c r="Y647" s="73">
        <f t="shared" si="517"/>
        <v>6.0341091256320034E-2</v>
      </c>
      <c r="Z647" s="18" t="s">
        <v>51</v>
      </c>
      <c r="AA647" s="18" t="s">
        <v>51</v>
      </c>
      <c r="AB647" s="18" t="s">
        <v>51</v>
      </c>
      <c r="AC647" s="28">
        <f t="shared" si="518"/>
        <v>10490.846667766369</v>
      </c>
      <c r="AD647" s="18" t="s">
        <v>51</v>
      </c>
      <c r="AF647" s="1"/>
      <c r="AK647" s="1">
        <f t="shared" si="519"/>
        <v>4.2857142857142859E-3</v>
      </c>
      <c r="AL647" s="1">
        <f t="shared" si="520"/>
        <v>7.0981948615282127</v>
      </c>
      <c r="AM647" s="1">
        <f t="shared" si="521"/>
        <v>7.1024805758139271</v>
      </c>
      <c r="AN647" s="1"/>
      <c r="AO647" s="30">
        <f t="shared" si="522"/>
        <v>39.064173834422235</v>
      </c>
      <c r="AP647" s="30">
        <f t="shared" si="523"/>
        <v>17.368266357697344</v>
      </c>
      <c r="AQ647" s="30">
        <f t="shared" si="524"/>
        <v>28.908642675104229</v>
      </c>
      <c r="AR647" s="30">
        <f t="shared" si="525"/>
        <v>11.367270672645702</v>
      </c>
      <c r="AS647" s="30">
        <f t="shared" si="526"/>
        <v>6.0341091256320034E-2</v>
      </c>
      <c r="AT647" s="31">
        <f t="shared" si="502"/>
        <v>96.768694631125825</v>
      </c>
      <c r="AV647" s="28">
        <f t="shared" si="527"/>
        <v>10484.516376405012</v>
      </c>
    </row>
    <row r="648" spans="2:48" ht="15.75" customHeight="1" x14ac:dyDescent="0.25">
      <c r="B648" s="78"/>
      <c r="C648" s="94" t="s">
        <v>46</v>
      </c>
      <c r="D648" s="69"/>
      <c r="E648" s="79" t="s">
        <v>75</v>
      </c>
      <c r="F648" s="70"/>
      <c r="G648" s="23">
        <v>49.13</v>
      </c>
      <c r="H648" s="23">
        <v>6.54</v>
      </c>
      <c r="I648" s="23">
        <v>44.16</v>
      </c>
      <c r="J648" s="23">
        <v>0.12</v>
      </c>
      <c r="K648" s="23">
        <v>0.05</v>
      </c>
      <c r="L648" s="58">
        <f t="shared" si="533"/>
        <v>12.439999999999998</v>
      </c>
      <c r="M648" s="36">
        <v>80</v>
      </c>
      <c r="N648" s="36">
        <v>7.3</v>
      </c>
      <c r="O648" s="18">
        <v>0.26</v>
      </c>
      <c r="P648" s="71">
        <v>0</v>
      </c>
      <c r="Q648" s="84">
        <v>840</v>
      </c>
      <c r="R648" s="18" t="s">
        <v>62</v>
      </c>
      <c r="S648" s="21">
        <v>0.63</v>
      </c>
      <c r="T648" s="18">
        <v>17.12</v>
      </c>
      <c r="U648" s="21">
        <v>39.180138568129301</v>
      </c>
      <c r="V648" s="21">
        <v>16.916859122401799</v>
      </c>
      <c r="W648" s="21">
        <v>28.833718244803599</v>
      </c>
      <c r="X648" s="21">
        <v>11.6512702078522</v>
      </c>
      <c r="Y648" s="73">
        <f t="shared" si="517"/>
        <v>6.0051338196266991E-2</v>
      </c>
      <c r="Z648" s="18" t="s">
        <v>51</v>
      </c>
      <c r="AA648" s="18" t="s">
        <v>51</v>
      </c>
      <c r="AB648" s="18" t="s">
        <v>51</v>
      </c>
      <c r="AC648" s="28">
        <f t="shared" si="518"/>
        <v>10541.765506433512</v>
      </c>
      <c r="AD648" s="18" t="s">
        <v>51</v>
      </c>
      <c r="AF648" s="1"/>
      <c r="AK648" s="1">
        <f t="shared" si="519"/>
        <v>4.2857142857142859E-3</v>
      </c>
      <c r="AL648" s="1">
        <f t="shared" si="520"/>
        <v>7.132464963454721</v>
      </c>
      <c r="AM648" s="1">
        <f t="shared" si="521"/>
        <v>7.1367506777404355</v>
      </c>
      <c r="AN648" s="1"/>
      <c r="AO648" s="30">
        <f t="shared" si="522"/>
        <v>39.156610370611986</v>
      </c>
      <c r="AP648" s="30">
        <f t="shared" si="523"/>
        <v>16.90670032211802</v>
      </c>
      <c r="AQ648" s="30">
        <f t="shared" si="524"/>
        <v>28.816403211145847</v>
      </c>
      <c r="AR648" s="30">
        <f t="shared" si="525"/>
        <v>11.644273464175521</v>
      </c>
      <c r="AS648" s="30">
        <f t="shared" si="526"/>
        <v>6.0051338196266991E-2</v>
      </c>
      <c r="AT648" s="31">
        <f t="shared" si="502"/>
        <v>96.58403870624764</v>
      </c>
      <c r="AV648" s="28">
        <f t="shared" si="527"/>
        <v>10535.435035177388</v>
      </c>
    </row>
    <row r="649" spans="2:48" ht="15.75" customHeight="1" x14ac:dyDescent="0.25">
      <c r="B649" s="78"/>
      <c r="C649" s="94" t="s">
        <v>46</v>
      </c>
      <c r="D649" s="69"/>
      <c r="E649" s="79" t="s">
        <v>75</v>
      </c>
      <c r="F649" s="70"/>
      <c r="G649" s="23">
        <v>49.13</v>
      </c>
      <c r="H649" s="23">
        <v>6.54</v>
      </c>
      <c r="I649" s="23">
        <v>44.16</v>
      </c>
      <c r="J649" s="23">
        <v>0.12</v>
      </c>
      <c r="K649" s="23">
        <v>0.05</v>
      </c>
      <c r="L649" s="58">
        <f t="shared" si="533"/>
        <v>12.439999999999998</v>
      </c>
      <c r="M649" s="36">
        <v>80</v>
      </c>
      <c r="N649" s="36">
        <v>7.3</v>
      </c>
      <c r="O649" s="18">
        <v>0.26</v>
      </c>
      <c r="P649" s="71">
        <v>0</v>
      </c>
      <c r="Q649" s="84">
        <v>840</v>
      </c>
      <c r="R649" s="18" t="s">
        <v>62</v>
      </c>
      <c r="S649" s="21">
        <v>0.63</v>
      </c>
      <c r="T649" s="18">
        <v>17.12</v>
      </c>
      <c r="U649" s="21">
        <v>39.734411085450297</v>
      </c>
      <c r="V649" s="21">
        <v>16.916859122401799</v>
      </c>
      <c r="W649" s="21">
        <v>28.833718244803599</v>
      </c>
      <c r="X649" s="21">
        <v>11.4665127020785</v>
      </c>
      <c r="Y649" s="73">
        <f t="shared" si="517"/>
        <v>5.9858168556146174E-2</v>
      </c>
      <c r="Z649" s="18" t="s">
        <v>51</v>
      </c>
      <c r="AA649" s="18" t="s">
        <v>51</v>
      </c>
      <c r="AB649" s="18" t="s">
        <v>51</v>
      </c>
      <c r="AC649" s="28">
        <f t="shared" si="518"/>
        <v>10535.401270207833</v>
      </c>
      <c r="AD649" s="18" t="s">
        <v>51</v>
      </c>
      <c r="AF649" s="1"/>
      <c r="AK649" s="1">
        <f t="shared" si="519"/>
        <v>4.2857142857142859E-3</v>
      </c>
      <c r="AL649" s="1">
        <f t="shared" si="520"/>
        <v>7.1554961318533676</v>
      </c>
      <c r="AM649" s="1">
        <f t="shared" si="521"/>
        <v>7.1597818461390821</v>
      </c>
      <c r="AN649" s="1"/>
      <c r="AO649" s="30">
        <f t="shared" si="522"/>
        <v>39.710626794687983</v>
      </c>
      <c r="AP649" s="30">
        <f t="shared" si="523"/>
        <v>16.906733000353906</v>
      </c>
      <c r="AQ649" s="30">
        <f t="shared" si="524"/>
        <v>28.816458909135616</v>
      </c>
      <c r="AR649" s="30">
        <f t="shared" si="525"/>
        <v>11.459649057577778</v>
      </c>
      <c r="AS649" s="30">
        <f t="shared" si="526"/>
        <v>5.9858168556146174E-2</v>
      </c>
      <c r="AT649" s="31">
        <f t="shared" si="502"/>
        <v>96.953325930311436</v>
      </c>
      <c r="AV649" s="28">
        <f t="shared" si="527"/>
        <v>10529.094971957446</v>
      </c>
    </row>
    <row r="650" spans="2:48" ht="15.75" customHeight="1" x14ac:dyDescent="0.25">
      <c r="B650" s="78"/>
      <c r="C650" s="94" t="s">
        <v>46</v>
      </c>
      <c r="D650" s="69"/>
      <c r="E650" s="79" t="s">
        <v>75</v>
      </c>
      <c r="F650" s="70"/>
      <c r="G650" s="23">
        <v>49.13</v>
      </c>
      <c r="H650" s="23">
        <v>6.54</v>
      </c>
      <c r="I650" s="23">
        <v>44.16</v>
      </c>
      <c r="J650" s="23">
        <v>0.12</v>
      </c>
      <c r="K650" s="23">
        <v>0.05</v>
      </c>
      <c r="L650" s="58">
        <f t="shared" si="533"/>
        <v>12.439999999999998</v>
      </c>
      <c r="M650" s="36">
        <v>80</v>
      </c>
      <c r="N650" s="36">
        <v>7.3</v>
      </c>
      <c r="O650" s="18">
        <v>0.26</v>
      </c>
      <c r="P650" s="71">
        <v>0</v>
      </c>
      <c r="Q650" s="84">
        <v>840</v>
      </c>
      <c r="R650" s="18" t="s">
        <v>62</v>
      </c>
      <c r="S650" s="21">
        <v>0.63</v>
      </c>
      <c r="T650" s="18">
        <v>17.12</v>
      </c>
      <c r="U650" s="21">
        <v>39.642032332563502</v>
      </c>
      <c r="V650" s="21">
        <v>16.916859122401799</v>
      </c>
      <c r="W650" s="21">
        <v>29.2956120092378</v>
      </c>
      <c r="X650" s="21">
        <v>11.3741339491916</v>
      </c>
      <c r="Y650" s="73">
        <f t="shared" si="517"/>
        <v>6.0244507089651997E-2</v>
      </c>
      <c r="Z650" s="18" t="s">
        <v>51</v>
      </c>
      <c r="AA650" s="18" t="s">
        <v>51</v>
      </c>
      <c r="AB650" s="18" t="s">
        <v>51</v>
      </c>
      <c r="AC650" s="28">
        <f t="shared" si="518"/>
        <v>10492.32802705374</v>
      </c>
      <c r="AD650" s="18" t="s">
        <v>51</v>
      </c>
      <c r="AF650" s="1"/>
      <c r="AK650" s="1">
        <f t="shared" si="519"/>
        <v>4.2857142857142859E-3</v>
      </c>
      <c r="AL650" s="1">
        <f t="shared" si="520"/>
        <v>7.1095815787714969</v>
      </c>
      <c r="AM650" s="1">
        <f t="shared" si="521"/>
        <v>7.1138672930572113</v>
      </c>
      <c r="AN650" s="1"/>
      <c r="AO650" s="30">
        <f t="shared" si="522"/>
        <v>39.618150185584433</v>
      </c>
      <c r="AP650" s="30">
        <f t="shared" si="523"/>
        <v>16.906667644008458</v>
      </c>
      <c r="AQ650" s="30">
        <f t="shared" si="524"/>
        <v>29.277963012183932</v>
      </c>
      <c r="AR650" s="30">
        <f t="shared" si="525"/>
        <v>11.367281658258193</v>
      </c>
      <c r="AS650" s="30">
        <f t="shared" si="526"/>
        <v>6.0244507089651997E-2</v>
      </c>
      <c r="AT650" s="31">
        <f t="shared" si="502"/>
        <v>97.230307007124665</v>
      </c>
      <c r="AV650" s="28">
        <f t="shared" si="527"/>
        <v>10486.006975751614</v>
      </c>
    </row>
    <row r="651" spans="2:48" ht="15.75" customHeight="1" x14ac:dyDescent="0.25">
      <c r="B651" s="78"/>
      <c r="C651" s="94" t="s">
        <v>46</v>
      </c>
      <c r="D651" s="69"/>
      <c r="E651" s="79" t="s">
        <v>75</v>
      </c>
      <c r="F651" s="70"/>
      <c r="G651" s="23">
        <v>49.13</v>
      </c>
      <c r="H651" s="23">
        <v>6.54</v>
      </c>
      <c r="I651" s="23">
        <v>44.16</v>
      </c>
      <c r="J651" s="23">
        <v>0.12</v>
      </c>
      <c r="K651" s="23">
        <v>0.05</v>
      </c>
      <c r="L651" s="58">
        <f t="shared" si="533"/>
        <v>12.439999999999998</v>
      </c>
      <c r="M651" s="36">
        <v>80</v>
      </c>
      <c r="N651" s="36">
        <v>7.3</v>
      </c>
      <c r="O651" s="18">
        <v>0.26</v>
      </c>
      <c r="P651" s="71">
        <v>0</v>
      </c>
      <c r="Q651" s="84">
        <v>840</v>
      </c>
      <c r="R651" s="18" t="s">
        <v>62</v>
      </c>
      <c r="S651" s="21">
        <v>0.63</v>
      </c>
      <c r="T651" s="18">
        <v>17.12</v>
      </c>
      <c r="U651" s="21">
        <v>39.457274826789799</v>
      </c>
      <c r="V651" s="21">
        <v>17.009237875288601</v>
      </c>
      <c r="W651" s="21">
        <v>29.203233256351002</v>
      </c>
      <c r="X651" s="21">
        <v>11.2817551963048</v>
      </c>
      <c r="Y651" s="73">
        <f t="shared" si="517"/>
        <v>6.0147922736301193E-2</v>
      </c>
      <c r="Z651" s="18" t="s">
        <v>51</v>
      </c>
      <c r="AA651" s="18" t="s">
        <v>51</v>
      </c>
      <c r="AB651" s="18" t="s">
        <v>51</v>
      </c>
      <c r="AC651" s="28">
        <f t="shared" si="518"/>
        <v>10450.95306829426</v>
      </c>
      <c r="AD651" s="18" t="s">
        <v>51</v>
      </c>
      <c r="AF651" s="1"/>
      <c r="AK651" s="1">
        <f t="shared" si="519"/>
        <v>4.2857142857142859E-3</v>
      </c>
      <c r="AL651" s="1">
        <f t="shared" si="520"/>
        <v>7.1210048871928979</v>
      </c>
      <c r="AM651" s="1">
        <f t="shared" si="521"/>
        <v>7.1252906014786124</v>
      </c>
      <c r="AN651" s="1"/>
      <c r="AO651" s="30">
        <f t="shared" si="522"/>
        <v>39.433542095613134</v>
      </c>
      <c r="AP651" s="30">
        <f t="shared" si="523"/>
        <v>16.999007172033338</v>
      </c>
      <c r="AQ651" s="30">
        <f t="shared" si="524"/>
        <v>29.185668118175474</v>
      </c>
      <c r="AR651" s="30">
        <f t="shared" si="525"/>
        <v>11.274969454906028</v>
      </c>
      <c r="AS651" s="30">
        <f t="shared" si="526"/>
        <v>6.0147922736301193E-2</v>
      </c>
      <c r="AT651" s="31">
        <f t="shared" si="502"/>
        <v>96.953334763464284</v>
      </c>
      <c r="AV651" s="28">
        <f t="shared" si="527"/>
        <v>10444.667037117535</v>
      </c>
    </row>
    <row r="652" spans="2:48" ht="15.75" customHeight="1" x14ac:dyDescent="0.25">
      <c r="B652" s="78"/>
      <c r="C652" s="94" t="s">
        <v>46</v>
      </c>
      <c r="D652" s="69"/>
      <c r="E652" s="79" t="s">
        <v>75</v>
      </c>
      <c r="F652" s="70"/>
      <c r="G652" s="23">
        <v>49.13</v>
      </c>
      <c r="H652" s="23">
        <v>6.54</v>
      </c>
      <c r="I652" s="23">
        <v>44.16</v>
      </c>
      <c r="J652" s="23">
        <v>0.12</v>
      </c>
      <c r="K652" s="23">
        <v>0.05</v>
      </c>
      <c r="L652" s="58">
        <f t="shared" si="533"/>
        <v>12.439999999999998</v>
      </c>
      <c r="M652" s="36">
        <v>80</v>
      </c>
      <c r="N652" s="36">
        <v>7.3</v>
      </c>
      <c r="O652" s="18">
        <v>0.26</v>
      </c>
      <c r="P652" s="71">
        <v>0</v>
      </c>
      <c r="Q652" s="84">
        <v>840</v>
      </c>
      <c r="R652" s="18" t="s">
        <v>62</v>
      </c>
      <c r="S652" s="21">
        <v>0.63</v>
      </c>
      <c r="T652" s="18">
        <v>17.12</v>
      </c>
      <c r="U652" s="21">
        <v>39.457274826789799</v>
      </c>
      <c r="V652" s="21">
        <v>17.471131639722799</v>
      </c>
      <c r="W652" s="21">
        <v>29.572748267898302</v>
      </c>
      <c r="X652" s="21">
        <v>11.5588914549653</v>
      </c>
      <c r="Y652" s="73">
        <f t="shared" si="517"/>
        <v>6.1306922655562E-2</v>
      </c>
      <c r="Z652" s="18" t="s">
        <v>51</v>
      </c>
      <c r="AA652" s="18" t="s">
        <v>51</v>
      </c>
      <c r="AB652" s="18" t="s">
        <v>51</v>
      </c>
      <c r="AC652" s="28">
        <f t="shared" si="518"/>
        <v>10608.609782250049</v>
      </c>
      <c r="AD652" s="18" t="s">
        <v>51</v>
      </c>
      <c r="AF652" s="1"/>
      <c r="AK652" s="1">
        <f t="shared" si="519"/>
        <v>4.2857142857142859E-3</v>
      </c>
      <c r="AL652" s="1">
        <f t="shared" si="520"/>
        <v>6.9863021346469862</v>
      </c>
      <c r="AM652" s="1">
        <f t="shared" si="521"/>
        <v>6.9905878489327007</v>
      </c>
      <c r="AN652" s="1"/>
      <c r="AO652" s="30">
        <f t="shared" si="522"/>
        <v>39.433084785829749</v>
      </c>
      <c r="AP652" s="30">
        <f t="shared" si="523"/>
        <v>17.460420626561383</v>
      </c>
      <c r="AQ652" s="30">
        <f t="shared" si="524"/>
        <v>29.554618125990572</v>
      </c>
      <c r="AR652" s="30">
        <f t="shared" si="525"/>
        <v>11.551805054321164</v>
      </c>
      <c r="AS652" s="30">
        <f t="shared" si="526"/>
        <v>6.1306922655562E-2</v>
      </c>
      <c r="AT652" s="31">
        <f t="shared" si="502"/>
        <v>98.061235515358433</v>
      </c>
      <c r="AV652" s="28">
        <f t="shared" si="527"/>
        <v>10602.105970056016</v>
      </c>
    </row>
    <row r="653" spans="2:48" ht="15.75" customHeight="1" x14ac:dyDescent="0.25">
      <c r="B653" s="78"/>
      <c r="C653" s="94" t="s">
        <v>46</v>
      </c>
      <c r="D653" s="69"/>
      <c r="E653" s="79" t="s">
        <v>75</v>
      </c>
      <c r="F653" s="70"/>
      <c r="G653" s="23">
        <v>49.13</v>
      </c>
      <c r="H653" s="23">
        <v>6.54</v>
      </c>
      <c r="I653" s="23">
        <v>44.16</v>
      </c>
      <c r="J653" s="23">
        <v>0.12</v>
      </c>
      <c r="K653" s="23">
        <v>0.05</v>
      </c>
      <c r="L653" s="58">
        <f t="shared" si="533"/>
        <v>12.439999999999998</v>
      </c>
      <c r="M653" s="36">
        <v>80</v>
      </c>
      <c r="N653" s="36">
        <v>7.3</v>
      </c>
      <c r="O653" s="18">
        <v>0.26</v>
      </c>
      <c r="P653" s="71">
        <v>0</v>
      </c>
      <c r="Q653" s="84">
        <v>840</v>
      </c>
      <c r="R653" s="18" t="s">
        <v>62</v>
      </c>
      <c r="S653" s="21">
        <v>0.63</v>
      </c>
      <c r="T653" s="18">
        <v>17.12</v>
      </c>
      <c r="U653" s="21">
        <v>39.0877598152424</v>
      </c>
      <c r="V653" s="21">
        <v>16.916859122401799</v>
      </c>
      <c r="W653" s="21">
        <v>28.9260969976905</v>
      </c>
      <c r="X653" s="21">
        <v>11.743648960739</v>
      </c>
      <c r="Y653" s="73">
        <f t="shared" si="517"/>
        <v>6.024450708965208E-2</v>
      </c>
      <c r="Z653" s="18" t="s">
        <v>51</v>
      </c>
      <c r="AA653" s="18" t="s">
        <v>51</v>
      </c>
      <c r="AB653" s="18" t="s">
        <v>51</v>
      </c>
      <c r="AC653" s="28">
        <f t="shared" si="518"/>
        <v>10564.893187066949</v>
      </c>
      <c r="AD653" s="18" t="s">
        <v>51</v>
      </c>
      <c r="AF653" s="1"/>
      <c r="AK653" s="1">
        <f t="shared" si="519"/>
        <v>4.2857142857142859E-3</v>
      </c>
      <c r="AL653" s="1">
        <f t="shared" si="520"/>
        <v>7.1095815787714862</v>
      </c>
      <c r="AM653" s="1">
        <f t="shared" si="521"/>
        <v>7.1138672930572007</v>
      </c>
      <c r="AN653" s="1"/>
      <c r="AO653" s="30">
        <f t="shared" si="522"/>
        <v>39.064211587009325</v>
      </c>
      <c r="AP653" s="30">
        <f t="shared" si="523"/>
        <v>16.906667644008458</v>
      </c>
      <c r="AQ653" s="30">
        <f t="shared" si="524"/>
        <v>28.908670613133964</v>
      </c>
      <c r="AR653" s="30">
        <f t="shared" si="525"/>
        <v>11.736574057308264</v>
      </c>
      <c r="AS653" s="30">
        <f t="shared" si="526"/>
        <v>6.024450708965208E-2</v>
      </c>
      <c r="AT653" s="31">
        <f t="shared" si="502"/>
        <v>96.676368408549649</v>
      </c>
      <c r="AV653" s="28">
        <f t="shared" si="527"/>
        <v>10558.528419241851</v>
      </c>
    </row>
    <row r="654" spans="2:48" ht="15.75" customHeight="1" x14ac:dyDescent="0.25">
      <c r="B654" s="78"/>
      <c r="C654" s="94" t="s">
        <v>46</v>
      </c>
      <c r="D654" s="69"/>
      <c r="E654" s="79" t="s">
        <v>75</v>
      </c>
      <c r="F654" s="70"/>
      <c r="G654" s="23">
        <v>49.13</v>
      </c>
      <c r="H654" s="23">
        <v>6.54</v>
      </c>
      <c r="I654" s="23">
        <v>44.16</v>
      </c>
      <c r="J654" s="23">
        <v>0.12</v>
      </c>
      <c r="K654" s="23">
        <v>0.05</v>
      </c>
      <c r="L654" s="58">
        <f t="shared" si="533"/>
        <v>12.439999999999998</v>
      </c>
      <c r="M654" s="36">
        <v>80</v>
      </c>
      <c r="N654" s="36">
        <v>7.3</v>
      </c>
      <c r="O654" s="18">
        <v>0.26</v>
      </c>
      <c r="P654" s="71">
        <v>0</v>
      </c>
      <c r="Q654" s="84">
        <v>840</v>
      </c>
      <c r="R654" s="18" t="s">
        <v>62</v>
      </c>
      <c r="S654" s="21">
        <v>0.63</v>
      </c>
      <c r="T654" s="18">
        <v>17.12</v>
      </c>
      <c r="U654" s="21">
        <v>38.533487297921397</v>
      </c>
      <c r="V654" s="21">
        <v>17.471131639722799</v>
      </c>
      <c r="W654" s="21">
        <v>29.4803695150115</v>
      </c>
      <c r="X654" s="21">
        <v>11.743648960739</v>
      </c>
      <c r="Y654" s="73">
        <f t="shared" si="517"/>
        <v>6.1403504768754398E-2</v>
      </c>
      <c r="Z654" s="18" t="s">
        <v>51</v>
      </c>
      <c r="AA654" s="18" t="s">
        <v>51</v>
      </c>
      <c r="AB654" s="18" t="s">
        <v>51</v>
      </c>
      <c r="AC654" s="28">
        <f t="shared" si="518"/>
        <v>10575.082893434483</v>
      </c>
      <c r="AD654" s="18" t="s">
        <v>51</v>
      </c>
      <c r="AF654" s="1"/>
      <c r="AK654" s="1">
        <f t="shared" si="519"/>
        <v>4.2857142857142859E-3</v>
      </c>
      <c r="AL654" s="1">
        <f t="shared" si="520"/>
        <v>6.9753065774805068</v>
      </c>
      <c r="AM654" s="1">
        <f t="shared" si="521"/>
        <v>6.9795922917662212</v>
      </c>
      <c r="AN654" s="1"/>
      <c r="AO654" s="30">
        <f t="shared" si="522"/>
        <v>38.509826386210854</v>
      </c>
      <c r="AP654" s="30">
        <f t="shared" si="523"/>
        <v>17.460403752573246</v>
      </c>
      <c r="AQ654" s="30">
        <f t="shared" si="524"/>
        <v>29.462267534910502</v>
      </c>
      <c r="AR654" s="30">
        <f t="shared" si="525"/>
        <v>11.736437948689368</v>
      </c>
      <c r="AS654" s="30">
        <f t="shared" si="526"/>
        <v>6.1403504768754398E-2</v>
      </c>
      <c r="AT654" s="31">
        <f t="shared" si="502"/>
        <v>97.230339127152718</v>
      </c>
      <c r="AV654" s="28">
        <f t="shared" si="527"/>
        <v>10568.589421905714</v>
      </c>
    </row>
    <row r="655" spans="2:48" ht="15.75" customHeight="1" x14ac:dyDescent="0.25">
      <c r="B655" s="78"/>
      <c r="C655" s="94" t="s">
        <v>46</v>
      </c>
      <c r="D655" s="69"/>
      <c r="E655" s="79" t="s">
        <v>75</v>
      </c>
      <c r="F655" s="70"/>
      <c r="G655" s="23">
        <v>49.13</v>
      </c>
      <c r="H655" s="23">
        <v>6.54</v>
      </c>
      <c r="I655" s="23">
        <v>44.16</v>
      </c>
      <c r="J655" s="23">
        <v>0.12</v>
      </c>
      <c r="K655" s="23">
        <v>0.05</v>
      </c>
      <c r="L655" s="58">
        <f t="shared" si="533"/>
        <v>12.439999999999998</v>
      </c>
      <c r="M655" s="36">
        <v>80</v>
      </c>
      <c r="N655" s="36">
        <v>7.3</v>
      </c>
      <c r="O655" s="18">
        <v>0.26</v>
      </c>
      <c r="P655" s="71">
        <v>0</v>
      </c>
      <c r="Q655" s="84">
        <v>840</v>
      </c>
      <c r="R655" s="18" t="s">
        <v>62</v>
      </c>
      <c r="S655" s="21">
        <v>0.63</v>
      </c>
      <c r="T655" s="18">
        <v>17.12</v>
      </c>
      <c r="U655" s="21">
        <v>38.071593533487302</v>
      </c>
      <c r="V655" s="21">
        <v>17.655889145496499</v>
      </c>
      <c r="W655" s="21">
        <v>29.387990762124701</v>
      </c>
      <c r="X655" s="21">
        <v>11.5588914549653</v>
      </c>
      <c r="Y655" s="73">
        <f t="shared" si="517"/>
        <v>6.1306922655562097E-2</v>
      </c>
      <c r="Z655" s="18" t="s">
        <v>51</v>
      </c>
      <c r="AA655" s="18" t="s">
        <v>51</v>
      </c>
      <c r="AB655" s="18" t="s">
        <v>51</v>
      </c>
      <c r="AC655" s="28">
        <f t="shared" si="518"/>
        <v>10482.360194655204</v>
      </c>
      <c r="AD655" s="18" t="s">
        <v>51</v>
      </c>
      <c r="AF655" s="1"/>
      <c r="AK655" s="1">
        <f t="shared" si="519"/>
        <v>4.2857142857142859E-3</v>
      </c>
      <c r="AL655" s="1">
        <f t="shared" si="520"/>
        <v>6.9863021346469747</v>
      </c>
      <c r="AM655" s="1">
        <f t="shared" si="521"/>
        <v>6.9905878489326891</v>
      </c>
      <c r="AN655" s="1"/>
      <c r="AO655" s="30">
        <f t="shared" si="522"/>
        <v>38.04825301108599</v>
      </c>
      <c r="AP655" s="30">
        <f t="shared" si="523"/>
        <v>17.64506486319392</v>
      </c>
      <c r="AQ655" s="30">
        <f t="shared" si="524"/>
        <v>29.369973889358143</v>
      </c>
      <c r="AR655" s="30">
        <f t="shared" si="525"/>
        <v>11.551805054321164</v>
      </c>
      <c r="AS655" s="30">
        <f t="shared" si="526"/>
        <v>6.1306922655562097E-2</v>
      </c>
      <c r="AT655" s="31">
        <f t="shared" si="502"/>
        <v>96.676403740614788</v>
      </c>
      <c r="AV655" s="28">
        <f t="shared" si="527"/>
        <v>10475.93378219819</v>
      </c>
    </row>
    <row r="656" spans="2:48" ht="15.75" customHeight="1" x14ac:dyDescent="0.25">
      <c r="B656" s="78"/>
      <c r="C656" s="94" t="s">
        <v>46</v>
      </c>
      <c r="D656" s="69"/>
      <c r="E656" s="79" t="s">
        <v>75</v>
      </c>
      <c r="F656" s="70"/>
      <c r="G656" s="23">
        <v>49.13</v>
      </c>
      <c r="H656" s="23">
        <v>6.54</v>
      </c>
      <c r="I656" s="23">
        <v>44.16</v>
      </c>
      <c r="J656" s="23">
        <v>0.12</v>
      </c>
      <c r="K656" s="23">
        <v>0.05</v>
      </c>
      <c r="L656" s="58">
        <f t="shared" si="533"/>
        <v>12.439999999999998</v>
      </c>
      <c r="M656" s="36">
        <v>80</v>
      </c>
      <c r="N656" s="36">
        <v>7.3</v>
      </c>
      <c r="O656" s="18">
        <v>0.26</v>
      </c>
      <c r="P656" s="71">
        <v>0</v>
      </c>
      <c r="Q656" s="84">
        <v>840</v>
      </c>
      <c r="R656" s="18" t="s">
        <v>62</v>
      </c>
      <c r="S656" s="21">
        <v>0.63</v>
      </c>
      <c r="T656" s="18">
        <v>17.12</v>
      </c>
      <c r="U656" s="21">
        <v>37.979214780600401</v>
      </c>
      <c r="V656" s="21">
        <v>17.655889145496499</v>
      </c>
      <c r="W656" s="21">
        <v>29.8498845265588</v>
      </c>
      <c r="X656" s="21">
        <v>11.743648960739</v>
      </c>
      <c r="Y656" s="73">
        <f t="shared" si="517"/>
        <v>6.1982993527723816E-2</v>
      </c>
      <c r="Z656" s="18" t="s">
        <v>51</v>
      </c>
      <c r="AA656" s="18" t="s">
        <v>51</v>
      </c>
      <c r="AB656" s="18" t="s">
        <v>51</v>
      </c>
      <c r="AC656" s="28">
        <f t="shared" si="518"/>
        <v>10538.588337182426</v>
      </c>
      <c r="AD656" s="18" t="s">
        <v>51</v>
      </c>
      <c r="AF656" s="1"/>
      <c r="AK656" s="1">
        <f t="shared" si="519"/>
        <v>4.2857142857142859E-3</v>
      </c>
      <c r="AL656" s="1">
        <f t="shared" si="520"/>
        <v>6.9100532709673415</v>
      </c>
      <c r="AM656" s="1">
        <f t="shared" si="521"/>
        <v>6.9143389852530559</v>
      </c>
      <c r="AN656" s="1"/>
      <c r="AO656" s="30">
        <f t="shared" si="522"/>
        <v>37.95567412636106</v>
      </c>
      <c r="AP656" s="30">
        <f t="shared" si="523"/>
        <v>17.644945496870186</v>
      </c>
      <c r="AQ656" s="30">
        <f t="shared" si="524"/>
        <v>29.831382674564672</v>
      </c>
      <c r="AR656" s="30">
        <f t="shared" si="525"/>
        <v>11.736369895563747</v>
      </c>
      <c r="AS656" s="30">
        <f t="shared" si="526"/>
        <v>6.1982993527723816E-2</v>
      </c>
      <c r="AT656" s="31">
        <f t="shared" si="502"/>
        <v>97.23035518688738</v>
      </c>
      <c r="AV656" s="28">
        <f t="shared" si="527"/>
        <v>10532.056204655479</v>
      </c>
    </row>
    <row r="657" spans="2:48" ht="15.75" customHeight="1" x14ac:dyDescent="0.25">
      <c r="B657" s="78"/>
      <c r="C657" s="94" t="s">
        <v>46</v>
      </c>
      <c r="D657" s="69"/>
      <c r="E657" s="79" t="s">
        <v>75</v>
      </c>
      <c r="F657" s="70"/>
      <c r="G657" s="23">
        <v>49.13</v>
      </c>
      <c r="H657" s="23">
        <v>6.54</v>
      </c>
      <c r="I657" s="23">
        <v>44.16</v>
      </c>
      <c r="J657" s="23">
        <v>0.12</v>
      </c>
      <c r="K657" s="23">
        <v>0.05</v>
      </c>
      <c r="L657" s="58">
        <f t="shared" si="533"/>
        <v>12.439999999999998</v>
      </c>
      <c r="M657" s="36">
        <v>80</v>
      </c>
      <c r="N657" s="36">
        <v>7.3</v>
      </c>
      <c r="O657" s="18">
        <v>0.26</v>
      </c>
      <c r="P657" s="71">
        <v>0</v>
      </c>
      <c r="Q657" s="84">
        <v>840</v>
      </c>
      <c r="R657" s="18" t="s">
        <v>62</v>
      </c>
      <c r="S657" s="21">
        <v>0.63</v>
      </c>
      <c r="T657" s="18">
        <v>17.12</v>
      </c>
      <c r="U657" s="21">
        <v>38.533487297921397</v>
      </c>
      <c r="V657" s="21">
        <v>17.7482678983833</v>
      </c>
      <c r="W657" s="21">
        <v>29.018475750577299</v>
      </c>
      <c r="X657" s="21">
        <v>10.819861431870599</v>
      </c>
      <c r="Y657" s="73">
        <f t="shared" si="517"/>
        <v>6.0244507089651983E-2</v>
      </c>
      <c r="Z657" s="18" t="s">
        <v>51</v>
      </c>
      <c r="AA657" s="18" t="s">
        <v>51</v>
      </c>
      <c r="AB657" s="18" t="s">
        <v>51</v>
      </c>
      <c r="AC657" s="28">
        <f t="shared" si="518"/>
        <v>10279.091471461519</v>
      </c>
      <c r="AD657" s="18" t="s">
        <v>51</v>
      </c>
      <c r="AF657" s="1"/>
      <c r="AK657" s="1">
        <f t="shared" si="519"/>
        <v>4.2857142857142859E-3</v>
      </c>
      <c r="AL657" s="1">
        <f t="shared" si="520"/>
        <v>7.1095815787714978</v>
      </c>
      <c r="AM657" s="1">
        <f t="shared" si="521"/>
        <v>7.1138672930572122</v>
      </c>
      <c r="AN657" s="1"/>
      <c r="AO657" s="30">
        <f t="shared" si="522"/>
        <v>38.510272988434309</v>
      </c>
      <c r="AP657" s="30">
        <f t="shared" si="523"/>
        <v>17.737575541870967</v>
      </c>
      <c r="AQ657" s="30">
        <f t="shared" si="524"/>
        <v>29.000993712896435</v>
      </c>
      <c r="AR657" s="30">
        <f t="shared" si="525"/>
        <v>10.813343059683184</v>
      </c>
      <c r="AS657" s="30">
        <f t="shared" si="526"/>
        <v>6.0244507089651983E-2</v>
      </c>
      <c r="AT657" s="31">
        <f t="shared" si="502"/>
        <v>96.122429809974548</v>
      </c>
      <c r="AV657" s="28">
        <f t="shared" si="527"/>
        <v>10272.898883471244</v>
      </c>
    </row>
    <row r="658" spans="2:48" ht="15.75" customHeight="1" x14ac:dyDescent="0.25">
      <c r="B658" s="78"/>
      <c r="C658" s="94" t="s">
        <v>46</v>
      </c>
      <c r="D658" s="69"/>
      <c r="E658" s="79" t="s">
        <v>75</v>
      </c>
      <c r="F658" s="70"/>
      <c r="G658" s="23">
        <v>49.13</v>
      </c>
      <c r="H658" s="23">
        <v>6.54</v>
      </c>
      <c r="I658" s="23">
        <v>44.16</v>
      </c>
      <c r="J658" s="23">
        <v>0.12</v>
      </c>
      <c r="K658" s="23">
        <v>0.05</v>
      </c>
      <c r="L658" s="58">
        <f t="shared" si="533"/>
        <v>12.439999999999998</v>
      </c>
      <c r="M658" s="36">
        <v>80</v>
      </c>
      <c r="N658" s="36">
        <v>7.3</v>
      </c>
      <c r="O658" s="18">
        <v>0.26</v>
      </c>
      <c r="P658" s="71">
        <v>0</v>
      </c>
      <c r="Q658" s="84">
        <v>840</v>
      </c>
      <c r="R658" s="18" t="s">
        <v>62</v>
      </c>
      <c r="S658" s="21">
        <v>0.63</v>
      </c>
      <c r="T658" s="18">
        <v>17.12</v>
      </c>
      <c r="U658" s="21">
        <v>39.0877598152424</v>
      </c>
      <c r="V658" s="21">
        <v>17.840646651270202</v>
      </c>
      <c r="W658" s="21">
        <v>29.203233256351002</v>
      </c>
      <c r="X658" s="21">
        <v>11.2817551963048</v>
      </c>
      <c r="Y658" s="73">
        <f t="shared" si="517"/>
        <v>6.1017175195921557E-2</v>
      </c>
      <c r="Z658" s="18" t="s">
        <v>51</v>
      </c>
      <c r="AA658" s="18" t="s">
        <v>51</v>
      </c>
      <c r="AB658" s="18" t="s">
        <v>51</v>
      </c>
      <c r="AC658" s="28">
        <f t="shared" si="518"/>
        <v>10516.101534147117</v>
      </c>
      <c r="AD658" s="18" t="s">
        <v>51</v>
      </c>
      <c r="AF658" s="1"/>
      <c r="AK658" s="1">
        <f t="shared" si="519"/>
        <v>4.2857142857142859E-3</v>
      </c>
      <c r="AL658" s="1">
        <f t="shared" si="520"/>
        <v>7.0194977892166683</v>
      </c>
      <c r="AM658" s="1">
        <f t="shared" si="521"/>
        <v>7.0237835035023828</v>
      </c>
      <c r="AN658" s="1"/>
      <c r="AO658" s="30">
        <f t="shared" si="522"/>
        <v>39.063909568355776</v>
      </c>
      <c r="AP658" s="30">
        <f t="shared" si="523"/>
        <v>17.829760792646908</v>
      </c>
      <c r="AQ658" s="30">
        <f t="shared" si="524"/>
        <v>29.185414268352101</v>
      </c>
      <c r="AR658" s="30">
        <f t="shared" si="525"/>
        <v>11.274871387971498</v>
      </c>
      <c r="AS658" s="30">
        <f t="shared" si="526"/>
        <v>6.1017175195921557E-2</v>
      </c>
      <c r="AT658" s="31">
        <f t="shared" si="502"/>
        <v>97.414973192522211</v>
      </c>
      <c r="AV658" s="28">
        <f t="shared" si="527"/>
        <v>10509.684906050246</v>
      </c>
    </row>
    <row r="659" spans="2:48" ht="15.75" customHeight="1" x14ac:dyDescent="0.25">
      <c r="B659" s="78"/>
      <c r="C659" s="94" t="s">
        <v>46</v>
      </c>
      <c r="D659" s="69"/>
      <c r="E659" s="79" t="s">
        <v>75</v>
      </c>
      <c r="F659" s="70"/>
      <c r="G659" s="23">
        <v>49.13</v>
      </c>
      <c r="H659" s="23">
        <v>6.54</v>
      </c>
      <c r="I659" s="23">
        <v>44.16</v>
      </c>
      <c r="J659" s="23">
        <v>0.12</v>
      </c>
      <c r="K659" s="23">
        <v>0.05</v>
      </c>
      <c r="L659" s="58">
        <f t="shared" si="533"/>
        <v>12.439999999999998</v>
      </c>
      <c r="M659" s="36">
        <v>80</v>
      </c>
      <c r="N659" s="36">
        <v>7.3</v>
      </c>
      <c r="O659" s="18">
        <v>0.26</v>
      </c>
      <c r="P659" s="71">
        <v>0</v>
      </c>
      <c r="Q659" s="84">
        <v>840</v>
      </c>
      <c r="R659" s="18" t="s">
        <v>62</v>
      </c>
      <c r="S659" s="21">
        <v>0.63</v>
      </c>
      <c r="T659" s="18">
        <v>17.12</v>
      </c>
      <c r="U659" s="21">
        <v>39.0877598152424</v>
      </c>
      <c r="V659" s="21">
        <v>17.5635103926097</v>
      </c>
      <c r="W659" s="21">
        <v>28.741339491916801</v>
      </c>
      <c r="X659" s="21">
        <v>11.3741339491916</v>
      </c>
      <c r="Y659" s="73">
        <f t="shared" si="517"/>
        <v>6.0341091256320034E-2</v>
      </c>
      <c r="Z659" s="18" t="s">
        <v>51</v>
      </c>
      <c r="AA659" s="18" t="s">
        <v>51</v>
      </c>
      <c r="AB659" s="18" t="s">
        <v>51</v>
      </c>
      <c r="AC659" s="28">
        <f t="shared" si="518"/>
        <v>10514.188799076173</v>
      </c>
      <c r="AD659" s="18" t="s">
        <v>51</v>
      </c>
      <c r="AF659" s="1"/>
      <c r="AK659" s="1">
        <f t="shared" si="519"/>
        <v>4.2857142857142859E-3</v>
      </c>
      <c r="AL659" s="1">
        <f t="shared" si="520"/>
        <v>7.0981948615282127</v>
      </c>
      <c r="AM659" s="1">
        <f t="shared" si="521"/>
        <v>7.1024805758139271</v>
      </c>
      <c r="AN659" s="1"/>
      <c r="AO659" s="30">
        <f t="shared" si="522"/>
        <v>39.064173834422235</v>
      </c>
      <c r="AP659" s="30">
        <f t="shared" si="523"/>
        <v>17.552912378775879</v>
      </c>
      <c r="AQ659" s="30">
        <f t="shared" si="524"/>
        <v>28.723996654025697</v>
      </c>
      <c r="AR659" s="30">
        <f t="shared" si="525"/>
        <v>11.367270672645702</v>
      </c>
      <c r="AS659" s="30">
        <f t="shared" si="526"/>
        <v>6.0341091256320034E-2</v>
      </c>
      <c r="AT659" s="31">
        <f t="shared" si="502"/>
        <v>96.768694631125825</v>
      </c>
      <c r="AV659" s="28">
        <f t="shared" si="527"/>
        <v>10507.84442281806</v>
      </c>
    </row>
    <row r="660" spans="2:48" ht="15.75" customHeight="1" x14ac:dyDescent="0.25">
      <c r="B660" s="78"/>
      <c r="C660" s="94" t="s">
        <v>46</v>
      </c>
      <c r="D660" s="69"/>
      <c r="E660" s="79" t="s">
        <v>75</v>
      </c>
      <c r="F660" s="70"/>
      <c r="G660" s="23">
        <v>49.13</v>
      </c>
      <c r="H660" s="23">
        <v>6.54</v>
      </c>
      <c r="I660" s="23">
        <v>44.16</v>
      </c>
      <c r="J660" s="23">
        <v>0.12</v>
      </c>
      <c r="K660" s="23">
        <v>0.05</v>
      </c>
      <c r="L660" s="58">
        <f t="shared" si="533"/>
        <v>12.439999999999998</v>
      </c>
      <c r="M660" s="36">
        <v>80</v>
      </c>
      <c r="N660" s="36">
        <v>7.3</v>
      </c>
      <c r="O660" s="18">
        <v>0.26</v>
      </c>
      <c r="P660" s="71">
        <v>0</v>
      </c>
      <c r="Q660" s="84">
        <v>840</v>
      </c>
      <c r="R660" s="18" t="s">
        <v>62</v>
      </c>
      <c r="S660" s="21">
        <v>0.63</v>
      </c>
      <c r="T660" s="18">
        <v>17.12</v>
      </c>
      <c r="U660" s="21">
        <v>38.3487297921478</v>
      </c>
      <c r="V660" s="21">
        <v>17.378752886836001</v>
      </c>
      <c r="W660" s="21">
        <v>29.2956120092378</v>
      </c>
      <c r="X660" s="21">
        <v>11.6512702078522</v>
      </c>
      <c r="Y660" s="73">
        <f t="shared" si="517"/>
        <v>6.1017175195921543E-2</v>
      </c>
      <c r="Z660" s="18" t="s">
        <v>51</v>
      </c>
      <c r="AA660" s="18" t="s">
        <v>51</v>
      </c>
      <c r="AB660" s="18" t="s">
        <v>51</v>
      </c>
      <c r="AC660" s="28">
        <f t="shared" si="518"/>
        <v>10510.365803365225</v>
      </c>
      <c r="AD660" s="18" t="s">
        <v>51</v>
      </c>
      <c r="AF660" s="1"/>
      <c r="AK660" s="1">
        <f t="shared" si="519"/>
        <v>4.2857142857142859E-3</v>
      </c>
      <c r="AL660" s="1">
        <f t="shared" si="520"/>
        <v>7.0194977892166692</v>
      </c>
      <c r="AM660" s="1">
        <f t="shared" si="521"/>
        <v>7.0237835035023837</v>
      </c>
      <c r="AN660" s="1"/>
      <c r="AO660" s="30">
        <f t="shared" si="522"/>
        <v>38.325330480505116</v>
      </c>
      <c r="AP660" s="30">
        <f t="shared" si="523"/>
        <v>17.368148862740174</v>
      </c>
      <c r="AQ660" s="30">
        <f t="shared" si="524"/>
        <v>29.277736654333403</v>
      </c>
      <c r="AR660" s="30">
        <f t="shared" si="525"/>
        <v>11.644160931896923</v>
      </c>
      <c r="AS660" s="30">
        <f t="shared" si="526"/>
        <v>6.1017175195921543E-2</v>
      </c>
      <c r="AT660" s="31">
        <f t="shared" si="502"/>
        <v>96.676394104671544</v>
      </c>
      <c r="AV660" s="28">
        <f t="shared" si="527"/>
        <v>10503.952675049253</v>
      </c>
    </row>
    <row r="661" spans="2:48" ht="15.75" customHeight="1" x14ac:dyDescent="0.25">
      <c r="B661" s="78"/>
      <c r="C661" s="94" t="s">
        <v>46</v>
      </c>
      <c r="D661" s="69"/>
      <c r="E661" s="79" t="s">
        <v>75</v>
      </c>
      <c r="F661" s="70"/>
      <c r="G661" s="23">
        <v>49.13</v>
      </c>
      <c r="H661" s="23">
        <v>6.54</v>
      </c>
      <c r="I661" s="23">
        <v>44.16</v>
      </c>
      <c r="J661" s="23">
        <v>0.12</v>
      </c>
      <c r="K661" s="23">
        <v>0.05</v>
      </c>
      <c r="L661" s="58">
        <f t="shared" si="533"/>
        <v>12.439999999999998</v>
      </c>
      <c r="M661" s="36">
        <v>80</v>
      </c>
      <c r="N661" s="36">
        <v>7.3</v>
      </c>
      <c r="O661" s="18">
        <v>0.26</v>
      </c>
      <c r="P661" s="71">
        <v>0</v>
      </c>
      <c r="Q661" s="84">
        <v>840</v>
      </c>
      <c r="R661" s="18" t="s">
        <v>62</v>
      </c>
      <c r="S661" s="21">
        <v>0.63</v>
      </c>
      <c r="T661" s="18">
        <v>17.12</v>
      </c>
      <c r="U661" s="21">
        <v>39.272517321016103</v>
      </c>
      <c r="V661" s="21">
        <v>17.471131639722799</v>
      </c>
      <c r="W661" s="21">
        <v>29.4803695150115</v>
      </c>
      <c r="X661" s="21">
        <v>11.5588914549653</v>
      </c>
      <c r="Y661" s="73">
        <f t="shared" si="517"/>
        <v>6.121034035569279E-2</v>
      </c>
      <c r="Z661" s="18" t="s">
        <v>51</v>
      </c>
      <c r="AA661" s="18" t="s">
        <v>51</v>
      </c>
      <c r="AB661" s="18" t="s">
        <v>51</v>
      </c>
      <c r="AC661" s="28">
        <f t="shared" si="518"/>
        <v>10588.664219729426</v>
      </c>
      <c r="AD661" s="18" t="s">
        <v>51</v>
      </c>
      <c r="AF661" s="1"/>
      <c r="AK661" s="1">
        <f t="shared" si="519"/>
        <v>4.2857142857142859E-3</v>
      </c>
      <c r="AL661" s="1">
        <f t="shared" si="520"/>
        <v>6.9973324123413141</v>
      </c>
      <c r="AM661" s="1">
        <f t="shared" si="521"/>
        <v>7.0016181266270285</v>
      </c>
      <c r="AN661" s="1"/>
      <c r="AO661" s="30">
        <f t="shared" si="522"/>
        <v>39.248478479497663</v>
      </c>
      <c r="AP661" s="30">
        <f t="shared" si="523"/>
        <v>17.460437500582131</v>
      </c>
      <c r="AQ661" s="30">
        <f t="shared" si="524"/>
        <v>29.462324480493248</v>
      </c>
      <c r="AR661" s="30">
        <f t="shared" si="525"/>
        <v>11.551816218164371</v>
      </c>
      <c r="AS661" s="30">
        <f t="shared" si="526"/>
        <v>6.121034035569279E-2</v>
      </c>
      <c r="AT661" s="31">
        <f t="shared" si="502"/>
        <v>97.784267019093107</v>
      </c>
      <c r="AV661" s="28">
        <f t="shared" si="527"/>
        <v>10582.182862321408</v>
      </c>
    </row>
    <row r="662" spans="2:48" ht="15.75" customHeight="1" x14ac:dyDescent="0.25">
      <c r="B662" s="78"/>
      <c r="C662" s="94" t="s">
        <v>46</v>
      </c>
      <c r="D662" s="69"/>
      <c r="E662" s="79" t="s">
        <v>75</v>
      </c>
      <c r="F662" s="70"/>
      <c r="G662" s="23">
        <v>49.13</v>
      </c>
      <c r="H662" s="23">
        <v>6.54</v>
      </c>
      <c r="I662" s="23">
        <v>44.16</v>
      </c>
      <c r="J662" s="23">
        <v>0.12</v>
      </c>
      <c r="K662" s="23">
        <v>0.05</v>
      </c>
      <c r="L662" s="58">
        <f t="shared" si="533"/>
        <v>12.439999999999998</v>
      </c>
      <c r="M662" s="36">
        <v>80</v>
      </c>
      <c r="N662" s="36">
        <v>7.3</v>
      </c>
      <c r="O662" s="18">
        <v>0.26</v>
      </c>
      <c r="P662" s="71">
        <v>0</v>
      </c>
      <c r="Q662" s="84">
        <v>840</v>
      </c>
      <c r="R662" s="18" t="s">
        <v>62</v>
      </c>
      <c r="S662" s="21">
        <v>0.63</v>
      </c>
      <c r="T662" s="18">
        <v>17.12</v>
      </c>
      <c r="U662" s="21">
        <v>38.533487297921397</v>
      </c>
      <c r="V662" s="21">
        <v>17.471131639722799</v>
      </c>
      <c r="W662" s="21">
        <v>29.2956120092378</v>
      </c>
      <c r="X662" s="21">
        <v>11.743648960739</v>
      </c>
      <c r="Y662" s="73">
        <f t="shared" si="517"/>
        <v>6.121034035569279E-2</v>
      </c>
      <c r="Z662" s="18" t="s">
        <v>51</v>
      </c>
      <c r="AA662" s="18" t="s">
        <v>51</v>
      </c>
      <c r="AB662" s="18" t="s">
        <v>51</v>
      </c>
      <c r="AC662" s="28">
        <f t="shared" si="518"/>
        <v>10575.082893434483</v>
      </c>
      <c r="AD662" s="18" t="s">
        <v>51</v>
      </c>
      <c r="AF662" s="1"/>
      <c r="AK662" s="1">
        <f t="shared" si="519"/>
        <v>4.2857142857142859E-3</v>
      </c>
      <c r="AL662" s="1">
        <f t="shared" si="520"/>
        <v>6.9973324123413141</v>
      </c>
      <c r="AM662" s="1">
        <f t="shared" si="521"/>
        <v>7.0016181266270285</v>
      </c>
      <c r="AN662" s="1"/>
      <c r="AO662" s="30">
        <f t="shared" si="522"/>
        <v>38.509900819195423</v>
      </c>
      <c r="AP662" s="30">
        <f t="shared" si="523"/>
        <v>17.460437500582131</v>
      </c>
      <c r="AQ662" s="30">
        <f t="shared" si="524"/>
        <v>29.277680065417659</v>
      </c>
      <c r="AR662" s="30">
        <f t="shared" si="525"/>
        <v>11.736460633239954</v>
      </c>
      <c r="AS662" s="30">
        <f t="shared" si="526"/>
        <v>6.121034035569279E-2</v>
      </c>
      <c r="AT662" s="31">
        <f t="shared" si="502"/>
        <v>97.045689358790852</v>
      </c>
      <c r="AV662" s="28">
        <f t="shared" si="527"/>
        <v>10568.609849202516</v>
      </c>
    </row>
    <row r="663" spans="2:48" ht="15.75" customHeight="1" x14ac:dyDescent="0.25">
      <c r="B663" s="78"/>
      <c r="C663" s="94" t="s">
        <v>46</v>
      </c>
      <c r="D663" s="69"/>
      <c r="E663" s="79" t="s">
        <v>75</v>
      </c>
      <c r="F663" s="70"/>
      <c r="G663" s="23">
        <v>49.13</v>
      </c>
      <c r="H663" s="23">
        <v>6.54</v>
      </c>
      <c r="I663" s="23">
        <v>44.16</v>
      </c>
      <c r="J663" s="23">
        <v>0.12</v>
      </c>
      <c r="K663" s="23">
        <v>0.05</v>
      </c>
      <c r="L663" s="58">
        <f t="shared" si="533"/>
        <v>12.439999999999998</v>
      </c>
      <c r="M663" s="36">
        <v>80</v>
      </c>
      <c r="N663" s="36">
        <v>7.3</v>
      </c>
      <c r="O663" s="18">
        <v>0.26</v>
      </c>
      <c r="P663" s="71">
        <v>0</v>
      </c>
      <c r="Q663" s="84">
        <v>840</v>
      </c>
      <c r="R663" s="18" t="s">
        <v>62</v>
      </c>
      <c r="S663" s="21">
        <v>0.63</v>
      </c>
      <c r="T663" s="18">
        <v>17.12</v>
      </c>
      <c r="U663" s="21">
        <v>38.441108545034602</v>
      </c>
      <c r="V663" s="21">
        <v>17.471131639722799</v>
      </c>
      <c r="W663" s="21">
        <v>29.387990762124701</v>
      </c>
      <c r="X663" s="21">
        <v>11.743648960739</v>
      </c>
      <c r="Y663" s="73">
        <f t="shared" si="517"/>
        <v>6.1306922655562097E-2</v>
      </c>
      <c r="Z663" s="18" t="s">
        <v>51</v>
      </c>
      <c r="AA663" s="18" t="s">
        <v>51</v>
      </c>
      <c r="AB663" s="18" t="s">
        <v>51</v>
      </c>
      <c r="AC663" s="28">
        <f t="shared" si="518"/>
        <v>10565.110112174176</v>
      </c>
      <c r="AD663" s="18" t="s">
        <v>51</v>
      </c>
      <c r="AF663" s="1"/>
      <c r="AK663" s="1">
        <f t="shared" si="519"/>
        <v>4.2857142857142859E-3</v>
      </c>
      <c r="AL663" s="1">
        <f t="shared" si="520"/>
        <v>6.9863021346469747</v>
      </c>
      <c r="AM663" s="1">
        <f t="shared" si="521"/>
        <v>6.9905878489326891</v>
      </c>
      <c r="AN663" s="1"/>
      <c r="AO663" s="30">
        <f t="shared" si="522"/>
        <v>38.417541484350956</v>
      </c>
      <c r="AP663" s="30">
        <f t="shared" si="523"/>
        <v>17.460420626561383</v>
      </c>
      <c r="AQ663" s="30">
        <f t="shared" si="524"/>
        <v>29.369973889358143</v>
      </c>
      <c r="AR663" s="30">
        <f t="shared" si="525"/>
        <v>11.736449290953699</v>
      </c>
      <c r="AS663" s="30">
        <f t="shared" si="526"/>
        <v>6.1306922655562097E-2</v>
      </c>
      <c r="AT663" s="31">
        <f t="shared" si="502"/>
        <v>97.045692213879732</v>
      </c>
      <c r="AV663" s="28">
        <f t="shared" si="527"/>
        <v>10558.632968289232</v>
      </c>
    </row>
    <row r="664" spans="2:48" ht="15.75" customHeight="1" x14ac:dyDescent="0.25">
      <c r="B664" s="78"/>
      <c r="C664" s="94" t="s">
        <v>46</v>
      </c>
      <c r="D664" s="69"/>
      <c r="E664" s="79" t="s">
        <v>75</v>
      </c>
      <c r="F664" s="70"/>
      <c r="G664" s="23">
        <v>49.13</v>
      </c>
      <c r="H664" s="23">
        <v>6.54</v>
      </c>
      <c r="I664" s="23">
        <v>44.16</v>
      </c>
      <c r="J664" s="23">
        <v>0.12</v>
      </c>
      <c r="K664" s="23">
        <v>0.05</v>
      </c>
      <c r="L664" s="58">
        <f t="shared" si="533"/>
        <v>12.439999999999998</v>
      </c>
      <c r="M664" s="36">
        <v>80</v>
      </c>
      <c r="N664" s="36">
        <v>7.3</v>
      </c>
      <c r="O664" s="18">
        <v>0.26</v>
      </c>
      <c r="P664" s="71">
        <v>0</v>
      </c>
      <c r="Q664" s="84">
        <v>840</v>
      </c>
      <c r="R664" s="18" t="s">
        <v>62</v>
      </c>
      <c r="S664" s="21">
        <v>0.63</v>
      </c>
      <c r="T664" s="18">
        <v>17.12</v>
      </c>
      <c r="U664" s="21">
        <v>38.071593533487302</v>
      </c>
      <c r="V664" s="21">
        <v>17.286374133949099</v>
      </c>
      <c r="W664" s="21">
        <v>29.018475750577299</v>
      </c>
      <c r="X664" s="21">
        <v>11.5588914549653</v>
      </c>
      <c r="Y664" s="73">
        <f t="shared" si="517"/>
        <v>6.0534259029609523E-2</v>
      </c>
      <c r="Z664" s="18" t="s">
        <v>51</v>
      </c>
      <c r="AA664" s="18" t="s">
        <v>51</v>
      </c>
      <c r="AB664" s="18" t="s">
        <v>51</v>
      </c>
      <c r="AC664" s="28">
        <f t="shared" si="518"/>
        <v>10435.6759320356</v>
      </c>
      <c r="AD664" s="18" t="s">
        <v>51</v>
      </c>
      <c r="AF664" s="1"/>
      <c r="AK664" s="1">
        <f t="shared" si="519"/>
        <v>4.2857142857142859E-3</v>
      </c>
      <c r="AL664" s="1">
        <f t="shared" si="520"/>
        <v>7.0755304995676447</v>
      </c>
      <c r="AM664" s="1">
        <f t="shared" si="521"/>
        <v>7.0798162138533591</v>
      </c>
      <c r="AN664" s="1"/>
      <c r="AO664" s="30">
        <f t="shared" si="522"/>
        <v>38.048547176441048</v>
      </c>
      <c r="AP664" s="30">
        <f t="shared" si="523"/>
        <v>17.275909955454026</v>
      </c>
      <c r="AQ664" s="30">
        <f t="shared" si="524"/>
        <v>29.000909631299997</v>
      </c>
      <c r="AR664" s="30">
        <f t="shared" si="525"/>
        <v>11.551894365671</v>
      </c>
      <c r="AS664" s="30">
        <f t="shared" si="526"/>
        <v>6.0534259029609523E-2</v>
      </c>
      <c r="AT664" s="31">
        <f t="shared" si="502"/>
        <v>95.937795387895676</v>
      </c>
      <c r="AV664" s="28">
        <f t="shared" si="527"/>
        <v>10429.358772935411</v>
      </c>
    </row>
    <row r="665" spans="2:48" ht="15.75" customHeight="1" x14ac:dyDescent="0.25">
      <c r="B665" s="78"/>
      <c r="C665" s="94" t="s">
        <v>46</v>
      </c>
      <c r="D665" s="69"/>
      <c r="E665" s="79" t="s">
        <v>75</v>
      </c>
      <c r="F665" s="70"/>
      <c r="G665" s="23">
        <v>49.13</v>
      </c>
      <c r="H665" s="23">
        <v>6.54</v>
      </c>
      <c r="I665" s="23">
        <v>44.16</v>
      </c>
      <c r="J665" s="23">
        <v>0.12</v>
      </c>
      <c r="K665" s="23">
        <v>0.05</v>
      </c>
      <c r="L665" s="58">
        <f t="shared" si="533"/>
        <v>12.439999999999998</v>
      </c>
      <c r="M665" s="36">
        <v>80</v>
      </c>
      <c r="N665" s="36">
        <v>7.3</v>
      </c>
      <c r="O665" s="18">
        <v>0.26</v>
      </c>
      <c r="P665" s="71">
        <v>0</v>
      </c>
      <c r="Q665" s="84">
        <v>840</v>
      </c>
      <c r="R665" s="18" t="s">
        <v>62</v>
      </c>
      <c r="S665" s="21">
        <v>0.63</v>
      </c>
      <c r="T665" s="18">
        <v>17.12</v>
      </c>
      <c r="U665" s="21">
        <v>37.702078521939903</v>
      </c>
      <c r="V665" s="21">
        <v>17.378752886836001</v>
      </c>
      <c r="W665" s="21">
        <v>29.4803695150115</v>
      </c>
      <c r="X665" s="21">
        <v>11.189376443418</v>
      </c>
      <c r="Y665" s="73">
        <f t="shared" si="517"/>
        <v>6.0727426056174309E-2</v>
      </c>
      <c r="Z665" s="18" t="s">
        <v>51</v>
      </c>
      <c r="AA665" s="18" t="s">
        <v>51</v>
      </c>
      <c r="AB665" s="18" t="s">
        <v>51</v>
      </c>
      <c r="AC665" s="28">
        <f t="shared" si="518"/>
        <v>10275.05402507422</v>
      </c>
      <c r="AD665" s="18" t="s">
        <v>51</v>
      </c>
      <c r="AF665" s="1"/>
      <c r="AK665" s="1">
        <f t="shared" si="519"/>
        <v>4.2857142857142859E-3</v>
      </c>
      <c r="AL665" s="1">
        <f t="shared" si="520"/>
        <v>7.0530104104502467</v>
      </c>
      <c r="AM665" s="1">
        <f t="shared" si="521"/>
        <v>7.0572961247359611</v>
      </c>
      <c r="AN665" s="1"/>
      <c r="AO665" s="30">
        <f t="shared" si="522"/>
        <v>37.679183020083848</v>
      </c>
      <c r="AP665" s="30">
        <f t="shared" si="523"/>
        <v>17.368199217527163</v>
      </c>
      <c r="AQ665" s="30">
        <f t="shared" si="524"/>
        <v>29.462466845413182</v>
      </c>
      <c r="AR665" s="30">
        <f t="shared" si="525"/>
        <v>11.182581423112175</v>
      </c>
      <c r="AS665" s="30">
        <f t="shared" si="526"/>
        <v>6.0727426056174309E-2</v>
      </c>
      <c r="AT665" s="31">
        <f t="shared" si="502"/>
        <v>95.753157932192536</v>
      </c>
      <c r="AV665" s="28">
        <f t="shared" si="527"/>
        <v>10268.814249238909</v>
      </c>
    </row>
    <row r="666" spans="2:48" ht="15.75" customHeight="1" x14ac:dyDescent="0.25">
      <c r="B666" s="78"/>
      <c r="C666" s="94" t="s">
        <v>46</v>
      </c>
      <c r="D666" s="69"/>
      <c r="E666" s="79" t="s">
        <v>75</v>
      </c>
      <c r="F666" s="70"/>
      <c r="G666" s="23">
        <v>49.13</v>
      </c>
      <c r="H666" s="23">
        <v>6.54</v>
      </c>
      <c r="I666" s="23">
        <v>44.16</v>
      </c>
      <c r="J666" s="23">
        <v>0.12</v>
      </c>
      <c r="K666" s="23">
        <v>0.05</v>
      </c>
      <c r="L666" s="58">
        <f t="shared" si="533"/>
        <v>12.439999999999998</v>
      </c>
      <c r="M666" s="36">
        <v>80</v>
      </c>
      <c r="N666" s="36">
        <v>7.3</v>
      </c>
      <c r="O666" s="18">
        <v>0.26</v>
      </c>
      <c r="P666" s="71">
        <v>0</v>
      </c>
      <c r="Q666" s="84">
        <v>840</v>
      </c>
      <c r="R666" s="18" t="s">
        <v>62</v>
      </c>
      <c r="S666" s="21">
        <v>0.63</v>
      </c>
      <c r="T666" s="18">
        <v>17.12</v>
      </c>
      <c r="U666" s="21">
        <v>38.441108545034602</v>
      </c>
      <c r="V666" s="21">
        <v>17.655889145496499</v>
      </c>
      <c r="W666" s="21">
        <v>29.757505773672001</v>
      </c>
      <c r="X666" s="21">
        <v>11.5588914549653</v>
      </c>
      <c r="Y666" s="73">
        <f t="shared" si="517"/>
        <v>6.1693249988275398E-2</v>
      </c>
      <c r="Z666" s="18" t="s">
        <v>51</v>
      </c>
      <c r="AA666" s="18" t="s">
        <v>51</v>
      </c>
      <c r="AB666" s="18" t="s">
        <v>51</v>
      </c>
      <c r="AC666" s="28">
        <f t="shared" si="518"/>
        <v>10522.251319696441</v>
      </c>
      <c r="AD666" s="18" t="s">
        <v>51</v>
      </c>
      <c r="AF666" s="1"/>
      <c r="AK666" s="1">
        <f t="shared" si="519"/>
        <v>4.2857142857142859E-3</v>
      </c>
      <c r="AL666" s="1">
        <f t="shared" si="520"/>
        <v>6.942526597480601</v>
      </c>
      <c r="AM666" s="1">
        <f t="shared" si="521"/>
        <v>6.9468123117663154</v>
      </c>
      <c r="AN666" s="1"/>
      <c r="AO666" s="30">
        <f t="shared" si="522"/>
        <v>38.417392975841651</v>
      </c>
      <c r="AP666" s="30">
        <f t="shared" si="523"/>
        <v>17.644996653668311</v>
      </c>
      <c r="AQ666" s="30">
        <f t="shared" si="524"/>
        <v>29.739147401244772</v>
      </c>
      <c r="AR666" s="30">
        <f t="shared" si="525"/>
        <v>11.551760399164115</v>
      </c>
      <c r="AS666" s="30">
        <f t="shared" si="526"/>
        <v>6.1693249988275398E-2</v>
      </c>
      <c r="AT666" s="31">
        <f t="shared" si="502"/>
        <v>97.41499067990712</v>
      </c>
      <c r="AV666" s="28">
        <f t="shared" si="527"/>
        <v>10515.759800885384</v>
      </c>
    </row>
    <row r="667" spans="2:48" ht="15.75" customHeight="1" x14ac:dyDescent="0.25">
      <c r="B667" s="78"/>
      <c r="C667" s="94" t="s">
        <v>46</v>
      </c>
      <c r="D667" s="69"/>
      <c r="E667" s="79" t="s">
        <v>75</v>
      </c>
      <c r="F667" s="70"/>
      <c r="G667" s="23">
        <v>49.13</v>
      </c>
      <c r="H667" s="23">
        <v>6.54</v>
      </c>
      <c r="I667" s="23">
        <v>44.16</v>
      </c>
      <c r="J667" s="23">
        <v>0.12</v>
      </c>
      <c r="K667" s="23">
        <v>0.05</v>
      </c>
      <c r="L667" s="58">
        <f t="shared" si="533"/>
        <v>12.439999999999998</v>
      </c>
      <c r="M667" s="36">
        <v>80</v>
      </c>
      <c r="N667" s="36">
        <v>7.3</v>
      </c>
      <c r="O667" s="18">
        <v>0.26</v>
      </c>
      <c r="P667" s="71">
        <v>0</v>
      </c>
      <c r="Q667" s="84">
        <v>840</v>
      </c>
      <c r="R667" s="18" t="s">
        <v>62</v>
      </c>
      <c r="S667" s="21">
        <v>0.63</v>
      </c>
      <c r="T667" s="18">
        <v>17.12</v>
      </c>
      <c r="U667" s="21">
        <v>37.979214780600401</v>
      </c>
      <c r="V667" s="21">
        <v>18.025404157043798</v>
      </c>
      <c r="W667" s="21">
        <v>29.018475750577299</v>
      </c>
      <c r="X667" s="21">
        <v>11.8360277136258</v>
      </c>
      <c r="Y667" s="73">
        <f t="shared" si="517"/>
        <v>6.1596668435110455E-2</v>
      </c>
      <c r="Z667" s="18" t="s">
        <v>51</v>
      </c>
      <c r="AA667" s="18" t="s">
        <v>51</v>
      </c>
      <c r="AB667" s="18" t="s">
        <v>51</v>
      </c>
      <c r="AC667" s="28">
        <f t="shared" si="518"/>
        <v>10618.373061695771</v>
      </c>
      <c r="AD667" s="18" t="s">
        <v>51</v>
      </c>
      <c r="AF667" s="1"/>
      <c r="AK667" s="1">
        <f t="shared" si="519"/>
        <v>4.2857142857142859E-3</v>
      </c>
      <c r="AL667" s="1">
        <f t="shared" si="520"/>
        <v>6.9534189710400982</v>
      </c>
      <c r="AM667" s="1">
        <f t="shared" si="521"/>
        <v>6.9577046853258127</v>
      </c>
      <c r="AN667" s="1"/>
      <c r="AO667" s="30">
        <f t="shared" si="522"/>
        <v>37.955820849597735</v>
      </c>
      <c r="AP667" s="30">
        <f t="shared" si="523"/>
        <v>18.014301108611093</v>
      </c>
      <c r="AQ667" s="30">
        <f t="shared" si="524"/>
        <v>29.000601336284294</v>
      </c>
      <c r="AR667" s="30">
        <f t="shared" si="525"/>
        <v>11.82873711487915</v>
      </c>
      <c r="AS667" s="30">
        <f t="shared" si="526"/>
        <v>6.1596668435110455E-2</v>
      </c>
      <c r="AT667" s="31">
        <f t="shared" si="502"/>
        <v>96.861057077807388</v>
      </c>
      <c r="AV667" s="28">
        <f t="shared" si="527"/>
        <v>10611.832497647754</v>
      </c>
    </row>
    <row r="668" spans="2:48" ht="15.75" customHeight="1" x14ac:dyDescent="0.25">
      <c r="B668" s="78"/>
      <c r="C668" s="94" t="s">
        <v>46</v>
      </c>
      <c r="D668" s="69"/>
      <c r="E668" s="79" t="s">
        <v>75</v>
      </c>
      <c r="F668" s="70"/>
      <c r="G668" s="23">
        <v>49.13</v>
      </c>
      <c r="H668" s="23">
        <v>6.54</v>
      </c>
      <c r="I668" s="23">
        <v>44.16</v>
      </c>
      <c r="J668" s="23">
        <v>0.12</v>
      </c>
      <c r="K668" s="23">
        <v>0.05</v>
      </c>
      <c r="L668" s="58">
        <f t="shared" si="533"/>
        <v>12.439999999999998</v>
      </c>
      <c r="M668" s="36">
        <v>80</v>
      </c>
      <c r="N668" s="36">
        <v>7.3</v>
      </c>
      <c r="O668" s="18">
        <v>0.26</v>
      </c>
      <c r="P668" s="71">
        <v>0</v>
      </c>
      <c r="Q668" s="84">
        <v>840</v>
      </c>
      <c r="R668" s="18" t="s">
        <v>62</v>
      </c>
      <c r="S668" s="21">
        <v>0.63</v>
      </c>
      <c r="T668" s="18">
        <v>17.12</v>
      </c>
      <c r="U668" s="21">
        <v>39.0877598152424</v>
      </c>
      <c r="V668" s="21">
        <v>18.025404157043798</v>
      </c>
      <c r="W668" s="21">
        <v>28.464203233256299</v>
      </c>
      <c r="X668" s="21">
        <v>11.004618937644301</v>
      </c>
      <c r="Y668" s="73">
        <f t="shared" si="517"/>
        <v>6.0147922736301179E-2</v>
      </c>
      <c r="Z668" s="18" t="s">
        <v>51</v>
      </c>
      <c r="AA668" s="18" t="s">
        <v>51</v>
      </c>
      <c r="AB668" s="18" t="s">
        <v>51</v>
      </c>
      <c r="AC668" s="28">
        <f t="shared" si="518"/>
        <v>10440.142279775617</v>
      </c>
      <c r="AD668" s="18" t="s">
        <v>51</v>
      </c>
      <c r="AF668" s="1"/>
      <c r="AK668" s="1">
        <f t="shared" si="519"/>
        <v>4.2857142857142859E-3</v>
      </c>
      <c r="AL668" s="1">
        <f t="shared" si="520"/>
        <v>7.1210048871928988</v>
      </c>
      <c r="AM668" s="1">
        <f t="shared" si="521"/>
        <v>7.1252906014786133</v>
      </c>
      <c r="AN668" s="1"/>
      <c r="AO668" s="30">
        <f t="shared" si="522"/>
        <v>39.064249339669374</v>
      </c>
      <c r="AP668" s="30">
        <f t="shared" si="523"/>
        <v>18.014562250878509</v>
      </c>
      <c r="AQ668" s="30">
        <f t="shared" si="524"/>
        <v>28.447082606288049</v>
      </c>
      <c r="AR668" s="30">
        <f t="shared" si="525"/>
        <v>10.997999887948263</v>
      </c>
      <c r="AS668" s="30">
        <f t="shared" si="526"/>
        <v>6.0147922736301179E-2</v>
      </c>
      <c r="AT668" s="31">
        <f t="shared" si="502"/>
        <v>96.584042007520509</v>
      </c>
      <c r="AV668" s="28">
        <f t="shared" si="527"/>
        <v>10433.862751063616</v>
      </c>
    </row>
    <row r="669" spans="2:48" ht="15.75" customHeight="1" x14ac:dyDescent="0.25">
      <c r="B669" s="78"/>
      <c r="C669" s="94" t="s">
        <v>46</v>
      </c>
      <c r="D669" s="69"/>
      <c r="E669" s="79" t="s">
        <v>75</v>
      </c>
      <c r="F669" s="70"/>
      <c r="G669" s="23">
        <v>49.13</v>
      </c>
      <c r="H669" s="23">
        <v>6.54</v>
      </c>
      <c r="I669" s="23">
        <v>44.16</v>
      </c>
      <c r="J669" s="23">
        <v>0.12</v>
      </c>
      <c r="K669" s="23">
        <v>0.05</v>
      </c>
      <c r="L669" s="58">
        <f t="shared" si="533"/>
        <v>12.439999999999998</v>
      </c>
      <c r="M669" s="36">
        <v>80</v>
      </c>
      <c r="N669" s="36">
        <v>7.3</v>
      </c>
      <c r="O669" s="18">
        <v>0.26</v>
      </c>
      <c r="P669" s="71">
        <v>0</v>
      </c>
      <c r="Q669" s="84">
        <v>645</v>
      </c>
      <c r="R669" s="18" t="s">
        <v>122</v>
      </c>
      <c r="S669" s="21">
        <v>0.79</v>
      </c>
      <c r="T669" s="18">
        <v>17.12</v>
      </c>
      <c r="U669" s="21">
        <v>78.84</v>
      </c>
      <c r="V669" s="21">
        <v>6.3549618320610604</v>
      </c>
      <c r="W669" s="21">
        <v>6.7843511450381602</v>
      </c>
      <c r="X669" s="21">
        <v>11.679389312977101</v>
      </c>
      <c r="Y669" s="73">
        <f t="shared" si="517"/>
        <v>2.5973109814949595E-2</v>
      </c>
      <c r="Z669" s="18" t="s">
        <v>51</v>
      </c>
      <c r="AA669" s="18" t="s">
        <v>51</v>
      </c>
      <c r="AB669" s="18" t="s">
        <v>51</v>
      </c>
      <c r="AC669" s="28">
        <f t="shared" si="518"/>
        <v>13498.952878953109</v>
      </c>
      <c r="AD669" s="18" t="s">
        <v>51</v>
      </c>
      <c r="AF669" s="1"/>
      <c r="AK669" s="1">
        <f t="shared" si="519"/>
        <v>4.2857142857142859E-3</v>
      </c>
      <c r="AL669" s="1">
        <f t="shared" si="520"/>
        <v>16.496296296296308</v>
      </c>
      <c r="AM669" s="1">
        <f t="shared" si="521"/>
        <v>16.500582010582022</v>
      </c>
      <c r="AN669" s="1"/>
      <c r="AO669" s="30">
        <f t="shared" si="522"/>
        <v>78.819522800221904</v>
      </c>
      <c r="AP669" s="30">
        <f t="shared" si="523"/>
        <v>6.3533112508457208</v>
      </c>
      <c r="AQ669" s="30">
        <f t="shared" si="524"/>
        <v>6.7825890380650273</v>
      </c>
      <c r="AR669" s="30">
        <f t="shared" si="525"/>
        <v>11.676355812365125</v>
      </c>
      <c r="AS669" s="30">
        <f t="shared" si="526"/>
        <v>2.5973109814949595E-2</v>
      </c>
      <c r="AT669" s="31">
        <f t="shared" si="502"/>
        <v>103.65775201131274</v>
      </c>
      <c r="AV669" s="28">
        <f t="shared" si="527"/>
        <v>13495.446781097991</v>
      </c>
    </row>
    <row r="670" spans="2:48" ht="15.75" customHeight="1" x14ac:dyDescent="0.25">
      <c r="B670" s="78"/>
      <c r="C670" s="94" t="s">
        <v>46</v>
      </c>
      <c r="D670" s="69"/>
      <c r="E670" s="79" t="s">
        <v>75</v>
      </c>
      <c r="F670" s="70"/>
      <c r="G670" s="23">
        <v>49.13</v>
      </c>
      <c r="H670" s="23">
        <v>6.54</v>
      </c>
      <c r="I670" s="23">
        <v>44.16</v>
      </c>
      <c r="J670" s="23">
        <v>0.12</v>
      </c>
      <c r="K670" s="23">
        <v>0.05</v>
      </c>
      <c r="L670" s="58">
        <f t="shared" si="533"/>
        <v>12.439999999999998</v>
      </c>
      <c r="M670" s="36">
        <v>80</v>
      </c>
      <c r="N670" s="36">
        <v>7.3</v>
      </c>
      <c r="O670" s="18">
        <v>0.26</v>
      </c>
      <c r="P670" s="71">
        <v>0</v>
      </c>
      <c r="Q670" s="84">
        <v>645</v>
      </c>
      <c r="R670" s="18" t="s">
        <v>122</v>
      </c>
      <c r="S670" s="21">
        <v>0.79</v>
      </c>
      <c r="T670" s="18">
        <v>17.12</v>
      </c>
      <c r="U670" s="21">
        <v>79.180000000000007</v>
      </c>
      <c r="V670" s="21">
        <v>6.61259541984733</v>
      </c>
      <c r="W670" s="21">
        <v>7.21374045801526</v>
      </c>
      <c r="X670" s="21">
        <v>11.3358778625954</v>
      </c>
      <c r="Y670" s="73">
        <f t="shared" si="517"/>
        <v>2.6332504561587963E-2</v>
      </c>
      <c r="Z670" s="18" t="s">
        <v>51</v>
      </c>
      <c r="AA670" s="18" t="s">
        <v>51</v>
      </c>
      <c r="AB670" s="18" t="s">
        <v>51</v>
      </c>
      <c r="AC670" s="28">
        <f t="shared" si="518"/>
        <v>13445.122497273715</v>
      </c>
      <c r="AD670" s="18" t="s">
        <v>51</v>
      </c>
      <c r="AF670" s="1"/>
      <c r="AK670" s="1">
        <f t="shared" si="519"/>
        <v>4.2857142857142859E-3</v>
      </c>
      <c r="AL670" s="1">
        <f t="shared" si="520"/>
        <v>16.271090886107967</v>
      </c>
      <c r="AM670" s="1">
        <f t="shared" si="521"/>
        <v>16.275376600393681</v>
      </c>
      <c r="AN670" s="1"/>
      <c r="AO670" s="30">
        <f t="shared" si="522"/>
        <v>79.159149922888133</v>
      </c>
      <c r="AP670" s="30">
        <f t="shared" si="523"/>
        <v>6.6108541578567577</v>
      </c>
      <c r="AQ670" s="30">
        <f t="shared" si="524"/>
        <v>7.2118408994800918</v>
      </c>
      <c r="AR670" s="30">
        <f t="shared" si="525"/>
        <v>11.332892842040135</v>
      </c>
      <c r="AS670" s="30">
        <f t="shared" si="526"/>
        <v>2.6332504561587963E-2</v>
      </c>
      <c r="AT670" s="31">
        <f t="shared" si="502"/>
        <v>104.34107032682672</v>
      </c>
      <c r="AV670" s="28">
        <f t="shared" si="527"/>
        <v>13441.582059778808</v>
      </c>
    </row>
    <row r="671" spans="2:48" ht="15.75" customHeight="1" x14ac:dyDescent="0.25">
      <c r="B671" s="78"/>
      <c r="C671" s="94" t="s">
        <v>46</v>
      </c>
      <c r="D671" s="69"/>
      <c r="E671" s="79" t="s">
        <v>75</v>
      </c>
      <c r="F671" s="70"/>
      <c r="G671" s="23">
        <v>49.13</v>
      </c>
      <c r="H671" s="23">
        <v>6.54</v>
      </c>
      <c r="I671" s="23">
        <v>44.16</v>
      </c>
      <c r="J671" s="23">
        <v>0.12</v>
      </c>
      <c r="K671" s="23">
        <v>0.05</v>
      </c>
      <c r="L671" s="58">
        <f t="shared" si="533"/>
        <v>12.439999999999998</v>
      </c>
      <c r="M671" s="36">
        <v>80</v>
      </c>
      <c r="N671" s="36">
        <v>7.3</v>
      </c>
      <c r="O671" s="18">
        <v>0.26</v>
      </c>
      <c r="P671" s="71">
        <v>0</v>
      </c>
      <c r="Q671" s="84">
        <v>645</v>
      </c>
      <c r="R671" s="18" t="s">
        <v>122</v>
      </c>
      <c r="S671" s="21">
        <v>0.79</v>
      </c>
      <c r="T671" s="18">
        <v>17.12</v>
      </c>
      <c r="U671" s="21">
        <v>78.83</v>
      </c>
      <c r="V671" s="21">
        <v>6.8702290076335801</v>
      </c>
      <c r="W671" s="21">
        <v>7.4713740458015199</v>
      </c>
      <c r="X671" s="21">
        <v>11.249999999999901</v>
      </c>
      <c r="Y671" s="73">
        <f t="shared" si="517"/>
        <v>2.6781744361204465E-2</v>
      </c>
      <c r="Z671" s="18" t="s">
        <v>51</v>
      </c>
      <c r="AA671" s="18" t="s">
        <v>51</v>
      </c>
      <c r="AB671" s="18" t="s">
        <v>51</v>
      </c>
      <c r="AC671" s="28">
        <f t="shared" si="518"/>
        <v>13409.116254089386</v>
      </c>
      <c r="AD671" s="18" t="s">
        <v>51</v>
      </c>
      <c r="AF671" s="1"/>
      <c r="AK671" s="1">
        <f t="shared" si="519"/>
        <v>4.2857142857142859E-3</v>
      </c>
      <c r="AL671" s="1">
        <f t="shared" si="520"/>
        <v>15.998086005468625</v>
      </c>
      <c r="AM671" s="1">
        <f t="shared" si="521"/>
        <v>16.00237171975434</v>
      </c>
      <c r="AN671" s="1"/>
      <c r="AO671" s="30">
        <f t="shared" si="522"/>
        <v>78.808887950920052</v>
      </c>
      <c r="AP671" s="30">
        <f t="shared" si="523"/>
        <v>6.8683890404637262</v>
      </c>
      <c r="AQ671" s="30">
        <f t="shared" si="524"/>
        <v>7.4693730815043029</v>
      </c>
      <c r="AR671" s="30">
        <f t="shared" si="525"/>
        <v>11.246987053759264</v>
      </c>
      <c r="AS671" s="30">
        <f t="shared" si="526"/>
        <v>2.6781744361204465E-2</v>
      </c>
      <c r="AT671" s="31">
        <f t="shared" si="502"/>
        <v>104.42041887100855</v>
      </c>
      <c r="AV671" s="28">
        <f t="shared" si="527"/>
        <v>13405.525058853118</v>
      </c>
    </row>
    <row r="672" spans="2:48" ht="15.75" customHeight="1" x14ac:dyDescent="0.25">
      <c r="B672" s="78"/>
      <c r="C672" s="94" t="s">
        <v>46</v>
      </c>
      <c r="D672" s="69"/>
      <c r="E672" s="79" t="s">
        <v>75</v>
      </c>
      <c r="F672" s="70"/>
      <c r="G672" s="23">
        <v>49.13</v>
      </c>
      <c r="H672" s="23">
        <v>6.54</v>
      </c>
      <c r="I672" s="23">
        <v>44.16</v>
      </c>
      <c r="J672" s="23">
        <v>0.12</v>
      </c>
      <c r="K672" s="23">
        <v>0.05</v>
      </c>
      <c r="L672" s="58">
        <f t="shared" si="533"/>
        <v>12.439999999999998</v>
      </c>
      <c r="M672" s="36">
        <v>80</v>
      </c>
      <c r="N672" s="36">
        <v>7.3</v>
      </c>
      <c r="O672" s="18">
        <v>0.26</v>
      </c>
      <c r="P672" s="71">
        <v>0</v>
      </c>
      <c r="Q672" s="84">
        <v>645</v>
      </c>
      <c r="R672" s="18" t="s">
        <v>122</v>
      </c>
      <c r="S672" s="21">
        <v>0.79</v>
      </c>
      <c r="T672" s="18">
        <v>17.12</v>
      </c>
      <c r="U672" s="21">
        <v>78.83</v>
      </c>
      <c r="V672" s="21">
        <v>6.4408396946564803</v>
      </c>
      <c r="W672" s="21">
        <v>6.7843511450381602</v>
      </c>
      <c r="X672" s="21">
        <v>11.8511450381679</v>
      </c>
      <c r="Y672" s="73">
        <f t="shared" si="517"/>
        <v>2.6242656117175075E-2</v>
      </c>
      <c r="Z672" s="18" t="s">
        <v>51</v>
      </c>
      <c r="AA672" s="18" t="s">
        <v>51</v>
      </c>
      <c r="AB672" s="18" t="s">
        <v>51</v>
      </c>
      <c r="AC672" s="28">
        <f t="shared" si="518"/>
        <v>13570.265296483083</v>
      </c>
      <c r="AD672" s="18" t="s">
        <v>51</v>
      </c>
      <c r="AF672" s="1"/>
      <c r="AK672" s="1">
        <f t="shared" si="519"/>
        <v>4.2857142857142859E-3</v>
      </c>
      <c r="AL672" s="1">
        <f t="shared" si="520"/>
        <v>16.326813800101505</v>
      </c>
      <c r="AM672" s="1">
        <f t="shared" si="521"/>
        <v>16.331099514387219</v>
      </c>
      <c r="AN672" s="1"/>
      <c r="AO672" s="30">
        <f t="shared" si="522"/>
        <v>78.80931291418284</v>
      </c>
      <c r="AP672" s="30">
        <f t="shared" si="523"/>
        <v>6.4391494472443522</v>
      </c>
      <c r="AQ672" s="30">
        <f t="shared" si="524"/>
        <v>6.7825707510973858</v>
      </c>
      <c r="AR672" s="30">
        <f t="shared" si="525"/>
        <v>11.848034982929585</v>
      </c>
      <c r="AS672" s="30">
        <f t="shared" si="526"/>
        <v>2.6242656117175075E-2</v>
      </c>
      <c r="AT672" s="31">
        <f t="shared" si="502"/>
        <v>103.90531075157134</v>
      </c>
      <c r="AV672" s="28">
        <f t="shared" si="527"/>
        <v>13566.704098427139</v>
      </c>
    </row>
    <row r="673" spans="1:48" ht="15.75" customHeight="1" x14ac:dyDescent="0.25">
      <c r="B673" s="78"/>
      <c r="C673" s="94" t="s">
        <v>46</v>
      </c>
      <c r="D673" s="69"/>
      <c r="E673" s="79" t="s">
        <v>75</v>
      </c>
      <c r="F673" s="70"/>
      <c r="G673" s="23">
        <v>49.13</v>
      </c>
      <c r="H673" s="23">
        <v>6.54</v>
      </c>
      <c r="I673" s="23">
        <v>44.16</v>
      </c>
      <c r="J673" s="23">
        <v>0.12</v>
      </c>
      <c r="K673" s="23">
        <v>0.05</v>
      </c>
      <c r="L673" s="58">
        <f t="shared" si="533"/>
        <v>12.439999999999998</v>
      </c>
      <c r="M673" s="36">
        <v>80</v>
      </c>
      <c r="N673" s="36">
        <v>7.3</v>
      </c>
      <c r="O673" s="18">
        <v>0.26</v>
      </c>
      <c r="P673" s="71">
        <v>0</v>
      </c>
      <c r="Q673" s="84">
        <v>645</v>
      </c>
      <c r="R673" s="18" t="s">
        <v>122</v>
      </c>
      <c r="S673" s="21">
        <v>0.79</v>
      </c>
      <c r="T673" s="18">
        <v>17.12</v>
      </c>
      <c r="U673" s="21">
        <v>78.3</v>
      </c>
      <c r="V673" s="21">
        <v>7.0419847328244201</v>
      </c>
      <c r="W673" s="21">
        <v>6.7843511450381602</v>
      </c>
      <c r="X673" s="21">
        <v>11.8511450381679</v>
      </c>
      <c r="Y673" s="73">
        <f t="shared" si="517"/>
        <v>2.6871591836641347E-2</v>
      </c>
      <c r="Z673" s="18" t="s">
        <v>51</v>
      </c>
      <c r="AA673" s="18" t="s">
        <v>51</v>
      </c>
      <c r="AB673" s="18" t="s">
        <v>51</v>
      </c>
      <c r="AC673" s="28">
        <f t="shared" si="518"/>
        <v>13588.997191930192</v>
      </c>
      <c r="AD673" s="18" t="s">
        <v>51</v>
      </c>
      <c r="AF673" s="1"/>
      <c r="AK673" s="1">
        <f t="shared" si="519"/>
        <v>4.2857142857142859E-3</v>
      </c>
      <c r="AL673" s="1">
        <f t="shared" si="520"/>
        <v>15.944580701102474</v>
      </c>
      <c r="AM673" s="1">
        <f t="shared" si="521"/>
        <v>15.948866415388188</v>
      </c>
      <c r="AN673" s="1"/>
      <c r="AO673" s="30">
        <f t="shared" si="522"/>
        <v>78.278959543591895</v>
      </c>
      <c r="AP673" s="30">
        <f t="shared" si="523"/>
        <v>7.0400924394298183</v>
      </c>
      <c r="AQ673" s="30">
        <f t="shared" si="524"/>
        <v>6.7825280818897005</v>
      </c>
      <c r="AR673" s="30">
        <f t="shared" si="525"/>
        <v>11.847960446845276</v>
      </c>
      <c r="AS673" s="30">
        <f t="shared" si="526"/>
        <v>2.6871591836641347E-2</v>
      </c>
      <c r="AT673" s="31">
        <f t="shared" si="502"/>
        <v>103.97641210359332</v>
      </c>
      <c r="AV673" s="28">
        <f t="shared" si="527"/>
        <v>13585.345612070083</v>
      </c>
    </row>
    <row r="674" spans="1:48" ht="15.75" customHeight="1" x14ac:dyDescent="0.25">
      <c r="A674" s="14"/>
      <c r="B674" s="68" t="s">
        <v>123</v>
      </c>
      <c r="C674" s="94" t="s">
        <v>46</v>
      </c>
      <c r="D674" s="69" t="s">
        <v>104</v>
      </c>
      <c r="E674" s="79" t="s">
        <v>75</v>
      </c>
      <c r="F674" s="70" t="s">
        <v>124</v>
      </c>
      <c r="G674" s="18">
        <v>44.18</v>
      </c>
      <c r="H674" s="18">
        <v>6.38</v>
      </c>
      <c r="I674" s="18">
        <v>49.32</v>
      </c>
      <c r="J674" s="18">
        <v>0.12</v>
      </c>
      <c r="K674" s="18">
        <v>0</v>
      </c>
      <c r="L674" s="18">
        <v>14.86</v>
      </c>
      <c r="M674" s="18">
        <v>76.86</v>
      </c>
      <c r="N674" s="18">
        <v>8.16</v>
      </c>
      <c r="O674" s="18">
        <v>0.12</v>
      </c>
      <c r="P674" s="71">
        <v>0</v>
      </c>
      <c r="Q674" s="84">
        <v>650</v>
      </c>
      <c r="R674" s="16" t="s">
        <v>50</v>
      </c>
      <c r="S674" s="21">
        <v>0.85</v>
      </c>
      <c r="T674" s="18">
        <v>19.45</v>
      </c>
      <c r="U674" s="21">
        <v>21.84</v>
      </c>
      <c r="V674" s="21">
        <v>45</v>
      </c>
      <c r="W674" s="21">
        <v>14.99</v>
      </c>
      <c r="X674" s="21">
        <v>13.61</v>
      </c>
      <c r="Y674" s="73">
        <f t="shared" si="517"/>
        <v>8.5602143361879435E-2</v>
      </c>
      <c r="Z674" s="21">
        <f t="shared" ref="Z674:Z680" si="534">AF674*0.0224</f>
        <v>0.39804800000000001</v>
      </c>
      <c r="AA674" s="21">
        <v>33.369999999999997</v>
      </c>
      <c r="AB674" s="21">
        <v>73.63</v>
      </c>
      <c r="AC674" s="28">
        <f t="shared" si="518"/>
        <v>12919.645982142858</v>
      </c>
      <c r="AD674" s="18" t="s">
        <v>51</v>
      </c>
      <c r="AF674" s="18">
        <v>17.77</v>
      </c>
      <c r="AK674" s="1">
        <f t="shared" si="519"/>
        <v>4.2857142857142859E-3</v>
      </c>
      <c r="AL674" s="1">
        <f t="shared" si="520"/>
        <v>5.0022644927536239</v>
      </c>
      <c r="AM674" s="1">
        <f t="shared" si="521"/>
        <v>5.0065502070393384</v>
      </c>
      <c r="AN674" s="1"/>
      <c r="AO674" s="30">
        <f t="shared" si="522"/>
        <v>21.821304491889766</v>
      </c>
      <c r="AP674" s="30">
        <f t="shared" si="523"/>
        <v>44.961479035487159</v>
      </c>
      <c r="AQ674" s="30">
        <f t="shared" si="524"/>
        <v>14.977168238710057</v>
      </c>
      <c r="AR674" s="30">
        <f t="shared" si="525"/>
        <v>13.598349548288446</v>
      </c>
      <c r="AS674" s="30">
        <f t="shared" si="526"/>
        <v>8.5602143361879435E-2</v>
      </c>
      <c r="AT674" s="31">
        <f t="shared" si="502"/>
        <v>95.443903457737292</v>
      </c>
      <c r="AV674" s="28">
        <f t="shared" si="527"/>
        <v>12908.586488267376</v>
      </c>
    </row>
    <row r="675" spans="1:48" ht="15.75" customHeight="1" x14ac:dyDescent="0.25">
      <c r="B675" s="68"/>
      <c r="C675" s="94" t="s">
        <v>46</v>
      </c>
      <c r="D675" s="69"/>
      <c r="E675" s="79" t="s">
        <v>75</v>
      </c>
      <c r="F675" s="70"/>
      <c r="G675" s="18">
        <v>44.18</v>
      </c>
      <c r="H675" s="18">
        <v>6.38</v>
      </c>
      <c r="I675" s="18">
        <v>49.32</v>
      </c>
      <c r="J675" s="18">
        <v>0.12</v>
      </c>
      <c r="K675" s="18">
        <v>0</v>
      </c>
      <c r="L675" s="18">
        <v>14.86</v>
      </c>
      <c r="M675" s="18">
        <v>76.86</v>
      </c>
      <c r="N675" s="18">
        <v>8.16</v>
      </c>
      <c r="O675" s="18">
        <v>0.12</v>
      </c>
      <c r="P675" s="71">
        <v>0</v>
      </c>
      <c r="Q675" s="84">
        <v>650</v>
      </c>
      <c r="R675" s="16" t="s">
        <v>125</v>
      </c>
      <c r="S675" s="21">
        <v>0.85</v>
      </c>
      <c r="T675" s="18">
        <v>19.45</v>
      </c>
      <c r="U675" s="21">
        <v>63.56</v>
      </c>
      <c r="V675" s="21">
        <v>4.8499999999999996</v>
      </c>
      <c r="W675" s="21">
        <v>24.75</v>
      </c>
      <c r="X675" s="21">
        <v>5.75</v>
      </c>
      <c r="Y675" s="73">
        <f t="shared" si="517"/>
        <v>4.1132915427739336E-2</v>
      </c>
      <c r="Z675" s="21">
        <f t="shared" si="534"/>
        <v>1.0454080000000001</v>
      </c>
      <c r="AA675" s="21">
        <v>56.47</v>
      </c>
      <c r="AB675" s="21">
        <v>79.150000000000006</v>
      </c>
      <c r="AC675" s="28">
        <f t="shared" si="518"/>
        <v>9534.6849107142862</v>
      </c>
      <c r="AD675" s="18" t="s">
        <v>51</v>
      </c>
      <c r="AF675" s="18">
        <v>46.67</v>
      </c>
      <c r="AK675" s="1">
        <f t="shared" si="519"/>
        <v>4.2857142857142859E-3</v>
      </c>
      <c r="AL675" s="1">
        <f t="shared" si="520"/>
        <v>10.414898632720414</v>
      </c>
      <c r="AM675" s="1">
        <f t="shared" si="521"/>
        <v>10.419184347006128</v>
      </c>
      <c r="AN675" s="1"/>
      <c r="AO675" s="30">
        <f t="shared" si="522"/>
        <v>63.533855918954131</v>
      </c>
      <c r="AP675" s="30">
        <f t="shared" si="523"/>
        <v>4.8480050536017529</v>
      </c>
      <c r="AQ675" s="30">
        <f t="shared" si="524"/>
        <v>24.739819603431638</v>
      </c>
      <c r="AR675" s="30">
        <f t="shared" si="525"/>
        <v>5.7476348573629048</v>
      </c>
      <c r="AS675" s="30">
        <f t="shared" si="526"/>
        <v>4.1132915427739336E-2</v>
      </c>
      <c r="AT675" s="31">
        <f t="shared" si="502"/>
        <v>98.910448348778175</v>
      </c>
      <c r="AV675" s="28">
        <f t="shared" si="527"/>
        <v>9530.7630168336618</v>
      </c>
    </row>
    <row r="676" spans="1:48" ht="15.75" customHeight="1" x14ac:dyDescent="0.25">
      <c r="B676" s="68"/>
      <c r="C676" s="94" t="s">
        <v>46</v>
      </c>
      <c r="D676" s="69"/>
      <c r="E676" s="79" t="s">
        <v>75</v>
      </c>
      <c r="F676" s="70"/>
      <c r="G676" s="18">
        <v>44.18</v>
      </c>
      <c r="H676" s="18">
        <v>6.38</v>
      </c>
      <c r="I676" s="18">
        <v>49.32</v>
      </c>
      <c r="J676" s="18">
        <v>0.12</v>
      </c>
      <c r="K676" s="18">
        <v>0</v>
      </c>
      <c r="L676" s="18">
        <v>14.86</v>
      </c>
      <c r="M676" s="18">
        <v>76.86</v>
      </c>
      <c r="N676" s="18">
        <v>8.16</v>
      </c>
      <c r="O676" s="18">
        <v>0.12</v>
      </c>
      <c r="P676" s="71">
        <v>0</v>
      </c>
      <c r="Q676" s="18">
        <v>650</v>
      </c>
      <c r="R676" s="16" t="s">
        <v>126</v>
      </c>
      <c r="S676" s="21">
        <v>0.85</v>
      </c>
      <c r="T676" s="18">
        <v>19.45</v>
      </c>
      <c r="U676" s="21">
        <v>46.94</v>
      </c>
      <c r="V676" s="21">
        <v>14.18</v>
      </c>
      <c r="W676" s="21">
        <v>30.55</v>
      </c>
      <c r="X676" s="21">
        <v>6.81</v>
      </c>
      <c r="Y676" s="73">
        <f t="shared" si="517"/>
        <v>5.9960146008759457E-2</v>
      </c>
      <c r="Z676" s="21">
        <f t="shared" si="534"/>
        <v>0.73001600000000011</v>
      </c>
      <c r="AA676" s="21">
        <v>39.4</v>
      </c>
      <c r="AB676" s="21">
        <v>76.13</v>
      </c>
      <c r="AC676" s="28">
        <f t="shared" si="518"/>
        <v>9299.023660714287</v>
      </c>
      <c r="AD676" s="18" t="s">
        <v>51</v>
      </c>
      <c r="AF676" s="18">
        <v>32.590000000000003</v>
      </c>
      <c r="AK676" s="1">
        <f t="shared" si="519"/>
        <v>4.2857142857142859E-3</v>
      </c>
      <c r="AL676" s="1">
        <f t="shared" si="520"/>
        <v>7.143319104902341</v>
      </c>
      <c r="AM676" s="1">
        <f t="shared" si="521"/>
        <v>7.1476048191880555</v>
      </c>
      <c r="AN676" s="1"/>
      <c r="AO676" s="30">
        <f t="shared" si="522"/>
        <v>46.911854707463483</v>
      </c>
      <c r="AP676" s="30">
        <f t="shared" si="523"/>
        <v>14.171497651295958</v>
      </c>
      <c r="AQ676" s="30">
        <f t="shared" si="524"/>
        <v>30.531682175394327</v>
      </c>
      <c r="AR676" s="30">
        <f t="shared" si="525"/>
        <v>6.8059167140568029</v>
      </c>
      <c r="AS676" s="30">
        <f t="shared" si="526"/>
        <v>5.9960146008759457E-2</v>
      </c>
      <c r="AT676" s="31">
        <f t="shared" si="502"/>
        <v>98.480911394219333</v>
      </c>
      <c r="AV676" s="28">
        <f t="shared" si="527"/>
        <v>9293.4479525499319</v>
      </c>
    </row>
    <row r="677" spans="1:48" ht="15.75" customHeight="1" x14ac:dyDescent="0.25">
      <c r="B677" s="68"/>
      <c r="C677" s="94" t="s">
        <v>46</v>
      </c>
      <c r="D677" s="69"/>
      <c r="E677" s="79" t="s">
        <v>75</v>
      </c>
      <c r="F677" s="70"/>
      <c r="G677" s="18">
        <v>44.18</v>
      </c>
      <c r="H677" s="18">
        <v>6.38</v>
      </c>
      <c r="I677" s="18">
        <v>49.32</v>
      </c>
      <c r="J677" s="18">
        <v>0.12</v>
      </c>
      <c r="K677" s="18">
        <v>0</v>
      </c>
      <c r="L677" s="18">
        <v>14.86</v>
      </c>
      <c r="M677" s="18">
        <v>76.86</v>
      </c>
      <c r="N677" s="18">
        <v>8.16</v>
      </c>
      <c r="O677" s="18">
        <v>0.12</v>
      </c>
      <c r="P677" s="71">
        <v>0</v>
      </c>
      <c r="Q677" s="18">
        <v>750</v>
      </c>
      <c r="R677" s="16" t="s">
        <v>127</v>
      </c>
      <c r="S677" s="21">
        <v>0.85</v>
      </c>
      <c r="T677" s="18">
        <v>19.45</v>
      </c>
      <c r="U677" s="21">
        <v>38.03</v>
      </c>
      <c r="V677" s="21">
        <v>35.54</v>
      </c>
      <c r="W677" s="21">
        <v>12.16</v>
      </c>
      <c r="X677" s="21">
        <v>9.93</v>
      </c>
      <c r="Y677" s="73">
        <f t="shared" si="517"/>
        <v>6.7040326190279872E-2</v>
      </c>
      <c r="Z677" s="21">
        <f t="shared" si="534"/>
        <v>0.71344000000000007</v>
      </c>
      <c r="AA677" s="21">
        <v>53.19</v>
      </c>
      <c r="AB677" s="21">
        <v>79.39</v>
      </c>
      <c r="AC677" s="28">
        <f t="shared" si="518"/>
        <v>12153.683571428572</v>
      </c>
      <c r="AD677" s="18" t="s">
        <v>51</v>
      </c>
      <c r="AF677" s="18">
        <v>31.85</v>
      </c>
      <c r="AK677" s="1">
        <f t="shared" si="519"/>
        <v>4.2857142857142859E-3</v>
      </c>
      <c r="AL677" s="1">
        <f t="shared" si="520"/>
        <v>6.3884550870495689</v>
      </c>
      <c r="AM677" s="1">
        <f t="shared" si="521"/>
        <v>6.3927408013352833</v>
      </c>
      <c r="AN677" s="1"/>
      <c r="AO677" s="30">
        <f t="shared" si="522"/>
        <v>38.004504563949844</v>
      </c>
      <c r="AP677" s="30">
        <f t="shared" si="523"/>
        <v>35.516173868071974</v>
      </c>
      <c r="AQ677" s="30">
        <f t="shared" si="524"/>
        <v>12.151847896335262</v>
      </c>
      <c r="AR677" s="30">
        <f t="shared" si="525"/>
        <v>9.9233428956093057</v>
      </c>
      <c r="AS677" s="30">
        <f t="shared" si="526"/>
        <v>6.7040326190279872E-2</v>
      </c>
      <c r="AT677" s="31">
        <f t="shared" si="502"/>
        <v>95.662909550156655</v>
      </c>
      <c r="AV677" s="28">
        <f t="shared" si="527"/>
        <v>12145.535702318153</v>
      </c>
    </row>
    <row r="678" spans="1:48" ht="15.75" customHeight="1" x14ac:dyDescent="0.25">
      <c r="B678" s="68"/>
      <c r="C678" s="94" t="s">
        <v>46</v>
      </c>
      <c r="D678" s="69"/>
      <c r="E678" s="79" t="s">
        <v>75</v>
      </c>
      <c r="F678" s="70"/>
      <c r="G678" s="18">
        <v>44.18</v>
      </c>
      <c r="H678" s="18">
        <v>6.38</v>
      </c>
      <c r="I678" s="18">
        <v>49.32</v>
      </c>
      <c r="J678" s="18">
        <v>0.12</v>
      </c>
      <c r="K678" s="18">
        <v>0</v>
      </c>
      <c r="L678" s="18">
        <v>14.86</v>
      </c>
      <c r="M678" s="18">
        <v>76.86</v>
      </c>
      <c r="N678" s="18">
        <v>8.16</v>
      </c>
      <c r="O678" s="18">
        <v>0.12</v>
      </c>
      <c r="P678" s="71">
        <v>0</v>
      </c>
      <c r="Q678" s="18">
        <v>750</v>
      </c>
      <c r="R678" s="16" t="s">
        <v>125</v>
      </c>
      <c r="S678" s="21">
        <v>0.85</v>
      </c>
      <c r="T678" s="18">
        <v>19.45</v>
      </c>
      <c r="U678" s="21">
        <v>55.97</v>
      </c>
      <c r="V678" s="21">
        <v>7.71</v>
      </c>
      <c r="W678" s="21">
        <v>29.23</v>
      </c>
      <c r="X678" s="21">
        <v>5.72</v>
      </c>
      <c r="Y678" s="73">
        <f t="shared" si="517"/>
        <v>4.9634538337128428E-2</v>
      </c>
      <c r="Z678" s="21">
        <f t="shared" si="534"/>
        <v>1.531936</v>
      </c>
      <c r="AA678" s="21">
        <v>79.61</v>
      </c>
      <c r="AB678" s="21">
        <v>96.95</v>
      </c>
      <c r="AC678" s="28">
        <f t="shared" si="518"/>
        <v>9065.8847321428584</v>
      </c>
      <c r="AD678" s="18" t="s">
        <v>51</v>
      </c>
      <c r="AF678" s="18">
        <v>68.39</v>
      </c>
      <c r="AK678" s="1">
        <f t="shared" si="519"/>
        <v>4.2857142857142859E-3</v>
      </c>
      <c r="AL678" s="1">
        <f t="shared" si="520"/>
        <v>8.630254727301141</v>
      </c>
      <c r="AM678" s="1">
        <f t="shared" si="521"/>
        <v>8.6345404415868554</v>
      </c>
      <c r="AN678" s="1"/>
      <c r="AO678" s="30">
        <f t="shared" si="522"/>
        <v>55.942219548892702</v>
      </c>
      <c r="AP678" s="30">
        <f t="shared" si="523"/>
        <v>7.7061731770942083</v>
      </c>
      <c r="AQ678" s="30">
        <f t="shared" si="524"/>
        <v>29.215491824444058</v>
      </c>
      <c r="AR678" s="30">
        <f t="shared" si="525"/>
        <v>5.7171609044071161</v>
      </c>
      <c r="AS678" s="30">
        <f t="shared" si="526"/>
        <v>4.9634538337128428E-2</v>
      </c>
      <c r="AT678" s="31">
        <f t="shared" si="502"/>
        <v>98.630679993175221</v>
      </c>
      <c r="AV678" s="28">
        <f t="shared" si="527"/>
        <v>9061.3849221098826</v>
      </c>
    </row>
    <row r="679" spans="1:48" ht="15.75" customHeight="1" x14ac:dyDescent="0.25">
      <c r="B679" s="68"/>
      <c r="C679" s="94" t="s">
        <v>46</v>
      </c>
      <c r="D679" s="69"/>
      <c r="E679" s="79" t="s">
        <v>75</v>
      </c>
      <c r="F679" s="70"/>
      <c r="G679" s="18">
        <v>44.18</v>
      </c>
      <c r="H679" s="18">
        <v>6.38</v>
      </c>
      <c r="I679" s="18">
        <v>49.32</v>
      </c>
      <c r="J679" s="18">
        <v>0.12</v>
      </c>
      <c r="K679" s="18">
        <v>0</v>
      </c>
      <c r="L679" s="18">
        <v>14.86</v>
      </c>
      <c r="M679" s="18">
        <v>76.86</v>
      </c>
      <c r="N679" s="18">
        <v>8.16</v>
      </c>
      <c r="O679" s="18">
        <v>0.12</v>
      </c>
      <c r="P679" s="71">
        <v>0</v>
      </c>
      <c r="Q679" s="18">
        <v>750</v>
      </c>
      <c r="R679" s="16" t="s">
        <v>126</v>
      </c>
      <c r="S679" s="21">
        <v>0.85</v>
      </c>
      <c r="T679" s="18">
        <v>19.45</v>
      </c>
      <c r="U679" s="21">
        <v>48.26</v>
      </c>
      <c r="V679" s="21">
        <v>15.17</v>
      </c>
      <c r="W679" s="21">
        <v>27.14</v>
      </c>
      <c r="X679" s="21">
        <v>7.18</v>
      </c>
      <c r="Y679" s="73">
        <f t="shared" si="517"/>
        <v>5.7576608423775426E-2</v>
      </c>
      <c r="Z679" s="21">
        <f t="shared" si="534"/>
        <v>1.18496</v>
      </c>
      <c r="AA679" s="21">
        <v>68.459999999999994</v>
      </c>
      <c r="AB679" s="21">
        <v>97.68</v>
      </c>
      <c r="AC679" s="28">
        <f t="shared" si="518"/>
        <v>9699.1762500000004</v>
      </c>
      <c r="AD679" s="18" t="s">
        <v>51</v>
      </c>
      <c r="AF679" s="18">
        <v>52.9</v>
      </c>
      <c r="AK679" s="1">
        <f t="shared" si="519"/>
        <v>4.2857142857142859E-3</v>
      </c>
      <c r="AL679" s="1">
        <f t="shared" si="520"/>
        <v>7.4392133090860106</v>
      </c>
      <c r="AM679" s="1">
        <f t="shared" si="521"/>
        <v>7.4434990233717251</v>
      </c>
      <c r="AN679" s="1"/>
      <c r="AO679" s="30">
        <f t="shared" si="522"/>
        <v>48.232213528774679</v>
      </c>
      <c r="AP679" s="30">
        <f t="shared" si="523"/>
        <v>15.161265628502113</v>
      </c>
      <c r="AQ679" s="30">
        <f t="shared" si="524"/>
        <v>27.124373708473794</v>
      </c>
      <c r="AR679" s="30">
        <f t="shared" si="525"/>
        <v>7.1758659995151728</v>
      </c>
      <c r="AS679" s="30">
        <f t="shared" si="526"/>
        <v>5.7576608423775426E-2</v>
      </c>
      <c r="AT679" s="31">
        <f t="shared" si="502"/>
        <v>97.751295473689524</v>
      </c>
      <c r="AV679" s="28">
        <f t="shared" si="527"/>
        <v>9693.591793270205</v>
      </c>
    </row>
    <row r="680" spans="1:48" ht="15.75" customHeight="1" x14ac:dyDescent="0.25">
      <c r="B680" s="68"/>
      <c r="C680" s="94" t="s">
        <v>46</v>
      </c>
      <c r="D680" s="69"/>
      <c r="E680" s="79" t="s">
        <v>75</v>
      </c>
      <c r="F680" s="70"/>
      <c r="G680" s="18">
        <v>44.18</v>
      </c>
      <c r="H680" s="18">
        <v>6.38</v>
      </c>
      <c r="I680" s="18">
        <v>49.32</v>
      </c>
      <c r="J680" s="18">
        <v>0.12</v>
      </c>
      <c r="K680" s="18">
        <v>0</v>
      </c>
      <c r="L680" s="18">
        <v>14.86</v>
      </c>
      <c r="M680" s="18">
        <v>76.86</v>
      </c>
      <c r="N680" s="18">
        <v>8.16</v>
      </c>
      <c r="O680" s="18">
        <v>0.12</v>
      </c>
      <c r="P680" s="71">
        <v>0</v>
      </c>
      <c r="Q680" s="18">
        <v>750</v>
      </c>
      <c r="R680" s="16" t="s">
        <v>128</v>
      </c>
      <c r="S680" s="21">
        <v>0.85</v>
      </c>
      <c r="T680" s="18">
        <v>19.45</v>
      </c>
      <c r="U680" s="21">
        <v>55.68</v>
      </c>
      <c r="V680" s="21">
        <v>7.4</v>
      </c>
      <c r="W680" s="21">
        <v>29.57</v>
      </c>
      <c r="X680" s="21">
        <v>5.91</v>
      </c>
      <c r="Y680" s="73">
        <f t="shared" si="517"/>
        <v>4.98903787169961E-2</v>
      </c>
      <c r="Z680" s="21">
        <f t="shared" si="534"/>
        <v>1.4880320000000002</v>
      </c>
      <c r="AA680" s="21">
        <v>75.88</v>
      </c>
      <c r="AB680" s="21">
        <v>96.49</v>
      </c>
      <c r="AC680" s="28">
        <f t="shared" si="518"/>
        <v>9063.4918750000015</v>
      </c>
      <c r="AD680" s="18" t="s">
        <v>51</v>
      </c>
      <c r="AF680" s="18">
        <v>66.430000000000007</v>
      </c>
      <c r="AK680" s="1">
        <f t="shared" si="519"/>
        <v>4.2857142857142859E-3</v>
      </c>
      <c r="AL680" s="1">
        <f t="shared" si="520"/>
        <v>8.585976368159205</v>
      </c>
      <c r="AM680" s="1">
        <f t="shared" si="521"/>
        <v>8.5902620824449194</v>
      </c>
      <c r="AN680" s="1"/>
      <c r="AO680" s="30">
        <f t="shared" si="522"/>
        <v>55.652221037130381</v>
      </c>
      <c r="AP680" s="30">
        <f t="shared" si="523"/>
        <v>7.3963081119749434</v>
      </c>
      <c r="AQ680" s="30">
        <f t="shared" si="524"/>
        <v>29.555247415013387</v>
      </c>
      <c r="AR680" s="30">
        <f t="shared" si="525"/>
        <v>5.9070514786178254</v>
      </c>
      <c r="AS680" s="30">
        <f t="shared" si="526"/>
        <v>4.98903787169961E-2</v>
      </c>
      <c r="AT680" s="31">
        <f t="shared" si="502"/>
        <v>98.560718421453544</v>
      </c>
      <c r="AV680" s="28">
        <f t="shared" si="527"/>
        <v>9058.9700645785797</v>
      </c>
    </row>
    <row r="681" spans="1:48" ht="15.75" customHeight="1" x14ac:dyDescent="0.25">
      <c r="A681" s="14"/>
      <c r="B681" s="78" t="s">
        <v>129</v>
      </c>
      <c r="C681" s="94" t="s">
        <v>46</v>
      </c>
      <c r="D681" s="69" t="s">
        <v>130</v>
      </c>
      <c r="E681" s="79" t="s">
        <v>75</v>
      </c>
      <c r="F681" s="70" t="s">
        <v>131</v>
      </c>
      <c r="G681" s="18">
        <v>50.8</v>
      </c>
      <c r="H681" s="18">
        <v>5.4</v>
      </c>
      <c r="I681" s="18">
        <v>43.6</v>
      </c>
      <c r="J681" s="58">
        <f t="shared" ref="J681:J721" si="535">100-SUM(G681,H681,I681,K681)</f>
        <v>0.19379999999999598</v>
      </c>
      <c r="K681" s="18">
        <v>6.1999999999999998E-3</v>
      </c>
      <c r="L681" s="18">
        <v>17.399999999999999</v>
      </c>
      <c r="M681" s="18">
        <v>75.900000000000006</v>
      </c>
      <c r="N681" s="18">
        <v>6.4</v>
      </c>
      <c r="O681" s="18">
        <v>0.3</v>
      </c>
      <c r="P681" s="71">
        <v>0</v>
      </c>
      <c r="Q681" s="21">
        <v>800</v>
      </c>
      <c r="R681" s="18" t="s">
        <v>51</v>
      </c>
      <c r="S681" s="21">
        <v>0.3</v>
      </c>
      <c r="T681" s="18" t="s">
        <v>51</v>
      </c>
      <c r="U681" s="21">
        <v>34.943228816064298</v>
      </c>
      <c r="V681" s="21">
        <v>27.8688760771124</v>
      </c>
      <c r="W681" s="21">
        <v>17.737945904054001</v>
      </c>
      <c r="X681" s="21">
        <v>9.0044984735990994</v>
      </c>
      <c r="Y681" s="73">
        <f t="shared" si="517"/>
        <v>8.9208934095517251E-2</v>
      </c>
      <c r="Z681" s="18" t="s">
        <v>51</v>
      </c>
      <c r="AA681" s="18" t="s">
        <v>51</v>
      </c>
      <c r="AB681" s="18" t="s">
        <v>51</v>
      </c>
      <c r="AC681" s="28">
        <f t="shared" si="518"/>
        <v>10519.6670031266</v>
      </c>
      <c r="AD681" s="18" t="s">
        <v>51</v>
      </c>
      <c r="AF681" s="1"/>
      <c r="AK681" s="1">
        <f t="shared" si="519"/>
        <v>6.9214285714284274E-3</v>
      </c>
      <c r="AL681" s="1">
        <f t="shared" si="520"/>
        <v>7.751750549301951</v>
      </c>
      <c r="AM681" s="1">
        <f t="shared" si="521"/>
        <v>7.7586719778733793</v>
      </c>
      <c r="AN681" s="1"/>
      <c r="AO681" s="30">
        <f t="shared" si="522"/>
        <v>34.912056334098928</v>
      </c>
      <c r="AP681" s="30">
        <f t="shared" si="523"/>
        <v>27.844014549819608</v>
      </c>
      <c r="AQ681" s="30">
        <f t="shared" si="524"/>
        <v>17.722122071582554</v>
      </c>
      <c r="AR681" s="30">
        <f t="shared" si="525"/>
        <v>8.9964656564901553</v>
      </c>
      <c r="AS681" s="30">
        <f t="shared" si="526"/>
        <v>8.9208934095517251E-2</v>
      </c>
      <c r="AT681" s="31">
        <f t="shared" si="502"/>
        <v>89.563867546086783</v>
      </c>
      <c r="AV681" s="28">
        <f t="shared" si="527"/>
        <v>10510.282520322715</v>
      </c>
    </row>
    <row r="682" spans="1:48" ht="15.75" customHeight="1" x14ac:dyDescent="0.25">
      <c r="B682" s="78"/>
      <c r="C682" s="94" t="s">
        <v>46</v>
      </c>
      <c r="D682" s="69"/>
      <c r="E682" s="79" t="s">
        <v>75</v>
      </c>
      <c r="F682" s="70"/>
      <c r="G682" s="18">
        <v>50.8</v>
      </c>
      <c r="H682" s="18">
        <v>5.4</v>
      </c>
      <c r="I682" s="18">
        <v>43.6</v>
      </c>
      <c r="J682" s="58">
        <f t="shared" si="535"/>
        <v>0.19379999999999598</v>
      </c>
      <c r="K682" s="18">
        <v>6.1999999999999998E-3</v>
      </c>
      <c r="L682" s="18">
        <v>17.399999999999999</v>
      </c>
      <c r="M682" s="18">
        <v>75.900000000000006</v>
      </c>
      <c r="N682" s="18">
        <v>6.4</v>
      </c>
      <c r="O682" s="18">
        <v>0.3</v>
      </c>
      <c r="P682" s="71">
        <v>0</v>
      </c>
      <c r="Q682" s="21">
        <v>800</v>
      </c>
      <c r="R682" s="18" t="s">
        <v>51</v>
      </c>
      <c r="S682" s="21">
        <v>0.3</v>
      </c>
      <c r="T682" s="18" t="s">
        <v>51</v>
      </c>
      <c r="U682" s="21">
        <v>35.208318326001397</v>
      </c>
      <c r="V682" s="21">
        <v>30.055765175206901</v>
      </c>
      <c r="W682" s="21">
        <v>17.741026029544301</v>
      </c>
      <c r="X682" s="21">
        <v>9.4441615476140193</v>
      </c>
      <c r="Y682" s="73">
        <f t="shared" si="517"/>
        <v>9.3500486701816252E-2</v>
      </c>
      <c r="Z682" s="18" t="s">
        <v>51</v>
      </c>
      <c r="AA682" s="18" t="s">
        <v>51</v>
      </c>
      <c r="AB682" s="18" t="s">
        <v>51</v>
      </c>
      <c r="AC682" s="28">
        <f t="shared" si="518"/>
        <v>10982.111617644276</v>
      </c>
      <c r="AD682" s="18" t="s">
        <v>51</v>
      </c>
      <c r="AF682" s="1"/>
      <c r="AK682" s="1">
        <f t="shared" si="519"/>
        <v>6.9214285714284274E-3</v>
      </c>
      <c r="AL682" s="1">
        <f t="shared" si="520"/>
        <v>7.3956374409900265</v>
      </c>
      <c r="AM682" s="1">
        <f t="shared" si="521"/>
        <v>7.4025588695614548</v>
      </c>
      <c r="AN682" s="1"/>
      <c r="AO682" s="30">
        <f t="shared" si="522"/>
        <v>35.175398377007063</v>
      </c>
      <c r="AP682" s="30">
        <f t="shared" si="523"/>
        <v>30.027662888486123</v>
      </c>
      <c r="AQ682" s="30">
        <f t="shared" si="524"/>
        <v>17.724438083860782</v>
      </c>
      <c r="AR682" s="30">
        <f t="shared" si="525"/>
        <v>9.4353312106020937</v>
      </c>
      <c r="AS682" s="30">
        <f t="shared" si="526"/>
        <v>9.3500486701816252E-2</v>
      </c>
      <c r="AT682" s="31">
        <f t="shared" si="502"/>
        <v>92.456331046657894</v>
      </c>
      <c r="AV682" s="28">
        <f t="shared" si="527"/>
        <v>10971.843289831641</v>
      </c>
    </row>
    <row r="683" spans="1:48" ht="15.75" customHeight="1" x14ac:dyDescent="0.25">
      <c r="B683" s="78"/>
      <c r="C683" s="94" t="s">
        <v>46</v>
      </c>
      <c r="D683" s="69"/>
      <c r="E683" s="79" t="s">
        <v>75</v>
      </c>
      <c r="F683" s="70"/>
      <c r="G683" s="18">
        <v>50.8</v>
      </c>
      <c r="H683" s="18">
        <v>5.4</v>
      </c>
      <c r="I683" s="18">
        <v>43.6</v>
      </c>
      <c r="J683" s="58">
        <f t="shared" si="535"/>
        <v>0.19379999999999598</v>
      </c>
      <c r="K683" s="18">
        <v>6.1999999999999998E-3</v>
      </c>
      <c r="L683" s="18">
        <v>17.399999999999999</v>
      </c>
      <c r="M683" s="18">
        <v>75.900000000000006</v>
      </c>
      <c r="N683" s="18">
        <v>6.4</v>
      </c>
      <c r="O683" s="18">
        <v>0.3</v>
      </c>
      <c r="P683" s="71">
        <v>0</v>
      </c>
      <c r="Q683" s="21">
        <v>800</v>
      </c>
      <c r="R683" s="18" t="s">
        <v>51</v>
      </c>
      <c r="S683" s="21">
        <v>0.3</v>
      </c>
      <c r="T683" s="18" t="s">
        <v>51</v>
      </c>
      <c r="U683" s="21">
        <v>34.949190349271298</v>
      </c>
      <c r="V683" s="21">
        <v>30.757040198121601</v>
      </c>
      <c r="W683" s="21">
        <v>17.481599976153799</v>
      </c>
      <c r="X683" s="21">
        <v>9.7090523397775801</v>
      </c>
      <c r="Y683" s="73">
        <f t="shared" si="517"/>
        <v>9.46538211727775E-2</v>
      </c>
      <c r="Z683" s="18" t="s">
        <v>51</v>
      </c>
      <c r="AA683" s="18" t="s">
        <v>51</v>
      </c>
      <c r="AB683" s="18" t="s">
        <v>51</v>
      </c>
      <c r="AC683" s="28">
        <f t="shared" si="518"/>
        <v>11137.649631822089</v>
      </c>
      <c r="AD683" s="18" t="s">
        <v>51</v>
      </c>
      <c r="AF683" s="1"/>
      <c r="AK683" s="1">
        <f t="shared" si="519"/>
        <v>6.9214285714284274E-3</v>
      </c>
      <c r="AL683" s="1">
        <f t="shared" si="520"/>
        <v>7.305439008303396</v>
      </c>
      <c r="AM683" s="1">
        <f t="shared" si="521"/>
        <v>7.3123604368748243</v>
      </c>
      <c r="AN683" s="1"/>
      <c r="AO683" s="30">
        <f t="shared" si="522"/>
        <v>34.916109605136761</v>
      </c>
      <c r="AP683" s="30">
        <f t="shared" si="523"/>
        <v>30.727927484294426</v>
      </c>
      <c r="AQ683" s="30">
        <f t="shared" si="524"/>
        <v>17.465052973774231</v>
      </c>
      <c r="AR683" s="30">
        <f t="shared" si="525"/>
        <v>9.6998623507383144</v>
      </c>
      <c r="AS683" s="30">
        <f t="shared" si="526"/>
        <v>9.46538211727775E-2</v>
      </c>
      <c r="AT683" s="31">
        <f t="shared" si="502"/>
        <v>92.903606235116513</v>
      </c>
      <c r="AV683" s="28">
        <f t="shared" si="527"/>
        <v>11127.107420856732</v>
      </c>
    </row>
    <row r="684" spans="1:48" ht="15.75" customHeight="1" x14ac:dyDescent="0.25">
      <c r="B684" s="78"/>
      <c r="C684" s="94" t="s">
        <v>46</v>
      </c>
      <c r="D684" s="69"/>
      <c r="E684" s="79" t="s">
        <v>75</v>
      </c>
      <c r="F684" s="70"/>
      <c r="G684" s="18">
        <v>50.8</v>
      </c>
      <c r="H684" s="18">
        <v>5.4</v>
      </c>
      <c r="I684" s="18">
        <v>43.6</v>
      </c>
      <c r="J684" s="58">
        <f t="shared" si="535"/>
        <v>0.19379999999999598</v>
      </c>
      <c r="K684" s="18">
        <v>6.1999999999999998E-3</v>
      </c>
      <c r="L684" s="18">
        <v>17.399999999999999</v>
      </c>
      <c r="M684" s="18">
        <v>75.900000000000006</v>
      </c>
      <c r="N684" s="18">
        <v>6.4</v>
      </c>
      <c r="O684" s="18">
        <v>0.3</v>
      </c>
      <c r="P684" s="71">
        <v>0</v>
      </c>
      <c r="Q684" s="21">
        <v>800</v>
      </c>
      <c r="R684" s="18" t="s">
        <v>51</v>
      </c>
      <c r="S684" s="21">
        <v>0.3</v>
      </c>
      <c r="T684" s="18" t="s">
        <v>51</v>
      </c>
      <c r="U684" s="21">
        <v>34.602725911058897</v>
      </c>
      <c r="V684" s="21">
        <v>31.458712656583302</v>
      </c>
      <c r="W684" s="21">
        <v>16.785988409785801</v>
      </c>
      <c r="X684" s="21">
        <v>9.9737444141675802</v>
      </c>
      <c r="Y684" s="73">
        <f t="shared" si="517"/>
        <v>9.5095658126639546E-2</v>
      </c>
      <c r="Z684" s="18" t="s">
        <v>51</v>
      </c>
      <c r="AA684" s="18" t="s">
        <v>51</v>
      </c>
      <c r="AB684" s="18" t="s">
        <v>51</v>
      </c>
      <c r="AC684" s="28">
        <f t="shared" si="518"/>
        <v>11283.738215769876</v>
      </c>
      <c r="AD684" s="18" t="s">
        <v>51</v>
      </c>
      <c r="AF684" s="1"/>
      <c r="AK684" s="1">
        <f t="shared" si="519"/>
        <v>6.9214285714284274E-3</v>
      </c>
      <c r="AL684" s="1">
        <f t="shared" si="520"/>
        <v>7.2714640495658731</v>
      </c>
      <c r="AM684" s="1">
        <f t="shared" si="521"/>
        <v>7.2783854781373014</v>
      </c>
      <c r="AN684" s="1"/>
      <c r="AO684" s="30">
        <f t="shared" si="522"/>
        <v>34.569820221124012</v>
      </c>
      <c r="AP684" s="30">
        <f t="shared" si="523"/>
        <v>31.428796786744357</v>
      </c>
      <c r="AQ684" s="30">
        <f t="shared" si="524"/>
        <v>16.770025663634456</v>
      </c>
      <c r="AR684" s="30">
        <f t="shared" si="525"/>
        <v>9.9642598162770586</v>
      </c>
      <c r="AS684" s="30">
        <f t="shared" si="526"/>
        <v>9.5095658126639546E-2</v>
      </c>
      <c r="AT684" s="31">
        <f t="shared" si="502"/>
        <v>92.827998145906534</v>
      </c>
      <c r="AV684" s="28">
        <f t="shared" si="527"/>
        <v>11273.0078706523</v>
      </c>
    </row>
    <row r="685" spans="1:48" ht="15.75" customHeight="1" x14ac:dyDescent="0.25">
      <c r="B685" s="78"/>
      <c r="C685" s="94" t="s">
        <v>46</v>
      </c>
      <c r="D685" s="69"/>
      <c r="E685" s="79" t="s">
        <v>75</v>
      </c>
      <c r="F685" s="70"/>
      <c r="G685" s="18">
        <v>50.8</v>
      </c>
      <c r="H685" s="18">
        <v>5.4</v>
      </c>
      <c r="I685" s="18">
        <v>43.6</v>
      </c>
      <c r="J685" s="58">
        <f t="shared" si="535"/>
        <v>0.19379999999999598</v>
      </c>
      <c r="K685" s="18">
        <v>6.1999999999999998E-3</v>
      </c>
      <c r="L685" s="18">
        <v>17.399999999999999</v>
      </c>
      <c r="M685" s="18">
        <v>75.900000000000006</v>
      </c>
      <c r="N685" s="18">
        <v>6.4</v>
      </c>
      <c r="O685" s="18">
        <v>0.3</v>
      </c>
      <c r="P685" s="71">
        <v>0</v>
      </c>
      <c r="Q685" s="21">
        <v>800</v>
      </c>
      <c r="R685" s="18" t="s">
        <v>51</v>
      </c>
      <c r="S685" s="21">
        <v>0.3</v>
      </c>
      <c r="T685" s="18" t="s">
        <v>51</v>
      </c>
      <c r="U685" s="21">
        <v>35.653744215449798</v>
      </c>
      <c r="V685" s="21">
        <v>30.326220065030299</v>
      </c>
      <c r="W685" s="21">
        <v>17.4005231245389</v>
      </c>
      <c r="X685" s="21">
        <v>9.8020522578064995</v>
      </c>
      <c r="Y685" s="73">
        <f t="shared" si="517"/>
        <v>9.3970222794108091E-2</v>
      </c>
      <c r="Z685" s="18" t="s">
        <v>51</v>
      </c>
      <c r="AA685" s="18" t="s">
        <v>51</v>
      </c>
      <c r="AB685" s="18" t="s">
        <v>51</v>
      </c>
      <c r="AC685" s="28">
        <f t="shared" si="518"/>
        <v>11192.603521314421</v>
      </c>
      <c r="AD685" s="18" t="s">
        <v>51</v>
      </c>
      <c r="AF685" s="1"/>
      <c r="AK685" s="1">
        <f t="shared" si="519"/>
        <v>6.9214285714284274E-3</v>
      </c>
      <c r="AL685" s="1">
        <f t="shared" si="520"/>
        <v>7.3586337075417525</v>
      </c>
      <c r="AM685" s="1">
        <f t="shared" si="521"/>
        <v>7.3655551361131808</v>
      </c>
      <c r="AN685" s="1"/>
      <c r="AO685" s="30">
        <f t="shared" si="522"/>
        <v>35.620240312576101</v>
      </c>
      <c r="AP685" s="30">
        <f t="shared" si="523"/>
        <v>30.297722448470154</v>
      </c>
      <c r="AQ685" s="30">
        <f t="shared" si="524"/>
        <v>17.384171814191433</v>
      </c>
      <c r="AR685" s="30">
        <f t="shared" si="525"/>
        <v>9.7928412474614444</v>
      </c>
      <c r="AS685" s="30">
        <f t="shared" si="526"/>
        <v>9.3970222794108091E-2</v>
      </c>
      <c r="AT685" s="31">
        <f t="shared" si="502"/>
        <v>93.188946045493239</v>
      </c>
      <c r="AV685" s="28">
        <f t="shared" si="527"/>
        <v>11182.085806848978</v>
      </c>
    </row>
    <row r="686" spans="1:48" ht="15.75" customHeight="1" x14ac:dyDescent="0.25">
      <c r="B686" s="78"/>
      <c r="C686" s="94" t="s">
        <v>46</v>
      </c>
      <c r="D686" s="69"/>
      <c r="E686" s="79" t="s">
        <v>75</v>
      </c>
      <c r="F686" s="70"/>
      <c r="G686" s="18">
        <v>50.8</v>
      </c>
      <c r="H686" s="18">
        <v>5.4</v>
      </c>
      <c r="I686" s="18">
        <v>43.6</v>
      </c>
      <c r="J686" s="58">
        <f t="shared" si="535"/>
        <v>0.19379999999999598</v>
      </c>
      <c r="K686" s="18">
        <v>6.1999999999999998E-3</v>
      </c>
      <c r="L686" s="18">
        <v>17.399999999999999</v>
      </c>
      <c r="M686" s="18">
        <v>75.900000000000006</v>
      </c>
      <c r="N686" s="18">
        <v>6.4</v>
      </c>
      <c r="O686" s="18">
        <v>0.3</v>
      </c>
      <c r="P686" s="71">
        <v>0</v>
      </c>
      <c r="Q686" s="21">
        <v>800</v>
      </c>
      <c r="R686" s="18" t="s">
        <v>51</v>
      </c>
      <c r="S686" s="21">
        <v>0.3</v>
      </c>
      <c r="T686" s="18" t="s">
        <v>51</v>
      </c>
      <c r="U686" s="21">
        <v>36.355118597251199</v>
      </c>
      <c r="V686" s="21">
        <v>29.455736857924201</v>
      </c>
      <c r="W686" s="21">
        <v>17.7524523015244</v>
      </c>
      <c r="X686" s="21">
        <v>9.36845007588534</v>
      </c>
      <c r="Y686" s="73">
        <f t="shared" si="517"/>
        <v>9.2416363691693384E-2</v>
      </c>
      <c r="Z686" s="18" t="s">
        <v>51</v>
      </c>
      <c r="AA686" s="18" t="s">
        <v>51</v>
      </c>
      <c r="AB686" s="18" t="s">
        <v>51</v>
      </c>
      <c r="AC686" s="28">
        <f t="shared" si="518"/>
        <v>11002.979334770949</v>
      </c>
      <c r="AD686" s="18" t="s">
        <v>51</v>
      </c>
      <c r="AF686" s="1"/>
      <c r="AK686" s="1">
        <f t="shared" si="519"/>
        <v>6.9214285714284274E-3</v>
      </c>
      <c r="AL686" s="1">
        <f t="shared" si="520"/>
        <v>7.4824757895648908</v>
      </c>
      <c r="AM686" s="1">
        <f t="shared" si="521"/>
        <v>7.4893972181363191</v>
      </c>
      <c r="AN686" s="1"/>
      <c r="AO686" s="30">
        <f t="shared" si="522"/>
        <v>36.321520518627821</v>
      </c>
      <c r="AP686" s="30">
        <f t="shared" si="523"/>
        <v>29.428514937021514</v>
      </c>
      <c r="AQ686" s="30">
        <f t="shared" si="524"/>
        <v>17.736046130641228</v>
      </c>
      <c r="AR686" s="30">
        <f t="shared" si="525"/>
        <v>9.3597920949909348</v>
      </c>
      <c r="AS686" s="30">
        <f t="shared" si="526"/>
        <v>9.2416363691693384E-2</v>
      </c>
      <c r="AT686" s="31">
        <f t="shared" si="502"/>
        <v>92.938290044973201</v>
      </c>
      <c r="AV686" s="28">
        <f t="shared" si="527"/>
        <v>10992.810781372005</v>
      </c>
    </row>
    <row r="687" spans="1:48" ht="15.75" customHeight="1" x14ac:dyDescent="0.25">
      <c r="B687" s="78"/>
      <c r="C687" s="94" t="s">
        <v>46</v>
      </c>
      <c r="D687" s="69"/>
      <c r="E687" s="79" t="s">
        <v>75</v>
      </c>
      <c r="F687" s="70"/>
      <c r="G687" s="18">
        <v>50.8</v>
      </c>
      <c r="H687" s="18">
        <v>5.4</v>
      </c>
      <c r="I687" s="18">
        <v>43.6</v>
      </c>
      <c r="J687" s="58">
        <f t="shared" si="535"/>
        <v>0.19379999999999598</v>
      </c>
      <c r="K687" s="18">
        <v>6.1999999999999998E-3</v>
      </c>
      <c r="L687" s="18">
        <v>17.399999999999999</v>
      </c>
      <c r="M687" s="18">
        <v>75.900000000000006</v>
      </c>
      <c r="N687" s="18">
        <v>6.4</v>
      </c>
      <c r="O687" s="18">
        <v>0.3</v>
      </c>
      <c r="P687" s="71">
        <v>0</v>
      </c>
      <c r="Q687" s="21">
        <v>800</v>
      </c>
      <c r="R687" s="18" t="s">
        <v>51</v>
      </c>
      <c r="S687" s="21">
        <v>0.3</v>
      </c>
      <c r="T687" s="18" t="s">
        <v>51</v>
      </c>
      <c r="U687" s="21">
        <v>35.484635390145002</v>
      </c>
      <c r="V687" s="21">
        <v>30.331883521577002</v>
      </c>
      <c r="W687" s="21">
        <v>17.668195965532298</v>
      </c>
      <c r="X687" s="21">
        <v>9.4585685861975595</v>
      </c>
      <c r="Y687" s="73">
        <f t="shared" si="517"/>
        <v>9.385574833712218E-2</v>
      </c>
      <c r="Z687" s="18" t="s">
        <v>51</v>
      </c>
      <c r="AA687" s="18" t="s">
        <v>51</v>
      </c>
      <c r="AB687" s="18" t="s">
        <v>51</v>
      </c>
      <c r="AC687" s="28">
        <f t="shared" si="518"/>
        <v>11051.988341654034</v>
      </c>
      <c r="AD687" s="18" t="s">
        <v>51</v>
      </c>
      <c r="AF687" s="1"/>
      <c r="AK687" s="1">
        <f t="shared" si="519"/>
        <v>6.9214285714284274E-3</v>
      </c>
      <c r="AL687" s="1">
        <f t="shared" si="520"/>
        <v>7.367617365330914</v>
      </c>
      <c r="AM687" s="1">
        <f t="shared" si="521"/>
        <v>7.3745387939023423</v>
      </c>
      <c r="AN687" s="1"/>
      <c r="AO687" s="30">
        <f t="shared" si="522"/>
        <v>35.451331020054887</v>
      </c>
      <c r="AP687" s="30">
        <f t="shared" si="523"/>
        <v>30.303415305313088</v>
      </c>
      <c r="AQ687" s="30">
        <f t="shared" si="524"/>
        <v>17.65161334799118</v>
      </c>
      <c r="AR687" s="30">
        <f t="shared" si="525"/>
        <v>9.4496911758690043</v>
      </c>
      <c r="AS687" s="30">
        <f t="shared" si="526"/>
        <v>9.385574833712218E-2</v>
      </c>
      <c r="AT687" s="31">
        <f t="shared" si="502"/>
        <v>92.949906597565288</v>
      </c>
      <c r="AV687" s="28">
        <f t="shared" si="527"/>
        <v>11041.615415289845</v>
      </c>
    </row>
    <row r="688" spans="1:48" ht="15.75" customHeight="1" x14ac:dyDescent="0.25">
      <c r="B688" s="78"/>
      <c r="C688" s="94" t="s">
        <v>46</v>
      </c>
      <c r="D688" s="69"/>
      <c r="E688" s="79" t="s">
        <v>75</v>
      </c>
      <c r="F688" s="70"/>
      <c r="G688" s="18">
        <v>50.8</v>
      </c>
      <c r="H688" s="18">
        <v>5.4</v>
      </c>
      <c r="I688" s="18">
        <v>43.6</v>
      </c>
      <c r="J688" s="58">
        <f t="shared" si="535"/>
        <v>0.19379999999999598</v>
      </c>
      <c r="K688" s="18">
        <v>6.1999999999999998E-3</v>
      </c>
      <c r="L688" s="18">
        <v>17.399999999999999</v>
      </c>
      <c r="M688" s="18">
        <v>75.900000000000006</v>
      </c>
      <c r="N688" s="18">
        <v>6.4</v>
      </c>
      <c r="O688" s="18">
        <v>0.3</v>
      </c>
      <c r="P688" s="71">
        <v>0</v>
      </c>
      <c r="Q688" s="21">
        <v>800</v>
      </c>
      <c r="R688" s="18" t="s">
        <v>51</v>
      </c>
      <c r="S688" s="21">
        <v>0.3</v>
      </c>
      <c r="T688" s="18" t="s">
        <v>51</v>
      </c>
      <c r="U688" s="21">
        <v>35.051231925997499</v>
      </c>
      <c r="V688" s="21">
        <v>30.7714472367051</v>
      </c>
      <c r="W688" s="21">
        <v>17.409266706575799</v>
      </c>
      <c r="X688" s="21">
        <v>9.7235587372479095</v>
      </c>
      <c r="Y688" s="73">
        <f t="shared" si="517"/>
        <v>9.4582964754538076E-2</v>
      </c>
      <c r="Z688" s="18" t="s">
        <v>51</v>
      </c>
      <c r="AA688" s="18" t="s">
        <v>51</v>
      </c>
      <c r="AB688" s="18" t="s">
        <v>51</v>
      </c>
      <c r="AC688" s="28">
        <f t="shared" si="518"/>
        <v>11155.683565188472</v>
      </c>
      <c r="AD688" s="18" t="s">
        <v>51</v>
      </c>
      <c r="AF688" s="1"/>
      <c r="AK688" s="1">
        <f t="shared" si="519"/>
        <v>6.9214285714284274E-3</v>
      </c>
      <c r="AL688" s="1">
        <f t="shared" si="520"/>
        <v>7.310917031441889</v>
      </c>
      <c r="AM688" s="1">
        <f t="shared" si="521"/>
        <v>7.3178384600133173</v>
      </c>
      <c r="AN688" s="1"/>
      <c r="AO688" s="30">
        <f t="shared" si="522"/>
        <v>35.018079431658897</v>
      </c>
      <c r="AP688" s="30">
        <f t="shared" si="523"/>
        <v>30.742342689610748</v>
      </c>
      <c r="AQ688" s="30">
        <f t="shared" si="524"/>
        <v>17.392800505982695</v>
      </c>
      <c r="AR688" s="30">
        <f t="shared" si="525"/>
        <v>9.7143619071145721</v>
      </c>
      <c r="AS688" s="30">
        <f t="shared" si="526"/>
        <v>9.4582964754538076E-2</v>
      </c>
      <c r="AT688" s="31">
        <f t="shared" si="502"/>
        <v>92.962167499121435</v>
      </c>
      <c r="AV688" s="28">
        <f t="shared" si="527"/>
        <v>11145.132188933881</v>
      </c>
    </row>
    <row r="689" spans="2:48" ht="15.75" customHeight="1" x14ac:dyDescent="0.25">
      <c r="B689" s="78"/>
      <c r="C689" s="94" t="s">
        <v>46</v>
      </c>
      <c r="D689" s="69"/>
      <c r="E689" s="79" t="s">
        <v>75</v>
      </c>
      <c r="F689" s="70"/>
      <c r="G689" s="18">
        <v>50.8</v>
      </c>
      <c r="H689" s="18">
        <v>5.4</v>
      </c>
      <c r="I689" s="18">
        <v>43.6</v>
      </c>
      <c r="J689" s="58">
        <f t="shared" si="535"/>
        <v>0.19379999999999598</v>
      </c>
      <c r="K689" s="18">
        <v>6.1999999999999998E-3</v>
      </c>
      <c r="L689" s="18">
        <v>17.399999999999999</v>
      </c>
      <c r="M689" s="18">
        <v>75.900000000000006</v>
      </c>
      <c r="N689" s="18">
        <v>6.4</v>
      </c>
      <c r="O689" s="18">
        <v>0.3</v>
      </c>
      <c r="P689" s="71">
        <v>0</v>
      </c>
      <c r="Q689" s="21">
        <v>800</v>
      </c>
      <c r="R689" s="18" t="s">
        <v>51</v>
      </c>
      <c r="S689" s="21">
        <v>0.3</v>
      </c>
      <c r="T689" s="18" t="s">
        <v>51</v>
      </c>
      <c r="U689" s="21">
        <v>35.054113333714199</v>
      </c>
      <c r="V689" s="21">
        <v>30.861764464790902</v>
      </c>
      <c r="W689" s="21">
        <v>17.412048755405699</v>
      </c>
      <c r="X689" s="21">
        <v>9.8135778886733291</v>
      </c>
      <c r="Y689" s="73">
        <f t="shared" si="517"/>
        <v>9.4881793314785454E-2</v>
      </c>
      <c r="Z689" s="18" t="s">
        <v>51</v>
      </c>
      <c r="AA689" s="18" t="s">
        <v>51</v>
      </c>
      <c r="AB689" s="18" t="s">
        <v>51</v>
      </c>
      <c r="AC689" s="28">
        <f t="shared" si="518"/>
        <v>11199.660229866777</v>
      </c>
      <c r="AD689" s="18" t="s">
        <v>51</v>
      </c>
      <c r="AF689" s="1"/>
      <c r="AK689" s="1">
        <f t="shared" si="519"/>
        <v>6.9214285714284274E-3</v>
      </c>
      <c r="AL689" s="1">
        <f t="shared" si="520"/>
        <v>7.2878696262998535</v>
      </c>
      <c r="AM689" s="1">
        <f t="shared" si="521"/>
        <v>7.2947910548712818</v>
      </c>
      <c r="AN689" s="1"/>
      <c r="AO689" s="30">
        <f t="shared" si="522"/>
        <v>35.020853362352575</v>
      </c>
      <c r="AP689" s="30">
        <f t="shared" si="523"/>
        <v>30.832482269218126</v>
      </c>
      <c r="AQ689" s="30">
        <f t="shared" si="524"/>
        <v>17.395527891293728</v>
      </c>
      <c r="AR689" s="30">
        <f t="shared" si="525"/>
        <v>9.8042665899842127</v>
      </c>
      <c r="AS689" s="30">
        <f t="shared" si="526"/>
        <v>9.4881793314785454E-2</v>
      </c>
      <c r="AT689" s="31">
        <f t="shared" si="502"/>
        <v>93.148011906163418</v>
      </c>
      <c r="AV689" s="28">
        <f t="shared" si="527"/>
        <v>11189.033791395517</v>
      </c>
    </row>
    <row r="690" spans="2:48" ht="15.75" customHeight="1" x14ac:dyDescent="0.25">
      <c r="B690" s="78"/>
      <c r="C690" s="94" t="s">
        <v>46</v>
      </c>
      <c r="D690" s="69"/>
      <c r="E690" s="79" t="s">
        <v>75</v>
      </c>
      <c r="F690" s="70"/>
      <c r="G690" s="18">
        <v>50.8</v>
      </c>
      <c r="H690" s="18">
        <v>5.4</v>
      </c>
      <c r="I690" s="18">
        <v>43.6</v>
      </c>
      <c r="J690" s="58">
        <f t="shared" si="535"/>
        <v>0.19379999999999598</v>
      </c>
      <c r="K690" s="18">
        <v>6.1999999999999998E-3</v>
      </c>
      <c r="L690" s="18">
        <v>17.399999999999999</v>
      </c>
      <c r="M690" s="18">
        <v>75.900000000000006</v>
      </c>
      <c r="N690" s="18">
        <v>6.4</v>
      </c>
      <c r="O690" s="18">
        <v>0.3</v>
      </c>
      <c r="P690" s="71">
        <v>0</v>
      </c>
      <c r="Q690" s="21">
        <v>800</v>
      </c>
      <c r="R690" s="18" t="s">
        <v>51</v>
      </c>
      <c r="S690" s="21">
        <v>0.3</v>
      </c>
      <c r="T690" s="18" t="s">
        <v>51</v>
      </c>
      <c r="U690" s="21">
        <v>36.1047342025579</v>
      </c>
      <c r="V690" s="21">
        <v>29.816707693607</v>
      </c>
      <c r="W690" s="21">
        <v>17.851513111647002</v>
      </c>
      <c r="X690" s="21">
        <v>9.4671134504609</v>
      </c>
      <c r="Y690" s="73">
        <f t="shared" si="517"/>
        <v>9.3328124715172642E-2</v>
      </c>
      <c r="Z690" s="18" t="s">
        <v>51</v>
      </c>
      <c r="AA690" s="18" t="s">
        <v>51</v>
      </c>
      <c r="AB690" s="18" t="s">
        <v>51</v>
      </c>
      <c r="AC690" s="28">
        <f t="shared" si="518"/>
        <v>11056.906115965294</v>
      </c>
      <c r="AD690" s="18" t="s">
        <v>51</v>
      </c>
      <c r="AF690" s="1"/>
      <c r="AK690" s="1">
        <f t="shared" si="519"/>
        <v>6.9214285714284274E-3</v>
      </c>
      <c r="AL690" s="1">
        <f t="shared" si="520"/>
        <v>7.4093087727230689</v>
      </c>
      <c r="AM690" s="1">
        <f t="shared" si="521"/>
        <v>7.4162302012944972</v>
      </c>
      <c r="AN690" s="1"/>
      <c r="AO690" s="30">
        <f t="shared" si="522"/>
        <v>36.071038331193257</v>
      </c>
      <c r="AP690" s="30">
        <f t="shared" si="523"/>
        <v>29.788880319464756</v>
      </c>
      <c r="AQ690" s="30">
        <f t="shared" si="524"/>
        <v>17.834852629226621</v>
      </c>
      <c r="AR690" s="30">
        <f t="shared" si="525"/>
        <v>9.4582779710129259</v>
      </c>
      <c r="AS690" s="30">
        <f t="shared" si="526"/>
        <v>9.3328124715172642E-2</v>
      </c>
      <c r="AT690" s="31">
        <f t="shared" si="502"/>
        <v>93.246377375612738</v>
      </c>
      <c r="AV690" s="28">
        <f t="shared" si="527"/>
        <v>11046.586912835746</v>
      </c>
    </row>
    <row r="691" spans="2:48" ht="15.75" customHeight="1" x14ac:dyDescent="0.25">
      <c r="B691" s="78"/>
      <c r="C691" s="94" t="s">
        <v>46</v>
      </c>
      <c r="D691" s="69"/>
      <c r="E691" s="79" t="s">
        <v>75</v>
      </c>
      <c r="F691" s="70"/>
      <c r="G691" s="18">
        <v>50.8</v>
      </c>
      <c r="H691" s="18">
        <v>5.4</v>
      </c>
      <c r="I691" s="18">
        <v>43.6</v>
      </c>
      <c r="J691" s="58">
        <f t="shared" si="535"/>
        <v>0.19379999999999598</v>
      </c>
      <c r="K691" s="18">
        <v>6.1999999999999998E-3</v>
      </c>
      <c r="L691" s="18">
        <v>17.399999999999999</v>
      </c>
      <c r="M691" s="18">
        <v>75.900000000000006</v>
      </c>
      <c r="N691" s="18">
        <v>6.4</v>
      </c>
      <c r="O691" s="18">
        <v>0.3</v>
      </c>
      <c r="P691" s="71">
        <v>0</v>
      </c>
      <c r="Q691" s="21">
        <v>800</v>
      </c>
      <c r="R691" s="18" t="s">
        <v>51</v>
      </c>
      <c r="S691" s="21">
        <v>0.3</v>
      </c>
      <c r="T691" s="18" t="s">
        <v>51</v>
      </c>
      <c r="U691" s="21">
        <v>35.234350354338602</v>
      </c>
      <c r="V691" s="21">
        <v>30.081499126883699</v>
      </c>
      <c r="W691" s="21">
        <v>17.592683211577199</v>
      </c>
      <c r="X691" s="21">
        <v>9.5574306785466696</v>
      </c>
      <c r="Y691" s="73">
        <f t="shared" si="517"/>
        <v>9.3485244932047518E-2</v>
      </c>
      <c r="Z691" s="18" t="s">
        <v>51</v>
      </c>
      <c r="AA691" s="18" t="s">
        <v>51</v>
      </c>
      <c r="AB691" s="18" t="s">
        <v>51</v>
      </c>
      <c r="AC691" s="28">
        <f t="shared" si="518"/>
        <v>11028.758869111329</v>
      </c>
      <c r="AD691" s="18" t="s">
        <v>51</v>
      </c>
      <c r="AF691" s="1"/>
      <c r="AK691" s="1">
        <f t="shared" si="519"/>
        <v>6.9214285714284274E-3</v>
      </c>
      <c r="AL691" s="1">
        <f t="shared" si="520"/>
        <v>7.3968443490755895</v>
      </c>
      <c r="AM691" s="1">
        <f t="shared" si="521"/>
        <v>7.4037657776470178</v>
      </c>
      <c r="AN691" s="1"/>
      <c r="AO691" s="30">
        <f t="shared" si="522"/>
        <v>35.201411435609629</v>
      </c>
      <c r="AP691" s="30">
        <f t="shared" si="523"/>
        <v>30.0533773637457</v>
      </c>
      <c r="AQ691" s="30">
        <f t="shared" si="524"/>
        <v>17.576236648586736</v>
      </c>
      <c r="AR691" s="30">
        <f t="shared" si="525"/>
        <v>9.5484958910676188</v>
      </c>
      <c r="AS691" s="30">
        <f t="shared" si="526"/>
        <v>9.3485244932047518E-2</v>
      </c>
      <c r="AT691" s="31">
        <f t="shared" si="502"/>
        <v>92.473006583941739</v>
      </c>
      <c r="AV691" s="28">
        <f t="shared" si="527"/>
        <v>11018.448606869573</v>
      </c>
    </row>
    <row r="692" spans="2:48" ht="15.75" customHeight="1" x14ac:dyDescent="0.25">
      <c r="B692" s="78"/>
      <c r="C692" s="94" t="s">
        <v>46</v>
      </c>
      <c r="D692" s="69"/>
      <c r="E692" s="79" t="s">
        <v>75</v>
      </c>
      <c r="F692" s="70"/>
      <c r="G692" s="18">
        <v>50.8</v>
      </c>
      <c r="H692" s="18">
        <v>5.4</v>
      </c>
      <c r="I692" s="18">
        <v>43.6</v>
      </c>
      <c r="J692" s="58">
        <f t="shared" si="535"/>
        <v>0.19379999999999598</v>
      </c>
      <c r="K692" s="18">
        <v>6.1999999999999998E-3</v>
      </c>
      <c r="L692" s="18">
        <v>17.399999999999999</v>
      </c>
      <c r="M692" s="18">
        <v>75.900000000000006</v>
      </c>
      <c r="N692" s="18">
        <v>6.4</v>
      </c>
      <c r="O692" s="18">
        <v>0.3</v>
      </c>
      <c r="P692" s="71">
        <v>0</v>
      </c>
      <c r="Q692" s="21">
        <v>800</v>
      </c>
      <c r="R692" s="18" t="s">
        <v>51</v>
      </c>
      <c r="S692" s="21">
        <v>0.3</v>
      </c>
      <c r="T692" s="18" t="s">
        <v>51</v>
      </c>
      <c r="U692" s="21">
        <v>35.324866300197897</v>
      </c>
      <c r="V692" s="21">
        <v>30.1715182783092</v>
      </c>
      <c r="W692" s="21">
        <v>17.857474644854001</v>
      </c>
      <c r="X692" s="21">
        <v>9.3858378810723693</v>
      </c>
      <c r="Y692" s="73">
        <f t="shared" si="517"/>
        <v>9.3784242204674476E-2</v>
      </c>
      <c r="Z692" s="18" t="s">
        <v>51</v>
      </c>
      <c r="AA692" s="18" t="s">
        <v>51</v>
      </c>
      <c r="AB692" s="18" t="s">
        <v>51</v>
      </c>
      <c r="AC692" s="28">
        <f t="shared" si="518"/>
        <v>10988.419661420385</v>
      </c>
      <c r="AD692" s="18" t="s">
        <v>51</v>
      </c>
      <c r="AF692" s="1"/>
      <c r="AK692" s="1">
        <f t="shared" si="519"/>
        <v>6.9214285714284274E-3</v>
      </c>
      <c r="AL692" s="1">
        <f t="shared" si="520"/>
        <v>7.3732401089319843</v>
      </c>
      <c r="AM692" s="1">
        <f t="shared" si="521"/>
        <v>7.3801615375034126</v>
      </c>
      <c r="AN692" s="1"/>
      <c r="AO692" s="30">
        <f t="shared" si="522"/>
        <v>35.291737142028445</v>
      </c>
      <c r="AP692" s="30">
        <f t="shared" si="523"/>
        <v>30.143222148530246</v>
      </c>
      <c r="AQ692" s="30">
        <f t="shared" si="524"/>
        <v>17.840727147581433</v>
      </c>
      <c r="AR692" s="30">
        <f t="shared" si="525"/>
        <v>9.3770354441410468</v>
      </c>
      <c r="AS692" s="30">
        <f t="shared" si="526"/>
        <v>9.3784242204674476E-2</v>
      </c>
      <c r="AT692" s="31">
        <f t="shared" si="502"/>
        <v>92.746506124485848</v>
      </c>
      <c r="AV692" s="28">
        <f t="shared" si="527"/>
        <v>10978.114255310655</v>
      </c>
    </row>
    <row r="693" spans="2:48" ht="15.75" customHeight="1" x14ac:dyDescent="0.25">
      <c r="B693" s="78"/>
      <c r="C693" s="94" t="s">
        <v>46</v>
      </c>
      <c r="D693" s="69"/>
      <c r="E693" s="79" t="s">
        <v>75</v>
      </c>
      <c r="F693" s="70"/>
      <c r="G693" s="18">
        <v>50.8</v>
      </c>
      <c r="H693" s="18">
        <v>5.4</v>
      </c>
      <c r="I693" s="18">
        <v>43.6</v>
      </c>
      <c r="J693" s="58">
        <f t="shared" si="535"/>
        <v>0.19379999999999598</v>
      </c>
      <c r="K693" s="18">
        <v>6.1999999999999998E-3</v>
      </c>
      <c r="L693" s="18">
        <v>17.399999999999999</v>
      </c>
      <c r="M693" s="18">
        <v>75.900000000000006</v>
      </c>
      <c r="N693" s="18">
        <v>6.4</v>
      </c>
      <c r="O693" s="18">
        <v>0.3</v>
      </c>
      <c r="P693" s="71">
        <v>0</v>
      </c>
      <c r="Q693" s="21">
        <v>800</v>
      </c>
      <c r="R693" s="18" t="s">
        <v>51</v>
      </c>
      <c r="S693" s="21">
        <v>0.3</v>
      </c>
      <c r="T693" s="18" t="s">
        <v>51</v>
      </c>
      <c r="U693" s="21">
        <v>34.803530221247399</v>
      </c>
      <c r="V693" s="21">
        <v>30.873488813431301</v>
      </c>
      <c r="W693" s="21">
        <v>17.3361385659035</v>
      </c>
      <c r="X693" s="21">
        <v>9.9126386987960107</v>
      </c>
      <c r="Y693" s="73">
        <f t="shared" si="517"/>
        <v>9.4938705116826588E-2</v>
      </c>
      <c r="Z693" s="18" t="s">
        <v>51</v>
      </c>
      <c r="AA693" s="18" t="s">
        <v>51</v>
      </c>
      <c r="AB693" s="18" t="s">
        <v>51</v>
      </c>
      <c r="AC693" s="28">
        <f t="shared" si="518"/>
        <v>11209.584412826232</v>
      </c>
      <c r="AD693" s="18" t="s">
        <v>51</v>
      </c>
      <c r="AF693" s="1"/>
      <c r="AK693" s="1">
        <f t="shared" si="519"/>
        <v>6.9214285714284274E-3</v>
      </c>
      <c r="AL693" s="1">
        <f t="shared" si="520"/>
        <v>7.2834967026968256</v>
      </c>
      <c r="AM693" s="1">
        <f t="shared" si="521"/>
        <v>7.2904181312682539</v>
      </c>
      <c r="AN693" s="1"/>
      <c r="AO693" s="30">
        <f t="shared" si="522"/>
        <v>34.770488200320401</v>
      </c>
      <c r="AP693" s="30">
        <f t="shared" si="523"/>
        <v>30.84417792292744</v>
      </c>
      <c r="AQ693" s="30">
        <f t="shared" si="524"/>
        <v>17.319679860431776</v>
      </c>
      <c r="AR693" s="30">
        <f t="shared" si="525"/>
        <v>9.9032277679724636</v>
      </c>
      <c r="AS693" s="30">
        <f t="shared" si="526"/>
        <v>9.4938705116826588E-2</v>
      </c>
      <c r="AT693" s="31">
        <f t="shared" si="502"/>
        <v>92.932512456768919</v>
      </c>
      <c r="AV693" s="28">
        <f t="shared" si="527"/>
        <v>11198.942178535715</v>
      </c>
    </row>
    <row r="694" spans="2:48" ht="15.75" customHeight="1" x14ac:dyDescent="0.25">
      <c r="B694" s="78"/>
      <c r="C694" s="94" t="s">
        <v>46</v>
      </c>
      <c r="D694" s="69"/>
      <c r="E694" s="79" t="s">
        <v>75</v>
      </c>
      <c r="F694" s="70"/>
      <c r="G694" s="18">
        <v>50.8</v>
      </c>
      <c r="H694" s="18">
        <v>5.4</v>
      </c>
      <c r="I694" s="18">
        <v>43.6</v>
      </c>
      <c r="J694" s="58">
        <f t="shared" si="535"/>
        <v>0.19379999999999598</v>
      </c>
      <c r="K694" s="18">
        <v>6.1999999999999998E-3</v>
      </c>
      <c r="L694" s="18">
        <v>17.399999999999999</v>
      </c>
      <c r="M694" s="18">
        <v>75.900000000000006</v>
      </c>
      <c r="N694" s="18">
        <v>6.4</v>
      </c>
      <c r="O694" s="18">
        <v>0.3</v>
      </c>
      <c r="P694" s="71">
        <v>0</v>
      </c>
      <c r="Q694" s="21">
        <v>800</v>
      </c>
      <c r="R694" s="18" t="s">
        <v>51</v>
      </c>
      <c r="S694" s="21">
        <v>0.3</v>
      </c>
      <c r="T694" s="18" t="s">
        <v>51</v>
      </c>
      <c r="U694" s="21">
        <v>34.719075167481797</v>
      </c>
      <c r="V694" s="21">
        <v>30.701896015957001</v>
      </c>
      <c r="W694" s="21">
        <v>17.3393180502805</v>
      </c>
      <c r="X694" s="21">
        <v>9.7409465424349406</v>
      </c>
      <c r="Y694" s="73">
        <f t="shared" si="517"/>
        <v>9.4383690673358098E-2</v>
      </c>
      <c r="Z694" s="18" t="s">
        <v>51</v>
      </c>
      <c r="AA694" s="18" t="s">
        <v>51</v>
      </c>
      <c r="AB694" s="18" t="s">
        <v>51</v>
      </c>
      <c r="AC694" s="28">
        <f t="shared" si="518"/>
        <v>11117.268680091702</v>
      </c>
      <c r="AD694" s="18" t="s">
        <v>51</v>
      </c>
      <c r="AF694" s="1"/>
      <c r="AK694" s="1">
        <f t="shared" si="519"/>
        <v>6.9214285714284274E-3</v>
      </c>
      <c r="AL694" s="1">
        <f t="shared" si="520"/>
        <v>7.3263673229587711</v>
      </c>
      <c r="AM694" s="1">
        <f t="shared" si="521"/>
        <v>7.3332887515301994</v>
      </c>
      <c r="AN694" s="1"/>
      <c r="AO694" s="30">
        <f t="shared" si="522"/>
        <v>34.686306022971074</v>
      </c>
      <c r="AP694" s="30">
        <f t="shared" si="523"/>
        <v>30.672918433390446</v>
      </c>
      <c r="AQ694" s="30">
        <f t="shared" si="524"/>
        <v>17.322952561967053</v>
      </c>
      <c r="AR694" s="30">
        <f t="shared" si="525"/>
        <v>9.731752677581671</v>
      </c>
      <c r="AS694" s="30">
        <f t="shared" si="526"/>
        <v>9.4383690673358098E-2</v>
      </c>
      <c r="AT694" s="31">
        <f t="shared" si="502"/>
        <v>92.508313386583595</v>
      </c>
      <c r="AV694" s="28">
        <f t="shared" si="527"/>
        <v>11106.77579160936</v>
      </c>
    </row>
    <row r="695" spans="2:48" ht="15.75" customHeight="1" x14ac:dyDescent="0.25">
      <c r="B695" s="78"/>
      <c r="C695" s="94" t="s">
        <v>46</v>
      </c>
      <c r="D695" s="69"/>
      <c r="E695" s="79" t="s">
        <v>75</v>
      </c>
      <c r="F695" s="70"/>
      <c r="G695" s="18">
        <v>50.8</v>
      </c>
      <c r="H695" s="18">
        <v>5.4</v>
      </c>
      <c r="I695" s="18">
        <v>43.6</v>
      </c>
      <c r="J695" s="58">
        <f t="shared" si="535"/>
        <v>0.19379999999999598</v>
      </c>
      <c r="K695" s="18">
        <v>6.1999999999999998E-3</v>
      </c>
      <c r="L695" s="18">
        <v>17.399999999999999</v>
      </c>
      <c r="M695" s="18">
        <v>75.900000000000006</v>
      </c>
      <c r="N695" s="18">
        <v>6.4</v>
      </c>
      <c r="O695" s="18">
        <v>0.3</v>
      </c>
      <c r="P695" s="71">
        <v>0</v>
      </c>
      <c r="Q695" s="21">
        <v>800</v>
      </c>
      <c r="R695" s="18" t="s">
        <v>51</v>
      </c>
      <c r="S695" s="21">
        <v>0.3</v>
      </c>
      <c r="T695" s="18" t="s">
        <v>51</v>
      </c>
      <c r="U695" s="21">
        <v>34.372710088156097</v>
      </c>
      <c r="V695" s="21">
        <v>30.617341603304599</v>
      </c>
      <c r="W695" s="21">
        <v>17.1674271761459</v>
      </c>
      <c r="X695" s="21">
        <v>9.8310650527471495</v>
      </c>
      <c r="Y695" s="73">
        <f t="shared" si="517"/>
        <v>9.4112261557348198E-2</v>
      </c>
      <c r="Z695" s="18" t="s">
        <v>51</v>
      </c>
      <c r="AA695" s="18" t="s">
        <v>51</v>
      </c>
      <c r="AB695" s="18" t="s">
        <v>51</v>
      </c>
      <c r="AC695" s="28">
        <f t="shared" si="518"/>
        <v>11101.484758879029</v>
      </c>
      <c r="AD695" s="18" t="s">
        <v>51</v>
      </c>
      <c r="AF695" s="1"/>
      <c r="AK695" s="1">
        <f t="shared" si="519"/>
        <v>6.9214285714284274E-3</v>
      </c>
      <c r="AL695" s="1">
        <f t="shared" si="520"/>
        <v>7.3475172565629094</v>
      </c>
      <c r="AM695" s="1">
        <f t="shared" si="521"/>
        <v>7.3544386851343377</v>
      </c>
      <c r="AN695" s="1"/>
      <c r="AO695" s="30">
        <f t="shared" si="522"/>
        <v>34.340361153333589</v>
      </c>
      <c r="AP695" s="30">
        <f t="shared" si="523"/>
        <v>30.588526930692993</v>
      </c>
      <c r="AQ695" s="30">
        <f t="shared" si="524"/>
        <v>17.151270522179217</v>
      </c>
      <c r="AR695" s="30">
        <f t="shared" si="525"/>
        <v>9.8218128150908353</v>
      </c>
      <c r="AS695" s="30">
        <f t="shared" si="526"/>
        <v>9.4112261557348198E-2</v>
      </c>
      <c r="AT695" s="31">
        <f t="shared" si="502"/>
        <v>91.996083682853978</v>
      </c>
      <c r="AV695" s="28">
        <f t="shared" si="527"/>
        <v>11091.036900506006</v>
      </c>
    </row>
    <row r="696" spans="2:48" ht="15.75" customHeight="1" x14ac:dyDescent="0.25">
      <c r="B696" s="78"/>
      <c r="C696" s="94" t="s">
        <v>46</v>
      </c>
      <c r="D696" s="69"/>
      <c r="E696" s="79" t="s">
        <v>75</v>
      </c>
      <c r="F696" s="70"/>
      <c r="G696" s="18">
        <v>50.8</v>
      </c>
      <c r="H696" s="18">
        <v>5.4</v>
      </c>
      <c r="I696" s="18">
        <v>43.6</v>
      </c>
      <c r="J696" s="58">
        <f t="shared" si="535"/>
        <v>0.19379999999999598</v>
      </c>
      <c r="K696" s="18">
        <v>6.1999999999999998E-3</v>
      </c>
      <c r="L696" s="18">
        <v>17.399999999999999</v>
      </c>
      <c r="M696" s="18">
        <v>75.900000000000006</v>
      </c>
      <c r="N696" s="18">
        <v>6.4</v>
      </c>
      <c r="O696" s="18">
        <v>0.3</v>
      </c>
      <c r="P696" s="71">
        <v>0</v>
      </c>
      <c r="Q696" s="21">
        <v>800</v>
      </c>
      <c r="R696" s="18" t="s">
        <v>51</v>
      </c>
      <c r="S696" s="21">
        <v>0.3</v>
      </c>
      <c r="T696" s="18" t="s">
        <v>51</v>
      </c>
      <c r="U696" s="21">
        <v>35.248956110695701</v>
      </c>
      <c r="V696" s="21">
        <v>29.484749652864799</v>
      </c>
      <c r="W696" s="21">
        <v>17.432019891649102</v>
      </c>
      <c r="X696" s="21">
        <v>9.4846999734214901</v>
      </c>
      <c r="Y696" s="73">
        <f t="shared" si="517"/>
        <v>9.2130492456848179E-2</v>
      </c>
      <c r="Z696" s="18" t="s">
        <v>51</v>
      </c>
      <c r="AA696" s="18" t="s">
        <v>51</v>
      </c>
      <c r="AB696" s="18" t="s">
        <v>51</v>
      </c>
      <c r="AC696" s="28">
        <f t="shared" si="518"/>
        <v>10928.882415677112</v>
      </c>
      <c r="AD696" s="18" t="s">
        <v>51</v>
      </c>
      <c r="AF696" s="1"/>
      <c r="AK696" s="1">
        <f t="shared" si="519"/>
        <v>6.9214285714284274E-3</v>
      </c>
      <c r="AL696" s="1">
        <f t="shared" si="520"/>
        <v>7.5057146019699976</v>
      </c>
      <c r="AM696" s="1">
        <f t="shared" si="521"/>
        <v>7.5126360305414259</v>
      </c>
      <c r="AN696" s="1"/>
      <c r="AO696" s="30">
        <f t="shared" si="522"/>
        <v>35.216481073845017</v>
      </c>
      <c r="AP696" s="30">
        <f t="shared" si="523"/>
        <v>29.457585207809949</v>
      </c>
      <c r="AQ696" s="30">
        <f t="shared" si="524"/>
        <v>17.415959685877748</v>
      </c>
      <c r="AR696" s="30">
        <f t="shared" si="525"/>
        <v>9.475961672627923</v>
      </c>
      <c r="AS696" s="30">
        <f t="shared" si="526"/>
        <v>9.2130492456848179E-2</v>
      </c>
      <c r="AT696" s="31">
        <f t="shared" si="502"/>
        <v>91.658118132617489</v>
      </c>
      <c r="AV696" s="28">
        <f t="shared" si="527"/>
        <v>10918.813582487519</v>
      </c>
    </row>
    <row r="697" spans="2:48" ht="15.75" customHeight="1" x14ac:dyDescent="0.25">
      <c r="B697" s="78"/>
      <c r="C697" s="94" t="s">
        <v>46</v>
      </c>
      <c r="D697" s="69"/>
      <c r="E697" s="79" t="s">
        <v>75</v>
      </c>
      <c r="F697" s="70"/>
      <c r="G697" s="18">
        <v>50.8</v>
      </c>
      <c r="H697" s="18">
        <v>5.4</v>
      </c>
      <c r="I697" s="18">
        <v>43.6</v>
      </c>
      <c r="J697" s="58">
        <f t="shared" si="535"/>
        <v>0.19379999999999598</v>
      </c>
      <c r="K697" s="18">
        <v>6.1999999999999998E-3</v>
      </c>
      <c r="L697" s="18">
        <v>17.399999999999999</v>
      </c>
      <c r="M697" s="18">
        <v>75.900000000000006</v>
      </c>
      <c r="N697" s="18">
        <v>6.4</v>
      </c>
      <c r="O697" s="18">
        <v>0.3</v>
      </c>
      <c r="P697" s="71">
        <v>0</v>
      </c>
      <c r="Q697" s="21">
        <v>800</v>
      </c>
      <c r="R697" s="18" t="s">
        <v>51</v>
      </c>
      <c r="S697" s="21">
        <v>0.3</v>
      </c>
      <c r="T697" s="18" t="s">
        <v>51</v>
      </c>
      <c r="U697" s="21">
        <v>34.727818749518697</v>
      </c>
      <c r="V697" s="21">
        <v>30.1864221113266</v>
      </c>
      <c r="W697" s="21">
        <v>17.5222377608481</v>
      </c>
      <c r="X697" s="21">
        <v>9.5749178426204793</v>
      </c>
      <c r="Y697" s="73">
        <f t="shared" si="517"/>
        <v>9.3570047485652036E-2</v>
      </c>
      <c r="Z697" s="18" t="s">
        <v>51</v>
      </c>
      <c r="AA697" s="18" t="s">
        <v>51</v>
      </c>
      <c r="AB697" s="18" t="s">
        <v>51</v>
      </c>
      <c r="AC697" s="28">
        <f t="shared" si="518"/>
        <v>10993.597833195574</v>
      </c>
      <c r="AD697" s="18" t="s">
        <v>51</v>
      </c>
      <c r="AF697" s="1"/>
      <c r="AK697" s="1">
        <f t="shared" si="519"/>
        <v>6.9214285714284274E-3</v>
      </c>
      <c r="AL697" s="1">
        <f t="shared" si="520"/>
        <v>7.3901343146029612</v>
      </c>
      <c r="AM697" s="1">
        <f t="shared" si="521"/>
        <v>7.3970557431743895</v>
      </c>
      <c r="AN697" s="1"/>
      <c r="AO697" s="30">
        <f t="shared" si="522"/>
        <v>34.695323913024041</v>
      </c>
      <c r="AP697" s="30">
        <f t="shared" si="523"/>
        <v>30.158176661822811</v>
      </c>
      <c r="AQ697" s="30">
        <f t="shared" si="524"/>
        <v>17.505842194654726</v>
      </c>
      <c r="AR697" s="30">
        <f t="shared" si="525"/>
        <v>9.5659585874484279</v>
      </c>
      <c r="AS697" s="30">
        <f t="shared" si="526"/>
        <v>9.3570047485652036E-2</v>
      </c>
      <c r="AT697" s="31">
        <f t="shared" si="502"/>
        <v>92.018871404435657</v>
      </c>
      <c r="AV697" s="28">
        <f t="shared" si="527"/>
        <v>10983.311118482672</v>
      </c>
    </row>
    <row r="698" spans="2:48" ht="15.75" customHeight="1" x14ac:dyDescent="0.25">
      <c r="B698" s="78"/>
      <c r="C698" s="94" t="s">
        <v>46</v>
      </c>
      <c r="D698" s="69"/>
      <c r="E698" s="79" t="s">
        <v>75</v>
      </c>
      <c r="F698" s="70"/>
      <c r="G698" s="18">
        <v>50.8</v>
      </c>
      <c r="H698" s="18">
        <v>5.4</v>
      </c>
      <c r="I698" s="18">
        <v>43.6</v>
      </c>
      <c r="J698" s="58">
        <f t="shared" si="535"/>
        <v>0.19379999999999598</v>
      </c>
      <c r="K698" s="18">
        <v>6.1999999999999998E-3</v>
      </c>
      <c r="L698" s="18">
        <v>17.399999999999999</v>
      </c>
      <c r="M698" s="18">
        <v>75.900000000000006</v>
      </c>
      <c r="N698" s="18">
        <v>6.4</v>
      </c>
      <c r="O698" s="18">
        <v>0.3</v>
      </c>
      <c r="P698" s="71">
        <v>0</v>
      </c>
      <c r="Q698" s="21">
        <v>800</v>
      </c>
      <c r="R698" s="18" t="s">
        <v>51</v>
      </c>
      <c r="S698" s="21">
        <v>0.3</v>
      </c>
      <c r="T698" s="18" t="s">
        <v>51</v>
      </c>
      <c r="U698" s="21">
        <v>34.293918490937202</v>
      </c>
      <c r="V698" s="21">
        <v>29.752621211631901</v>
      </c>
      <c r="W698" s="21">
        <v>17.5255166041119</v>
      </c>
      <c r="X698" s="21">
        <v>9.6653344295930506</v>
      </c>
      <c r="Y698" s="73">
        <f t="shared" si="517"/>
        <v>9.3015017835104866E-2</v>
      </c>
      <c r="Z698" s="18" t="s">
        <v>51</v>
      </c>
      <c r="AA698" s="18" t="s">
        <v>51</v>
      </c>
      <c r="AB698" s="18" t="s">
        <v>51</v>
      </c>
      <c r="AC698" s="28">
        <f t="shared" si="518"/>
        <v>10924.347273326001</v>
      </c>
      <c r="AD698" s="18" t="s">
        <v>51</v>
      </c>
      <c r="AF698" s="1"/>
      <c r="AK698" s="1">
        <f t="shared" si="519"/>
        <v>6.9214285714284274E-3</v>
      </c>
      <c r="AL698" s="1">
        <f t="shared" si="520"/>
        <v>7.4342732650624486</v>
      </c>
      <c r="AM698" s="1">
        <f t="shared" si="521"/>
        <v>7.4411946936338769</v>
      </c>
      <c r="AN698" s="1"/>
      <c r="AO698" s="30">
        <f t="shared" si="522"/>
        <v>34.262019996536502</v>
      </c>
      <c r="AP698" s="30">
        <f t="shared" si="523"/>
        <v>29.724946805705493</v>
      </c>
      <c r="AQ698" s="30">
        <f t="shared" si="524"/>
        <v>17.509215241716891</v>
      </c>
      <c r="AR698" s="30">
        <f t="shared" si="525"/>
        <v>9.6563442170495417</v>
      </c>
      <c r="AS698" s="30">
        <f t="shared" si="526"/>
        <v>9.3015017835104866E-2</v>
      </c>
      <c r="AT698" s="31">
        <f t="shared" si="502"/>
        <v>91.245541278843518</v>
      </c>
      <c r="AV698" s="28">
        <f t="shared" si="527"/>
        <v>10914.185989761347</v>
      </c>
    </row>
    <row r="699" spans="2:48" ht="15.75" customHeight="1" x14ac:dyDescent="0.25">
      <c r="B699" s="78"/>
      <c r="C699" s="94" t="s">
        <v>46</v>
      </c>
      <c r="D699" s="69"/>
      <c r="E699" s="79" t="s">
        <v>75</v>
      </c>
      <c r="F699" s="70"/>
      <c r="G699" s="18">
        <v>50.8</v>
      </c>
      <c r="H699" s="18">
        <v>5.4</v>
      </c>
      <c r="I699" s="18">
        <v>43.6</v>
      </c>
      <c r="J699" s="58">
        <f t="shared" si="535"/>
        <v>0.19379999999999598</v>
      </c>
      <c r="K699" s="18">
        <v>6.1999999999999998E-3</v>
      </c>
      <c r="L699" s="18">
        <v>17.399999999999999</v>
      </c>
      <c r="M699" s="18">
        <v>75.900000000000006</v>
      </c>
      <c r="N699" s="18">
        <v>6.4</v>
      </c>
      <c r="O699" s="18">
        <v>0.3</v>
      </c>
      <c r="P699" s="71">
        <v>0</v>
      </c>
      <c r="Q699" s="21">
        <v>800</v>
      </c>
      <c r="R699" s="18" t="s">
        <v>51</v>
      </c>
      <c r="S699" s="21">
        <v>0.3</v>
      </c>
      <c r="T699" s="18" t="s">
        <v>51</v>
      </c>
      <c r="U699" s="21">
        <v>34.296998616427501</v>
      </c>
      <c r="V699" s="21">
        <v>29.668265516753099</v>
      </c>
      <c r="W699" s="21">
        <v>17.266189909608201</v>
      </c>
      <c r="X699" s="21">
        <v>9.5806806580539003</v>
      </c>
      <c r="Y699" s="73">
        <f t="shared" si="517"/>
        <v>9.2315992752489862E-2</v>
      </c>
      <c r="Z699" s="18" t="s">
        <v>51</v>
      </c>
      <c r="AA699" s="18" t="s">
        <v>51</v>
      </c>
      <c r="AB699" s="18" t="s">
        <v>51</v>
      </c>
      <c r="AC699" s="28">
        <f t="shared" si="518"/>
        <v>10883.689846621806</v>
      </c>
      <c r="AD699" s="18" t="s">
        <v>51</v>
      </c>
      <c r="AF699" s="1"/>
      <c r="AK699" s="1">
        <f t="shared" si="519"/>
        <v>6.9214285714284274E-3</v>
      </c>
      <c r="AL699" s="1">
        <f t="shared" si="520"/>
        <v>7.4906186672011419</v>
      </c>
      <c r="AM699" s="1">
        <f t="shared" si="521"/>
        <v>7.4975400957725702</v>
      </c>
      <c r="AN699" s="1"/>
      <c r="AO699" s="30">
        <f t="shared" si="522"/>
        <v>34.265337001670439</v>
      </c>
      <c r="AP699" s="30">
        <f t="shared" si="523"/>
        <v>29.64087696290887</v>
      </c>
      <c r="AQ699" s="30">
        <f t="shared" si="524"/>
        <v>17.250250454982616</v>
      </c>
      <c r="AR699" s="30">
        <f t="shared" si="525"/>
        <v>9.5718361575919708</v>
      </c>
      <c r="AS699" s="30">
        <f t="shared" si="526"/>
        <v>9.2315992752489862E-2</v>
      </c>
      <c r="AT699" s="31">
        <f t="shared" si="502"/>
        <v>90.820616569906392</v>
      </c>
      <c r="AV699" s="28">
        <f t="shared" si="527"/>
        <v>10873.642460291798</v>
      </c>
    </row>
    <row r="700" spans="2:48" ht="15.75" customHeight="1" x14ac:dyDescent="0.25">
      <c r="B700" s="78"/>
      <c r="C700" s="94" t="s">
        <v>46</v>
      </c>
      <c r="D700" s="69"/>
      <c r="E700" s="79" t="s">
        <v>75</v>
      </c>
      <c r="F700" s="70"/>
      <c r="G700" s="18">
        <v>50.8</v>
      </c>
      <c r="H700" s="18">
        <v>5.4</v>
      </c>
      <c r="I700" s="18">
        <v>43.6</v>
      </c>
      <c r="J700" s="58">
        <f t="shared" si="535"/>
        <v>0.19379999999999598</v>
      </c>
      <c r="K700" s="18">
        <v>6.1999999999999998E-3</v>
      </c>
      <c r="L700" s="18">
        <v>17.399999999999999</v>
      </c>
      <c r="M700" s="18">
        <v>75.900000000000006</v>
      </c>
      <c r="N700" s="18">
        <v>6.4</v>
      </c>
      <c r="O700" s="18">
        <v>0.3</v>
      </c>
      <c r="P700" s="71">
        <v>0</v>
      </c>
      <c r="Q700" s="21">
        <v>800</v>
      </c>
      <c r="R700" s="18" t="s">
        <v>51</v>
      </c>
      <c r="S700" s="21">
        <v>0.3</v>
      </c>
      <c r="T700" s="18" t="s">
        <v>51</v>
      </c>
      <c r="U700" s="21">
        <v>34.387117126739703</v>
      </c>
      <c r="V700" s="21">
        <v>29.409137540023</v>
      </c>
      <c r="W700" s="21">
        <v>17.269270035098501</v>
      </c>
      <c r="X700" s="21">
        <v>9.4964243220618894</v>
      </c>
      <c r="Y700" s="73">
        <f t="shared" si="517"/>
        <v>9.1760624863809176E-2</v>
      </c>
      <c r="Z700" s="18" t="s">
        <v>51</v>
      </c>
      <c r="AA700" s="18" t="s">
        <v>51</v>
      </c>
      <c r="AB700" s="18" t="s">
        <v>51</v>
      </c>
      <c r="AC700" s="28">
        <f t="shared" si="518"/>
        <v>10830.490480708937</v>
      </c>
      <c r="AD700" s="18" t="s">
        <v>51</v>
      </c>
      <c r="AF700" s="1"/>
      <c r="AK700" s="1">
        <f t="shared" si="519"/>
        <v>6.9214285714284274E-3</v>
      </c>
      <c r="AL700" s="1">
        <f t="shared" si="520"/>
        <v>7.5359964424666011</v>
      </c>
      <c r="AM700" s="1">
        <f t="shared" si="521"/>
        <v>7.5429178710380294</v>
      </c>
      <c r="AN700" s="1"/>
      <c r="AO700" s="30">
        <f t="shared" si="522"/>
        <v>34.355563293191558</v>
      </c>
      <c r="AP700" s="30">
        <f t="shared" si="523"/>
        <v>29.382151531649221</v>
      </c>
      <c r="AQ700" s="30">
        <f t="shared" si="524"/>
        <v>17.253423645004876</v>
      </c>
      <c r="AR700" s="30">
        <f t="shared" si="525"/>
        <v>9.4877103437642472</v>
      </c>
      <c r="AS700" s="30">
        <f t="shared" si="526"/>
        <v>9.1760624863809176E-2</v>
      </c>
      <c r="AT700" s="31">
        <f t="shared" si="502"/>
        <v>90.57060943847371</v>
      </c>
      <c r="AV700" s="28">
        <f t="shared" si="527"/>
        <v>10820.552354968022</v>
      </c>
    </row>
    <row r="701" spans="2:48" ht="15.75" customHeight="1" x14ac:dyDescent="0.25">
      <c r="B701" s="78"/>
      <c r="C701" s="94" t="s">
        <v>46</v>
      </c>
      <c r="D701" s="69"/>
      <c r="E701" s="79" t="s">
        <v>75</v>
      </c>
      <c r="F701" s="70"/>
      <c r="G701" s="18">
        <v>50.8</v>
      </c>
      <c r="H701" s="18">
        <v>5.4</v>
      </c>
      <c r="I701" s="18">
        <v>43.6</v>
      </c>
      <c r="J701" s="58">
        <f t="shared" si="535"/>
        <v>0.19379999999999598</v>
      </c>
      <c r="K701" s="18">
        <v>6.1999999999999998E-3</v>
      </c>
      <c r="L701" s="18">
        <v>17.399999999999999</v>
      </c>
      <c r="M701" s="18">
        <v>75.900000000000006</v>
      </c>
      <c r="N701" s="18">
        <v>6.4</v>
      </c>
      <c r="O701" s="18">
        <v>0.3</v>
      </c>
      <c r="P701" s="71">
        <v>0</v>
      </c>
      <c r="Q701" s="21">
        <v>800</v>
      </c>
      <c r="R701" s="18" t="s">
        <v>51</v>
      </c>
      <c r="S701" s="21">
        <v>0.3</v>
      </c>
      <c r="T701" s="18" t="s">
        <v>51</v>
      </c>
      <c r="U701" s="21">
        <v>34.5647708163077</v>
      </c>
      <c r="V701" s="21">
        <v>28.713227896994599</v>
      </c>
      <c r="W701" s="21">
        <v>17.2723501605888</v>
      </c>
      <c r="X701" s="21">
        <v>9.3246328068140301</v>
      </c>
      <c r="Y701" s="73">
        <f t="shared" si="517"/>
        <v>9.0349557275712686E-2</v>
      </c>
      <c r="Z701" s="18" t="s">
        <v>51</v>
      </c>
      <c r="AA701" s="18" t="s">
        <v>51</v>
      </c>
      <c r="AB701" s="18" t="s">
        <v>51</v>
      </c>
      <c r="AC701" s="28">
        <f t="shared" si="518"/>
        <v>10700.193373684857</v>
      </c>
      <c r="AD701" s="18" t="s">
        <v>51</v>
      </c>
      <c r="AF701" s="1"/>
      <c r="AK701" s="1">
        <f t="shared" si="519"/>
        <v>6.9214285714284274E-3</v>
      </c>
      <c r="AL701" s="1">
        <f t="shared" si="520"/>
        <v>7.6538007488564528</v>
      </c>
      <c r="AM701" s="1">
        <f t="shared" si="521"/>
        <v>7.6607221774278811</v>
      </c>
      <c r="AN701" s="1"/>
      <c r="AO701" s="30">
        <f t="shared" si="522"/>
        <v>34.533541698901807</v>
      </c>
      <c r="AP701" s="30">
        <f t="shared" si="523"/>
        <v>28.687285622710096</v>
      </c>
      <c r="AQ701" s="30">
        <f t="shared" si="524"/>
        <v>17.256744668687595</v>
      </c>
      <c r="AR701" s="30">
        <f t="shared" si="525"/>
        <v>9.3162080423554876</v>
      </c>
      <c r="AS701" s="30">
        <f t="shared" si="526"/>
        <v>9.0349557275712686E-2</v>
      </c>
      <c r="AT701" s="31">
        <f t="shared" si="502"/>
        <v>89.884129589930708</v>
      </c>
      <c r="AV701" s="28">
        <f t="shared" si="527"/>
        <v>10690.525796344085</v>
      </c>
    </row>
    <row r="702" spans="2:48" ht="15.75" customHeight="1" x14ac:dyDescent="0.25">
      <c r="B702" s="78"/>
      <c r="C702" s="94" t="s">
        <v>46</v>
      </c>
      <c r="D702" s="69"/>
      <c r="E702" s="79" t="s">
        <v>75</v>
      </c>
      <c r="F702" s="70"/>
      <c r="G702" s="18">
        <v>50.8</v>
      </c>
      <c r="H702" s="18">
        <v>5.4</v>
      </c>
      <c r="I702" s="18">
        <v>43.6</v>
      </c>
      <c r="J702" s="58">
        <f t="shared" si="535"/>
        <v>0.19379999999999598</v>
      </c>
      <c r="K702" s="18">
        <v>6.1999999999999998E-3</v>
      </c>
      <c r="L702" s="18">
        <v>17.399999999999999</v>
      </c>
      <c r="M702" s="18">
        <v>75.900000000000006</v>
      </c>
      <c r="N702" s="18">
        <v>6.4</v>
      </c>
      <c r="O702" s="18">
        <v>0.3</v>
      </c>
      <c r="P702" s="71">
        <v>0</v>
      </c>
      <c r="Q702" s="21">
        <v>800</v>
      </c>
      <c r="R702" s="18" t="s">
        <v>51</v>
      </c>
      <c r="S702" s="21">
        <v>0.3</v>
      </c>
      <c r="T702" s="18" t="s">
        <v>51</v>
      </c>
      <c r="U702" s="21">
        <v>33.519912762897398</v>
      </c>
      <c r="V702" s="21">
        <v>28.1047540743353</v>
      </c>
      <c r="W702" s="21">
        <v>16.751113440525</v>
      </c>
      <c r="X702" s="21">
        <v>9.1528412915661601</v>
      </c>
      <c r="Y702" s="73">
        <f t="shared" si="517"/>
        <v>8.8225421632350573E-2</v>
      </c>
      <c r="Z702" s="18" t="s">
        <v>51</v>
      </c>
      <c r="AA702" s="18" t="s">
        <v>51</v>
      </c>
      <c r="AB702" s="18" t="s">
        <v>51</v>
      </c>
      <c r="AC702" s="28">
        <f t="shared" si="518"/>
        <v>10448.966153927488</v>
      </c>
      <c r="AD702" s="18" t="s">
        <v>51</v>
      </c>
      <c r="AF702" s="1"/>
      <c r="AK702" s="1">
        <f t="shared" si="519"/>
        <v>6.9214285714284274E-3</v>
      </c>
      <c r="AL702" s="1">
        <f t="shared" si="520"/>
        <v>7.8382420666750168</v>
      </c>
      <c r="AM702" s="1">
        <f t="shared" si="521"/>
        <v>7.8451634952464451</v>
      </c>
      <c r="AN702" s="1"/>
      <c r="AO702" s="30">
        <f t="shared" si="522"/>
        <v>33.490339678531534</v>
      </c>
      <c r="AP702" s="30">
        <f t="shared" si="523"/>
        <v>28.079958536554489</v>
      </c>
      <c r="AQ702" s="30">
        <f t="shared" si="524"/>
        <v>16.736334700063985</v>
      </c>
      <c r="AR702" s="30">
        <f t="shared" si="525"/>
        <v>9.1447661587453375</v>
      </c>
      <c r="AS702" s="30">
        <f t="shared" si="526"/>
        <v>8.8225421632350573E-2</v>
      </c>
      <c r="AT702" s="31">
        <f t="shared" si="502"/>
        <v>87.53962449552769</v>
      </c>
      <c r="AV702" s="28">
        <f t="shared" si="527"/>
        <v>10439.747509481964</v>
      </c>
    </row>
    <row r="703" spans="2:48" ht="15.75" customHeight="1" x14ac:dyDescent="0.25">
      <c r="B703" s="78"/>
      <c r="C703" s="94" t="s">
        <v>46</v>
      </c>
      <c r="D703" s="69"/>
      <c r="E703" s="79" t="s">
        <v>75</v>
      </c>
      <c r="F703" s="70"/>
      <c r="G703" s="18">
        <v>50.8</v>
      </c>
      <c r="H703" s="18">
        <v>5.4</v>
      </c>
      <c r="I703" s="18">
        <v>43.6</v>
      </c>
      <c r="J703" s="58">
        <f t="shared" si="535"/>
        <v>0.19379999999999598</v>
      </c>
      <c r="K703" s="18">
        <v>6.1999999999999998E-3</v>
      </c>
      <c r="L703" s="18">
        <v>17.399999999999999</v>
      </c>
      <c r="M703" s="18">
        <v>75.900000000000006</v>
      </c>
      <c r="N703" s="18">
        <v>6.4</v>
      </c>
      <c r="O703" s="18">
        <v>0.3</v>
      </c>
      <c r="P703" s="71">
        <v>0</v>
      </c>
      <c r="Q703" s="21">
        <v>800</v>
      </c>
      <c r="R703" s="18" t="s">
        <v>51</v>
      </c>
      <c r="S703" s="21">
        <v>0.3</v>
      </c>
      <c r="T703" s="18" t="s">
        <v>51</v>
      </c>
      <c r="U703" s="21">
        <v>33.697467093578602</v>
      </c>
      <c r="V703" s="21">
        <v>27.496280251676001</v>
      </c>
      <c r="W703" s="21">
        <v>16.9289658478666</v>
      </c>
      <c r="X703" s="21">
        <v>9.15572269928286</v>
      </c>
      <c r="Y703" s="73">
        <f t="shared" si="517"/>
        <v>8.7527302519713468E-2</v>
      </c>
      <c r="Z703" s="18" t="s">
        <v>51</v>
      </c>
      <c r="AA703" s="18" t="s">
        <v>51</v>
      </c>
      <c r="AB703" s="18" t="s">
        <v>51</v>
      </c>
      <c r="AC703" s="28">
        <f t="shared" si="518"/>
        <v>10392.292391380312</v>
      </c>
      <c r="AD703" s="18" t="s">
        <v>51</v>
      </c>
      <c r="AF703" s="1"/>
      <c r="AK703" s="1">
        <f t="shared" si="519"/>
        <v>6.9214285714284274E-3</v>
      </c>
      <c r="AL703" s="1">
        <f t="shared" si="520"/>
        <v>7.9008152115124339</v>
      </c>
      <c r="AM703" s="1">
        <f t="shared" si="521"/>
        <v>7.9077366400838622</v>
      </c>
      <c r="AN703" s="1"/>
      <c r="AO703" s="30">
        <f t="shared" si="522"/>
        <v>33.667972609614125</v>
      </c>
      <c r="AP703" s="30">
        <f t="shared" si="523"/>
        <v>27.472213499278453</v>
      </c>
      <c r="AQ703" s="30">
        <f t="shared" si="524"/>
        <v>16.914148380715481</v>
      </c>
      <c r="AR703" s="30">
        <f t="shared" si="525"/>
        <v>9.1477089421779922</v>
      </c>
      <c r="AS703" s="30">
        <f t="shared" si="526"/>
        <v>8.7527302519713468E-2</v>
      </c>
      <c r="AT703" s="31">
        <f t="shared" si="502"/>
        <v>87.289570734305769</v>
      </c>
      <c r="AV703" s="28">
        <f t="shared" si="527"/>
        <v>10383.196298180173</v>
      </c>
    </row>
    <row r="704" spans="2:48" ht="15.75" customHeight="1" x14ac:dyDescent="0.25">
      <c r="B704" s="78"/>
      <c r="C704" s="94" t="s">
        <v>46</v>
      </c>
      <c r="D704" s="69"/>
      <c r="E704" s="79" t="s">
        <v>75</v>
      </c>
      <c r="F704" s="70"/>
      <c r="G704" s="18">
        <v>50.8</v>
      </c>
      <c r="H704" s="18">
        <v>5.4</v>
      </c>
      <c r="I704" s="18">
        <v>43.6</v>
      </c>
      <c r="J704" s="58">
        <f t="shared" si="535"/>
        <v>0.19379999999999598</v>
      </c>
      <c r="K704" s="18">
        <v>6.1999999999999998E-3</v>
      </c>
      <c r="L704" s="18">
        <v>17.399999999999999</v>
      </c>
      <c r="M704" s="18">
        <v>75.900000000000006</v>
      </c>
      <c r="N704" s="18">
        <v>6.4</v>
      </c>
      <c r="O704" s="18">
        <v>0.3</v>
      </c>
      <c r="P704" s="71">
        <v>0</v>
      </c>
      <c r="Q704" s="21">
        <v>800</v>
      </c>
      <c r="R704" s="18" t="s">
        <v>51</v>
      </c>
      <c r="S704" s="21">
        <v>0.3</v>
      </c>
      <c r="T704" s="18" t="s">
        <v>51</v>
      </c>
      <c r="U704" s="21">
        <v>33.001557450550301</v>
      </c>
      <c r="V704" s="21">
        <v>28.547397914953699</v>
      </c>
      <c r="W704" s="21">
        <v>16.844312076327402</v>
      </c>
      <c r="X704" s="21">
        <v>9.4204147736728601</v>
      </c>
      <c r="Y704" s="73">
        <f t="shared" si="517"/>
        <v>8.9536659174141428E-2</v>
      </c>
      <c r="Z704" s="18" t="s">
        <v>51</v>
      </c>
      <c r="AA704" s="18" t="s">
        <v>51</v>
      </c>
      <c r="AB704" s="18" t="s">
        <v>51</v>
      </c>
      <c r="AC704" s="28">
        <f t="shared" si="518"/>
        <v>10544.805151013072</v>
      </c>
      <c r="AD704" s="18" t="s">
        <v>51</v>
      </c>
      <c r="AF704" s="1"/>
      <c r="AK704" s="1">
        <f t="shared" si="519"/>
        <v>6.9214285714284274E-3</v>
      </c>
      <c r="AL704" s="1">
        <f t="shared" si="520"/>
        <v>7.7233519982791519</v>
      </c>
      <c r="AM704" s="1">
        <f t="shared" si="521"/>
        <v>7.7302734268505802</v>
      </c>
      <c r="AN704" s="1"/>
      <c r="AO704" s="30">
        <f t="shared" si="522"/>
        <v>32.972008958533642</v>
      </c>
      <c r="AP704" s="30">
        <f t="shared" si="523"/>
        <v>28.521837528579503</v>
      </c>
      <c r="AQ704" s="30">
        <f t="shared" si="524"/>
        <v>16.82923024203339</v>
      </c>
      <c r="AR704" s="30">
        <f t="shared" si="525"/>
        <v>9.4119800490041658</v>
      </c>
      <c r="AS704" s="30">
        <f t="shared" si="526"/>
        <v>8.9536659174141428E-2</v>
      </c>
      <c r="AT704" s="31">
        <f t="shared" si="502"/>
        <v>87.82459343732485</v>
      </c>
      <c r="AV704" s="28">
        <f t="shared" si="527"/>
        <v>10535.363684764432</v>
      </c>
    </row>
    <row r="705" spans="2:48" ht="15.75" customHeight="1" x14ac:dyDescent="0.25">
      <c r="B705" s="78"/>
      <c r="C705" s="94" t="s">
        <v>46</v>
      </c>
      <c r="D705" s="69"/>
      <c r="E705" s="79" t="s">
        <v>75</v>
      </c>
      <c r="F705" s="70"/>
      <c r="G705" s="18">
        <v>50.8</v>
      </c>
      <c r="H705" s="18">
        <v>5.4</v>
      </c>
      <c r="I705" s="18">
        <v>43.6</v>
      </c>
      <c r="J705" s="58">
        <f t="shared" si="535"/>
        <v>0.19379999999999598</v>
      </c>
      <c r="K705" s="18">
        <v>6.1999999999999998E-3</v>
      </c>
      <c r="L705" s="18">
        <v>17.399999999999999</v>
      </c>
      <c r="M705" s="18">
        <v>75.900000000000006</v>
      </c>
      <c r="N705" s="18">
        <v>6.4</v>
      </c>
      <c r="O705" s="18">
        <v>0.3</v>
      </c>
      <c r="P705" s="71">
        <v>0</v>
      </c>
      <c r="Q705" s="21">
        <v>800</v>
      </c>
      <c r="R705" s="18" t="s">
        <v>51</v>
      </c>
      <c r="S705" s="21">
        <v>0.3</v>
      </c>
      <c r="T705" s="18" t="s">
        <v>51</v>
      </c>
      <c r="U705" s="21">
        <v>31.694292577145902</v>
      </c>
      <c r="V705" s="21">
        <v>28.724952245634999</v>
      </c>
      <c r="W705" s="21">
        <v>15.8865917666258</v>
      </c>
      <c r="X705" s="21">
        <v>9.1613861558295007</v>
      </c>
      <c r="Y705" s="73">
        <f t="shared" si="517"/>
        <v>8.7840605962329371E-2</v>
      </c>
      <c r="Z705" s="18" t="s">
        <v>51</v>
      </c>
      <c r="AA705" s="18" t="s">
        <v>51</v>
      </c>
      <c r="AB705" s="18" t="s">
        <v>51</v>
      </c>
      <c r="AC705" s="28">
        <f t="shared" si="518"/>
        <v>10333.297800407143</v>
      </c>
      <c r="AD705" s="18" t="s">
        <v>51</v>
      </c>
      <c r="AF705" s="1"/>
      <c r="AK705" s="1">
        <f t="shared" si="519"/>
        <v>6.9214285714284274E-3</v>
      </c>
      <c r="AL705" s="1">
        <f t="shared" si="520"/>
        <v>7.8726104753827597</v>
      </c>
      <c r="AM705" s="1">
        <f t="shared" si="521"/>
        <v>7.879531903954188</v>
      </c>
      <c r="AN705" s="1"/>
      <c r="AO705" s="30">
        <f t="shared" si="522"/>
        <v>31.66645211849066</v>
      </c>
      <c r="AP705" s="30">
        <f t="shared" si="523"/>
        <v>28.699720073520048</v>
      </c>
      <c r="AQ705" s="30">
        <f t="shared" si="524"/>
        <v>15.872636888151238</v>
      </c>
      <c r="AR705" s="30">
        <f t="shared" si="525"/>
        <v>9.1533387387156715</v>
      </c>
      <c r="AS705" s="30">
        <f t="shared" si="526"/>
        <v>8.7840605962329371E-2</v>
      </c>
      <c r="AT705" s="31">
        <f t="shared" si="502"/>
        <v>85.479988424839945</v>
      </c>
      <c r="AV705" s="28">
        <f t="shared" si="527"/>
        <v>10324.220969003374</v>
      </c>
    </row>
    <row r="706" spans="2:48" ht="15.75" customHeight="1" x14ac:dyDescent="0.25">
      <c r="B706" s="78"/>
      <c r="C706" s="94" t="s">
        <v>46</v>
      </c>
      <c r="D706" s="69"/>
      <c r="E706" s="79" t="s">
        <v>75</v>
      </c>
      <c r="F706" s="70"/>
      <c r="G706" s="18">
        <v>50.8</v>
      </c>
      <c r="H706" s="18">
        <v>5.4</v>
      </c>
      <c r="I706" s="18">
        <v>43.6</v>
      </c>
      <c r="J706" s="58">
        <f t="shared" si="535"/>
        <v>0.19379999999999598</v>
      </c>
      <c r="K706" s="18">
        <v>6.1999999999999998E-3</v>
      </c>
      <c r="L706" s="18">
        <v>17.399999999999999</v>
      </c>
      <c r="M706" s="18">
        <v>75.900000000000006</v>
      </c>
      <c r="N706" s="18">
        <v>6.4</v>
      </c>
      <c r="O706" s="18">
        <v>0.3</v>
      </c>
      <c r="P706" s="71">
        <v>0</v>
      </c>
      <c r="Q706" s="21">
        <v>800</v>
      </c>
      <c r="R706" s="18" t="s">
        <v>51</v>
      </c>
      <c r="S706" s="21">
        <v>0.3</v>
      </c>
      <c r="T706" s="18" t="s">
        <v>51</v>
      </c>
      <c r="U706" s="21">
        <v>33.181794471174697</v>
      </c>
      <c r="V706" s="21">
        <v>27.854369679642101</v>
      </c>
      <c r="W706" s="21">
        <v>16.675302609909501</v>
      </c>
      <c r="X706" s="21">
        <v>8.9026556146464895</v>
      </c>
      <c r="Y706" s="73">
        <f t="shared" si="517"/>
        <v>8.7284701816826571E-2</v>
      </c>
      <c r="Z706" s="18" t="s">
        <v>51</v>
      </c>
      <c r="AA706" s="18" t="s">
        <v>51</v>
      </c>
      <c r="AB706" s="18" t="s">
        <v>51</v>
      </c>
      <c r="AC706" s="28">
        <f t="shared" si="518"/>
        <v>10291.186432047207</v>
      </c>
      <c r="AD706" s="18" t="s">
        <v>51</v>
      </c>
      <c r="AF706" s="1"/>
      <c r="AK706" s="1">
        <f t="shared" si="519"/>
        <v>6.9214285714284274E-3</v>
      </c>
      <c r="AL706" s="1">
        <f t="shared" si="520"/>
        <v>7.9227941199259018</v>
      </c>
      <c r="AM706" s="1">
        <f t="shared" si="521"/>
        <v>7.9297155484973301</v>
      </c>
      <c r="AN706" s="1"/>
      <c r="AO706" s="30">
        <f t="shared" si="522"/>
        <v>33.152831840813064</v>
      </c>
      <c r="AP706" s="30">
        <f t="shared" si="523"/>
        <v>27.83005707612427</v>
      </c>
      <c r="AQ706" s="30">
        <f t="shared" si="524"/>
        <v>16.66074762174939</v>
      </c>
      <c r="AR706" s="30">
        <f t="shared" si="525"/>
        <v>8.8948849582394658</v>
      </c>
      <c r="AS706" s="30">
        <f t="shared" si="526"/>
        <v>8.7284701816826571E-2</v>
      </c>
      <c r="AT706" s="31">
        <f t="shared" si="502"/>
        <v>86.625806198743021</v>
      </c>
      <c r="AV706" s="28">
        <f t="shared" si="527"/>
        <v>10282.203800656582</v>
      </c>
    </row>
    <row r="707" spans="2:48" ht="15.75" customHeight="1" x14ac:dyDescent="0.25">
      <c r="B707" s="78"/>
      <c r="C707" s="94" t="s">
        <v>46</v>
      </c>
      <c r="D707" s="69"/>
      <c r="E707" s="79" t="s">
        <v>75</v>
      </c>
      <c r="F707" s="70"/>
      <c r="G707" s="18">
        <v>50.8</v>
      </c>
      <c r="H707" s="18">
        <v>5.4</v>
      </c>
      <c r="I707" s="18">
        <v>43.6</v>
      </c>
      <c r="J707" s="58">
        <f t="shared" si="535"/>
        <v>0.19379999999999598</v>
      </c>
      <c r="K707" s="18">
        <v>6.1999999999999998E-3</v>
      </c>
      <c r="L707" s="18">
        <v>17.399999999999999</v>
      </c>
      <c r="M707" s="18">
        <v>75.900000000000006</v>
      </c>
      <c r="N707" s="18">
        <v>6.4</v>
      </c>
      <c r="O707" s="18">
        <v>0.3</v>
      </c>
      <c r="P707" s="71">
        <v>0</v>
      </c>
      <c r="Q707" s="21">
        <v>800</v>
      </c>
      <c r="R707" s="18" t="s">
        <v>51</v>
      </c>
      <c r="S707" s="21">
        <v>0.3</v>
      </c>
      <c r="T707" s="18" t="s">
        <v>51</v>
      </c>
      <c r="U707" s="21">
        <v>33.097538135182702</v>
      </c>
      <c r="V707" s="21">
        <v>26.9839858314227</v>
      </c>
      <c r="W707" s="21">
        <v>16.678482094286601</v>
      </c>
      <c r="X707" s="21">
        <v>8.8182005608809106</v>
      </c>
      <c r="Y707" s="73">
        <f t="shared" si="517"/>
        <v>8.5731445601673145E-2</v>
      </c>
      <c r="Z707" s="18" t="s">
        <v>51</v>
      </c>
      <c r="AA707" s="18" t="s">
        <v>51</v>
      </c>
      <c r="AB707" s="18" t="s">
        <v>51</v>
      </c>
      <c r="AC707" s="28">
        <f t="shared" si="518"/>
        <v>10141.865534069975</v>
      </c>
      <c r="AD707" s="18" t="s">
        <v>51</v>
      </c>
      <c r="AF707" s="1"/>
      <c r="AK707" s="1">
        <f t="shared" si="519"/>
        <v>6.9214285714284274E-3</v>
      </c>
      <c r="AL707" s="1">
        <f t="shared" si="520"/>
        <v>8.0664622906147407</v>
      </c>
      <c r="AM707" s="1">
        <f t="shared" si="521"/>
        <v>8.0733837191861699</v>
      </c>
      <c r="AN707" s="1"/>
      <c r="AO707" s="30">
        <f t="shared" si="522"/>
        <v>33.069163137280839</v>
      </c>
      <c r="AP707" s="30">
        <f t="shared" si="523"/>
        <v>26.960852070288471</v>
      </c>
      <c r="AQ707" s="30">
        <f t="shared" si="524"/>
        <v>16.664183390482755</v>
      </c>
      <c r="AR707" s="30">
        <f t="shared" si="525"/>
        <v>8.8106405900640112</v>
      </c>
      <c r="AS707" s="30">
        <f t="shared" si="526"/>
        <v>8.5731445601673145E-2</v>
      </c>
      <c r="AT707" s="31">
        <f t="shared" si="502"/>
        <v>85.590570633717732</v>
      </c>
      <c r="AV707" s="28">
        <f t="shared" si="527"/>
        <v>10133.170766136636</v>
      </c>
    </row>
    <row r="708" spans="2:48" ht="15.75" customHeight="1" x14ac:dyDescent="0.25">
      <c r="B708" s="78"/>
      <c r="C708" s="94" t="s">
        <v>46</v>
      </c>
      <c r="D708" s="69"/>
      <c r="E708" s="79" t="s">
        <v>75</v>
      </c>
      <c r="F708" s="70"/>
      <c r="G708" s="18">
        <v>50.8</v>
      </c>
      <c r="H708" s="18">
        <v>5.4</v>
      </c>
      <c r="I708" s="18">
        <v>43.6</v>
      </c>
      <c r="J708" s="58">
        <f t="shared" si="535"/>
        <v>0.19379999999999598</v>
      </c>
      <c r="K708" s="18">
        <v>6.1999999999999998E-3</v>
      </c>
      <c r="L708" s="18">
        <v>17.399999999999999</v>
      </c>
      <c r="M708" s="18">
        <v>75.900000000000006</v>
      </c>
      <c r="N708" s="18">
        <v>6.4</v>
      </c>
      <c r="O708" s="18">
        <v>0.3</v>
      </c>
      <c r="P708" s="71">
        <v>0</v>
      </c>
      <c r="Q708" s="21">
        <v>800</v>
      </c>
      <c r="R708" s="18" t="s">
        <v>51</v>
      </c>
      <c r="S708" s="21">
        <v>0.3</v>
      </c>
      <c r="T708" s="18" t="s">
        <v>51</v>
      </c>
      <c r="U708" s="21">
        <v>33.0132817991907</v>
      </c>
      <c r="V708" s="21">
        <v>26.9871653157998</v>
      </c>
      <c r="W708" s="21">
        <v>16.768600604598799</v>
      </c>
      <c r="X708" s="21">
        <v>8.9083190711931195</v>
      </c>
      <c r="Y708" s="73">
        <f t="shared" si="517"/>
        <v>8.6030813628135458E-2</v>
      </c>
      <c r="Z708" s="18" t="s">
        <v>51</v>
      </c>
      <c r="AA708" s="18" t="s">
        <v>51</v>
      </c>
      <c r="AB708" s="18" t="s">
        <v>51</v>
      </c>
      <c r="AC708" s="28">
        <f t="shared" si="518"/>
        <v>10165.461893737795</v>
      </c>
      <c r="AD708" s="18" t="s">
        <v>51</v>
      </c>
      <c r="AF708" s="1"/>
      <c r="AK708" s="1">
        <f t="shared" si="519"/>
        <v>6.9214285714284274E-3</v>
      </c>
      <c r="AL708" s="1">
        <f t="shared" si="520"/>
        <v>8.0383687175220491</v>
      </c>
      <c r="AM708" s="1">
        <f t="shared" si="521"/>
        <v>8.0452901460934783</v>
      </c>
      <c r="AN708" s="1"/>
      <c r="AO708" s="30">
        <f t="shared" si="522"/>
        <v>32.984880204253507</v>
      </c>
      <c r="AP708" s="30">
        <f t="shared" si="523"/>
        <v>26.963948037903446</v>
      </c>
      <c r="AQ708" s="30">
        <f t="shared" si="524"/>
        <v>16.754174441064606</v>
      </c>
      <c r="AR708" s="30">
        <f t="shared" si="525"/>
        <v>8.9006551718155809</v>
      </c>
      <c r="AS708" s="30">
        <f t="shared" si="526"/>
        <v>8.6030813628135458E-2</v>
      </c>
      <c r="AT708" s="31">
        <f t="shared" si="502"/>
        <v>85.689688668665283</v>
      </c>
      <c r="AV708" s="28">
        <f t="shared" si="527"/>
        <v>10156.716464161555</v>
      </c>
    </row>
    <row r="709" spans="2:48" ht="15.75" customHeight="1" x14ac:dyDescent="0.25">
      <c r="B709" s="78"/>
      <c r="C709" s="94" t="s">
        <v>46</v>
      </c>
      <c r="D709" s="69"/>
      <c r="E709" s="79" t="s">
        <v>75</v>
      </c>
      <c r="F709" s="70"/>
      <c r="G709" s="18">
        <v>50.8</v>
      </c>
      <c r="H709" s="18">
        <v>5.4</v>
      </c>
      <c r="I709" s="18">
        <v>43.6</v>
      </c>
      <c r="J709" s="58">
        <f t="shared" si="535"/>
        <v>0.19379999999999598</v>
      </c>
      <c r="K709" s="18">
        <v>6.1999999999999998E-3</v>
      </c>
      <c r="L709" s="18">
        <v>17.399999999999999</v>
      </c>
      <c r="M709" s="18">
        <v>75.900000000000006</v>
      </c>
      <c r="N709" s="18">
        <v>6.4</v>
      </c>
      <c r="O709" s="18">
        <v>0.3</v>
      </c>
      <c r="P709" s="71">
        <v>0</v>
      </c>
      <c r="Q709" s="21">
        <v>700</v>
      </c>
      <c r="R709" s="18" t="s">
        <v>51</v>
      </c>
      <c r="S709" s="21">
        <v>0.3</v>
      </c>
      <c r="T709" s="18" t="s">
        <v>51</v>
      </c>
      <c r="U709" s="21">
        <v>29.29</v>
      </c>
      <c r="V709" s="21">
        <v>40.590000000000003</v>
      </c>
      <c r="W709" s="21">
        <v>17.88</v>
      </c>
      <c r="X709" s="21">
        <v>12.39</v>
      </c>
      <c r="Y709" s="73">
        <f t="shared" si="517"/>
        <v>0.11572083612290324</v>
      </c>
      <c r="Z709" s="21">
        <v>0.35</v>
      </c>
      <c r="AA709" s="18" t="s">
        <v>51</v>
      </c>
      <c r="AB709" s="18" t="s">
        <v>51</v>
      </c>
      <c r="AC709" s="28">
        <f t="shared" si="518"/>
        <v>12729.615892857144</v>
      </c>
      <c r="AD709" s="21">
        <v>12400</v>
      </c>
      <c r="AF709" s="1"/>
      <c r="AK709" s="1">
        <f t="shared" si="519"/>
        <v>6.9214285714284274E-3</v>
      </c>
      <c r="AL709" s="1">
        <f t="shared" si="520"/>
        <v>5.9742214695643998</v>
      </c>
      <c r="AM709" s="1">
        <f t="shared" si="521"/>
        <v>5.9811428981358281</v>
      </c>
      <c r="AN709" s="1"/>
      <c r="AO709" s="30">
        <f t="shared" si="522"/>
        <v>29.2561053670996</v>
      </c>
      <c r="AP709" s="30">
        <f t="shared" si="523"/>
        <v>40.543028912617714</v>
      </c>
      <c r="AQ709" s="30">
        <f t="shared" si="524"/>
        <v>17.859309114501222</v>
      </c>
      <c r="AR709" s="30">
        <f t="shared" si="525"/>
        <v>12.375662188404373</v>
      </c>
      <c r="AS709" s="30">
        <f t="shared" si="526"/>
        <v>0.11572083612290324</v>
      </c>
      <c r="AT709" s="31">
        <f t="shared" si="502"/>
        <v>100.14982641874583</v>
      </c>
      <c r="AV709" s="28">
        <f t="shared" si="527"/>
        <v>12714.885074910695</v>
      </c>
    </row>
    <row r="710" spans="2:48" ht="15.75" customHeight="1" x14ac:dyDescent="0.25">
      <c r="B710" s="78"/>
      <c r="C710" s="94" t="s">
        <v>46</v>
      </c>
      <c r="D710" s="69"/>
      <c r="E710" s="79" t="s">
        <v>75</v>
      </c>
      <c r="F710" s="70"/>
      <c r="G710" s="18">
        <v>50.8</v>
      </c>
      <c r="H710" s="18">
        <v>5.4</v>
      </c>
      <c r="I710" s="18">
        <v>43.6</v>
      </c>
      <c r="J710" s="58">
        <f t="shared" si="535"/>
        <v>0.19379999999999598</v>
      </c>
      <c r="K710" s="18">
        <v>6.1999999999999998E-3</v>
      </c>
      <c r="L710" s="18">
        <v>17.399999999999999</v>
      </c>
      <c r="M710" s="18">
        <v>75.900000000000006</v>
      </c>
      <c r="N710" s="18">
        <v>6.4</v>
      </c>
      <c r="O710" s="18">
        <v>0.3</v>
      </c>
      <c r="P710" s="71">
        <v>0</v>
      </c>
      <c r="Q710" s="21">
        <v>800</v>
      </c>
      <c r="R710" s="18" t="s">
        <v>51</v>
      </c>
      <c r="S710" s="21">
        <v>0.3</v>
      </c>
      <c r="T710" s="18" t="s">
        <v>51</v>
      </c>
      <c r="U710" s="21">
        <v>37.96</v>
      </c>
      <c r="V710" s="21">
        <v>32.880000000000003</v>
      </c>
      <c r="W710" s="21">
        <v>18.73</v>
      </c>
      <c r="X710" s="21">
        <v>10.38</v>
      </c>
      <c r="Y710" s="73">
        <f t="shared" si="517"/>
        <v>0.10124998455354697</v>
      </c>
      <c r="Z710" s="21">
        <v>1.36</v>
      </c>
      <c r="AA710" s="18" t="s">
        <v>51</v>
      </c>
      <c r="AB710" s="18" t="s">
        <v>51</v>
      </c>
      <c r="AC710" s="28">
        <f t="shared" si="518"/>
        <v>11971.304821428574</v>
      </c>
      <c r="AD710" s="21">
        <v>12000</v>
      </c>
      <c r="AF710" s="1"/>
      <c r="AK710" s="1">
        <f t="shared" si="519"/>
        <v>6.9214285714284274E-3</v>
      </c>
      <c r="AL710" s="1">
        <f t="shared" si="520"/>
        <v>6.8290584502876808</v>
      </c>
      <c r="AM710" s="1">
        <f t="shared" si="521"/>
        <v>6.8359798788591091</v>
      </c>
      <c r="AN710" s="1"/>
      <c r="AO710" s="30">
        <f t="shared" si="522"/>
        <v>37.92156550586347</v>
      </c>
      <c r="AP710" s="30">
        <f t="shared" si="523"/>
        <v>32.8467090050788</v>
      </c>
      <c r="AQ710" s="30">
        <f t="shared" si="524"/>
        <v>18.711035877893121</v>
      </c>
      <c r="AR710" s="30">
        <f t="shared" si="525"/>
        <v>10.369490251603342</v>
      </c>
      <c r="AS710" s="30">
        <f t="shared" si="526"/>
        <v>0.10124998455354697</v>
      </c>
      <c r="AT710" s="31">
        <f t="shared" si="502"/>
        <v>99.950050624992272</v>
      </c>
      <c r="AV710" s="28">
        <f t="shared" si="527"/>
        <v>11959.183877146019</v>
      </c>
    </row>
    <row r="711" spans="2:48" ht="15.75" customHeight="1" x14ac:dyDescent="0.25">
      <c r="B711" s="78"/>
      <c r="C711" s="94" t="s">
        <v>46</v>
      </c>
      <c r="D711" s="69"/>
      <c r="E711" s="79" t="s">
        <v>75</v>
      </c>
      <c r="F711" s="70"/>
      <c r="G711" s="18">
        <v>50.8</v>
      </c>
      <c r="H711" s="18">
        <v>5.4</v>
      </c>
      <c r="I711" s="18">
        <v>43.6</v>
      </c>
      <c r="J711" s="58">
        <f t="shared" si="535"/>
        <v>0.19379999999999598</v>
      </c>
      <c r="K711" s="18">
        <v>6.1999999999999998E-3</v>
      </c>
      <c r="L711" s="18">
        <v>17.399999999999999</v>
      </c>
      <c r="M711" s="18">
        <v>75.900000000000006</v>
      </c>
      <c r="N711" s="18">
        <v>6.4</v>
      </c>
      <c r="O711" s="18">
        <v>0.3</v>
      </c>
      <c r="P711" s="71">
        <v>0</v>
      </c>
      <c r="Q711" s="21">
        <v>900</v>
      </c>
      <c r="R711" s="18" t="s">
        <v>51</v>
      </c>
      <c r="S711" s="21">
        <v>0.3</v>
      </c>
      <c r="T711" s="18" t="s">
        <v>51</v>
      </c>
      <c r="U711" s="21">
        <v>44.29</v>
      </c>
      <c r="V711" s="21">
        <v>26.88</v>
      </c>
      <c r="W711" s="21">
        <v>20.420000000000002</v>
      </c>
      <c r="X711" s="21">
        <v>8.3800000000000008</v>
      </c>
      <c r="Y711" s="73">
        <f t="shared" si="517"/>
        <v>9.0953060616034684E-2</v>
      </c>
      <c r="Z711" s="21">
        <v>1.1000000000000001</v>
      </c>
      <c r="AA711" s="18" t="s">
        <v>51</v>
      </c>
      <c r="AB711" s="18" t="s">
        <v>51</v>
      </c>
      <c r="AC711" s="28">
        <f t="shared" si="518"/>
        <v>11180.001517857145</v>
      </c>
      <c r="AD711" s="21">
        <v>11700</v>
      </c>
      <c r="AF711" s="1"/>
      <c r="AK711" s="1">
        <f t="shared" si="519"/>
        <v>6.9214285714284274E-3</v>
      </c>
      <c r="AL711" s="1">
        <f t="shared" si="520"/>
        <v>7.6029693486590038</v>
      </c>
      <c r="AM711" s="1">
        <f t="shared" si="521"/>
        <v>7.6098907772304321</v>
      </c>
      <c r="AN711" s="1"/>
      <c r="AO711" s="30">
        <f t="shared" si="522"/>
        <v>44.249716889453161</v>
      </c>
      <c r="AP711" s="30">
        <f t="shared" si="523"/>
        <v>26.855551817306413</v>
      </c>
      <c r="AQ711" s="30">
        <f t="shared" si="524"/>
        <v>20.40142738502221</v>
      </c>
      <c r="AR711" s="30">
        <f t="shared" si="525"/>
        <v>8.3723781335203782</v>
      </c>
      <c r="AS711" s="30">
        <f t="shared" si="526"/>
        <v>9.0953060616034684E-2</v>
      </c>
      <c r="AT711" s="31">
        <f t="shared" si="502"/>
        <v>99.970027285918192</v>
      </c>
      <c r="AV711" s="28">
        <f t="shared" si="527"/>
        <v>11169.832964299734</v>
      </c>
    </row>
    <row r="712" spans="2:48" ht="15.75" customHeight="1" x14ac:dyDescent="0.25">
      <c r="B712" s="78"/>
      <c r="C712" s="94" t="s">
        <v>46</v>
      </c>
      <c r="D712" s="69"/>
      <c r="E712" s="79" t="s">
        <v>75</v>
      </c>
      <c r="F712" s="70"/>
      <c r="G712" s="18">
        <v>50.8</v>
      </c>
      <c r="H712" s="18">
        <v>5.4</v>
      </c>
      <c r="I712" s="18">
        <v>43.6</v>
      </c>
      <c r="J712" s="58">
        <f t="shared" si="535"/>
        <v>0.19379999999999598</v>
      </c>
      <c r="K712" s="18">
        <v>6.1999999999999998E-3</v>
      </c>
      <c r="L712" s="18">
        <v>17.399999999999999</v>
      </c>
      <c r="M712" s="18">
        <v>75.900000000000006</v>
      </c>
      <c r="N712" s="18">
        <v>6.4</v>
      </c>
      <c r="O712" s="18">
        <v>0.3</v>
      </c>
      <c r="P712" s="71">
        <v>0</v>
      </c>
      <c r="Q712" s="21">
        <v>750</v>
      </c>
      <c r="R712" s="18" t="s">
        <v>51</v>
      </c>
      <c r="S712" s="21">
        <v>0.6</v>
      </c>
      <c r="T712" s="18" t="s">
        <v>51</v>
      </c>
      <c r="U712" s="21">
        <v>50.64</v>
      </c>
      <c r="V712" s="21">
        <v>29.01</v>
      </c>
      <c r="W712" s="21">
        <v>18.96</v>
      </c>
      <c r="X712" s="21">
        <v>7.1</v>
      </c>
      <c r="Y712" s="73">
        <f t="shared" si="517"/>
        <v>8.9957524385582924E-2</v>
      </c>
      <c r="Z712" s="18" t="s">
        <v>51</v>
      </c>
      <c r="AA712" s="18" t="s">
        <v>51</v>
      </c>
      <c r="AB712" s="18" t="s">
        <v>51</v>
      </c>
      <c r="AC712" s="28">
        <f t="shared" si="518"/>
        <v>11675.980714285715</v>
      </c>
      <c r="AD712" s="18" t="s">
        <v>51</v>
      </c>
      <c r="AF712" s="1"/>
      <c r="AK712" s="1">
        <f t="shared" si="519"/>
        <v>6.9214285714284274E-3</v>
      </c>
      <c r="AL712" s="1">
        <f t="shared" si="520"/>
        <v>7.6871860056897274</v>
      </c>
      <c r="AM712" s="1">
        <f t="shared" si="521"/>
        <v>7.6941074342611557</v>
      </c>
      <c r="AN712" s="1"/>
      <c r="AO712" s="30">
        <f t="shared" si="522"/>
        <v>50.594445509651145</v>
      </c>
      <c r="AP712" s="30">
        <f t="shared" si="523"/>
        <v>28.983903322175742</v>
      </c>
      <c r="AQ712" s="30">
        <f t="shared" si="524"/>
        <v>18.942944053376497</v>
      </c>
      <c r="AR712" s="30">
        <f t="shared" si="525"/>
        <v>7.0936130157686224</v>
      </c>
      <c r="AS712" s="30">
        <f t="shared" si="526"/>
        <v>8.9957524385582924E-2</v>
      </c>
      <c r="AT712" s="31">
        <f t="shared" si="502"/>
        <v>105.70486342535759</v>
      </c>
      <c r="AV712" s="28">
        <f t="shared" si="527"/>
        <v>11665.477291087404</v>
      </c>
    </row>
    <row r="713" spans="2:48" ht="15.75" customHeight="1" x14ac:dyDescent="0.25">
      <c r="B713" s="78"/>
      <c r="C713" s="94" t="s">
        <v>46</v>
      </c>
      <c r="D713" s="69"/>
      <c r="E713" s="79" t="s">
        <v>75</v>
      </c>
      <c r="F713" s="70"/>
      <c r="G713" s="18">
        <v>50.8</v>
      </c>
      <c r="H713" s="18">
        <v>5.4</v>
      </c>
      <c r="I713" s="18">
        <v>43.6</v>
      </c>
      <c r="J713" s="58">
        <f t="shared" si="535"/>
        <v>0.19379999999999598</v>
      </c>
      <c r="K713" s="18">
        <v>6.1999999999999998E-3</v>
      </c>
      <c r="L713" s="18">
        <v>17.399999999999999</v>
      </c>
      <c r="M713" s="18">
        <v>75.900000000000006</v>
      </c>
      <c r="N713" s="18">
        <v>6.4</v>
      </c>
      <c r="O713" s="18">
        <v>0.3</v>
      </c>
      <c r="P713" s="71">
        <v>0</v>
      </c>
      <c r="Q713" s="21">
        <v>750</v>
      </c>
      <c r="R713" s="18" t="s">
        <v>51</v>
      </c>
      <c r="S713" s="21">
        <v>1</v>
      </c>
      <c r="T713" s="18" t="s">
        <v>51</v>
      </c>
      <c r="U713" s="21">
        <v>51.57</v>
      </c>
      <c r="V713" s="21">
        <v>23.94</v>
      </c>
      <c r="W713" s="21">
        <v>23.38</v>
      </c>
      <c r="X713" s="21">
        <v>6.36</v>
      </c>
      <c r="Y713" s="73">
        <f t="shared" si="517"/>
        <v>8.7688933286746276E-2</v>
      </c>
      <c r="Z713" s="18" t="s">
        <v>51</v>
      </c>
      <c r="AA713" s="18" t="s">
        <v>51</v>
      </c>
      <c r="AB713" s="18" t="s">
        <v>51</v>
      </c>
      <c r="AC713" s="28">
        <f t="shared" si="518"/>
        <v>10870.687767857144</v>
      </c>
      <c r="AD713" s="18" t="s">
        <v>51</v>
      </c>
      <c r="AF713" s="1"/>
      <c r="AK713" s="1">
        <f t="shared" si="519"/>
        <v>6.9214285714284274E-3</v>
      </c>
      <c r="AL713" s="1">
        <f t="shared" si="520"/>
        <v>7.8862394436164935</v>
      </c>
      <c r="AM713" s="1">
        <f t="shared" si="521"/>
        <v>7.8931608721879218</v>
      </c>
      <c r="AN713" s="1"/>
      <c r="AO713" s="30">
        <f t="shared" si="522"/>
        <v>51.524778817104036</v>
      </c>
      <c r="AP713" s="30">
        <f t="shared" si="523"/>
        <v>23.919007269371154</v>
      </c>
      <c r="AQ713" s="30">
        <f t="shared" si="524"/>
        <v>23.359498327397556</v>
      </c>
      <c r="AR713" s="30">
        <f t="shared" si="525"/>
        <v>6.3544229838429622</v>
      </c>
      <c r="AS713" s="30">
        <f t="shared" si="526"/>
        <v>8.7688933286746276E-2</v>
      </c>
      <c r="AT713" s="31">
        <f t="shared" si="502"/>
        <v>105.24539633100245</v>
      </c>
      <c r="AV713" s="28">
        <f t="shared" si="527"/>
        <v>10861.155377712576</v>
      </c>
    </row>
    <row r="714" spans="2:48" ht="15.75" customHeight="1" x14ac:dyDescent="0.25">
      <c r="B714" s="78"/>
      <c r="C714" s="94" t="s">
        <v>46</v>
      </c>
      <c r="D714" s="69"/>
      <c r="E714" s="79" t="s">
        <v>75</v>
      </c>
      <c r="F714" s="70"/>
      <c r="G714" s="18">
        <v>50.8</v>
      </c>
      <c r="H714" s="18">
        <v>5.4</v>
      </c>
      <c r="I714" s="18">
        <v>43.6</v>
      </c>
      <c r="J714" s="58">
        <f t="shared" si="535"/>
        <v>0.19379999999999598</v>
      </c>
      <c r="K714" s="18">
        <v>6.1999999999999998E-3</v>
      </c>
      <c r="L714" s="18">
        <v>17.399999999999999</v>
      </c>
      <c r="M714" s="18">
        <v>75.900000000000006</v>
      </c>
      <c r="N714" s="18">
        <v>6.4</v>
      </c>
      <c r="O714" s="18">
        <v>0.3</v>
      </c>
      <c r="P714" s="71">
        <v>0</v>
      </c>
      <c r="Q714" s="21">
        <v>750</v>
      </c>
      <c r="R714" s="18" t="s">
        <v>51</v>
      </c>
      <c r="S714" s="21">
        <v>1.3</v>
      </c>
      <c r="T714" s="18" t="s">
        <v>51</v>
      </c>
      <c r="U714" s="21">
        <v>54.04</v>
      </c>
      <c r="V714" s="21">
        <v>20.83</v>
      </c>
      <c r="W714" s="21">
        <v>24.32</v>
      </c>
      <c r="X714" s="21">
        <v>6.46</v>
      </c>
      <c r="Y714" s="73">
        <f t="shared" si="517"/>
        <v>8.431033688072935E-2</v>
      </c>
      <c r="Z714" s="18" t="s">
        <v>51</v>
      </c>
      <c r="AA714" s="18" t="s">
        <v>51</v>
      </c>
      <c r="AB714" s="18" t="s">
        <v>51</v>
      </c>
      <c r="AC714" s="28">
        <f t="shared" si="518"/>
        <v>10780.253571428571</v>
      </c>
      <c r="AD714" s="18" t="s">
        <v>51</v>
      </c>
      <c r="AF714" s="1"/>
      <c r="AK714" s="1">
        <f t="shared" si="519"/>
        <v>6.9214285714284274E-3</v>
      </c>
      <c r="AL714" s="1">
        <f t="shared" si="520"/>
        <v>8.2025447264741977</v>
      </c>
      <c r="AM714" s="1">
        <f t="shared" si="521"/>
        <v>8.2094661550456269</v>
      </c>
      <c r="AN714" s="1"/>
      <c r="AO714" s="30">
        <f t="shared" si="522"/>
        <v>53.99443869394964</v>
      </c>
      <c r="AP714" s="30">
        <f t="shared" si="523"/>
        <v>20.812438156827739</v>
      </c>
      <c r="AQ714" s="30">
        <f t="shared" si="524"/>
        <v>24.299495726070607</v>
      </c>
      <c r="AR714" s="30">
        <f t="shared" si="525"/>
        <v>6.4545535522375044</v>
      </c>
      <c r="AS714" s="30">
        <f t="shared" si="526"/>
        <v>8.431033688072935E-2</v>
      </c>
      <c r="AT714" s="31">
        <f t="shared" si="502"/>
        <v>105.64523646596621</v>
      </c>
      <c r="AV714" s="28">
        <f t="shared" si="527"/>
        <v>10771.164703325903</v>
      </c>
    </row>
    <row r="715" spans="2:48" ht="15.75" customHeight="1" x14ac:dyDescent="0.25">
      <c r="B715" s="78"/>
      <c r="C715" s="94" t="s">
        <v>46</v>
      </c>
      <c r="D715" s="69"/>
      <c r="E715" s="79" t="s">
        <v>75</v>
      </c>
      <c r="F715" s="70"/>
      <c r="G715" s="18">
        <v>50.8</v>
      </c>
      <c r="H715" s="18">
        <v>5.4</v>
      </c>
      <c r="I715" s="18">
        <v>43.6</v>
      </c>
      <c r="J715" s="58">
        <f t="shared" si="535"/>
        <v>0.19379999999999598</v>
      </c>
      <c r="K715" s="18">
        <v>6.1999999999999998E-3</v>
      </c>
      <c r="L715" s="18">
        <v>17.399999999999999</v>
      </c>
      <c r="M715" s="18">
        <v>75.900000000000006</v>
      </c>
      <c r="N715" s="18">
        <v>6.4</v>
      </c>
      <c r="O715" s="18">
        <v>0.3</v>
      </c>
      <c r="P715" s="71">
        <v>0</v>
      </c>
      <c r="Q715" s="21">
        <v>750</v>
      </c>
      <c r="R715" s="18" t="s">
        <v>51</v>
      </c>
      <c r="S715" s="21">
        <v>1.7</v>
      </c>
      <c r="T715" s="18" t="s">
        <v>51</v>
      </c>
      <c r="U715" s="21">
        <v>54.69</v>
      </c>
      <c r="V715" s="21">
        <v>18.28</v>
      </c>
      <c r="W715" s="21">
        <v>26.09</v>
      </c>
      <c r="X715" s="21">
        <v>6.14</v>
      </c>
      <c r="Y715" s="73">
        <f t="shared" si="517"/>
        <v>8.2514854509836005E-2</v>
      </c>
      <c r="Z715" s="18" t="s">
        <v>51</v>
      </c>
      <c r="AA715" s="18" t="s">
        <v>51</v>
      </c>
      <c r="AB715" s="18" t="s">
        <v>51</v>
      </c>
      <c r="AC715" s="28">
        <f t="shared" si="518"/>
        <v>10413.599375</v>
      </c>
      <c r="AD715" s="18" t="s">
        <v>51</v>
      </c>
      <c r="AF715" s="1"/>
      <c r="AK715" s="1">
        <f t="shared" si="519"/>
        <v>6.9214285714284274E-3</v>
      </c>
      <c r="AL715" s="1">
        <f t="shared" si="520"/>
        <v>8.381178644492838</v>
      </c>
      <c r="AM715" s="1">
        <f t="shared" si="521"/>
        <v>8.3881000730642672</v>
      </c>
      <c r="AN715" s="1"/>
      <c r="AO715" s="30">
        <f t="shared" si="522"/>
        <v>54.644872626068562</v>
      </c>
      <c r="AP715" s="30">
        <f t="shared" si="523"/>
        <v>18.2649162845956</v>
      </c>
      <c r="AQ715" s="30">
        <f t="shared" si="524"/>
        <v>26.068471874458382</v>
      </c>
      <c r="AR715" s="30">
        <f t="shared" si="525"/>
        <v>6.1349335879330953</v>
      </c>
      <c r="AS715" s="30">
        <f t="shared" si="526"/>
        <v>8.2514854509836005E-2</v>
      </c>
      <c r="AT715" s="31">
        <f t="shared" si="502"/>
        <v>105.19570922756547</v>
      </c>
      <c r="AV715" s="28">
        <f t="shared" si="527"/>
        <v>10405.00660862648</v>
      </c>
    </row>
    <row r="716" spans="2:48" ht="15.75" customHeight="1" x14ac:dyDescent="0.25">
      <c r="B716" s="78"/>
      <c r="C716" s="94" t="s">
        <v>46</v>
      </c>
      <c r="D716" s="69"/>
      <c r="E716" s="79" t="s">
        <v>75</v>
      </c>
      <c r="F716" s="70"/>
      <c r="G716" s="18">
        <v>50.8</v>
      </c>
      <c r="H716" s="18">
        <v>5.4</v>
      </c>
      <c r="I716" s="18">
        <v>43.6</v>
      </c>
      <c r="J716" s="58">
        <f t="shared" si="535"/>
        <v>0.19379999999999598</v>
      </c>
      <c r="K716" s="18">
        <v>6.1999999999999998E-3</v>
      </c>
      <c r="L716" s="18">
        <v>17.399999999999999</v>
      </c>
      <c r="M716" s="18">
        <v>75.900000000000006</v>
      </c>
      <c r="N716" s="18">
        <v>6.4</v>
      </c>
      <c r="O716" s="18">
        <v>0.3</v>
      </c>
      <c r="P716" s="71">
        <v>0</v>
      </c>
      <c r="Q716" s="21">
        <v>750</v>
      </c>
      <c r="R716" s="18" t="s">
        <v>51</v>
      </c>
      <c r="S716" s="21">
        <v>0.5</v>
      </c>
      <c r="T716" s="18" t="s">
        <v>51</v>
      </c>
      <c r="U716" s="18">
        <v>39.630000000000003</v>
      </c>
      <c r="V716" s="18">
        <v>31.38</v>
      </c>
      <c r="W716" s="18">
        <v>12.66</v>
      </c>
      <c r="X716" s="18">
        <v>10.6</v>
      </c>
      <c r="Y716" s="73">
        <f t="shared" si="517"/>
        <v>8.9255741022297053E-2</v>
      </c>
      <c r="Z716" s="18" t="s">
        <v>51</v>
      </c>
      <c r="AA716" s="18" t="s">
        <v>51</v>
      </c>
      <c r="AB716" s="18" t="s">
        <v>51</v>
      </c>
      <c r="AC716" s="21">
        <v>13922.59</v>
      </c>
      <c r="AD716" s="18" t="s">
        <v>51</v>
      </c>
      <c r="AF716" s="1"/>
      <c r="AK716" s="1">
        <f t="shared" si="519"/>
        <v>6.9214285714284274E-3</v>
      </c>
      <c r="AL716" s="1">
        <f t="shared" si="520"/>
        <v>7.7476817959980471</v>
      </c>
      <c r="AM716" s="1">
        <f t="shared" si="521"/>
        <v>7.7546032245694754</v>
      </c>
      <c r="AN716" s="1"/>
      <c r="AO716" s="30">
        <f t="shared" si="522"/>
        <v>39.594627949832869</v>
      </c>
      <c r="AP716" s="30">
        <f t="shared" si="523"/>
        <v>31.3519915484672</v>
      </c>
      <c r="AQ716" s="30">
        <f t="shared" si="524"/>
        <v>12.648700223186577</v>
      </c>
      <c r="AR716" s="30">
        <f t="shared" si="525"/>
        <v>10.590538891451637</v>
      </c>
      <c r="AS716" s="30">
        <f t="shared" si="526"/>
        <v>8.9255741022297053E-2</v>
      </c>
      <c r="AT716" s="31">
        <f t="shared" si="502"/>
        <v>94.275114353960589</v>
      </c>
      <c r="AV716" s="21">
        <f t="shared" ref="AV716:AV721" si="536">AC716</f>
        <v>13922.59</v>
      </c>
    </row>
    <row r="717" spans="2:48" ht="15.75" customHeight="1" x14ac:dyDescent="0.25">
      <c r="B717" s="78"/>
      <c r="C717" s="94" t="s">
        <v>46</v>
      </c>
      <c r="D717" s="69"/>
      <c r="E717" s="79" t="s">
        <v>75</v>
      </c>
      <c r="F717" s="70"/>
      <c r="G717" s="18">
        <v>50.8</v>
      </c>
      <c r="H717" s="18">
        <v>5.4</v>
      </c>
      <c r="I717" s="18">
        <v>43.6</v>
      </c>
      <c r="J717" s="58">
        <f t="shared" si="535"/>
        <v>0.19379999999999598</v>
      </c>
      <c r="K717" s="18">
        <v>6.1999999999999998E-3</v>
      </c>
      <c r="L717" s="18">
        <v>17.399999999999999</v>
      </c>
      <c r="M717" s="18">
        <v>75.900000000000006</v>
      </c>
      <c r="N717" s="18">
        <v>6.4</v>
      </c>
      <c r="O717" s="18">
        <v>0.3</v>
      </c>
      <c r="P717" s="71">
        <v>0</v>
      </c>
      <c r="Q717" s="21">
        <v>750</v>
      </c>
      <c r="R717" s="18" t="s">
        <v>51</v>
      </c>
      <c r="S717" s="21">
        <v>0.8</v>
      </c>
      <c r="T717" s="18" t="s">
        <v>51</v>
      </c>
      <c r="U717" s="18">
        <v>55.21</v>
      </c>
      <c r="V717" s="18">
        <v>21.08</v>
      </c>
      <c r="W717" s="18">
        <v>13.51</v>
      </c>
      <c r="X717" s="18">
        <v>7.6</v>
      </c>
      <c r="Y717" s="73">
        <f t="shared" si="517"/>
        <v>6.8932388613712814E-2</v>
      </c>
      <c r="Z717" s="18" t="s">
        <v>51</v>
      </c>
      <c r="AA717" s="18" t="s">
        <v>51</v>
      </c>
      <c r="AB717" s="18" t="s">
        <v>51</v>
      </c>
      <c r="AC717" s="21">
        <v>12321.37</v>
      </c>
      <c r="AD717" s="18" t="s">
        <v>51</v>
      </c>
      <c r="AF717" s="1"/>
      <c r="AK717" s="1">
        <f t="shared" si="519"/>
        <v>6.9214285714284274E-3</v>
      </c>
      <c r="AL717" s="1">
        <f t="shared" si="520"/>
        <v>10.033973295409655</v>
      </c>
      <c r="AM717" s="1">
        <f t="shared" si="521"/>
        <v>10.040894723981085</v>
      </c>
      <c r="AN717" s="1"/>
      <c r="AO717" s="30">
        <f t="shared" si="522"/>
        <v>55.171942428246368</v>
      </c>
      <c r="AP717" s="30">
        <f t="shared" si="523"/>
        <v>21.065469052480225</v>
      </c>
      <c r="AQ717" s="30">
        <f t="shared" si="524"/>
        <v>13.500687234298287</v>
      </c>
      <c r="AR717" s="30">
        <f t="shared" si="525"/>
        <v>7.5947611384653575</v>
      </c>
      <c r="AS717" s="30">
        <f t="shared" si="526"/>
        <v>6.8932388613712814E-2</v>
      </c>
      <c r="AT717" s="31">
        <f t="shared" si="502"/>
        <v>97.401792242103951</v>
      </c>
      <c r="AV717" s="21">
        <f t="shared" si="536"/>
        <v>12321.37</v>
      </c>
    </row>
    <row r="718" spans="2:48" ht="15.75" customHeight="1" x14ac:dyDescent="0.25">
      <c r="B718" s="78"/>
      <c r="C718" s="94" t="s">
        <v>46</v>
      </c>
      <c r="D718" s="69"/>
      <c r="E718" s="79" t="s">
        <v>75</v>
      </c>
      <c r="F718" s="70"/>
      <c r="G718" s="18">
        <v>50.8</v>
      </c>
      <c r="H718" s="18">
        <v>5.4</v>
      </c>
      <c r="I718" s="18">
        <v>43.6</v>
      </c>
      <c r="J718" s="58">
        <f t="shared" si="535"/>
        <v>0.19379999999999598</v>
      </c>
      <c r="K718" s="18">
        <v>6.1999999999999998E-3</v>
      </c>
      <c r="L718" s="18">
        <v>17.399999999999999</v>
      </c>
      <c r="M718" s="18">
        <v>75.900000000000006</v>
      </c>
      <c r="N718" s="18">
        <v>6.4</v>
      </c>
      <c r="O718" s="18">
        <v>0.3</v>
      </c>
      <c r="P718" s="71">
        <v>0</v>
      </c>
      <c r="Q718" s="21">
        <v>750</v>
      </c>
      <c r="R718" s="18" t="s">
        <v>51</v>
      </c>
      <c r="S718" s="21">
        <v>1.1000000000000001</v>
      </c>
      <c r="T718" s="18" t="s">
        <v>51</v>
      </c>
      <c r="U718" s="18">
        <v>56.46</v>
      </c>
      <c r="V718" s="18">
        <v>17.66</v>
      </c>
      <c r="W718" s="18">
        <v>15.87</v>
      </c>
      <c r="X718" s="18">
        <v>6.92</v>
      </c>
      <c r="Y718" s="73">
        <f t="shared" si="517"/>
        <v>6.6091357927390806E-2</v>
      </c>
      <c r="Z718" s="18" t="s">
        <v>51</v>
      </c>
      <c r="AA718" s="18" t="s">
        <v>51</v>
      </c>
      <c r="AB718" s="18" t="s">
        <v>51</v>
      </c>
      <c r="AC718" s="21">
        <v>11828.26</v>
      </c>
      <c r="AD718" s="18" t="s">
        <v>51</v>
      </c>
      <c r="AF718" s="1"/>
      <c r="AK718" s="1">
        <f t="shared" si="519"/>
        <v>6.9214285714284274E-3</v>
      </c>
      <c r="AL718" s="1">
        <f t="shared" si="520"/>
        <v>10.465595385249278</v>
      </c>
      <c r="AM718" s="1">
        <f t="shared" si="521"/>
        <v>10.472516813820707</v>
      </c>
      <c r="AN718" s="1"/>
      <c r="AO718" s="30">
        <f t="shared" si="522"/>
        <v>56.422684819314185</v>
      </c>
      <c r="AP718" s="30">
        <f t="shared" si="523"/>
        <v>17.64832826619002</v>
      </c>
      <c r="AQ718" s="30">
        <f t="shared" si="524"/>
        <v>15.859511301496919</v>
      </c>
      <c r="AR718" s="30">
        <f t="shared" si="525"/>
        <v>6.9154264780314234</v>
      </c>
      <c r="AS718" s="30">
        <f t="shared" si="526"/>
        <v>6.6091357927390806E-2</v>
      </c>
      <c r="AT718" s="31">
        <f t="shared" si="502"/>
        <v>96.91204222295994</v>
      </c>
      <c r="AV718" s="21">
        <f t="shared" si="536"/>
        <v>11828.26</v>
      </c>
    </row>
    <row r="719" spans="2:48" ht="15.75" customHeight="1" x14ac:dyDescent="0.25">
      <c r="B719" s="78"/>
      <c r="C719" s="94" t="s">
        <v>46</v>
      </c>
      <c r="D719" s="69"/>
      <c r="E719" s="79" t="s">
        <v>75</v>
      </c>
      <c r="F719" s="70"/>
      <c r="G719" s="18">
        <v>50.8</v>
      </c>
      <c r="H719" s="18">
        <v>5.4</v>
      </c>
      <c r="I719" s="18">
        <v>43.6</v>
      </c>
      <c r="J719" s="58">
        <f t="shared" si="535"/>
        <v>0.19379999999999598</v>
      </c>
      <c r="K719" s="18">
        <v>6.1999999999999998E-3</v>
      </c>
      <c r="L719" s="18">
        <v>17.399999999999999</v>
      </c>
      <c r="M719" s="18">
        <v>75.900000000000006</v>
      </c>
      <c r="N719" s="18">
        <v>6.4</v>
      </c>
      <c r="O719" s="18">
        <v>0.3</v>
      </c>
      <c r="P719" s="71">
        <v>0</v>
      </c>
      <c r="Q719" s="21">
        <v>750</v>
      </c>
      <c r="R719" s="18" t="s">
        <v>51</v>
      </c>
      <c r="S719" s="21">
        <v>1.6</v>
      </c>
      <c r="T719" s="18" t="s">
        <v>51</v>
      </c>
      <c r="U719" s="18">
        <v>59.11</v>
      </c>
      <c r="V719" s="18">
        <v>13.7</v>
      </c>
      <c r="W719" s="18">
        <v>18.11</v>
      </c>
      <c r="X719" s="18">
        <v>5.31</v>
      </c>
      <c r="Y719" s="73">
        <f t="shared" si="517"/>
        <v>6.0653762561832698E-2</v>
      </c>
      <c r="Z719" s="18" t="s">
        <v>51</v>
      </c>
      <c r="AA719" s="18" t="s">
        <v>51</v>
      </c>
      <c r="AB719" s="18" t="s">
        <v>51</v>
      </c>
      <c r="AC719" s="21">
        <v>11130.32</v>
      </c>
      <c r="AD719" s="18" t="s">
        <v>51</v>
      </c>
      <c r="AF719" s="1"/>
      <c r="AK719" s="1">
        <f t="shared" si="519"/>
        <v>6.9214285714284274E-3</v>
      </c>
      <c r="AL719" s="1">
        <f t="shared" si="520"/>
        <v>11.404454022988507</v>
      </c>
      <c r="AM719" s="1">
        <f t="shared" si="521"/>
        <v>11.411375451559936</v>
      </c>
      <c r="AN719" s="1"/>
      <c r="AO719" s="30">
        <f t="shared" si="522"/>
        <v>59.074147560949697</v>
      </c>
      <c r="AP719" s="30">
        <f t="shared" si="523"/>
        <v>13.691690434529027</v>
      </c>
      <c r="AQ719" s="30">
        <f t="shared" si="524"/>
        <v>18.099015603600048</v>
      </c>
      <c r="AR719" s="30">
        <f t="shared" si="525"/>
        <v>5.3067792852079663</v>
      </c>
      <c r="AS719" s="30">
        <f t="shared" si="526"/>
        <v>6.0653762561832698E-2</v>
      </c>
      <c r="AT719" s="31">
        <f t="shared" si="502"/>
        <v>96.232286646848564</v>
      </c>
      <c r="AV719" s="21">
        <f t="shared" si="536"/>
        <v>11130.32</v>
      </c>
    </row>
    <row r="720" spans="2:48" ht="15.75" customHeight="1" x14ac:dyDescent="0.25">
      <c r="B720" s="78"/>
      <c r="C720" s="94" t="s">
        <v>46</v>
      </c>
      <c r="D720" s="69"/>
      <c r="E720" s="79" t="s">
        <v>75</v>
      </c>
      <c r="F720" s="70"/>
      <c r="G720" s="18">
        <v>50.8</v>
      </c>
      <c r="H720" s="18">
        <v>5.4</v>
      </c>
      <c r="I720" s="18">
        <v>43.6</v>
      </c>
      <c r="J720" s="58">
        <f t="shared" si="535"/>
        <v>0.19379999999999598</v>
      </c>
      <c r="K720" s="18">
        <v>6.1999999999999998E-3</v>
      </c>
      <c r="L720" s="18">
        <v>17.399999999999999</v>
      </c>
      <c r="M720" s="18">
        <v>75.900000000000006</v>
      </c>
      <c r="N720" s="18">
        <v>6.4</v>
      </c>
      <c r="O720" s="18">
        <v>0.3</v>
      </c>
      <c r="P720" s="71">
        <v>0</v>
      </c>
      <c r="Q720" s="21">
        <v>750</v>
      </c>
      <c r="R720" s="18" t="s">
        <v>51</v>
      </c>
      <c r="S720" s="21">
        <v>1.8</v>
      </c>
      <c r="T720" s="18" t="s">
        <v>51</v>
      </c>
      <c r="U720" s="18">
        <v>57.89</v>
      </c>
      <c r="V720" s="18">
        <v>14.4</v>
      </c>
      <c r="W720" s="18">
        <v>18.809999999999999</v>
      </c>
      <c r="X720" s="18">
        <v>4.91</v>
      </c>
      <c r="Y720" s="73">
        <f t="shared" si="517"/>
        <v>6.2286736250214171E-2</v>
      </c>
      <c r="Z720" s="18" t="s">
        <v>51</v>
      </c>
      <c r="AA720" s="18" t="s">
        <v>51</v>
      </c>
      <c r="AB720" s="18" t="s">
        <v>51</v>
      </c>
      <c r="AC720" s="21">
        <v>10906.35</v>
      </c>
      <c r="AD720" s="18" t="s">
        <v>51</v>
      </c>
      <c r="AF720" s="1"/>
      <c r="AK720" s="1">
        <f t="shared" si="519"/>
        <v>6.9214285714284274E-3</v>
      </c>
      <c r="AL720" s="1">
        <f t="shared" si="520"/>
        <v>11.105281566981461</v>
      </c>
      <c r="AM720" s="1">
        <f t="shared" si="521"/>
        <v>11.11220299555289</v>
      </c>
      <c r="AN720" s="1"/>
      <c r="AO720" s="30">
        <f t="shared" si="522"/>
        <v>57.853942208384744</v>
      </c>
      <c r="AP720" s="30">
        <f t="shared" si="523"/>
        <v>14.391030709979971</v>
      </c>
      <c r="AQ720" s="30">
        <f t="shared" si="524"/>
        <v>18.79828386491133</v>
      </c>
      <c r="AR720" s="30">
        <f t="shared" si="525"/>
        <v>4.9069417212501145</v>
      </c>
      <c r="AS720" s="30">
        <f t="shared" si="526"/>
        <v>6.2286736250214171E-2</v>
      </c>
      <c r="AT720" s="31">
        <f t="shared" si="502"/>
        <v>96.012485240776371</v>
      </c>
      <c r="AV720" s="21">
        <f t="shared" si="536"/>
        <v>10906.35</v>
      </c>
    </row>
    <row r="721" spans="2:48" ht="15.75" customHeight="1" x14ac:dyDescent="0.25">
      <c r="B721" s="78"/>
      <c r="C721" s="94" t="s">
        <v>46</v>
      </c>
      <c r="D721" s="69"/>
      <c r="E721" s="79" t="s">
        <v>75</v>
      </c>
      <c r="F721" s="70"/>
      <c r="G721" s="18">
        <v>50.8</v>
      </c>
      <c r="H721" s="18">
        <v>5.4</v>
      </c>
      <c r="I721" s="18">
        <v>43.6</v>
      </c>
      <c r="J721" s="58">
        <f t="shared" si="535"/>
        <v>0.19379999999999598</v>
      </c>
      <c r="K721" s="18">
        <v>6.1999999999999998E-3</v>
      </c>
      <c r="L721" s="18">
        <v>17.399999999999999</v>
      </c>
      <c r="M721" s="18">
        <v>75.900000000000006</v>
      </c>
      <c r="N721" s="18">
        <v>6.4</v>
      </c>
      <c r="O721" s="18">
        <v>0.3</v>
      </c>
      <c r="P721" s="71">
        <v>0</v>
      </c>
      <c r="Q721" s="21">
        <v>750</v>
      </c>
      <c r="R721" s="18" t="s">
        <v>51</v>
      </c>
      <c r="S721" s="21">
        <v>2.6</v>
      </c>
      <c r="T721" s="18" t="s">
        <v>51</v>
      </c>
      <c r="U721" s="18">
        <v>58.36</v>
      </c>
      <c r="V721" s="18">
        <v>10.06</v>
      </c>
      <c r="W721" s="18">
        <v>26.98</v>
      </c>
      <c r="X721" s="18">
        <v>3.04</v>
      </c>
      <c r="Y721" s="73">
        <f t="shared" si="517"/>
        <v>6.5487209884863964E-2</v>
      </c>
      <c r="Z721" s="18" t="s">
        <v>51</v>
      </c>
      <c r="AA721" s="18" t="s">
        <v>51</v>
      </c>
      <c r="AB721" s="18" t="s">
        <v>51</v>
      </c>
      <c r="AC721" s="21">
        <v>9331.08</v>
      </c>
      <c r="AD721" s="18" t="s">
        <v>51</v>
      </c>
      <c r="AF721" s="1"/>
      <c r="AK721" s="1">
        <f t="shared" si="519"/>
        <v>6.9214285714284274E-3</v>
      </c>
      <c r="AL721" s="1">
        <f t="shared" si="520"/>
        <v>10.56220891550233</v>
      </c>
      <c r="AM721" s="1">
        <f t="shared" si="521"/>
        <v>10.569130344073759</v>
      </c>
      <c r="AN721" s="1"/>
      <c r="AO721" s="30">
        <f t="shared" si="522"/>
        <v>58.321781664311189</v>
      </c>
      <c r="AP721" s="30">
        <f t="shared" si="523"/>
        <v>10.053411986685584</v>
      </c>
      <c r="AQ721" s="30">
        <f t="shared" si="524"/>
        <v>26.962331550773062</v>
      </c>
      <c r="AR721" s="30">
        <f t="shared" si="525"/>
        <v>3.0380091888194998</v>
      </c>
      <c r="AS721" s="30">
        <f t="shared" si="526"/>
        <v>6.5487209884863964E-2</v>
      </c>
      <c r="AT721" s="31">
        <f t="shared" si="502"/>
        <v>98.441021600474201</v>
      </c>
      <c r="AV721" s="21">
        <f t="shared" si="536"/>
        <v>9331.08</v>
      </c>
    </row>
  </sheetData>
  <autoFilter ref="A3:AX721" xr:uid="{00000000-0009-0000-0000-000000000000}"/>
  <mergeCells count="2">
    <mergeCell ref="G2:S2"/>
    <mergeCell ref="U2:AD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8.28515625" customWidth="1"/>
    <col min="3" max="3" width="110" customWidth="1"/>
    <col min="4" max="26" width="8.7109375" customWidth="1"/>
  </cols>
  <sheetData>
    <row r="4" spans="2:4" x14ac:dyDescent="0.25">
      <c r="B4" s="95" t="s">
        <v>132</v>
      </c>
      <c r="C4" s="18" t="s">
        <v>136</v>
      </c>
    </row>
    <row r="5" spans="2:4" x14ac:dyDescent="0.25">
      <c r="B5" s="95" t="s">
        <v>133</v>
      </c>
      <c r="C5" s="18" t="s">
        <v>137</v>
      </c>
    </row>
    <row r="6" spans="2:4" x14ac:dyDescent="0.25">
      <c r="B6" s="95" t="s">
        <v>134</v>
      </c>
      <c r="C6" s="18" t="s">
        <v>138</v>
      </c>
    </row>
    <row r="7" spans="2:4" x14ac:dyDescent="0.25">
      <c r="B7" s="95" t="s">
        <v>139</v>
      </c>
      <c r="C7" s="18" t="s">
        <v>140</v>
      </c>
    </row>
    <row r="8" spans="2:4" x14ac:dyDescent="0.25">
      <c r="B8" s="95" t="s">
        <v>141</v>
      </c>
      <c r="C8" s="18" t="s">
        <v>142</v>
      </c>
    </row>
    <row r="9" spans="2:4" x14ac:dyDescent="0.25">
      <c r="B9" s="95" t="s">
        <v>143</v>
      </c>
      <c r="C9" s="18" t="s">
        <v>144</v>
      </c>
      <c r="D9" s="29" t="s">
        <v>145</v>
      </c>
    </row>
    <row r="10" spans="2:4" x14ac:dyDescent="0.25">
      <c r="B10" s="96" t="s">
        <v>135</v>
      </c>
      <c r="C10" s="84" t="s">
        <v>146</v>
      </c>
    </row>
    <row r="11" spans="2:4" x14ac:dyDescent="0.25">
      <c r="B11" s="97" t="s">
        <v>36</v>
      </c>
      <c r="C11" s="98" t="s">
        <v>147</v>
      </c>
    </row>
    <row r="12" spans="2:4" x14ac:dyDescent="0.25">
      <c r="B12" s="97" t="s">
        <v>148</v>
      </c>
      <c r="C12" s="98" t="s">
        <v>149</v>
      </c>
    </row>
    <row r="13" spans="2:4" x14ac:dyDescent="0.25">
      <c r="B13" s="99"/>
      <c r="C13" s="98" t="s">
        <v>150</v>
      </c>
    </row>
    <row r="14" spans="2:4" x14ac:dyDescent="0.25">
      <c r="B14" s="100"/>
      <c r="C14" s="18" t="s">
        <v>151</v>
      </c>
    </row>
    <row r="15" spans="2:4" x14ac:dyDescent="0.25">
      <c r="B15" s="101"/>
      <c r="C15" s="18" t="s">
        <v>152</v>
      </c>
    </row>
    <row r="16" spans="2:4" x14ac:dyDescent="0.25">
      <c r="B16" s="102"/>
      <c r="C16" s="18" t="s">
        <v>153</v>
      </c>
    </row>
    <row r="17" spans="2:3" x14ac:dyDescent="0.25">
      <c r="B17" s="103"/>
      <c r="C17" s="18" t="s">
        <v>154</v>
      </c>
    </row>
    <row r="18" spans="2:3" x14ac:dyDescent="0.25">
      <c r="B18" s="1"/>
      <c r="C18" s="1"/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W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6.7109375" customWidth="1"/>
    <col min="3" max="26" width="8.7109375" customWidth="1"/>
  </cols>
  <sheetData>
    <row r="2" spans="2:23" x14ac:dyDescent="0.25">
      <c r="B2" s="104" t="s">
        <v>155</v>
      </c>
    </row>
    <row r="3" spans="2:23" x14ac:dyDescent="0.25">
      <c r="B3" s="29" t="s">
        <v>156</v>
      </c>
    </row>
    <row r="4" spans="2:23" x14ac:dyDescent="0.25">
      <c r="B4" s="29" t="s">
        <v>157</v>
      </c>
    </row>
    <row r="5" spans="2:23" x14ac:dyDescent="0.25">
      <c r="B5" s="29" t="s">
        <v>158</v>
      </c>
    </row>
    <row r="6" spans="2:23" x14ac:dyDescent="0.25">
      <c r="B6" s="29" t="s">
        <v>159</v>
      </c>
    </row>
    <row r="7" spans="2:23" x14ac:dyDescent="0.25">
      <c r="B7" s="29" t="s">
        <v>160</v>
      </c>
    </row>
    <row r="8" spans="2:23" x14ac:dyDescent="0.25">
      <c r="B8" s="29" t="s">
        <v>161</v>
      </c>
    </row>
    <row r="9" spans="2:23" x14ac:dyDescent="0.25">
      <c r="B9" s="29" t="s">
        <v>162</v>
      </c>
    </row>
    <row r="10" spans="2:23" x14ac:dyDescent="0.25">
      <c r="B10" s="29" t="s">
        <v>163</v>
      </c>
    </row>
    <row r="11" spans="2:23" x14ac:dyDescent="0.25">
      <c r="B11" s="1" t="s">
        <v>164</v>
      </c>
      <c r="W11" s="1"/>
    </row>
    <row r="12" spans="2:23" x14ac:dyDescent="0.25">
      <c r="B12" s="29" t="s">
        <v>165</v>
      </c>
    </row>
    <row r="13" spans="2:23" x14ac:dyDescent="0.25">
      <c r="B13" s="29" t="s">
        <v>166</v>
      </c>
    </row>
    <row r="14" spans="2:23" x14ac:dyDescent="0.25">
      <c r="B14" s="29" t="s">
        <v>167</v>
      </c>
    </row>
    <row r="15" spans="2:23" x14ac:dyDescent="0.25">
      <c r="B15" s="29" t="s">
        <v>168</v>
      </c>
    </row>
    <row r="16" spans="2:23" x14ac:dyDescent="0.25">
      <c r="B16" s="29" t="s">
        <v>169</v>
      </c>
      <c r="C16" s="1"/>
      <c r="D16" s="1"/>
      <c r="E16" s="1"/>
      <c r="F16" s="1"/>
      <c r="G16" s="1"/>
      <c r="H16" s="1"/>
      <c r="I16" s="1"/>
    </row>
    <row r="17" spans="2:9" x14ac:dyDescent="0.25">
      <c r="B17" s="29" t="s">
        <v>170</v>
      </c>
      <c r="C17" s="1"/>
      <c r="D17" s="1"/>
      <c r="E17" s="1"/>
      <c r="F17" s="1"/>
      <c r="G17" s="1"/>
      <c r="H17" s="1"/>
      <c r="I17" s="1"/>
    </row>
    <row r="18" spans="2:9" x14ac:dyDescent="0.25">
      <c r="C18" s="1"/>
      <c r="D18" s="13"/>
      <c r="E18" s="13"/>
      <c r="F18" s="13"/>
      <c r="G18" s="13"/>
      <c r="H18" s="13"/>
      <c r="I18" s="1"/>
    </row>
    <row r="19" spans="2:9" x14ac:dyDescent="0.25">
      <c r="C19" s="1"/>
      <c r="D19" s="1"/>
      <c r="E19" s="1"/>
      <c r="F19" s="1"/>
      <c r="G19" s="1"/>
      <c r="H19" s="1"/>
      <c r="I19" s="1"/>
    </row>
    <row r="20" spans="2:9" x14ac:dyDescent="0.25">
      <c r="C20" s="1"/>
      <c r="D20" s="1"/>
      <c r="E20" s="1"/>
      <c r="F20" s="1"/>
      <c r="G20" s="1"/>
      <c r="H20" s="1"/>
      <c r="I20" s="1"/>
    </row>
    <row r="21" spans="2:9" ht="15.75" customHeight="1" x14ac:dyDescent="0.25">
      <c r="C21" s="1"/>
      <c r="D21" s="1"/>
      <c r="E21" s="1"/>
      <c r="F21" s="1"/>
      <c r="G21" s="1"/>
      <c r="H21" s="1"/>
      <c r="I21" s="1"/>
    </row>
    <row r="22" spans="2:9" ht="15.75" customHeight="1" x14ac:dyDescent="0.25"/>
    <row r="23" spans="2:9" ht="15.75" customHeight="1" x14ac:dyDescent="0.25">
      <c r="B23" s="1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Banco de dados</vt:lpstr>
      <vt:lpstr>Siglas e cores</vt:lpstr>
      <vt:lpstr>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Pimentel</dc:creator>
  <cp:lastModifiedBy>ANTÔNIO</cp:lastModifiedBy>
  <dcterms:created xsi:type="dcterms:W3CDTF">2020-09-28T23:15:03Z</dcterms:created>
  <dcterms:modified xsi:type="dcterms:W3CDTF">2024-07-05T17:19:34Z</dcterms:modified>
</cp:coreProperties>
</file>