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/>
  <bookViews>
    <workbookView xWindow="3720" yWindow="0" windowWidth="21345" windowHeight="11745" firstSheet="1" activeTab="6"/>
  </bookViews>
  <sheets>
    <sheet name="第1モデル" sheetId="1" r:id="rId1"/>
    <sheet name="第2モデル" sheetId="2" r:id="rId2"/>
    <sheet name="中間期モデル" sheetId="3" r:id="rId3"/>
    <sheet name="正規近似による過分散二項分布" sheetId="18" r:id="rId4"/>
    <sheet name="漁具能率変動要因分析" sheetId="19" r:id="rId5"/>
    <sheet name="VPA" sheetId="15" r:id="rId6"/>
    <sheet name="Tuned VPA (CPUE)" sheetId="20" r:id="rId7"/>
    <sheet name="Tuned VPA(Delury)" sheetId="16" r:id="rId8"/>
  </sheets>
  <definedNames>
    <definedName name="solver_adj" localSheetId="6" hidden="1">'Tuned VPA (CPUE)'!$V$15,'Tuned VPA (CPUE)'!$V$13</definedName>
    <definedName name="solver_adj" localSheetId="7" hidden="1">'Tuned VPA(Delury)'!$V$13,'Tuned VPA(Delury)'!$V$15</definedName>
    <definedName name="solver_adj" localSheetId="5" hidden="1">VPA!$V$14</definedName>
    <definedName name="solver_adj" localSheetId="3" hidden="1">正規近似による過分散二項分布!$B$19:$U$19</definedName>
    <definedName name="solver_adj" localSheetId="0" hidden="1">第1モデル!$B$37:$U$38</definedName>
    <definedName name="solver_adj" localSheetId="1" hidden="1">第2モデル!$B$44:$U$45</definedName>
    <definedName name="solver_adj" localSheetId="2" hidden="1">中間期モデル!$B$45:$U$45</definedName>
    <definedName name="solver_cvg" localSheetId="6" hidden="1">0.0001</definedName>
    <definedName name="solver_cvg" localSheetId="7" hidden="1">0.0001</definedName>
    <definedName name="solver_cvg" localSheetId="5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6" hidden="1">2</definedName>
    <definedName name="solver_drv" localSheetId="7" hidden="1">2</definedName>
    <definedName name="solver_drv" localSheetId="5" hidden="1">2</definedName>
    <definedName name="solver_drv" localSheetId="3" hidden="1">2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6" hidden="1">1</definedName>
    <definedName name="solver_eng" localSheetId="7" hidden="1">1</definedName>
    <definedName name="solver_eng" localSheetId="5" hidden="1">1</definedName>
    <definedName name="solver_eng" localSheetId="4" hidden="1">1</definedName>
    <definedName name="solver_eng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6" hidden="1">1</definedName>
    <definedName name="solver_est" localSheetId="7" hidden="1">1</definedName>
    <definedName name="solver_est" localSheetId="5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6" hidden="1">2147483647</definedName>
    <definedName name="solver_itr" localSheetId="7" hidden="1">2147483647</definedName>
    <definedName name="solver_itr" localSheetId="5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6" hidden="1">'Tuned VPA (CPUE)'!$V$13</definedName>
    <definedName name="solver_lhs1" localSheetId="7" hidden="1">'Tuned VPA(Delury)'!$V$13</definedName>
    <definedName name="solver_mip" localSheetId="6" hidden="1">2147483647</definedName>
    <definedName name="solver_mip" localSheetId="7" hidden="1">2147483647</definedName>
    <definedName name="solver_mip" localSheetId="5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6" hidden="1">30</definedName>
    <definedName name="solver_mni" localSheetId="7" hidden="1">30</definedName>
    <definedName name="solver_mni" localSheetId="5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6" hidden="1">0.075</definedName>
    <definedName name="solver_mrt" localSheetId="7" hidden="1">0.075</definedName>
    <definedName name="solver_mrt" localSheetId="5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6" hidden="1">2</definedName>
    <definedName name="solver_msl" localSheetId="7" hidden="1">2</definedName>
    <definedName name="solver_msl" localSheetId="5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6" hidden="1">1</definedName>
    <definedName name="solver_neg" localSheetId="7" hidden="1">1</definedName>
    <definedName name="solver_neg" localSheetId="5" hidden="1">1</definedName>
    <definedName name="solver_neg" localSheetId="4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6" hidden="1">2147483647</definedName>
    <definedName name="solver_nod" localSheetId="7" hidden="1">2147483647</definedName>
    <definedName name="solver_nod" localSheetId="5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6" hidden="1">1</definedName>
    <definedName name="solver_num" localSheetId="7" hidden="1">1</definedName>
    <definedName name="solver_num" localSheetId="5" hidden="1">0</definedName>
    <definedName name="solver_num" localSheetId="4" hidden="1">0</definedName>
    <definedName name="solver_num" localSheetId="3" hidden="1">0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6" hidden="1">1</definedName>
    <definedName name="solver_nwt" localSheetId="7" hidden="1">1</definedName>
    <definedName name="solver_nwt" localSheetId="5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6" hidden="1">'Tuned VPA (CPUE)'!$X$39</definedName>
    <definedName name="solver_opt" localSheetId="7" hidden="1">'Tuned VPA(Delury)'!$X$39</definedName>
    <definedName name="solver_opt" localSheetId="5" hidden="1">VPA!$X$15</definedName>
    <definedName name="solver_opt" localSheetId="4" hidden="1">漁具能率変動要因分析!$J$6</definedName>
    <definedName name="solver_opt" localSheetId="3" hidden="1">正規近似による過分散二項分布!$W$51</definedName>
    <definedName name="solver_opt" localSheetId="0" hidden="1">第1モデル!$V$55</definedName>
    <definedName name="solver_opt" localSheetId="1" hidden="1">第2モデル!$V$62</definedName>
    <definedName name="solver_opt" localSheetId="2" hidden="1">中間期モデル!$V$62</definedName>
    <definedName name="solver_pre" localSheetId="6" hidden="1">0.000001</definedName>
    <definedName name="solver_pre" localSheetId="7" hidden="1">0.000001</definedName>
    <definedName name="solver_pre" localSheetId="5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6" hidden="1">1</definedName>
    <definedName name="solver_rbv" localSheetId="7" hidden="1">1</definedName>
    <definedName name="solver_rbv" localSheetId="5" hidden="1">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6" hidden="1">2</definedName>
    <definedName name="solver_rel1" localSheetId="7" hidden="1">2</definedName>
    <definedName name="solver_rhs1" localSheetId="6" hidden="1">'Tuned VPA (CPUE)'!$X$13</definedName>
    <definedName name="solver_rhs1" localSheetId="7" hidden="1">'Tuned VPA(Delury)'!$X$13</definedName>
    <definedName name="solver_rlx" localSheetId="6" hidden="1">2</definedName>
    <definedName name="solver_rlx" localSheetId="7" hidden="1">2</definedName>
    <definedName name="solver_rlx" localSheetId="5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6" hidden="1">0</definedName>
    <definedName name="solver_rsd" localSheetId="7" hidden="1">0</definedName>
    <definedName name="solver_rsd" localSheetId="5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6" hidden="1">1</definedName>
    <definedName name="solver_scl" localSheetId="7" hidden="1">1</definedName>
    <definedName name="solver_scl" localSheetId="5" hidden="1">1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6" hidden="1">2</definedName>
    <definedName name="solver_sho" localSheetId="7" hidden="1">2</definedName>
    <definedName name="solver_sho" localSheetId="5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6" hidden="1">100</definedName>
    <definedName name="solver_ssz" localSheetId="7" hidden="1">100</definedName>
    <definedName name="solver_ssz" localSheetId="5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6" hidden="1">2147483647</definedName>
    <definedName name="solver_tim" localSheetId="7" hidden="1">2147483647</definedName>
    <definedName name="solver_tim" localSheetId="5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6" hidden="1">0.01</definedName>
    <definedName name="solver_tol" localSheetId="7" hidden="1">0.01</definedName>
    <definedName name="solver_tol" localSheetId="5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6" hidden="1">2</definedName>
    <definedName name="solver_typ" localSheetId="7" hidden="1">2</definedName>
    <definedName name="solver_typ" localSheetId="5" hidden="1">3</definedName>
    <definedName name="solver_typ" localSheetId="4" hidden="1">1</definedName>
    <definedName name="solver_typ" localSheetId="3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6" hidden="1">0</definedName>
    <definedName name="solver_val" localSheetId="7" hidden="1">0</definedName>
    <definedName name="solver_val" localSheetId="5" hidden="1">1</definedName>
    <definedName name="solver_val" localSheetId="4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6" hidden="1">3</definedName>
    <definedName name="solver_ver" localSheetId="7" hidden="1">3</definedName>
    <definedName name="solver_ver" localSheetId="5" hidden="1">3</definedName>
    <definedName name="solver_ver" localSheetId="4" hidden="1">3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E35" i="20" l="1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D35" i="20"/>
  <c r="C35" i="20"/>
  <c r="V14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X5" i="20"/>
  <c r="X13" i="16"/>
  <c r="V29" i="16"/>
  <c r="V31" i="20" l="1"/>
  <c r="U30" i="20" s="1"/>
  <c r="V30" i="20"/>
  <c r="U29" i="20" s="1"/>
  <c r="T28" i="20" s="1"/>
  <c r="T12" i="20" s="1"/>
  <c r="V29" i="20"/>
  <c r="U28" i="20" s="1"/>
  <c r="U12" i="20" s="1"/>
  <c r="V31" i="16"/>
  <c r="V36" i="20" l="1"/>
  <c r="U36" i="20"/>
  <c r="U13" i="20"/>
  <c r="T29" i="20"/>
  <c r="U31" i="20"/>
  <c r="T30" i="20" s="1"/>
  <c r="U14" i="20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C40" i="3"/>
  <c r="C41" i="3"/>
  <c r="B45" i="3"/>
  <c r="B44" i="3"/>
  <c r="B40" i="3"/>
  <c r="D44" i="2"/>
  <c r="E44" i="2"/>
  <c r="F44" i="2"/>
  <c r="G44" i="2"/>
  <c r="H44" i="2"/>
  <c r="I44" i="2"/>
  <c r="J44" i="2"/>
  <c r="K44" i="2"/>
  <c r="L44" i="2"/>
  <c r="L45" i="2" s="1"/>
  <c r="M44" i="2"/>
  <c r="N44" i="2"/>
  <c r="N45" i="2" s="1"/>
  <c r="O44" i="2"/>
  <c r="P44" i="2"/>
  <c r="Q44" i="2"/>
  <c r="R44" i="2"/>
  <c r="S44" i="2"/>
  <c r="T44" i="2"/>
  <c r="U44" i="2"/>
  <c r="D45" i="2"/>
  <c r="E45" i="2"/>
  <c r="F45" i="2"/>
  <c r="G45" i="2"/>
  <c r="H45" i="2"/>
  <c r="I45" i="2"/>
  <c r="J45" i="2"/>
  <c r="K45" i="2"/>
  <c r="M45" i="2"/>
  <c r="O45" i="2"/>
  <c r="P45" i="2"/>
  <c r="Q45" i="2"/>
  <c r="R45" i="2"/>
  <c r="S45" i="2"/>
  <c r="T45" i="2"/>
  <c r="U45" i="2"/>
  <c r="C44" i="2"/>
  <c r="C45" i="2" s="1"/>
  <c r="C40" i="2"/>
  <c r="C41" i="2"/>
  <c r="B45" i="2"/>
  <c r="B44" i="2"/>
  <c r="B41" i="2"/>
  <c r="B40" i="2"/>
  <c r="B41" i="1"/>
  <c r="C33" i="1"/>
  <c r="C34" i="1"/>
  <c r="B18" i="1"/>
  <c r="B19" i="1"/>
  <c r="B20" i="1"/>
  <c r="B21" i="1"/>
  <c r="B22" i="1"/>
  <c r="B23" i="1"/>
  <c r="B27" i="1"/>
  <c r="B28" i="1"/>
  <c r="B29" i="1"/>
  <c r="B30" i="1"/>
  <c r="C37" i="1"/>
  <c r="C38" i="1" s="1"/>
  <c r="D37" i="1"/>
  <c r="E37" i="1"/>
  <c r="E38" i="1" s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D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U32" i="20" l="1"/>
  <c r="T31" i="20"/>
  <c r="S30" i="20" s="1"/>
  <c r="S29" i="20"/>
  <c r="T14" i="20"/>
  <c r="U15" i="20"/>
  <c r="S28" i="20"/>
  <c r="T36" i="20"/>
  <c r="T13" i="20"/>
  <c r="B34" i="1"/>
  <c r="B37" i="1" s="1"/>
  <c r="T32" i="20" l="1"/>
  <c r="T15" i="20"/>
  <c r="T16" i="20" s="1"/>
  <c r="T20" i="20" s="1"/>
  <c r="R28" i="20"/>
  <c r="S36" i="20"/>
  <c r="S13" i="20"/>
  <c r="S12" i="20"/>
  <c r="U16" i="20"/>
  <c r="S31" i="20"/>
  <c r="R30" i="20" s="1"/>
  <c r="R29" i="20"/>
  <c r="S14" i="20"/>
  <c r="B33" i="1"/>
  <c r="B38" i="1" s="1"/>
  <c r="T21" i="20" l="1"/>
  <c r="Q28" i="20"/>
  <c r="R13" i="20"/>
  <c r="R36" i="20"/>
  <c r="R12" i="20"/>
  <c r="U20" i="20"/>
  <c r="U21" i="20"/>
  <c r="U22" i="20"/>
  <c r="T22" i="20"/>
  <c r="S15" i="20"/>
  <c r="S16" i="20" s="1"/>
  <c r="S20" i="20" s="1"/>
  <c r="V20" i="20" s="1"/>
  <c r="U23" i="20"/>
  <c r="R31" i="20"/>
  <c r="Q30" i="20" s="1"/>
  <c r="Q29" i="20"/>
  <c r="R14" i="20"/>
  <c r="S32" i="20"/>
  <c r="T23" i="20"/>
  <c r="B7" i="1"/>
  <c r="P28" i="20" l="1"/>
  <c r="Q13" i="20"/>
  <c r="Q36" i="20"/>
  <c r="S21" i="20"/>
  <c r="Q12" i="20"/>
  <c r="P29" i="20"/>
  <c r="Q31" i="20"/>
  <c r="P30" i="20" s="1"/>
  <c r="Q14" i="20"/>
  <c r="S23" i="20"/>
  <c r="V23" i="20" s="1"/>
  <c r="R32" i="20"/>
  <c r="S22" i="20"/>
  <c r="V22" i="20" s="1"/>
  <c r="R15" i="20"/>
  <c r="R16" i="20" s="1"/>
  <c r="R22" i="20" s="1"/>
  <c r="B48" i="2"/>
  <c r="X22" i="20" l="1"/>
  <c r="P31" i="20"/>
  <c r="O30" i="20" s="1"/>
  <c r="O29" i="20"/>
  <c r="P14" i="20"/>
  <c r="O28" i="20"/>
  <c r="P13" i="20"/>
  <c r="P36" i="20"/>
  <c r="R20" i="20"/>
  <c r="X21" i="20"/>
  <c r="X13" i="20" s="1"/>
  <c r="X23" i="20"/>
  <c r="V12" i="20"/>
  <c r="R21" i="20"/>
  <c r="P12" i="20"/>
  <c r="R23" i="20"/>
  <c r="Q15" i="20"/>
  <c r="Q16" i="20" s="1"/>
  <c r="Q22" i="20" s="1"/>
  <c r="Q32" i="20"/>
  <c r="X20" i="20"/>
  <c r="G3" i="19"/>
  <c r="H3" i="19"/>
  <c r="I3" i="19"/>
  <c r="J3" i="19"/>
  <c r="J22" i="19"/>
  <c r="I22" i="19"/>
  <c r="H22" i="19"/>
  <c r="G22" i="19"/>
  <c r="J21" i="19"/>
  <c r="I21" i="19"/>
  <c r="H21" i="19"/>
  <c r="G21" i="19"/>
  <c r="J20" i="19"/>
  <c r="I20" i="19"/>
  <c r="H20" i="19"/>
  <c r="G20" i="19"/>
  <c r="J19" i="19"/>
  <c r="I19" i="19"/>
  <c r="H19" i="19"/>
  <c r="G19" i="19"/>
  <c r="J18" i="19"/>
  <c r="I18" i="19"/>
  <c r="H18" i="19"/>
  <c r="G18" i="19"/>
  <c r="J17" i="19"/>
  <c r="I17" i="19"/>
  <c r="H17" i="19"/>
  <c r="G17" i="19"/>
  <c r="J16" i="19"/>
  <c r="I16" i="19"/>
  <c r="H16" i="19"/>
  <c r="G16" i="19"/>
  <c r="J15" i="19"/>
  <c r="I15" i="19"/>
  <c r="H15" i="19"/>
  <c r="G15" i="19"/>
  <c r="J14" i="19"/>
  <c r="I14" i="19"/>
  <c r="H14" i="19"/>
  <c r="G14" i="19"/>
  <c r="J13" i="19"/>
  <c r="I13" i="19"/>
  <c r="H13" i="19"/>
  <c r="G13" i="19"/>
  <c r="J12" i="19"/>
  <c r="I12" i="19"/>
  <c r="H12" i="19"/>
  <c r="G12" i="19"/>
  <c r="J11" i="19"/>
  <c r="I11" i="19"/>
  <c r="H11" i="19"/>
  <c r="G11" i="19"/>
  <c r="J10" i="19"/>
  <c r="I10" i="19"/>
  <c r="H10" i="19"/>
  <c r="G10" i="19"/>
  <c r="J9" i="19"/>
  <c r="I9" i="19"/>
  <c r="H9" i="19"/>
  <c r="G9" i="19"/>
  <c r="J8" i="19"/>
  <c r="I8" i="19"/>
  <c r="H8" i="19"/>
  <c r="G8" i="19"/>
  <c r="J7" i="19"/>
  <c r="I7" i="19"/>
  <c r="H7" i="19"/>
  <c r="G7" i="19"/>
  <c r="J6" i="19"/>
  <c r="I6" i="19"/>
  <c r="H6" i="19"/>
  <c r="G6" i="19"/>
  <c r="J5" i="19"/>
  <c r="I5" i="19"/>
  <c r="H5" i="19"/>
  <c r="G5" i="19"/>
  <c r="J4" i="19"/>
  <c r="I4" i="19"/>
  <c r="H4" i="19"/>
  <c r="G4" i="19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B24" i="18"/>
  <c r="B25" i="18"/>
  <c r="B26" i="18"/>
  <c r="B27" i="18"/>
  <c r="B23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U7" i="18"/>
  <c r="U20" i="18" s="1"/>
  <c r="T7" i="18"/>
  <c r="T20" i="18" s="1"/>
  <c r="S7" i="18"/>
  <c r="S20" i="18" s="1"/>
  <c r="R7" i="18"/>
  <c r="R20" i="18" s="1"/>
  <c r="Q7" i="18"/>
  <c r="Q20" i="18" s="1"/>
  <c r="P7" i="18"/>
  <c r="P20" i="18" s="1"/>
  <c r="O7" i="18"/>
  <c r="O20" i="18" s="1"/>
  <c r="N7" i="18"/>
  <c r="N20" i="18" s="1"/>
  <c r="M7" i="18"/>
  <c r="M20" i="18" s="1"/>
  <c r="L7" i="18"/>
  <c r="L20" i="18" s="1"/>
  <c r="K7" i="18"/>
  <c r="K20" i="18" s="1"/>
  <c r="J7" i="18"/>
  <c r="J20" i="18" s="1"/>
  <c r="I7" i="18"/>
  <c r="I20" i="18" s="1"/>
  <c r="H7" i="18"/>
  <c r="H20" i="18" s="1"/>
  <c r="G7" i="18"/>
  <c r="G20" i="18" s="1"/>
  <c r="F7" i="18"/>
  <c r="F20" i="18" s="1"/>
  <c r="E7" i="18"/>
  <c r="E20" i="18" s="1"/>
  <c r="D7" i="18"/>
  <c r="D20" i="18" s="1"/>
  <c r="C7" i="18"/>
  <c r="C20" i="18" s="1"/>
  <c r="B7" i="18"/>
  <c r="B20" i="18" s="1"/>
  <c r="P32" i="20" l="1"/>
  <c r="Q21" i="20"/>
  <c r="Q23" i="20"/>
  <c r="Q20" i="20"/>
  <c r="P15" i="20"/>
  <c r="N28" i="20"/>
  <c r="O13" i="20"/>
  <c r="O36" i="20"/>
  <c r="V16" i="20"/>
  <c r="V28" i="20"/>
  <c r="V32" i="20" s="1"/>
  <c r="O12" i="20"/>
  <c r="O31" i="20"/>
  <c r="N30" i="20" s="1"/>
  <c r="N29" i="20"/>
  <c r="O14" i="20"/>
  <c r="I30" i="18"/>
  <c r="I31" i="18" s="1"/>
  <c r="I38" i="18" s="1"/>
  <c r="J35" i="16"/>
  <c r="D30" i="18"/>
  <c r="D37" i="18" s="1"/>
  <c r="E35" i="16"/>
  <c r="H30" i="18"/>
  <c r="H37" i="18" s="1"/>
  <c r="I35" i="16"/>
  <c r="L30" i="18"/>
  <c r="L37" i="18" s="1"/>
  <c r="M35" i="16"/>
  <c r="P30" i="18"/>
  <c r="P37" i="18" s="1"/>
  <c r="Q35" i="16"/>
  <c r="T30" i="18"/>
  <c r="T37" i="18" s="1"/>
  <c r="U35" i="16"/>
  <c r="E30" i="18"/>
  <c r="E31" i="18" s="1"/>
  <c r="E32" i="18" s="1"/>
  <c r="F35" i="16"/>
  <c r="M30" i="18"/>
  <c r="M31" i="18" s="1"/>
  <c r="M38" i="18" s="1"/>
  <c r="N35" i="16"/>
  <c r="Q30" i="18"/>
  <c r="Q31" i="18" s="1"/>
  <c r="Q38" i="18" s="1"/>
  <c r="R35" i="16"/>
  <c r="U30" i="18"/>
  <c r="U31" i="18" s="1"/>
  <c r="U32" i="18" s="1"/>
  <c r="V35" i="16"/>
  <c r="J30" i="18"/>
  <c r="J31" i="18" s="1"/>
  <c r="J38" i="18" s="1"/>
  <c r="K35" i="16"/>
  <c r="N30" i="18"/>
  <c r="N31" i="18" s="1"/>
  <c r="N38" i="18" s="1"/>
  <c r="O35" i="16"/>
  <c r="R30" i="18"/>
  <c r="R31" i="18" s="1"/>
  <c r="R32" i="18" s="1"/>
  <c r="S35" i="16"/>
  <c r="F30" i="18"/>
  <c r="F31" i="18" s="1"/>
  <c r="F32" i="18" s="1"/>
  <c r="G35" i="16"/>
  <c r="C30" i="18"/>
  <c r="C31" i="18" s="1"/>
  <c r="C38" i="18" s="1"/>
  <c r="D35" i="16"/>
  <c r="G30" i="18"/>
  <c r="G31" i="18" s="1"/>
  <c r="G32" i="18" s="1"/>
  <c r="H35" i="16"/>
  <c r="K30" i="18"/>
  <c r="K31" i="18" s="1"/>
  <c r="K38" i="18" s="1"/>
  <c r="L35" i="16"/>
  <c r="O30" i="18"/>
  <c r="O31" i="18" s="1"/>
  <c r="O32" i="18" s="1"/>
  <c r="P35" i="16"/>
  <c r="S30" i="18"/>
  <c r="S31" i="18" s="1"/>
  <c r="S38" i="18" s="1"/>
  <c r="T35" i="16"/>
  <c r="B30" i="18"/>
  <c r="B31" i="18" s="1"/>
  <c r="B38" i="18" s="1"/>
  <c r="C35" i="16"/>
  <c r="V22" i="15"/>
  <c r="V23" i="15" s="1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X5" i="16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C8" i="15"/>
  <c r="X5" i="15"/>
  <c r="O32" i="20" l="1"/>
  <c r="M28" i="20"/>
  <c r="N13" i="20"/>
  <c r="N36" i="20"/>
  <c r="N31" i="20"/>
  <c r="M30" i="20" s="1"/>
  <c r="M29" i="20"/>
  <c r="N14" i="20"/>
  <c r="O15" i="20"/>
  <c r="P16" i="20"/>
  <c r="P23" i="20" s="1"/>
  <c r="N12" i="20"/>
  <c r="R38" i="18"/>
  <c r="R45" i="18" s="1"/>
  <c r="R52" i="18" s="1"/>
  <c r="I37" i="18"/>
  <c r="I44" i="18" s="1"/>
  <c r="I51" i="18" s="1"/>
  <c r="E38" i="18"/>
  <c r="E45" i="18" s="1"/>
  <c r="E52" i="18" s="1"/>
  <c r="J32" i="18"/>
  <c r="J39" i="18" s="1"/>
  <c r="U38" i="18"/>
  <c r="U45" i="18" s="1"/>
  <c r="U52" i="18" s="1"/>
  <c r="S32" i="18"/>
  <c r="S39" i="18" s="1"/>
  <c r="O38" i="18"/>
  <c r="O45" i="18" s="1"/>
  <c r="O52" i="18" s="1"/>
  <c r="L31" i="18"/>
  <c r="L32" i="18" s="1"/>
  <c r="K37" i="18"/>
  <c r="K44" i="18" s="1"/>
  <c r="K51" i="18" s="1"/>
  <c r="I32" i="18"/>
  <c r="I33" i="18" s="1"/>
  <c r="F37" i="18"/>
  <c r="F44" i="18" s="1"/>
  <c r="F51" i="18" s="1"/>
  <c r="C32" i="18"/>
  <c r="C39" i="18" s="1"/>
  <c r="B37" i="18"/>
  <c r="B44" i="18" s="1"/>
  <c r="B51" i="18" s="1"/>
  <c r="D31" i="18"/>
  <c r="D38" i="18" s="1"/>
  <c r="M32" i="18"/>
  <c r="M39" i="18" s="1"/>
  <c r="S37" i="18"/>
  <c r="S44" i="18" s="1"/>
  <c r="S51" i="18" s="1"/>
  <c r="N37" i="18"/>
  <c r="N44" i="18" s="1"/>
  <c r="N51" i="18" s="1"/>
  <c r="T31" i="18"/>
  <c r="T32" i="18" s="1"/>
  <c r="K32" i="18"/>
  <c r="K39" i="18" s="1"/>
  <c r="C37" i="18"/>
  <c r="C44" i="18" s="1"/>
  <c r="C51" i="18" s="1"/>
  <c r="Q37" i="18"/>
  <c r="Q44" i="18" s="1"/>
  <c r="Q51" i="18" s="1"/>
  <c r="G38" i="18"/>
  <c r="G45" i="18" s="1"/>
  <c r="G52" i="18" s="1"/>
  <c r="P31" i="18"/>
  <c r="P32" i="18" s="1"/>
  <c r="N32" i="18"/>
  <c r="N33" i="18" s="1"/>
  <c r="Q32" i="18"/>
  <c r="Q39" i="18" s="1"/>
  <c r="O37" i="18"/>
  <c r="O44" i="18" s="1"/>
  <c r="O51" i="18" s="1"/>
  <c r="M37" i="18"/>
  <c r="M44" i="18" s="1"/>
  <c r="M51" i="18" s="1"/>
  <c r="J37" i="18"/>
  <c r="J44" i="18" s="1"/>
  <c r="J51" i="18" s="1"/>
  <c r="F38" i="18"/>
  <c r="F45" i="18" s="1"/>
  <c r="F52" i="18" s="1"/>
  <c r="H31" i="18"/>
  <c r="H32" i="18" s="1"/>
  <c r="B32" i="18"/>
  <c r="B39" i="18" s="1"/>
  <c r="G37" i="18"/>
  <c r="G44" i="18" s="1"/>
  <c r="G51" i="18" s="1"/>
  <c r="E37" i="18"/>
  <c r="E44" i="18" s="1"/>
  <c r="E51" i="18" s="1"/>
  <c r="U37" i="18"/>
  <c r="U44" i="18" s="1"/>
  <c r="U51" i="18" s="1"/>
  <c r="R37" i="18"/>
  <c r="R44" i="18" s="1"/>
  <c r="R51" i="18" s="1"/>
  <c r="U39" i="18"/>
  <c r="F39" i="18"/>
  <c r="O39" i="18"/>
  <c r="G39" i="18"/>
  <c r="E39" i="18"/>
  <c r="R39" i="18"/>
  <c r="J45" i="18"/>
  <c r="J52" i="18" s="1"/>
  <c r="N45" i="18"/>
  <c r="N52" i="18" s="1"/>
  <c r="C45" i="18"/>
  <c r="C52" i="18" s="1"/>
  <c r="S45" i="18"/>
  <c r="S52" i="18" s="1"/>
  <c r="P44" i="18"/>
  <c r="P51" i="18" s="1"/>
  <c r="I45" i="18"/>
  <c r="I52" i="18" s="1"/>
  <c r="D44" i="18"/>
  <c r="D51" i="18" s="1"/>
  <c r="T44" i="18"/>
  <c r="T51" i="18" s="1"/>
  <c r="M45" i="18"/>
  <c r="M52" i="18" s="1"/>
  <c r="K45" i="18"/>
  <c r="K52" i="18" s="1"/>
  <c r="H44" i="18"/>
  <c r="H51" i="18" s="1"/>
  <c r="B45" i="18"/>
  <c r="B52" i="18" s="1"/>
  <c r="Q45" i="18"/>
  <c r="Q52" i="18" s="1"/>
  <c r="L44" i="18"/>
  <c r="L51" i="18" s="1"/>
  <c r="R33" i="18"/>
  <c r="F33" i="18"/>
  <c r="G33" i="18"/>
  <c r="O33" i="18"/>
  <c r="E33" i="18"/>
  <c r="U33" i="18"/>
  <c r="N32" i="20" l="1"/>
  <c r="N15" i="20"/>
  <c r="M12" i="20"/>
  <c r="O16" i="20"/>
  <c r="L29" i="20"/>
  <c r="M31" i="20"/>
  <c r="L30" i="20" s="1"/>
  <c r="M14" i="20"/>
  <c r="P21" i="20"/>
  <c r="P22" i="20"/>
  <c r="P20" i="20"/>
  <c r="L28" i="20"/>
  <c r="M13" i="20"/>
  <c r="M36" i="20"/>
  <c r="N16" i="20"/>
  <c r="N21" i="20" s="1"/>
  <c r="D32" i="18"/>
  <c r="D39" i="18" s="1"/>
  <c r="S33" i="18"/>
  <c r="S34" i="18" s="1"/>
  <c r="M33" i="18"/>
  <c r="M40" i="18" s="1"/>
  <c r="N39" i="18"/>
  <c r="N46" i="18" s="1"/>
  <c r="N53" i="18" s="1"/>
  <c r="J33" i="18"/>
  <c r="J40" i="18" s="1"/>
  <c r="K33" i="18"/>
  <c r="K34" i="18" s="1"/>
  <c r="C33" i="18"/>
  <c r="C34" i="18" s="1"/>
  <c r="L38" i="18"/>
  <c r="L45" i="18" s="1"/>
  <c r="L52" i="18" s="1"/>
  <c r="I39" i="18"/>
  <c r="I46" i="18" s="1"/>
  <c r="I53" i="18" s="1"/>
  <c r="H38" i="18"/>
  <c r="H45" i="18" s="1"/>
  <c r="H52" i="18" s="1"/>
  <c r="T38" i="18"/>
  <c r="T45" i="18" s="1"/>
  <c r="Q33" i="18"/>
  <c r="Q34" i="18" s="1"/>
  <c r="P38" i="18"/>
  <c r="P45" i="18" s="1"/>
  <c r="P52" i="18" s="1"/>
  <c r="B33" i="18"/>
  <c r="B34" i="18" s="1"/>
  <c r="R46" i="18"/>
  <c r="R53" i="18" s="1"/>
  <c r="E46" i="18"/>
  <c r="E53" i="18" s="1"/>
  <c r="O46" i="18"/>
  <c r="O53" i="18" s="1"/>
  <c r="M46" i="18"/>
  <c r="M53" i="18" s="1"/>
  <c r="C46" i="18"/>
  <c r="C53" i="18" s="1"/>
  <c r="B46" i="18"/>
  <c r="B53" i="18" s="1"/>
  <c r="Q46" i="18"/>
  <c r="Q53" i="18" s="1"/>
  <c r="G46" i="18"/>
  <c r="G53" i="18" s="1"/>
  <c r="F46" i="18"/>
  <c r="F53" i="18" s="1"/>
  <c r="D45" i="18"/>
  <c r="D52" i="18" s="1"/>
  <c r="S46" i="18"/>
  <c r="S53" i="18" s="1"/>
  <c r="J46" i="18"/>
  <c r="J53" i="18" s="1"/>
  <c r="U46" i="18"/>
  <c r="U53" i="18" s="1"/>
  <c r="K46" i="18"/>
  <c r="K53" i="18" s="1"/>
  <c r="G40" i="18"/>
  <c r="T39" i="18"/>
  <c r="H39" i="18"/>
  <c r="R40" i="18"/>
  <c r="E40" i="18"/>
  <c r="E47" i="18" s="1"/>
  <c r="N40" i="18"/>
  <c r="U40" i="18"/>
  <c r="O40" i="18"/>
  <c r="F40" i="18"/>
  <c r="L39" i="18"/>
  <c r="P39" i="18"/>
  <c r="I40" i="18"/>
  <c r="R34" i="18"/>
  <c r="E34" i="18"/>
  <c r="H33" i="18"/>
  <c r="G34" i="18"/>
  <c r="N34" i="18"/>
  <c r="L33" i="18"/>
  <c r="T33" i="18"/>
  <c r="P33" i="18"/>
  <c r="O34" i="18"/>
  <c r="F34" i="18"/>
  <c r="U34" i="18"/>
  <c r="I34" i="18"/>
  <c r="U22" i="15"/>
  <c r="U14" i="15" s="1"/>
  <c r="U21" i="15"/>
  <c r="U13" i="15" s="1"/>
  <c r="O21" i="20" l="1"/>
  <c r="O20" i="20"/>
  <c r="O22" i="20"/>
  <c r="N20" i="20"/>
  <c r="M15" i="20"/>
  <c r="M16" i="20" s="1"/>
  <c r="N22" i="20"/>
  <c r="L31" i="20"/>
  <c r="K30" i="20" s="1"/>
  <c r="K29" i="20"/>
  <c r="L14" i="20"/>
  <c r="M32" i="20"/>
  <c r="L12" i="20"/>
  <c r="N23" i="20"/>
  <c r="K28" i="20"/>
  <c r="L13" i="20"/>
  <c r="L36" i="20"/>
  <c r="O23" i="20"/>
  <c r="S40" i="18"/>
  <c r="S47" i="18" s="1"/>
  <c r="S54" i="18" s="1"/>
  <c r="D33" i="18"/>
  <c r="D34" i="18" s="1"/>
  <c r="B40" i="18"/>
  <c r="B47" i="18" s="1"/>
  <c r="B54" i="18" s="1"/>
  <c r="J34" i="18"/>
  <c r="J41" i="18" s="1"/>
  <c r="C40" i="18"/>
  <c r="C47" i="18" s="1"/>
  <c r="C54" i="18" s="1"/>
  <c r="M34" i="18"/>
  <c r="M41" i="18" s="1"/>
  <c r="Q40" i="18"/>
  <c r="Q47" i="18" s="1"/>
  <c r="Q54" i="18" s="1"/>
  <c r="K40" i="18"/>
  <c r="K47" i="18" s="1"/>
  <c r="K54" i="18" s="1"/>
  <c r="T52" i="18"/>
  <c r="L46" i="18"/>
  <c r="L53" i="18" s="1"/>
  <c r="O47" i="18"/>
  <c r="O54" i="18" s="1"/>
  <c r="N47" i="18"/>
  <c r="N54" i="18" s="1"/>
  <c r="R47" i="18"/>
  <c r="R54" i="18" s="1"/>
  <c r="H46" i="18"/>
  <c r="H53" i="18" s="1"/>
  <c r="G47" i="18"/>
  <c r="G54" i="18" s="1"/>
  <c r="D46" i="18"/>
  <c r="D53" i="18" s="1"/>
  <c r="I47" i="18"/>
  <c r="I54" i="18" s="1"/>
  <c r="P46" i="18"/>
  <c r="P53" i="18" s="1"/>
  <c r="J47" i="18"/>
  <c r="J54" i="18" s="1"/>
  <c r="F47" i="18"/>
  <c r="F54" i="18" s="1"/>
  <c r="U47" i="18"/>
  <c r="U54" i="18" s="1"/>
  <c r="E54" i="18"/>
  <c r="M47" i="18"/>
  <c r="M54" i="18" s="1"/>
  <c r="T46" i="18"/>
  <c r="T53" i="18" s="1"/>
  <c r="S41" i="18"/>
  <c r="B41" i="18"/>
  <c r="L40" i="18"/>
  <c r="K41" i="18"/>
  <c r="I41" i="18"/>
  <c r="C41" i="18"/>
  <c r="O41" i="18"/>
  <c r="N41" i="18"/>
  <c r="E41" i="18"/>
  <c r="P40" i="18"/>
  <c r="G41" i="18"/>
  <c r="Q41" i="18"/>
  <c r="F41" i="18"/>
  <c r="T40" i="18"/>
  <c r="H40" i="18"/>
  <c r="R41" i="18"/>
  <c r="U41" i="18"/>
  <c r="T34" i="18"/>
  <c r="H34" i="18"/>
  <c r="P34" i="18"/>
  <c r="L34" i="18"/>
  <c r="T20" i="15"/>
  <c r="U23" i="15"/>
  <c r="T22" i="15" s="1"/>
  <c r="T21" i="15"/>
  <c r="U15" i="15"/>
  <c r="L32" i="20" l="1"/>
  <c r="M20" i="20"/>
  <c r="M21" i="20"/>
  <c r="M22" i="20"/>
  <c r="L15" i="20"/>
  <c r="K31" i="20"/>
  <c r="J30" i="20" s="1"/>
  <c r="J29" i="20"/>
  <c r="K14" i="20"/>
  <c r="K12" i="20"/>
  <c r="M23" i="20"/>
  <c r="J28" i="20"/>
  <c r="K13" i="20"/>
  <c r="K36" i="20"/>
  <c r="D40" i="18"/>
  <c r="D47" i="18" s="1"/>
  <c r="D54" i="18" s="1"/>
  <c r="U48" i="18"/>
  <c r="U55" i="18" s="1"/>
  <c r="H47" i="18"/>
  <c r="H54" i="18" s="1"/>
  <c r="Q48" i="18"/>
  <c r="Q55" i="18" s="1"/>
  <c r="N48" i="18"/>
  <c r="N55" i="18" s="1"/>
  <c r="K48" i="18"/>
  <c r="K55" i="18" s="1"/>
  <c r="S48" i="18"/>
  <c r="S55" i="18" s="1"/>
  <c r="F48" i="18"/>
  <c r="F55" i="18" s="1"/>
  <c r="P47" i="18"/>
  <c r="P54" i="18" s="1"/>
  <c r="C48" i="18"/>
  <c r="C55" i="18" s="1"/>
  <c r="L47" i="18"/>
  <c r="L54" i="18" s="1"/>
  <c r="J48" i="18"/>
  <c r="J55" i="18" s="1"/>
  <c r="R48" i="18"/>
  <c r="R55" i="18" s="1"/>
  <c r="T47" i="18"/>
  <c r="T54" i="18" s="1"/>
  <c r="G48" i="18"/>
  <c r="G55" i="18" s="1"/>
  <c r="E48" i="18"/>
  <c r="E55" i="18" s="1"/>
  <c r="O48" i="18"/>
  <c r="O55" i="18" s="1"/>
  <c r="I48" i="18"/>
  <c r="I55" i="18" s="1"/>
  <c r="M48" i="18"/>
  <c r="M55" i="18" s="1"/>
  <c r="B48" i="18"/>
  <c r="B55" i="18" s="1"/>
  <c r="L41" i="18"/>
  <c r="D41" i="18"/>
  <c r="P41" i="18"/>
  <c r="P48" i="18" s="1"/>
  <c r="H41" i="18"/>
  <c r="T41" i="18"/>
  <c r="T12" i="15"/>
  <c r="S20" i="15"/>
  <c r="T13" i="15"/>
  <c r="T23" i="15"/>
  <c r="S22" i="15" s="1"/>
  <c r="S21" i="15"/>
  <c r="T14" i="15"/>
  <c r="T15" i="15" s="1"/>
  <c r="K32" i="20" l="1"/>
  <c r="J31" i="20"/>
  <c r="I30" i="20" s="1"/>
  <c r="I29" i="20"/>
  <c r="J14" i="20"/>
  <c r="K15" i="20"/>
  <c r="K16" i="20" s="1"/>
  <c r="I28" i="20"/>
  <c r="J36" i="20"/>
  <c r="J13" i="20"/>
  <c r="J12" i="20"/>
  <c r="L16" i="20"/>
  <c r="L23" i="20" s="1"/>
  <c r="H48" i="18"/>
  <c r="H55" i="18" s="1"/>
  <c r="D48" i="18"/>
  <c r="D55" i="18" s="1"/>
  <c r="T48" i="18"/>
  <c r="T55" i="18" s="1"/>
  <c r="P55" i="18"/>
  <c r="L48" i="18"/>
  <c r="L55" i="18" s="1"/>
  <c r="S12" i="15"/>
  <c r="T16" i="15"/>
  <c r="T24" i="15"/>
  <c r="S23" i="15"/>
  <c r="R22" i="15" s="1"/>
  <c r="R21" i="15"/>
  <c r="S14" i="15"/>
  <c r="S15" i="15" s="1"/>
  <c r="V15" i="15" s="1"/>
  <c r="X15" i="15" s="1"/>
  <c r="R20" i="15"/>
  <c r="S13" i="15"/>
  <c r="V13" i="15" s="1"/>
  <c r="V21" i="15" s="1"/>
  <c r="U20" i="15" s="1"/>
  <c r="J32" i="20" l="1"/>
  <c r="K20" i="20"/>
  <c r="K21" i="20"/>
  <c r="K22" i="20"/>
  <c r="H28" i="20"/>
  <c r="I36" i="20"/>
  <c r="I13" i="20"/>
  <c r="H29" i="20"/>
  <c r="I31" i="20"/>
  <c r="H30" i="20" s="1"/>
  <c r="I14" i="20"/>
  <c r="I12" i="20"/>
  <c r="K23" i="20"/>
  <c r="L22" i="20"/>
  <c r="L20" i="20"/>
  <c r="L21" i="20"/>
  <c r="J15" i="20"/>
  <c r="W51" i="18"/>
  <c r="Y51" i="18" s="1"/>
  <c r="Z51" i="18" s="1"/>
  <c r="U12" i="15"/>
  <c r="U16" i="15" s="1"/>
  <c r="U24" i="15"/>
  <c r="S24" i="15"/>
  <c r="R12" i="15"/>
  <c r="S16" i="15"/>
  <c r="Q20" i="15"/>
  <c r="R13" i="15"/>
  <c r="R23" i="15"/>
  <c r="Q22" i="15" s="1"/>
  <c r="Q21" i="15"/>
  <c r="R14" i="15"/>
  <c r="R15" i="15" s="1"/>
  <c r="I32" i="20" l="1"/>
  <c r="J16" i="20"/>
  <c r="H31" i="20"/>
  <c r="G30" i="20" s="1"/>
  <c r="G29" i="20"/>
  <c r="H14" i="20"/>
  <c r="H12" i="20"/>
  <c r="I15" i="20"/>
  <c r="G28" i="20"/>
  <c r="H36" i="20"/>
  <c r="H13" i="20"/>
  <c r="V12" i="15"/>
  <c r="V16" i="15" s="1"/>
  <c r="R24" i="15"/>
  <c r="R16" i="15"/>
  <c r="Q12" i="15"/>
  <c r="Q23" i="15"/>
  <c r="P22" i="15" s="1"/>
  <c r="P21" i="15"/>
  <c r="Q14" i="15"/>
  <c r="Q15" i="15" s="1"/>
  <c r="P20" i="15"/>
  <c r="Q13" i="15"/>
  <c r="J21" i="20" l="1"/>
  <c r="J20" i="20"/>
  <c r="J22" i="20"/>
  <c r="G12" i="20"/>
  <c r="J23" i="20"/>
  <c r="H32" i="20"/>
  <c r="I16" i="20"/>
  <c r="I23" i="20" s="1"/>
  <c r="F28" i="20"/>
  <c r="G36" i="20"/>
  <c r="G13" i="20"/>
  <c r="G31" i="20"/>
  <c r="F30" i="20" s="1"/>
  <c r="F29" i="20"/>
  <c r="G14" i="20"/>
  <c r="H15" i="20"/>
  <c r="V20" i="15"/>
  <c r="V24" i="15" s="1"/>
  <c r="Q16" i="15"/>
  <c r="Q24" i="15"/>
  <c r="P12" i="15"/>
  <c r="O20" i="15"/>
  <c r="P13" i="15"/>
  <c r="P23" i="15"/>
  <c r="O22" i="15" s="1"/>
  <c r="O21" i="15"/>
  <c r="P14" i="15"/>
  <c r="P15" i="15" s="1"/>
  <c r="E28" i="20" l="1"/>
  <c r="F13" i="20"/>
  <c r="F36" i="20"/>
  <c r="F12" i="20"/>
  <c r="G32" i="20"/>
  <c r="G15" i="20"/>
  <c r="F31" i="20"/>
  <c r="E30" i="20" s="1"/>
  <c r="E29" i="20"/>
  <c r="F14" i="20"/>
  <c r="I20" i="20"/>
  <c r="I22" i="20"/>
  <c r="I21" i="20"/>
  <c r="H16" i="20"/>
  <c r="H23" i="20" s="1"/>
  <c r="O12" i="15"/>
  <c r="P24" i="15"/>
  <c r="P16" i="15"/>
  <c r="N20" i="15"/>
  <c r="O13" i="15"/>
  <c r="O23" i="15"/>
  <c r="N22" i="15" s="1"/>
  <c r="N21" i="15"/>
  <c r="O14" i="15"/>
  <c r="O15" i="15" s="1"/>
  <c r="E12" i="20" l="1"/>
  <c r="F32" i="20"/>
  <c r="D29" i="20"/>
  <c r="E31" i="20"/>
  <c r="D30" i="20" s="1"/>
  <c r="E14" i="20"/>
  <c r="H20" i="20"/>
  <c r="H22" i="20"/>
  <c r="H21" i="20"/>
  <c r="F15" i="20"/>
  <c r="G16" i="20"/>
  <c r="G23" i="20" s="1"/>
  <c r="D28" i="20"/>
  <c r="E36" i="20"/>
  <c r="E13" i="20"/>
  <c r="N12" i="15"/>
  <c r="O16" i="15"/>
  <c r="O24" i="15"/>
  <c r="M20" i="15"/>
  <c r="N13" i="15"/>
  <c r="N23" i="15"/>
  <c r="M22" i="15" s="1"/>
  <c r="M21" i="15"/>
  <c r="N14" i="15"/>
  <c r="N15" i="15" s="1"/>
  <c r="E15" i="20" l="1"/>
  <c r="E16" i="20" s="1"/>
  <c r="E22" i="20" s="1"/>
  <c r="D12" i="20"/>
  <c r="G22" i="20"/>
  <c r="G21" i="20"/>
  <c r="G20" i="20"/>
  <c r="C28" i="20"/>
  <c r="D36" i="20"/>
  <c r="D13" i="20"/>
  <c r="E32" i="20"/>
  <c r="D31" i="20"/>
  <c r="C30" i="20" s="1"/>
  <c r="C29" i="20"/>
  <c r="D14" i="20"/>
  <c r="F16" i="20"/>
  <c r="M12" i="15"/>
  <c r="N16" i="15"/>
  <c r="N24" i="15"/>
  <c r="M23" i="15"/>
  <c r="L22" i="15" s="1"/>
  <c r="L21" i="15"/>
  <c r="M14" i="15"/>
  <c r="M15" i="15" s="1"/>
  <c r="L20" i="15"/>
  <c r="M13" i="15"/>
  <c r="D32" i="20" l="1"/>
  <c r="F22" i="20"/>
  <c r="F21" i="20"/>
  <c r="F20" i="20"/>
  <c r="C36" i="20"/>
  <c r="X36" i="20" s="1"/>
  <c r="C13" i="20"/>
  <c r="C31" i="20"/>
  <c r="C32" i="20" s="1"/>
  <c r="C14" i="20"/>
  <c r="E23" i="20"/>
  <c r="D15" i="20"/>
  <c r="F23" i="20"/>
  <c r="C12" i="20"/>
  <c r="E21" i="20"/>
  <c r="E20" i="20"/>
  <c r="M16" i="15"/>
  <c r="M24" i="15"/>
  <c r="L12" i="15"/>
  <c r="K20" i="15"/>
  <c r="L13" i="15"/>
  <c r="L23" i="15"/>
  <c r="K22" i="15" s="1"/>
  <c r="K21" i="15"/>
  <c r="L14" i="15"/>
  <c r="L15" i="15" s="1"/>
  <c r="C15" i="20" l="1"/>
  <c r="C16" i="20" s="1"/>
  <c r="C22" i="20" s="1"/>
  <c r="D16" i="20"/>
  <c r="O38" i="20"/>
  <c r="O39" i="20" s="1"/>
  <c r="Q38" i="20"/>
  <c r="Q39" i="20" s="1"/>
  <c r="F38" i="20"/>
  <c r="F39" i="20" s="1"/>
  <c r="V38" i="20"/>
  <c r="V39" i="20" s="1"/>
  <c r="L38" i="20"/>
  <c r="L39" i="20" s="1"/>
  <c r="C38" i="20"/>
  <c r="C39" i="20" s="1"/>
  <c r="S38" i="20"/>
  <c r="S39" i="20" s="1"/>
  <c r="E38" i="20"/>
  <c r="E39" i="20" s="1"/>
  <c r="U38" i="20"/>
  <c r="U39" i="20" s="1"/>
  <c r="J38" i="20"/>
  <c r="J39" i="20" s="1"/>
  <c r="P38" i="20"/>
  <c r="P39" i="20" s="1"/>
  <c r="G38" i="20"/>
  <c r="G39" i="20" s="1"/>
  <c r="I38" i="20"/>
  <c r="I39" i="20" s="1"/>
  <c r="N38" i="20"/>
  <c r="N39" i="20" s="1"/>
  <c r="D38" i="20"/>
  <c r="D39" i="20" s="1"/>
  <c r="T38" i="20"/>
  <c r="T39" i="20" s="1"/>
  <c r="K38" i="20"/>
  <c r="K39" i="20" s="1"/>
  <c r="M38" i="20"/>
  <c r="M39" i="20" s="1"/>
  <c r="R38" i="20"/>
  <c r="R39" i="20" s="1"/>
  <c r="H38" i="20"/>
  <c r="H39" i="20" s="1"/>
  <c r="L24" i="15"/>
  <c r="K12" i="15"/>
  <c r="J20" i="15"/>
  <c r="K13" i="15"/>
  <c r="L16" i="15"/>
  <c r="K23" i="15"/>
  <c r="J22" i="15" s="1"/>
  <c r="J21" i="15"/>
  <c r="K14" i="15"/>
  <c r="K15" i="15" s="1"/>
  <c r="X39" i="20" l="1"/>
  <c r="C21" i="20"/>
  <c r="D21" i="20"/>
  <c r="D20" i="20"/>
  <c r="D22" i="20"/>
  <c r="D23" i="20"/>
  <c r="C23" i="20"/>
  <c r="C20" i="20"/>
  <c r="K16" i="15"/>
  <c r="J12" i="15"/>
  <c r="K24" i="15"/>
  <c r="I20" i="15"/>
  <c r="J13" i="15"/>
  <c r="J23" i="15"/>
  <c r="I22" i="15" s="1"/>
  <c r="I21" i="15"/>
  <c r="J14" i="15"/>
  <c r="J15" i="15" s="1"/>
  <c r="J24" i="15" l="1"/>
  <c r="I12" i="15"/>
  <c r="J16" i="15"/>
  <c r="H21" i="15"/>
  <c r="I23" i="15"/>
  <c r="H22" i="15" s="1"/>
  <c r="I14" i="15"/>
  <c r="I15" i="15" s="1"/>
  <c r="H20" i="15"/>
  <c r="I13" i="15"/>
  <c r="I16" i="15" l="1"/>
  <c r="H12" i="15"/>
  <c r="I24" i="15"/>
  <c r="G21" i="15"/>
  <c r="H23" i="15"/>
  <c r="G22" i="15" s="1"/>
  <c r="H14" i="15"/>
  <c r="H15" i="15" s="1"/>
  <c r="G20" i="15"/>
  <c r="H13" i="15"/>
  <c r="H16" i="15" l="1"/>
  <c r="G12" i="15"/>
  <c r="H24" i="15"/>
  <c r="F21" i="15"/>
  <c r="G23" i="15"/>
  <c r="F22" i="15" s="1"/>
  <c r="G14" i="15"/>
  <c r="G15" i="15" s="1"/>
  <c r="F20" i="15"/>
  <c r="G13" i="15"/>
  <c r="G16" i="15" l="1"/>
  <c r="F12" i="15"/>
  <c r="G24" i="15"/>
  <c r="E21" i="15"/>
  <c r="F23" i="15"/>
  <c r="E22" i="15" s="1"/>
  <c r="F14" i="15"/>
  <c r="F15" i="15" s="1"/>
  <c r="E20" i="15"/>
  <c r="F13" i="15"/>
  <c r="F16" i="15" l="1"/>
  <c r="F24" i="15"/>
  <c r="E12" i="15"/>
  <c r="D21" i="15"/>
  <c r="E23" i="15"/>
  <c r="D22" i="15" s="1"/>
  <c r="E14" i="15"/>
  <c r="E15" i="15" s="1"/>
  <c r="D20" i="15"/>
  <c r="E13" i="15"/>
  <c r="E16" i="15" l="1"/>
  <c r="D12" i="15"/>
  <c r="E24" i="15"/>
  <c r="D23" i="15"/>
  <c r="C22" i="15" s="1"/>
  <c r="C21" i="15"/>
  <c r="D14" i="15"/>
  <c r="D15" i="15" s="1"/>
  <c r="C20" i="15"/>
  <c r="D13" i="15"/>
  <c r="D16" i="15" l="1"/>
  <c r="C12" i="15"/>
  <c r="D24" i="15"/>
  <c r="C13" i="15"/>
  <c r="C23" i="15"/>
  <c r="C14" i="15"/>
  <c r="C15" i="15" s="1"/>
  <c r="C16" i="15" l="1"/>
  <c r="C24" i="15"/>
  <c r="C33" i="3" l="1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B35" i="3"/>
  <c r="B36" i="3"/>
  <c r="B37" i="3"/>
  <c r="B34" i="3"/>
  <c r="F48" i="3" l="1"/>
  <c r="G48" i="3"/>
  <c r="H48" i="3"/>
  <c r="J48" i="3"/>
  <c r="N48" i="3"/>
  <c r="O48" i="3"/>
  <c r="P48" i="3"/>
  <c r="Q48" i="3"/>
  <c r="S48" i="3"/>
  <c r="U48" i="3"/>
  <c r="B33" i="3"/>
  <c r="S50" i="3"/>
  <c r="M50" i="3"/>
  <c r="J50" i="3"/>
  <c r="I50" i="3"/>
  <c r="C50" i="3"/>
  <c r="O49" i="3"/>
  <c r="M49" i="3"/>
  <c r="I49" i="3"/>
  <c r="E49" i="3"/>
  <c r="C49" i="3"/>
  <c r="T48" i="3"/>
  <c r="R48" i="3"/>
  <c r="M48" i="3"/>
  <c r="L48" i="3"/>
  <c r="K48" i="3"/>
  <c r="I48" i="3"/>
  <c r="E48" i="3"/>
  <c r="D48" i="3"/>
  <c r="C48" i="3"/>
  <c r="B48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U50" i="3"/>
  <c r="T50" i="3"/>
  <c r="R50" i="3"/>
  <c r="Q50" i="3"/>
  <c r="P50" i="3"/>
  <c r="O50" i="3"/>
  <c r="N50" i="3"/>
  <c r="L50" i="3"/>
  <c r="K50" i="3"/>
  <c r="H50" i="3"/>
  <c r="G50" i="3"/>
  <c r="F50" i="3"/>
  <c r="E50" i="3"/>
  <c r="D50" i="3"/>
  <c r="B50" i="3"/>
  <c r="U49" i="3"/>
  <c r="T49" i="3"/>
  <c r="S49" i="3"/>
  <c r="R49" i="3"/>
  <c r="Q49" i="3"/>
  <c r="P49" i="3"/>
  <c r="N49" i="3"/>
  <c r="L49" i="3"/>
  <c r="K49" i="3"/>
  <c r="J49" i="3"/>
  <c r="H49" i="3"/>
  <c r="G49" i="3"/>
  <c r="F49" i="3"/>
  <c r="D49" i="3"/>
  <c r="B49" i="3"/>
  <c r="U22" i="3"/>
  <c r="U30" i="3" s="1"/>
  <c r="T22" i="3"/>
  <c r="T30" i="3" s="1"/>
  <c r="S22" i="3"/>
  <c r="S30" i="3" s="1"/>
  <c r="R22" i="3"/>
  <c r="R30" i="3" s="1"/>
  <c r="Q22" i="3"/>
  <c r="Q30" i="3" s="1"/>
  <c r="P22" i="3"/>
  <c r="P30" i="3" s="1"/>
  <c r="O22" i="3"/>
  <c r="O30" i="3" s="1"/>
  <c r="N22" i="3"/>
  <c r="N30" i="3" s="1"/>
  <c r="M22" i="3"/>
  <c r="M30" i="3" s="1"/>
  <c r="L22" i="3"/>
  <c r="L30" i="3" s="1"/>
  <c r="K22" i="3"/>
  <c r="K30" i="3" s="1"/>
  <c r="J22" i="3"/>
  <c r="J30" i="3" s="1"/>
  <c r="I22" i="3"/>
  <c r="I30" i="3" s="1"/>
  <c r="H22" i="3"/>
  <c r="H30" i="3" s="1"/>
  <c r="G22" i="3"/>
  <c r="G30" i="3" s="1"/>
  <c r="F22" i="3"/>
  <c r="F30" i="3" s="1"/>
  <c r="E22" i="3"/>
  <c r="E30" i="3" s="1"/>
  <c r="D22" i="3"/>
  <c r="D30" i="3" s="1"/>
  <c r="C22" i="3"/>
  <c r="C30" i="3" s="1"/>
  <c r="B22" i="3"/>
  <c r="B30" i="3" s="1"/>
  <c r="U21" i="3"/>
  <c r="U29" i="3" s="1"/>
  <c r="T21" i="3"/>
  <c r="T29" i="3" s="1"/>
  <c r="S21" i="3"/>
  <c r="S29" i="3" s="1"/>
  <c r="R21" i="3"/>
  <c r="R29" i="3" s="1"/>
  <c r="Q21" i="3"/>
  <c r="Q29" i="3" s="1"/>
  <c r="P21" i="3"/>
  <c r="P29" i="3" s="1"/>
  <c r="O21" i="3"/>
  <c r="O29" i="3" s="1"/>
  <c r="N21" i="3"/>
  <c r="N29" i="3" s="1"/>
  <c r="M21" i="3"/>
  <c r="M29" i="3" s="1"/>
  <c r="L21" i="3"/>
  <c r="L29" i="3" s="1"/>
  <c r="K21" i="3"/>
  <c r="K29" i="3" s="1"/>
  <c r="J21" i="3"/>
  <c r="J29" i="3" s="1"/>
  <c r="I21" i="3"/>
  <c r="I29" i="3" s="1"/>
  <c r="H21" i="3"/>
  <c r="H29" i="3" s="1"/>
  <c r="G21" i="3"/>
  <c r="G29" i="3" s="1"/>
  <c r="F21" i="3"/>
  <c r="F29" i="3" s="1"/>
  <c r="E21" i="3"/>
  <c r="E29" i="3" s="1"/>
  <c r="D21" i="3"/>
  <c r="D29" i="3" s="1"/>
  <c r="C21" i="3"/>
  <c r="C29" i="3" s="1"/>
  <c r="B21" i="3"/>
  <c r="B29" i="3" s="1"/>
  <c r="U20" i="3"/>
  <c r="U28" i="3" s="1"/>
  <c r="T20" i="3"/>
  <c r="T28" i="3" s="1"/>
  <c r="S20" i="3"/>
  <c r="S28" i="3" s="1"/>
  <c r="R20" i="3"/>
  <c r="R28" i="3" s="1"/>
  <c r="Q20" i="3"/>
  <c r="Q28" i="3" s="1"/>
  <c r="P20" i="3"/>
  <c r="P28" i="3" s="1"/>
  <c r="O20" i="3"/>
  <c r="O28" i="3" s="1"/>
  <c r="N20" i="3"/>
  <c r="N28" i="3" s="1"/>
  <c r="M20" i="3"/>
  <c r="M28" i="3" s="1"/>
  <c r="L20" i="3"/>
  <c r="L28" i="3" s="1"/>
  <c r="K20" i="3"/>
  <c r="K28" i="3" s="1"/>
  <c r="J20" i="3"/>
  <c r="J28" i="3" s="1"/>
  <c r="I20" i="3"/>
  <c r="I28" i="3" s="1"/>
  <c r="H20" i="3"/>
  <c r="H28" i="3" s="1"/>
  <c r="G20" i="3"/>
  <c r="G28" i="3" s="1"/>
  <c r="F20" i="3"/>
  <c r="F28" i="3" s="1"/>
  <c r="E20" i="3"/>
  <c r="E28" i="3" s="1"/>
  <c r="D20" i="3"/>
  <c r="D28" i="3" s="1"/>
  <c r="C20" i="3"/>
  <c r="C28" i="3" s="1"/>
  <c r="B20" i="3"/>
  <c r="B28" i="3" s="1"/>
  <c r="U19" i="3"/>
  <c r="U27" i="3" s="1"/>
  <c r="T19" i="3"/>
  <c r="T27" i="3" s="1"/>
  <c r="S19" i="3"/>
  <c r="S27" i="3" s="1"/>
  <c r="R19" i="3"/>
  <c r="R27" i="3" s="1"/>
  <c r="Q19" i="3"/>
  <c r="Q27" i="3" s="1"/>
  <c r="P19" i="3"/>
  <c r="P27" i="3" s="1"/>
  <c r="O19" i="3"/>
  <c r="O27" i="3" s="1"/>
  <c r="N19" i="3"/>
  <c r="N27" i="3" s="1"/>
  <c r="M19" i="3"/>
  <c r="M27" i="3" s="1"/>
  <c r="L19" i="3"/>
  <c r="L27" i="3" s="1"/>
  <c r="K19" i="3"/>
  <c r="K27" i="3" s="1"/>
  <c r="J19" i="3"/>
  <c r="J27" i="3" s="1"/>
  <c r="I19" i="3"/>
  <c r="I27" i="3" s="1"/>
  <c r="H19" i="3"/>
  <c r="H27" i="3" s="1"/>
  <c r="G19" i="3"/>
  <c r="G27" i="3" s="1"/>
  <c r="F19" i="3"/>
  <c r="F27" i="3" s="1"/>
  <c r="E19" i="3"/>
  <c r="E27" i="3" s="1"/>
  <c r="D19" i="3"/>
  <c r="D27" i="3" s="1"/>
  <c r="C19" i="3"/>
  <c r="C27" i="3" s="1"/>
  <c r="B19" i="3"/>
  <c r="B27" i="3" s="1"/>
  <c r="U18" i="3"/>
  <c r="U26" i="3" s="1"/>
  <c r="T18" i="3"/>
  <c r="T26" i="3" s="1"/>
  <c r="S18" i="3"/>
  <c r="S26" i="3" s="1"/>
  <c r="R18" i="3"/>
  <c r="R26" i="3" s="1"/>
  <c r="Q18" i="3"/>
  <c r="Q26" i="3" s="1"/>
  <c r="P18" i="3"/>
  <c r="P26" i="3" s="1"/>
  <c r="O18" i="3"/>
  <c r="O26" i="3" s="1"/>
  <c r="N18" i="3"/>
  <c r="N26" i="3" s="1"/>
  <c r="M18" i="3"/>
  <c r="M26" i="3" s="1"/>
  <c r="L18" i="3"/>
  <c r="L26" i="3" s="1"/>
  <c r="K18" i="3"/>
  <c r="K26" i="3" s="1"/>
  <c r="J18" i="3"/>
  <c r="J26" i="3" s="1"/>
  <c r="I18" i="3"/>
  <c r="I26" i="3" s="1"/>
  <c r="H18" i="3"/>
  <c r="H26" i="3" s="1"/>
  <c r="G18" i="3"/>
  <c r="G26" i="3" s="1"/>
  <c r="F18" i="3"/>
  <c r="F26" i="3" s="1"/>
  <c r="E18" i="3"/>
  <c r="E26" i="3" s="1"/>
  <c r="D18" i="3"/>
  <c r="D26" i="3" s="1"/>
  <c r="C18" i="3"/>
  <c r="C26" i="3" s="1"/>
  <c r="B18" i="3"/>
  <c r="B26" i="3" s="1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U7" i="3"/>
  <c r="U23" i="3" s="1"/>
  <c r="T7" i="3"/>
  <c r="T23" i="3" s="1"/>
  <c r="S7" i="3"/>
  <c r="S23" i="3" s="1"/>
  <c r="R7" i="3"/>
  <c r="R23" i="3" s="1"/>
  <c r="Q7" i="3"/>
  <c r="Q23" i="3" s="1"/>
  <c r="P7" i="3"/>
  <c r="P23" i="3" s="1"/>
  <c r="O7" i="3"/>
  <c r="O23" i="3" s="1"/>
  <c r="N7" i="3"/>
  <c r="N23" i="3" s="1"/>
  <c r="M7" i="3"/>
  <c r="M23" i="3" s="1"/>
  <c r="L7" i="3"/>
  <c r="L23" i="3" s="1"/>
  <c r="K7" i="3"/>
  <c r="K23" i="3" s="1"/>
  <c r="J7" i="3"/>
  <c r="J23" i="3" s="1"/>
  <c r="I7" i="3"/>
  <c r="I23" i="3" s="1"/>
  <c r="H7" i="3"/>
  <c r="H23" i="3" s="1"/>
  <c r="G7" i="3"/>
  <c r="G23" i="3" s="1"/>
  <c r="F7" i="3"/>
  <c r="F23" i="3" s="1"/>
  <c r="E7" i="3"/>
  <c r="E23" i="3" s="1"/>
  <c r="D7" i="3"/>
  <c r="D23" i="3" s="1"/>
  <c r="C7" i="3"/>
  <c r="C23" i="3" s="1"/>
  <c r="B7" i="3"/>
  <c r="B23" i="3" s="1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C34" i="2"/>
  <c r="C49" i="2" s="1"/>
  <c r="D34" i="2"/>
  <c r="D49" i="2" s="1"/>
  <c r="E34" i="2"/>
  <c r="E49" i="2" s="1"/>
  <c r="F34" i="2"/>
  <c r="F49" i="2" s="1"/>
  <c r="G34" i="2"/>
  <c r="G49" i="2" s="1"/>
  <c r="H34" i="2"/>
  <c r="H49" i="2" s="1"/>
  <c r="I34" i="2"/>
  <c r="I49" i="2" s="1"/>
  <c r="J34" i="2"/>
  <c r="J49" i="2" s="1"/>
  <c r="K34" i="2"/>
  <c r="K49" i="2" s="1"/>
  <c r="L34" i="2"/>
  <c r="L49" i="2" s="1"/>
  <c r="M34" i="2"/>
  <c r="M49" i="2" s="1"/>
  <c r="N34" i="2"/>
  <c r="N49" i="2" s="1"/>
  <c r="O34" i="2"/>
  <c r="O49" i="2" s="1"/>
  <c r="P34" i="2"/>
  <c r="P49" i="2" s="1"/>
  <c r="Q34" i="2"/>
  <c r="Q49" i="2" s="1"/>
  <c r="R34" i="2"/>
  <c r="R49" i="2" s="1"/>
  <c r="S34" i="2"/>
  <c r="S49" i="2" s="1"/>
  <c r="T34" i="2"/>
  <c r="T49" i="2" s="1"/>
  <c r="U34" i="2"/>
  <c r="U49" i="2" s="1"/>
  <c r="C35" i="2"/>
  <c r="C50" i="2" s="1"/>
  <c r="D35" i="2"/>
  <c r="D50" i="2" s="1"/>
  <c r="E35" i="2"/>
  <c r="E50" i="2" s="1"/>
  <c r="F35" i="2"/>
  <c r="F50" i="2" s="1"/>
  <c r="G35" i="2"/>
  <c r="G50" i="2" s="1"/>
  <c r="H35" i="2"/>
  <c r="H50" i="2" s="1"/>
  <c r="I35" i="2"/>
  <c r="I50" i="2" s="1"/>
  <c r="J35" i="2"/>
  <c r="J50" i="2" s="1"/>
  <c r="K35" i="2"/>
  <c r="K50" i="2" s="1"/>
  <c r="L35" i="2"/>
  <c r="L50" i="2" s="1"/>
  <c r="M35" i="2"/>
  <c r="M50" i="2" s="1"/>
  <c r="N35" i="2"/>
  <c r="N50" i="2" s="1"/>
  <c r="O35" i="2"/>
  <c r="O50" i="2" s="1"/>
  <c r="P35" i="2"/>
  <c r="P50" i="2" s="1"/>
  <c r="Q35" i="2"/>
  <c r="Q50" i="2" s="1"/>
  <c r="R35" i="2"/>
  <c r="R50" i="2" s="1"/>
  <c r="S35" i="2"/>
  <c r="S50" i="2" s="1"/>
  <c r="T35" i="2"/>
  <c r="T50" i="2" s="1"/>
  <c r="U35" i="2"/>
  <c r="U50" i="2" s="1"/>
  <c r="C36" i="2"/>
  <c r="C51" i="2" s="1"/>
  <c r="D36" i="2"/>
  <c r="D51" i="2" s="1"/>
  <c r="E36" i="2"/>
  <c r="E51" i="2" s="1"/>
  <c r="F36" i="2"/>
  <c r="F51" i="2" s="1"/>
  <c r="G36" i="2"/>
  <c r="G51" i="2" s="1"/>
  <c r="H36" i="2"/>
  <c r="H51" i="2" s="1"/>
  <c r="I36" i="2"/>
  <c r="I51" i="2" s="1"/>
  <c r="J36" i="2"/>
  <c r="J51" i="2" s="1"/>
  <c r="K36" i="2"/>
  <c r="K51" i="2" s="1"/>
  <c r="L36" i="2"/>
  <c r="L51" i="2" s="1"/>
  <c r="M36" i="2"/>
  <c r="M51" i="2" s="1"/>
  <c r="N36" i="2"/>
  <c r="N51" i="2" s="1"/>
  <c r="O36" i="2"/>
  <c r="O51" i="2" s="1"/>
  <c r="P36" i="2"/>
  <c r="P51" i="2" s="1"/>
  <c r="Q36" i="2"/>
  <c r="Q51" i="2" s="1"/>
  <c r="R36" i="2"/>
  <c r="R51" i="2" s="1"/>
  <c r="S36" i="2"/>
  <c r="S51" i="2" s="1"/>
  <c r="T36" i="2"/>
  <c r="T51" i="2" s="1"/>
  <c r="U36" i="2"/>
  <c r="U51" i="2" s="1"/>
  <c r="C37" i="2"/>
  <c r="C52" i="2" s="1"/>
  <c r="D37" i="2"/>
  <c r="D52" i="2" s="1"/>
  <c r="E37" i="2"/>
  <c r="E52" i="2" s="1"/>
  <c r="F37" i="2"/>
  <c r="F52" i="2" s="1"/>
  <c r="G37" i="2"/>
  <c r="G52" i="2" s="1"/>
  <c r="H37" i="2"/>
  <c r="H52" i="2" s="1"/>
  <c r="I37" i="2"/>
  <c r="I52" i="2" s="1"/>
  <c r="J37" i="2"/>
  <c r="J52" i="2" s="1"/>
  <c r="K37" i="2"/>
  <c r="K52" i="2" s="1"/>
  <c r="L37" i="2"/>
  <c r="L52" i="2" s="1"/>
  <c r="M37" i="2"/>
  <c r="M52" i="2" s="1"/>
  <c r="N37" i="2"/>
  <c r="N52" i="2" s="1"/>
  <c r="O37" i="2"/>
  <c r="O52" i="2" s="1"/>
  <c r="P37" i="2"/>
  <c r="P52" i="2" s="1"/>
  <c r="Q37" i="2"/>
  <c r="Q52" i="2" s="1"/>
  <c r="R37" i="2"/>
  <c r="R52" i="2" s="1"/>
  <c r="S37" i="2"/>
  <c r="S52" i="2" s="1"/>
  <c r="T37" i="2"/>
  <c r="T52" i="2" s="1"/>
  <c r="U37" i="2"/>
  <c r="U52" i="2" s="1"/>
  <c r="B35" i="2"/>
  <c r="B50" i="2" s="1"/>
  <c r="B36" i="2"/>
  <c r="B51" i="2" s="1"/>
  <c r="B37" i="2"/>
  <c r="B52" i="2" s="1"/>
  <c r="B34" i="2"/>
  <c r="B49" i="2" s="1"/>
  <c r="U22" i="2"/>
  <c r="U30" i="2" s="1"/>
  <c r="T22" i="2"/>
  <c r="T30" i="2" s="1"/>
  <c r="S22" i="2"/>
  <c r="S30" i="2" s="1"/>
  <c r="R22" i="2"/>
  <c r="R30" i="2" s="1"/>
  <c r="Q22" i="2"/>
  <c r="Q30" i="2" s="1"/>
  <c r="P22" i="2"/>
  <c r="P30" i="2" s="1"/>
  <c r="O22" i="2"/>
  <c r="O30" i="2" s="1"/>
  <c r="N22" i="2"/>
  <c r="N30" i="2" s="1"/>
  <c r="M22" i="2"/>
  <c r="M30" i="2" s="1"/>
  <c r="L22" i="2"/>
  <c r="L30" i="2" s="1"/>
  <c r="K22" i="2"/>
  <c r="K30" i="2" s="1"/>
  <c r="J22" i="2"/>
  <c r="J30" i="2" s="1"/>
  <c r="I22" i="2"/>
  <c r="I30" i="2" s="1"/>
  <c r="H22" i="2"/>
  <c r="H30" i="2" s="1"/>
  <c r="G22" i="2"/>
  <c r="G30" i="2" s="1"/>
  <c r="F22" i="2"/>
  <c r="F30" i="2" s="1"/>
  <c r="E22" i="2"/>
  <c r="E30" i="2" s="1"/>
  <c r="D22" i="2"/>
  <c r="D30" i="2" s="1"/>
  <c r="C22" i="2"/>
  <c r="C30" i="2" s="1"/>
  <c r="B22" i="2"/>
  <c r="B30" i="2" s="1"/>
  <c r="U21" i="2"/>
  <c r="U29" i="2" s="1"/>
  <c r="T21" i="2"/>
  <c r="T29" i="2" s="1"/>
  <c r="S21" i="2"/>
  <c r="S29" i="2" s="1"/>
  <c r="R21" i="2"/>
  <c r="R29" i="2" s="1"/>
  <c r="Q21" i="2"/>
  <c r="Q29" i="2" s="1"/>
  <c r="P21" i="2"/>
  <c r="P29" i="2" s="1"/>
  <c r="O21" i="2"/>
  <c r="O29" i="2" s="1"/>
  <c r="N21" i="2"/>
  <c r="N29" i="2" s="1"/>
  <c r="M21" i="2"/>
  <c r="M29" i="2" s="1"/>
  <c r="L21" i="2"/>
  <c r="L29" i="2" s="1"/>
  <c r="K21" i="2"/>
  <c r="K29" i="2" s="1"/>
  <c r="J21" i="2"/>
  <c r="J29" i="2" s="1"/>
  <c r="I21" i="2"/>
  <c r="I29" i="2" s="1"/>
  <c r="H21" i="2"/>
  <c r="H29" i="2" s="1"/>
  <c r="G21" i="2"/>
  <c r="G29" i="2" s="1"/>
  <c r="F21" i="2"/>
  <c r="F29" i="2" s="1"/>
  <c r="E21" i="2"/>
  <c r="E29" i="2" s="1"/>
  <c r="D21" i="2"/>
  <c r="D29" i="2" s="1"/>
  <c r="C21" i="2"/>
  <c r="C29" i="2" s="1"/>
  <c r="B21" i="2"/>
  <c r="B29" i="2" s="1"/>
  <c r="U20" i="2"/>
  <c r="U28" i="2" s="1"/>
  <c r="T20" i="2"/>
  <c r="T28" i="2" s="1"/>
  <c r="S20" i="2"/>
  <c r="S28" i="2" s="1"/>
  <c r="R20" i="2"/>
  <c r="R28" i="2" s="1"/>
  <c r="Q20" i="2"/>
  <c r="Q28" i="2" s="1"/>
  <c r="P20" i="2"/>
  <c r="P28" i="2" s="1"/>
  <c r="O20" i="2"/>
  <c r="O28" i="2" s="1"/>
  <c r="N20" i="2"/>
  <c r="N28" i="2" s="1"/>
  <c r="M20" i="2"/>
  <c r="M28" i="2" s="1"/>
  <c r="L20" i="2"/>
  <c r="L28" i="2" s="1"/>
  <c r="K20" i="2"/>
  <c r="K28" i="2" s="1"/>
  <c r="J20" i="2"/>
  <c r="J28" i="2" s="1"/>
  <c r="I20" i="2"/>
  <c r="I28" i="2" s="1"/>
  <c r="H20" i="2"/>
  <c r="H28" i="2" s="1"/>
  <c r="G20" i="2"/>
  <c r="G28" i="2" s="1"/>
  <c r="F20" i="2"/>
  <c r="F28" i="2" s="1"/>
  <c r="E20" i="2"/>
  <c r="E28" i="2" s="1"/>
  <c r="D20" i="2"/>
  <c r="D28" i="2" s="1"/>
  <c r="C20" i="2"/>
  <c r="C28" i="2" s="1"/>
  <c r="B20" i="2"/>
  <c r="B28" i="2" s="1"/>
  <c r="U19" i="2"/>
  <c r="U27" i="2" s="1"/>
  <c r="T19" i="2"/>
  <c r="T27" i="2" s="1"/>
  <c r="S19" i="2"/>
  <c r="S27" i="2" s="1"/>
  <c r="R19" i="2"/>
  <c r="R27" i="2" s="1"/>
  <c r="Q19" i="2"/>
  <c r="Q27" i="2" s="1"/>
  <c r="P19" i="2"/>
  <c r="P27" i="2" s="1"/>
  <c r="O19" i="2"/>
  <c r="O27" i="2" s="1"/>
  <c r="N19" i="2"/>
  <c r="N27" i="2" s="1"/>
  <c r="M19" i="2"/>
  <c r="M27" i="2" s="1"/>
  <c r="L19" i="2"/>
  <c r="L27" i="2" s="1"/>
  <c r="K19" i="2"/>
  <c r="K27" i="2" s="1"/>
  <c r="J19" i="2"/>
  <c r="J27" i="2" s="1"/>
  <c r="I19" i="2"/>
  <c r="I27" i="2" s="1"/>
  <c r="H19" i="2"/>
  <c r="H27" i="2" s="1"/>
  <c r="G19" i="2"/>
  <c r="G27" i="2" s="1"/>
  <c r="F19" i="2"/>
  <c r="F27" i="2" s="1"/>
  <c r="E19" i="2"/>
  <c r="E27" i="2" s="1"/>
  <c r="D19" i="2"/>
  <c r="D27" i="2" s="1"/>
  <c r="C19" i="2"/>
  <c r="C27" i="2" s="1"/>
  <c r="B19" i="2"/>
  <c r="B27" i="2" s="1"/>
  <c r="U18" i="2"/>
  <c r="U26" i="2" s="1"/>
  <c r="T18" i="2"/>
  <c r="T26" i="2" s="1"/>
  <c r="S18" i="2"/>
  <c r="S26" i="2" s="1"/>
  <c r="R18" i="2"/>
  <c r="R26" i="2" s="1"/>
  <c r="Q18" i="2"/>
  <c r="Q26" i="2" s="1"/>
  <c r="P18" i="2"/>
  <c r="P26" i="2" s="1"/>
  <c r="O18" i="2"/>
  <c r="O26" i="2" s="1"/>
  <c r="N18" i="2"/>
  <c r="N26" i="2" s="1"/>
  <c r="M18" i="2"/>
  <c r="M26" i="2" s="1"/>
  <c r="L18" i="2"/>
  <c r="L26" i="2" s="1"/>
  <c r="K18" i="2"/>
  <c r="K26" i="2" s="1"/>
  <c r="J18" i="2"/>
  <c r="J26" i="2" s="1"/>
  <c r="I18" i="2"/>
  <c r="I26" i="2" s="1"/>
  <c r="H18" i="2"/>
  <c r="H26" i="2" s="1"/>
  <c r="G18" i="2"/>
  <c r="G26" i="2" s="1"/>
  <c r="F18" i="2"/>
  <c r="F26" i="2" s="1"/>
  <c r="E18" i="2"/>
  <c r="E26" i="2" s="1"/>
  <c r="D18" i="2"/>
  <c r="D26" i="2" s="1"/>
  <c r="C18" i="2"/>
  <c r="C26" i="2" s="1"/>
  <c r="B18" i="2"/>
  <c r="B26" i="2" s="1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7" i="2"/>
  <c r="T7" i="2"/>
  <c r="T23" i="2" s="1"/>
  <c r="S7" i="2"/>
  <c r="S23" i="2" s="1"/>
  <c r="R7" i="2"/>
  <c r="Q7" i="2"/>
  <c r="Q23" i="2" s="1"/>
  <c r="P7" i="2"/>
  <c r="P23" i="2" s="1"/>
  <c r="O7" i="2"/>
  <c r="O23" i="2" s="1"/>
  <c r="N7" i="2"/>
  <c r="N23" i="2" s="1"/>
  <c r="M7" i="2"/>
  <c r="L7" i="2"/>
  <c r="K7" i="2"/>
  <c r="J7" i="2"/>
  <c r="I7" i="2"/>
  <c r="I23" i="2" s="1"/>
  <c r="H7" i="2"/>
  <c r="H23" i="2" s="1"/>
  <c r="G7" i="2"/>
  <c r="F7" i="2"/>
  <c r="F23" i="2" s="1"/>
  <c r="E7" i="2"/>
  <c r="E23" i="2" s="1"/>
  <c r="D7" i="2"/>
  <c r="C7" i="2"/>
  <c r="C23" i="2" s="1"/>
  <c r="B7" i="2"/>
  <c r="B41" i="3" l="1"/>
  <c r="E55" i="3"/>
  <c r="E62" i="3" s="1"/>
  <c r="F58" i="3"/>
  <c r="F65" i="3" s="1"/>
  <c r="S57" i="3"/>
  <c r="S64" i="3" s="1"/>
  <c r="P59" i="3"/>
  <c r="P66" i="3" s="1"/>
  <c r="C57" i="3"/>
  <c r="C64" i="3" s="1"/>
  <c r="P57" i="3"/>
  <c r="P64" i="3" s="1"/>
  <c r="T57" i="3"/>
  <c r="T64" i="3" s="1"/>
  <c r="P58" i="3"/>
  <c r="P65" i="3" s="1"/>
  <c r="E58" i="3"/>
  <c r="E65" i="3" s="1"/>
  <c r="R59" i="3"/>
  <c r="R66" i="3" s="1"/>
  <c r="Q57" i="3"/>
  <c r="Q64" i="3" s="1"/>
  <c r="N57" i="3"/>
  <c r="N64" i="3" s="1"/>
  <c r="I57" i="3"/>
  <c r="I64" i="3" s="1"/>
  <c r="F59" i="3"/>
  <c r="F66" i="3" s="1"/>
  <c r="E59" i="3"/>
  <c r="E66" i="3" s="1"/>
  <c r="E56" i="3"/>
  <c r="E63" i="3" s="1"/>
  <c r="F56" i="3"/>
  <c r="F63" i="3" s="1"/>
  <c r="R55" i="3"/>
  <c r="R62" i="3" s="1"/>
  <c r="G57" i="3"/>
  <c r="G64" i="3" s="1"/>
  <c r="J57" i="3"/>
  <c r="J64" i="3" s="1"/>
  <c r="M57" i="3"/>
  <c r="M64" i="3" s="1"/>
  <c r="T59" i="3"/>
  <c r="T66" i="3" s="1"/>
  <c r="T58" i="3"/>
  <c r="T65" i="3" s="1"/>
  <c r="C55" i="3"/>
  <c r="C62" i="3" s="1"/>
  <c r="C58" i="3"/>
  <c r="C65" i="3" s="1"/>
  <c r="D56" i="3"/>
  <c r="D63" i="3" s="1"/>
  <c r="D57" i="3"/>
  <c r="D64" i="3" s="1"/>
  <c r="N58" i="3"/>
  <c r="N65" i="3" s="1"/>
  <c r="G58" i="3"/>
  <c r="G65" i="3" s="1"/>
  <c r="E57" i="3"/>
  <c r="E64" i="3" s="1"/>
  <c r="J58" i="3"/>
  <c r="J65" i="3" s="1"/>
  <c r="H57" i="3"/>
  <c r="H64" i="3" s="1"/>
  <c r="H58" i="3"/>
  <c r="H65" i="3" s="1"/>
  <c r="H59" i="3"/>
  <c r="H66" i="3" s="1"/>
  <c r="I58" i="3"/>
  <c r="I65" i="3" s="1"/>
  <c r="I59" i="3"/>
  <c r="I66" i="3" s="1"/>
  <c r="K57" i="3"/>
  <c r="K64" i="3" s="1"/>
  <c r="K58" i="3"/>
  <c r="K65" i="3" s="1"/>
  <c r="K59" i="3"/>
  <c r="K66" i="3" s="1"/>
  <c r="G59" i="3"/>
  <c r="G66" i="3" s="1"/>
  <c r="L57" i="3"/>
  <c r="L64" i="3" s="1"/>
  <c r="L58" i="3"/>
  <c r="L65" i="3" s="1"/>
  <c r="L59" i="3"/>
  <c r="L66" i="3" s="1"/>
  <c r="J59" i="3"/>
  <c r="J66" i="3" s="1"/>
  <c r="N59" i="3"/>
  <c r="N66" i="3" s="1"/>
  <c r="O58" i="3"/>
  <c r="O65" i="3" s="1"/>
  <c r="O59" i="3"/>
  <c r="O66" i="3" s="1"/>
  <c r="I56" i="3"/>
  <c r="I63" i="3" s="1"/>
  <c r="C56" i="3"/>
  <c r="C63" i="3" s="1"/>
  <c r="K56" i="3"/>
  <c r="K63" i="3" s="1"/>
  <c r="J56" i="3"/>
  <c r="J63" i="3" s="1"/>
  <c r="L56" i="3"/>
  <c r="L63" i="3" s="1"/>
  <c r="M56" i="3"/>
  <c r="M63" i="3" s="1"/>
  <c r="N56" i="3"/>
  <c r="N63" i="3" s="1"/>
  <c r="O56" i="3"/>
  <c r="O63" i="3" s="1"/>
  <c r="R56" i="3"/>
  <c r="R63" i="3" s="1"/>
  <c r="P56" i="3"/>
  <c r="P63" i="3" s="1"/>
  <c r="S56" i="3"/>
  <c r="S63" i="3" s="1"/>
  <c r="T56" i="3"/>
  <c r="T63" i="3" s="1"/>
  <c r="P55" i="3"/>
  <c r="P62" i="3" s="1"/>
  <c r="S55" i="3"/>
  <c r="S62" i="3" s="1"/>
  <c r="T55" i="3"/>
  <c r="T62" i="3" s="1"/>
  <c r="D55" i="3"/>
  <c r="D62" i="3" s="1"/>
  <c r="J55" i="3"/>
  <c r="J62" i="3" s="1"/>
  <c r="G55" i="3"/>
  <c r="G62" i="3" s="1"/>
  <c r="M55" i="3"/>
  <c r="M62" i="3" s="1"/>
  <c r="F55" i="3"/>
  <c r="F62" i="3" s="1"/>
  <c r="N55" i="3"/>
  <c r="N62" i="3" s="1"/>
  <c r="Q55" i="3"/>
  <c r="Q62" i="3" s="1"/>
  <c r="U55" i="3"/>
  <c r="U62" i="3" s="1"/>
  <c r="H55" i="3"/>
  <c r="H62" i="3" s="1"/>
  <c r="I55" i="3"/>
  <c r="I62" i="3" s="1"/>
  <c r="K55" i="3"/>
  <c r="K62" i="3" s="1"/>
  <c r="L55" i="3"/>
  <c r="L62" i="3" s="1"/>
  <c r="O55" i="3"/>
  <c r="O62" i="3" s="1"/>
  <c r="B56" i="3"/>
  <c r="B63" i="3" s="1"/>
  <c r="B57" i="3"/>
  <c r="B64" i="3" s="1"/>
  <c r="B58" i="3"/>
  <c r="B65" i="3" s="1"/>
  <c r="B59" i="3"/>
  <c r="B66" i="3" s="1"/>
  <c r="B55" i="3"/>
  <c r="B62" i="3" s="1"/>
  <c r="S58" i="3"/>
  <c r="S65" i="3" s="1"/>
  <c r="S59" i="3"/>
  <c r="S66" i="3" s="1"/>
  <c r="U56" i="3"/>
  <c r="U63" i="3" s="1"/>
  <c r="U57" i="3"/>
  <c r="U64" i="3" s="1"/>
  <c r="U58" i="3"/>
  <c r="U65" i="3" s="1"/>
  <c r="U59" i="3"/>
  <c r="U66" i="3" s="1"/>
  <c r="R57" i="3"/>
  <c r="R64" i="3" s="1"/>
  <c r="D58" i="3"/>
  <c r="D65" i="3" s="1"/>
  <c r="D59" i="3"/>
  <c r="D66" i="3" s="1"/>
  <c r="F57" i="3"/>
  <c r="F64" i="3" s="1"/>
  <c r="M58" i="3"/>
  <c r="M65" i="3" s="1"/>
  <c r="H56" i="3"/>
  <c r="H63" i="3" s="1"/>
  <c r="Q58" i="3"/>
  <c r="Q65" i="3" s="1"/>
  <c r="R58" i="3"/>
  <c r="R65" i="3" s="1"/>
  <c r="G56" i="3"/>
  <c r="G63" i="3" s="1"/>
  <c r="C59" i="3"/>
  <c r="C66" i="3" s="1"/>
  <c r="M59" i="3"/>
  <c r="M66" i="3" s="1"/>
  <c r="Q56" i="3"/>
  <c r="Q63" i="3" s="1"/>
  <c r="O57" i="3"/>
  <c r="O64" i="3" s="1"/>
  <c r="Q59" i="3"/>
  <c r="Q66" i="3" s="1"/>
  <c r="D57" i="2"/>
  <c r="D64" i="2" s="1"/>
  <c r="D58" i="2"/>
  <c r="D65" i="2" s="1"/>
  <c r="B59" i="2"/>
  <c r="B66" i="2" s="1"/>
  <c r="Q58" i="2"/>
  <c r="Q65" i="2" s="1"/>
  <c r="B55" i="2"/>
  <c r="B62" i="2" s="1"/>
  <c r="D23" i="2"/>
  <c r="M23" i="2"/>
  <c r="E59" i="2"/>
  <c r="E66" i="2" s="1"/>
  <c r="E58" i="2"/>
  <c r="E65" i="2" s="1"/>
  <c r="U55" i="2"/>
  <c r="U62" i="2" s="1"/>
  <c r="B58" i="2"/>
  <c r="B65" i="2" s="1"/>
  <c r="D59" i="2"/>
  <c r="D66" i="2" s="1"/>
  <c r="C58" i="2"/>
  <c r="C65" i="2" s="1"/>
  <c r="U56" i="2"/>
  <c r="U63" i="2" s="1"/>
  <c r="T55" i="2"/>
  <c r="T62" i="2" s="1"/>
  <c r="B57" i="2"/>
  <c r="B64" i="2" s="1"/>
  <c r="C59" i="2"/>
  <c r="C66" i="2" s="1"/>
  <c r="U57" i="2"/>
  <c r="U64" i="2" s="1"/>
  <c r="T56" i="2"/>
  <c r="T63" i="2" s="1"/>
  <c r="S55" i="2"/>
  <c r="S62" i="2" s="1"/>
  <c r="C56" i="2"/>
  <c r="C63" i="2" s="1"/>
  <c r="S56" i="2"/>
  <c r="S63" i="2" s="1"/>
  <c r="U59" i="2"/>
  <c r="U66" i="2" s="1"/>
  <c r="T58" i="2"/>
  <c r="T65" i="2" s="1"/>
  <c r="S57" i="2"/>
  <c r="S64" i="2" s="1"/>
  <c r="R56" i="2"/>
  <c r="R63" i="2" s="1"/>
  <c r="Q55" i="2"/>
  <c r="Q62" i="2" s="1"/>
  <c r="C57" i="2"/>
  <c r="C64" i="2" s="1"/>
  <c r="B56" i="2"/>
  <c r="B63" i="2" s="1"/>
  <c r="U58" i="2"/>
  <c r="U65" i="2" s="1"/>
  <c r="T57" i="2"/>
  <c r="T64" i="2" s="1"/>
  <c r="R55" i="2"/>
  <c r="R62" i="2" s="1"/>
  <c r="T59" i="2"/>
  <c r="T66" i="2" s="1"/>
  <c r="S58" i="2"/>
  <c r="S65" i="2" s="1"/>
  <c r="R57" i="2"/>
  <c r="R64" i="2" s="1"/>
  <c r="Q56" i="2"/>
  <c r="Q63" i="2" s="1"/>
  <c r="P55" i="2"/>
  <c r="P62" i="2" s="1"/>
  <c r="S59" i="2"/>
  <c r="S66" i="2" s="1"/>
  <c r="R58" i="2"/>
  <c r="R65" i="2" s="1"/>
  <c r="Q57" i="2"/>
  <c r="Q64" i="2" s="1"/>
  <c r="P56" i="2"/>
  <c r="P63" i="2" s="1"/>
  <c r="O55" i="2"/>
  <c r="O62" i="2" s="1"/>
  <c r="N55" i="2"/>
  <c r="N62" i="2" s="1"/>
  <c r="Q59" i="2"/>
  <c r="Q66" i="2" s="1"/>
  <c r="P58" i="2"/>
  <c r="P65" i="2" s="1"/>
  <c r="O57" i="2"/>
  <c r="O64" i="2" s="1"/>
  <c r="N56" i="2"/>
  <c r="N63" i="2" s="1"/>
  <c r="M55" i="2"/>
  <c r="M62" i="2" s="1"/>
  <c r="P57" i="2"/>
  <c r="P64" i="2" s="1"/>
  <c r="P59" i="2"/>
  <c r="P66" i="2" s="1"/>
  <c r="O58" i="2"/>
  <c r="O65" i="2" s="1"/>
  <c r="N57" i="2"/>
  <c r="N64" i="2" s="1"/>
  <c r="M56" i="2"/>
  <c r="M63" i="2" s="1"/>
  <c r="L55" i="2"/>
  <c r="L62" i="2" s="1"/>
  <c r="R59" i="2"/>
  <c r="R66" i="2" s="1"/>
  <c r="O59" i="2"/>
  <c r="O66" i="2" s="1"/>
  <c r="N58" i="2"/>
  <c r="N65" i="2" s="1"/>
  <c r="M57" i="2"/>
  <c r="M64" i="2" s="1"/>
  <c r="L56" i="2"/>
  <c r="L63" i="2" s="1"/>
  <c r="K55" i="2"/>
  <c r="K62" i="2" s="1"/>
  <c r="O56" i="2"/>
  <c r="O63" i="2" s="1"/>
  <c r="N59" i="2"/>
  <c r="N66" i="2" s="1"/>
  <c r="M58" i="2"/>
  <c r="M65" i="2" s="1"/>
  <c r="L57" i="2"/>
  <c r="L64" i="2" s="1"/>
  <c r="K56" i="2"/>
  <c r="K63" i="2" s="1"/>
  <c r="J55" i="2"/>
  <c r="J62" i="2" s="1"/>
  <c r="M59" i="2"/>
  <c r="M66" i="2" s="1"/>
  <c r="I55" i="2"/>
  <c r="I62" i="2" s="1"/>
  <c r="L59" i="2"/>
  <c r="L66" i="2" s="1"/>
  <c r="K58" i="2"/>
  <c r="K65" i="2" s="1"/>
  <c r="J57" i="2"/>
  <c r="J64" i="2" s="1"/>
  <c r="I56" i="2"/>
  <c r="I63" i="2" s="1"/>
  <c r="H55" i="2"/>
  <c r="H62" i="2" s="1"/>
  <c r="K57" i="2"/>
  <c r="K64" i="2" s="1"/>
  <c r="K59" i="2"/>
  <c r="K66" i="2" s="1"/>
  <c r="J58" i="2"/>
  <c r="J65" i="2" s="1"/>
  <c r="I57" i="2"/>
  <c r="I64" i="2" s="1"/>
  <c r="H56" i="2"/>
  <c r="H63" i="2" s="1"/>
  <c r="G55" i="2"/>
  <c r="G62" i="2" s="1"/>
  <c r="L58" i="2"/>
  <c r="L65" i="2" s="1"/>
  <c r="J56" i="2"/>
  <c r="J63" i="2" s="1"/>
  <c r="J59" i="2"/>
  <c r="J66" i="2" s="1"/>
  <c r="I58" i="2"/>
  <c r="I65" i="2" s="1"/>
  <c r="H57" i="2"/>
  <c r="H64" i="2" s="1"/>
  <c r="G56" i="2"/>
  <c r="G63" i="2" s="1"/>
  <c r="F55" i="2"/>
  <c r="F62" i="2" s="1"/>
  <c r="F59" i="2"/>
  <c r="F66" i="2" s="1"/>
  <c r="I59" i="2"/>
  <c r="I66" i="2" s="1"/>
  <c r="H58" i="2"/>
  <c r="H65" i="2" s="1"/>
  <c r="G57" i="2"/>
  <c r="G64" i="2" s="1"/>
  <c r="F56" i="2"/>
  <c r="F63" i="2" s="1"/>
  <c r="E55" i="2"/>
  <c r="E62" i="2" s="1"/>
  <c r="H59" i="2"/>
  <c r="H66" i="2" s="1"/>
  <c r="G58" i="2"/>
  <c r="G65" i="2" s="1"/>
  <c r="F57" i="2"/>
  <c r="F64" i="2" s="1"/>
  <c r="E56" i="2"/>
  <c r="E63" i="2" s="1"/>
  <c r="D55" i="2"/>
  <c r="D62" i="2" s="1"/>
  <c r="G59" i="2"/>
  <c r="G66" i="2" s="1"/>
  <c r="F58" i="2"/>
  <c r="F65" i="2" s="1"/>
  <c r="E57" i="2"/>
  <c r="E64" i="2" s="1"/>
  <c r="D56" i="2"/>
  <c r="D63" i="2" s="1"/>
  <c r="C55" i="2"/>
  <c r="C62" i="2" s="1"/>
  <c r="G23" i="2"/>
  <c r="K23" i="2"/>
  <c r="L23" i="2"/>
  <c r="R23" i="2"/>
  <c r="U23" i="2"/>
  <c r="J23" i="2"/>
  <c r="B23" i="2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62" i="3" l="1"/>
  <c r="W62" i="3" s="1"/>
  <c r="X62" i="3" s="1"/>
  <c r="Z62" i="3" s="1"/>
  <c r="AA62" i="3" s="1"/>
  <c r="V62" i="2"/>
  <c r="W62" i="2" s="1"/>
  <c r="X62" i="2" s="1"/>
  <c r="Z62" i="2" s="1"/>
  <c r="AA62" i="2" s="1"/>
  <c r="C27" i="1"/>
  <c r="C42" i="1" s="1"/>
  <c r="D27" i="1"/>
  <c r="D42" i="1" s="1"/>
  <c r="E27" i="1"/>
  <c r="E42" i="1" s="1"/>
  <c r="F27" i="1"/>
  <c r="F42" i="1" s="1"/>
  <c r="G27" i="1"/>
  <c r="G42" i="1" s="1"/>
  <c r="H27" i="1"/>
  <c r="H42" i="1" s="1"/>
  <c r="I27" i="1"/>
  <c r="I42" i="1" s="1"/>
  <c r="J27" i="1"/>
  <c r="J42" i="1" s="1"/>
  <c r="K27" i="1"/>
  <c r="K42" i="1" s="1"/>
  <c r="L27" i="1"/>
  <c r="L42" i="1" s="1"/>
  <c r="M27" i="1"/>
  <c r="M42" i="1" s="1"/>
  <c r="N27" i="1"/>
  <c r="N42" i="1" s="1"/>
  <c r="O27" i="1"/>
  <c r="O42" i="1" s="1"/>
  <c r="P27" i="1"/>
  <c r="P42" i="1" s="1"/>
  <c r="Q27" i="1"/>
  <c r="Q42" i="1" s="1"/>
  <c r="R27" i="1"/>
  <c r="R42" i="1" s="1"/>
  <c r="S27" i="1"/>
  <c r="S42" i="1" s="1"/>
  <c r="T27" i="1"/>
  <c r="T42" i="1" s="1"/>
  <c r="U27" i="1"/>
  <c r="U42" i="1" s="1"/>
  <c r="C28" i="1"/>
  <c r="C43" i="1" s="1"/>
  <c r="D28" i="1"/>
  <c r="D43" i="1" s="1"/>
  <c r="E28" i="1"/>
  <c r="E43" i="1" s="1"/>
  <c r="F28" i="1"/>
  <c r="F43" i="1" s="1"/>
  <c r="G28" i="1"/>
  <c r="G43" i="1" s="1"/>
  <c r="H28" i="1"/>
  <c r="H43" i="1" s="1"/>
  <c r="I28" i="1"/>
  <c r="I43" i="1" s="1"/>
  <c r="J28" i="1"/>
  <c r="J43" i="1" s="1"/>
  <c r="K28" i="1"/>
  <c r="K43" i="1" s="1"/>
  <c r="L28" i="1"/>
  <c r="L43" i="1" s="1"/>
  <c r="M28" i="1"/>
  <c r="M43" i="1" s="1"/>
  <c r="N28" i="1"/>
  <c r="N43" i="1" s="1"/>
  <c r="O28" i="1"/>
  <c r="O43" i="1" s="1"/>
  <c r="P28" i="1"/>
  <c r="P43" i="1" s="1"/>
  <c r="Q28" i="1"/>
  <c r="Q43" i="1" s="1"/>
  <c r="R28" i="1"/>
  <c r="R43" i="1" s="1"/>
  <c r="S28" i="1"/>
  <c r="S43" i="1" s="1"/>
  <c r="T28" i="1"/>
  <c r="T43" i="1" s="1"/>
  <c r="U28" i="1"/>
  <c r="U43" i="1" s="1"/>
  <c r="C29" i="1"/>
  <c r="C44" i="1" s="1"/>
  <c r="D29" i="1"/>
  <c r="D44" i="1" s="1"/>
  <c r="E29" i="1"/>
  <c r="E44" i="1" s="1"/>
  <c r="F29" i="1"/>
  <c r="F44" i="1" s="1"/>
  <c r="G29" i="1"/>
  <c r="G44" i="1" s="1"/>
  <c r="H29" i="1"/>
  <c r="H44" i="1" s="1"/>
  <c r="I29" i="1"/>
  <c r="I44" i="1" s="1"/>
  <c r="J29" i="1"/>
  <c r="J44" i="1" s="1"/>
  <c r="K29" i="1"/>
  <c r="K44" i="1" s="1"/>
  <c r="L29" i="1"/>
  <c r="L44" i="1" s="1"/>
  <c r="M29" i="1"/>
  <c r="M44" i="1" s="1"/>
  <c r="N29" i="1"/>
  <c r="N44" i="1" s="1"/>
  <c r="O29" i="1"/>
  <c r="O44" i="1" s="1"/>
  <c r="P29" i="1"/>
  <c r="P44" i="1" s="1"/>
  <c r="Q29" i="1"/>
  <c r="Q44" i="1" s="1"/>
  <c r="R29" i="1"/>
  <c r="R44" i="1" s="1"/>
  <c r="S29" i="1"/>
  <c r="S44" i="1" s="1"/>
  <c r="T29" i="1"/>
  <c r="T44" i="1" s="1"/>
  <c r="U29" i="1"/>
  <c r="U44" i="1" s="1"/>
  <c r="C30" i="1"/>
  <c r="C45" i="1" s="1"/>
  <c r="D30" i="1"/>
  <c r="D45" i="1" s="1"/>
  <c r="E30" i="1"/>
  <c r="E45" i="1" s="1"/>
  <c r="F30" i="1"/>
  <c r="F45" i="1" s="1"/>
  <c r="G30" i="1"/>
  <c r="G45" i="1" s="1"/>
  <c r="H30" i="1"/>
  <c r="H45" i="1" s="1"/>
  <c r="I30" i="1"/>
  <c r="I45" i="1" s="1"/>
  <c r="J30" i="1"/>
  <c r="J45" i="1" s="1"/>
  <c r="K30" i="1"/>
  <c r="K45" i="1" s="1"/>
  <c r="L30" i="1"/>
  <c r="L45" i="1" s="1"/>
  <c r="M30" i="1"/>
  <c r="M45" i="1" s="1"/>
  <c r="N30" i="1"/>
  <c r="N45" i="1" s="1"/>
  <c r="O30" i="1"/>
  <c r="O45" i="1" s="1"/>
  <c r="P30" i="1"/>
  <c r="P45" i="1" s="1"/>
  <c r="Q30" i="1"/>
  <c r="Q45" i="1" s="1"/>
  <c r="R30" i="1"/>
  <c r="R45" i="1" s="1"/>
  <c r="S30" i="1"/>
  <c r="S45" i="1" s="1"/>
  <c r="T30" i="1"/>
  <c r="T45" i="1" s="1"/>
  <c r="U30" i="1"/>
  <c r="U45" i="1" s="1"/>
  <c r="B43" i="1"/>
  <c r="B44" i="1"/>
  <c r="B45" i="1"/>
  <c r="B42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7" i="1"/>
  <c r="D7" i="1"/>
  <c r="E7" i="1"/>
  <c r="F7" i="1"/>
  <c r="G7" i="1"/>
  <c r="H7" i="1"/>
  <c r="I7" i="1"/>
  <c r="I23" i="1" s="1"/>
  <c r="J7" i="1"/>
  <c r="K7" i="1"/>
  <c r="L7" i="1"/>
  <c r="M7" i="1"/>
  <c r="N7" i="1"/>
  <c r="O7" i="1"/>
  <c r="P7" i="1"/>
  <c r="Q7" i="1"/>
  <c r="R7" i="1"/>
  <c r="S7" i="1"/>
  <c r="S23" i="1" s="1"/>
  <c r="T7" i="1"/>
  <c r="T23" i="1" s="1"/>
  <c r="U7" i="1"/>
  <c r="U23" i="1" s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18" i="1"/>
  <c r="C48" i="1" s="1"/>
  <c r="C55" i="1" s="1"/>
  <c r="D18" i="1"/>
  <c r="D48" i="1" s="1"/>
  <c r="D55" i="1" s="1"/>
  <c r="E18" i="1"/>
  <c r="E48" i="1" s="1"/>
  <c r="E55" i="1" s="1"/>
  <c r="F18" i="1"/>
  <c r="F48" i="1" s="1"/>
  <c r="F55" i="1" s="1"/>
  <c r="G18" i="1"/>
  <c r="G48" i="1" s="1"/>
  <c r="G55" i="1" s="1"/>
  <c r="H18" i="1"/>
  <c r="H48" i="1" s="1"/>
  <c r="H55" i="1" s="1"/>
  <c r="I18" i="1"/>
  <c r="I48" i="1" s="1"/>
  <c r="I55" i="1" s="1"/>
  <c r="J18" i="1"/>
  <c r="J48" i="1" s="1"/>
  <c r="J55" i="1" s="1"/>
  <c r="K18" i="1"/>
  <c r="K48" i="1" s="1"/>
  <c r="K55" i="1" s="1"/>
  <c r="L18" i="1"/>
  <c r="L48" i="1" s="1"/>
  <c r="L55" i="1" s="1"/>
  <c r="M18" i="1"/>
  <c r="M48" i="1" s="1"/>
  <c r="M55" i="1" s="1"/>
  <c r="N18" i="1"/>
  <c r="N48" i="1" s="1"/>
  <c r="N55" i="1" s="1"/>
  <c r="O18" i="1"/>
  <c r="O48" i="1" s="1"/>
  <c r="O55" i="1" s="1"/>
  <c r="P18" i="1"/>
  <c r="P48" i="1" s="1"/>
  <c r="P55" i="1" s="1"/>
  <c r="Q18" i="1"/>
  <c r="Q48" i="1" s="1"/>
  <c r="Q55" i="1" s="1"/>
  <c r="R18" i="1"/>
  <c r="R48" i="1" s="1"/>
  <c r="R55" i="1" s="1"/>
  <c r="S18" i="1"/>
  <c r="S48" i="1" s="1"/>
  <c r="S55" i="1" s="1"/>
  <c r="T18" i="1"/>
  <c r="T48" i="1" s="1"/>
  <c r="T55" i="1" s="1"/>
  <c r="U18" i="1"/>
  <c r="U48" i="1" s="1"/>
  <c r="U55" i="1" s="1"/>
  <c r="B48" i="1"/>
  <c r="B55" i="1" s="1"/>
  <c r="K52" i="1" l="1"/>
  <c r="K59" i="1" s="1"/>
  <c r="I50" i="1"/>
  <c r="I57" i="1" s="1"/>
  <c r="L23" i="1"/>
  <c r="B49" i="1"/>
  <c r="B56" i="1" s="1"/>
  <c r="E52" i="1"/>
  <c r="E59" i="1" s="1"/>
  <c r="D51" i="1"/>
  <c r="D58" i="1" s="1"/>
  <c r="C50" i="1"/>
  <c r="C57" i="1" s="1"/>
  <c r="B52" i="1"/>
  <c r="B59" i="1" s="1"/>
  <c r="D52" i="1"/>
  <c r="D59" i="1" s="1"/>
  <c r="C51" i="1"/>
  <c r="C58" i="1" s="1"/>
  <c r="B51" i="1"/>
  <c r="B58" i="1" s="1"/>
  <c r="C52" i="1"/>
  <c r="C59" i="1" s="1"/>
  <c r="T49" i="1"/>
  <c r="T56" i="1" s="1"/>
  <c r="B50" i="1"/>
  <c r="B57" i="1" s="1"/>
  <c r="R23" i="1"/>
  <c r="Q23" i="1"/>
  <c r="P23" i="1"/>
  <c r="N23" i="1"/>
  <c r="M23" i="1"/>
  <c r="U51" i="1"/>
  <c r="U58" i="1" s="1"/>
  <c r="T50" i="1"/>
  <c r="T57" i="1" s="1"/>
  <c r="S49" i="1"/>
  <c r="S56" i="1" s="1"/>
  <c r="U52" i="1"/>
  <c r="U59" i="1" s="1"/>
  <c r="T51" i="1"/>
  <c r="T58" i="1" s="1"/>
  <c r="S50" i="1"/>
  <c r="S57" i="1" s="1"/>
  <c r="R49" i="1"/>
  <c r="R56" i="1" s="1"/>
  <c r="T52" i="1"/>
  <c r="T59" i="1" s="1"/>
  <c r="S51" i="1"/>
  <c r="S58" i="1" s="1"/>
  <c r="R50" i="1"/>
  <c r="R57" i="1" s="1"/>
  <c r="Q49" i="1"/>
  <c r="Q56" i="1" s="1"/>
  <c r="U49" i="1"/>
  <c r="U56" i="1" s="1"/>
  <c r="S52" i="1"/>
  <c r="S59" i="1" s="1"/>
  <c r="R51" i="1"/>
  <c r="R58" i="1" s="1"/>
  <c r="Q50" i="1"/>
  <c r="Q57" i="1" s="1"/>
  <c r="P49" i="1"/>
  <c r="P56" i="1" s="1"/>
  <c r="R52" i="1"/>
  <c r="R59" i="1" s="1"/>
  <c r="Q51" i="1"/>
  <c r="Q58" i="1" s="1"/>
  <c r="P50" i="1"/>
  <c r="P57" i="1" s="1"/>
  <c r="O49" i="1"/>
  <c r="O56" i="1" s="1"/>
  <c r="P51" i="1"/>
  <c r="P58" i="1" s="1"/>
  <c r="O50" i="1"/>
  <c r="O57" i="1" s="1"/>
  <c r="N49" i="1"/>
  <c r="N56" i="1" s="1"/>
  <c r="P52" i="1"/>
  <c r="P59" i="1" s="1"/>
  <c r="O51" i="1"/>
  <c r="O58" i="1" s="1"/>
  <c r="N50" i="1"/>
  <c r="N57" i="1" s="1"/>
  <c r="M49" i="1"/>
  <c r="M56" i="1" s="1"/>
  <c r="O52" i="1"/>
  <c r="O59" i="1" s="1"/>
  <c r="N51" i="1"/>
  <c r="N58" i="1" s="1"/>
  <c r="M50" i="1"/>
  <c r="M57" i="1" s="1"/>
  <c r="L49" i="1"/>
  <c r="L56" i="1" s="1"/>
  <c r="M51" i="1"/>
  <c r="M58" i="1" s="1"/>
  <c r="L50" i="1"/>
  <c r="L57" i="1" s="1"/>
  <c r="K49" i="1"/>
  <c r="K56" i="1" s="1"/>
  <c r="Q52" i="1"/>
  <c r="Q59" i="1" s="1"/>
  <c r="N52" i="1"/>
  <c r="N59" i="1" s="1"/>
  <c r="M52" i="1"/>
  <c r="M59" i="1" s="1"/>
  <c r="L51" i="1"/>
  <c r="L58" i="1" s="1"/>
  <c r="K50" i="1"/>
  <c r="K57" i="1" s="1"/>
  <c r="J49" i="1"/>
  <c r="J56" i="1" s="1"/>
  <c r="L52" i="1"/>
  <c r="L59" i="1" s="1"/>
  <c r="K51" i="1"/>
  <c r="K58" i="1" s="1"/>
  <c r="J50" i="1"/>
  <c r="J57" i="1" s="1"/>
  <c r="I49" i="1"/>
  <c r="I56" i="1" s="1"/>
  <c r="H49" i="1"/>
  <c r="H56" i="1" s="1"/>
  <c r="J52" i="1"/>
  <c r="J59" i="1" s="1"/>
  <c r="I51" i="1"/>
  <c r="I58" i="1" s="1"/>
  <c r="H50" i="1"/>
  <c r="H57" i="1" s="1"/>
  <c r="G49" i="1"/>
  <c r="G56" i="1" s="1"/>
  <c r="I52" i="1"/>
  <c r="I59" i="1" s="1"/>
  <c r="H51" i="1"/>
  <c r="H58" i="1" s="1"/>
  <c r="G50" i="1"/>
  <c r="G57" i="1" s="1"/>
  <c r="F49" i="1"/>
  <c r="F56" i="1" s="1"/>
  <c r="U50" i="1"/>
  <c r="U57" i="1" s="1"/>
  <c r="J51" i="1"/>
  <c r="J58" i="1" s="1"/>
  <c r="H52" i="1"/>
  <c r="H59" i="1" s="1"/>
  <c r="G51" i="1"/>
  <c r="G58" i="1" s="1"/>
  <c r="F50" i="1"/>
  <c r="F57" i="1" s="1"/>
  <c r="E49" i="1"/>
  <c r="E56" i="1" s="1"/>
  <c r="G52" i="1"/>
  <c r="G59" i="1" s="1"/>
  <c r="F51" i="1"/>
  <c r="F58" i="1" s="1"/>
  <c r="E50" i="1"/>
  <c r="E57" i="1" s="1"/>
  <c r="D49" i="1"/>
  <c r="D56" i="1" s="1"/>
  <c r="F52" i="1"/>
  <c r="F59" i="1" s="1"/>
  <c r="E51" i="1"/>
  <c r="E58" i="1" s="1"/>
  <c r="D50" i="1"/>
  <c r="D57" i="1" s="1"/>
  <c r="C49" i="1"/>
  <c r="C56" i="1" s="1"/>
  <c r="O23" i="1"/>
  <c r="K23" i="1"/>
  <c r="J23" i="1"/>
  <c r="H23" i="1"/>
  <c r="G23" i="1"/>
  <c r="F23" i="1"/>
  <c r="E23" i="1"/>
  <c r="D23" i="1"/>
  <c r="C23" i="1"/>
  <c r="V55" i="1" l="1"/>
  <c r="V14" i="16" l="1"/>
  <c r="U30" i="16"/>
  <c r="U31" i="16" s="1"/>
  <c r="T30" i="16" s="1"/>
  <c r="V30" i="16" l="1"/>
  <c r="U29" i="16" s="1"/>
  <c r="S29" i="16"/>
  <c r="T14" i="16"/>
  <c r="T31" i="16"/>
  <c r="S30" i="16" s="1"/>
  <c r="T29" i="16"/>
  <c r="U14" i="16"/>
  <c r="U36" i="16" l="1"/>
  <c r="T28" i="16"/>
  <c r="T12" i="16" s="1"/>
  <c r="U13" i="16"/>
  <c r="S36" i="16"/>
  <c r="S13" i="16"/>
  <c r="R28" i="16"/>
  <c r="U15" i="16"/>
  <c r="R29" i="16"/>
  <c r="S14" i="16"/>
  <c r="S31" i="16"/>
  <c r="R30" i="16" s="1"/>
  <c r="T13" i="16"/>
  <c r="S28" i="16"/>
  <c r="T36" i="16"/>
  <c r="T15" i="16"/>
  <c r="T32" i="16" l="1"/>
  <c r="Q29" i="16"/>
  <c r="R14" i="16"/>
  <c r="R31" i="16"/>
  <c r="Q30" i="16" s="1"/>
  <c r="S15" i="16"/>
  <c r="T16" i="16"/>
  <c r="T22" i="16" s="1"/>
  <c r="S32" i="16"/>
  <c r="S12" i="16"/>
  <c r="R36" i="16"/>
  <c r="R13" i="16"/>
  <c r="Q28" i="16"/>
  <c r="R32" i="16"/>
  <c r="R12" i="16"/>
  <c r="S16" i="16" l="1"/>
  <c r="S23" i="16" s="1"/>
  <c r="P29" i="16"/>
  <c r="Q14" i="16"/>
  <c r="Q31" i="16"/>
  <c r="P30" i="16" s="1"/>
  <c r="Q12" i="16"/>
  <c r="R15" i="16"/>
  <c r="T21" i="16"/>
  <c r="T23" i="16"/>
  <c r="T20" i="16"/>
  <c r="Q13" i="16"/>
  <c r="Q36" i="16"/>
  <c r="P28" i="16"/>
  <c r="R16" i="16" l="1"/>
  <c r="P36" i="16"/>
  <c r="O28" i="16"/>
  <c r="P13" i="16"/>
  <c r="P14" i="16"/>
  <c r="O29" i="16"/>
  <c r="P31" i="16"/>
  <c r="O30" i="16" s="1"/>
  <c r="S22" i="16"/>
  <c r="S21" i="16"/>
  <c r="P12" i="16"/>
  <c r="Q32" i="16"/>
  <c r="Q15" i="16"/>
  <c r="Q16" i="16" s="1"/>
  <c r="S20" i="16"/>
  <c r="P32" i="16" l="1"/>
  <c r="Q20" i="16"/>
  <c r="Q21" i="16"/>
  <c r="Q22" i="16"/>
  <c r="P15" i="16"/>
  <c r="O14" i="16"/>
  <c r="N29" i="16"/>
  <c r="O31" i="16"/>
  <c r="N30" i="16" s="1"/>
  <c r="O36" i="16"/>
  <c r="O13" i="16"/>
  <c r="N28" i="16"/>
  <c r="O32" i="16"/>
  <c r="O12" i="16"/>
  <c r="Q23" i="16"/>
  <c r="P16" i="16"/>
  <c r="P22" i="16" s="1"/>
  <c r="R20" i="16"/>
  <c r="R22" i="16"/>
  <c r="R21" i="16"/>
  <c r="R23" i="16"/>
  <c r="P20" i="16" l="1"/>
  <c r="P21" i="16"/>
  <c r="M29" i="16"/>
  <c r="N14" i="16"/>
  <c r="N31" i="16"/>
  <c r="M30" i="16" s="1"/>
  <c r="P23" i="16"/>
  <c r="N12" i="16"/>
  <c r="N13" i="16"/>
  <c r="N36" i="16"/>
  <c r="M28" i="16"/>
  <c r="O15" i="16"/>
  <c r="O16" i="16" s="1"/>
  <c r="O21" i="16" s="1"/>
  <c r="N32" i="16" l="1"/>
  <c r="N15" i="16"/>
  <c r="N16" i="16" s="1"/>
  <c r="N20" i="16" s="1"/>
  <c r="O20" i="16"/>
  <c r="M12" i="16"/>
  <c r="M13" i="16"/>
  <c r="L28" i="16"/>
  <c r="M36" i="16"/>
  <c r="O22" i="16"/>
  <c r="O23" i="16"/>
  <c r="M14" i="16"/>
  <c r="M31" i="16"/>
  <c r="L30" i="16" s="1"/>
  <c r="L29" i="16"/>
  <c r="M32" i="16" l="1"/>
  <c r="N23" i="16"/>
  <c r="N22" i="16"/>
  <c r="L36" i="16"/>
  <c r="K28" i="16"/>
  <c r="L13" i="16"/>
  <c r="M15" i="16"/>
  <c r="M16" i="16" s="1"/>
  <c r="M20" i="16" s="1"/>
  <c r="N21" i="16"/>
  <c r="L14" i="16"/>
  <c r="K29" i="16"/>
  <c r="L31" i="16"/>
  <c r="K30" i="16" s="1"/>
  <c r="L12" i="16"/>
  <c r="K14" i="16" l="1"/>
  <c r="J29" i="16"/>
  <c r="K31" i="16"/>
  <c r="J30" i="16" s="1"/>
  <c r="M21" i="16"/>
  <c r="L15" i="16"/>
  <c r="L16" i="16" s="1"/>
  <c r="L20" i="16" s="1"/>
  <c r="M23" i="16"/>
  <c r="K12" i="16"/>
  <c r="K36" i="16"/>
  <c r="J28" i="16"/>
  <c r="K13" i="16"/>
  <c r="M22" i="16"/>
  <c r="L32" i="16"/>
  <c r="K32" i="16" l="1"/>
  <c r="L23" i="16"/>
  <c r="L21" i="16"/>
  <c r="K15" i="16"/>
  <c r="K16" i="16" s="1"/>
  <c r="K22" i="16" s="1"/>
  <c r="L22" i="16"/>
  <c r="J12" i="16"/>
  <c r="J13" i="16"/>
  <c r="J36" i="16"/>
  <c r="I28" i="16"/>
  <c r="I29" i="16"/>
  <c r="J14" i="16"/>
  <c r="J31" i="16"/>
  <c r="I30" i="16" s="1"/>
  <c r="I36" i="16" l="1"/>
  <c r="I13" i="16"/>
  <c r="H28" i="16"/>
  <c r="K21" i="16"/>
  <c r="K20" i="16"/>
  <c r="I14" i="16"/>
  <c r="H29" i="16"/>
  <c r="I31" i="16"/>
  <c r="H30" i="16" s="1"/>
  <c r="I12" i="16"/>
  <c r="J32" i="16"/>
  <c r="J15" i="16"/>
  <c r="J16" i="16" s="1"/>
  <c r="K23" i="16"/>
  <c r="J22" i="16" l="1"/>
  <c r="J20" i="16"/>
  <c r="J23" i="16"/>
  <c r="G28" i="16"/>
  <c r="H36" i="16"/>
  <c r="H13" i="16"/>
  <c r="J21" i="16"/>
  <c r="H14" i="16"/>
  <c r="G29" i="16"/>
  <c r="H31" i="16"/>
  <c r="G30" i="16" s="1"/>
  <c r="I32" i="16"/>
  <c r="I15" i="16"/>
  <c r="H12" i="16"/>
  <c r="H32" i="16" l="1"/>
  <c r="H15" i="16"/>
  <c r="G12" i="16"/>
  <c r="G36" i="16"/>
  <c r="G13" i="16"/>
  <c r="F28" i="16"/>
  <c r="I16" i="16"/>
  <c r="F29" i="16"/>
  <c r="G14" i="16"/>
  <c r="G31" i="16"/>
  <c r="F30" i="16" s="1"/>
  <c r="I22" i="16" l="1"/>
  <c r="I20" i="16"/>
  <c r="I21" i="16"/>
  <c r="I23" i="16"/>
  <c r="H16" i="16"/>
  <c r="G15" i="16"/>
  <c r="G16" i="16" s="1"/>
  <c r="G21" i="16" s="1"/>
  <c r="E28" i="16"/>
  <c r="F36" i="16"/>
  <c r="F13" i="16"/>
  <c r="F14" i="16"/>
  <c r="E29" i="16"/>
  <c r="F31" i="16"/>
  <c r="E30" i="16" s="1"/>
  <c r="F12" i="16"/>
  <c r="G32" i="16"/>
  <c r="F32" i="16" l="1"/>
  <c r="E36" i="16"/>
  <c r="D28" i="16"/>
  <c r="E13" i="16"/>
  <c r="E12" i="16"/>
  <c r="G22" i="16"/>
  <c r="F15" i="16"/>
  <c r="F16" i="16" s="1"/>
  <c r="G20" i="16"/>
  <c r="H22" i="16"/>
  <c r="H21" i="16"/>
  <c r="H20" i="16"/>
  <c r="H23" i="16"/>
  <c r="D29" i="16"/>
  <c r="E14" i="16"/>
  <c r="E31" i="16"/>
  <c r="D30" i="16" s="1"/>
  <c r="G23" i="16"/>
  <c r="E32" i="16" l="1"/>
  <c r="F22" i="16"/>
  <c r="F21" i="16"/>
  <c r="F20" i="16"/>
  <c r="E15" i="16"/>
  <c r="E16" i="16" s="1"/>
  <c r="E20" i="16" s="1"/>
  <c r="D36" i="16"/>
  <c r="D13" i="16"/>
  <c r="C28" i="16"/>
  <c r="F23" i="16"/>
  <c r="D31" i="16"/>
  <c r="C30" i="16" s="1"/>
  <c r="D14" i="16"/>
  <c r="C29" i="16"/>
  <c r="D12" i="16"/>
  <c r="D15" i="16" l="1"/>
  <c r="D16" i="16" s="1"/>
  <c r="C14" i="16"/>
  <c r="C31" i="16"/>
  <c r="C32" i="16" s="1"/>
  <c r="E21" i="16"/>
  <c r="E22" i="16"/>
  <c r="D32" i="16"/>
  <c r="C12" i="16"/>
  <c r="E23" i="16"/>
  <c r="C13" i="16"/>
  <c r="C36" i="16"/>
  <c r="D20" i="16" l="1"/>
  <c r="D21" i="16"/>
  <c r="D22" i="16"/>
  <c r="D23" i="16"/>
  <c r="C15" i="16"/>
  <c r="C16" i="16" s="1"/>
  <c r="C20" i="16" s="1"/>
  <c r="C22" i="16" l="1"/>
  <c r="C21" i="16"/>
  <c r="C23" i="16"/>
  <c r="V36" i="16"/>
  <c r="X36" i="16" s="1"/>
  <c r="F38" i="16" l="1"/>
  <c r="F39" i="16" s="1"/>
  <c r="D38" i="16"/>
  <c r="D39" i="16" s="1"/>
  <c r="E38" i="16"/>
  <c r="E39" i="16" s="1"/>
  <c r="G38" i="16"/>
  <c r="G39" i="16" s="1"/>
  <c r="H38" i="16"/>
  <c r="H39" i="16" s="1"/>
  <c r="C38" i="16"/>
  <c r="C39" i="16" s="1"/>
  <c r="Q38" i="16"/>
  <c r="Q39" i="16" s="1"/>
  <c r="N38" i="16"/>
  <c r="N39" i="16" s="1"/>
  <c r="P38" i="16"/>
  <c r="P39" i="16" s="1"/>
  <c r="I38" i="16"/>
  <c r="I39" i="16" s="1"/>
  <c r="U38" i="16"/>
  <c r="U39" i="16" s="1"/>
  <c r="L38" i="16"/>
  <c r="L39" i="16" s="1"/>
  <c r="R38" i="16"/>
  <c r="R39" i="16" s="1"/>
  <c r="M38" i="16"/>
  <c r="M39" i="16" s="1"/>
  <c r="T38" i="16"/>
  <c r="T39" i="16" s="1"/>
  <c r="K38" i="16"/>
  <c r="K39" i="16" s="1"/>
  <c r="J38" i="16"/>
  <c r="J39" i="16" s="1"/>
  <c r="O38" i="16"/>
  <c r="O39" i="16" s="1"/>
  <c r="S38" i="16"/>
  <c r="S39" i="16" s="1"/>
  <c r="V38" i="16"/>
  <c r="V39" i="16" s="1"/>
  <c r="U28" i="16"/>
  <c r="X39" i="16" l="1"/>
  <c r="U32" i="16"/>
  <c r="U12" i="16"/>
  <c r="U16" i="16" l="1"/>
  <c r="U20" i="16" s="1"/>
  <c r="V20" i="16" s="1"/>
  <c r="U21" i="16" l="1"/>
  <c r="U23" i="16"/>
  <c r="V23" i="16" s="1"/>
  <c r="U22" i="16"/>
  <c r="V22" i="16" s="1"/>
  <c r="V12" i="16" l="1"/>
  <c r="V28" i="16" s="1"/>
  <c r="V32" i="16" s="1"/>
  <c r="X23" i="16"/>
  <c r="X21" i="16"/>
  <c r="X22" i="16"/>
  <c r="X20" i="16"/>
  <c r="V16" i="16" l="1"/>
</calcChain>
</file>

<file path=xl/comments1.xml><?xml version="1.0" encoding="utf-8"?>
<comments xmlns="http://schemas.openxmlformats.org/spreadsheetml/2006/main">
  <authors>
    <author>Shota Nishijima</author>
  </authors>
  <commentList>
    <comment ref="A17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
漁獲尾数/出漁隻日</t>
        </r>
      </text>
    </comment>
    <comment ref="A25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前月までの漁獲尾数の合計</t>
        </r>
      </text>
    </comment>
    <comment ref="A40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漁具能率*（初期資源尾数-累積漁獲尾数)</t>
        </r>
      </text>
    </comment>
    <comment ref="A47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観察CPUE-予測CPUE</t>
        </r>
      </text>
    </comment>
  </commentList>
</comments>
</file>

<file path=xl/comments2.xml><?xml version="1.0" encoding="utf-8"?>
<comments xmlns="http://schemas.openxmlformats.org/spreadsheetml/2006/main">
  <authors>
    <author>Shota Nishijima</author>
  </authors>
  <commentList>
    <comment ref="A25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CPUEのlogをとる</t>
        </r>
      </text>
    </comment>
    <comment ref="A32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前月までの出漁隻日の合計</t>
        </r>
      </text>
    </comment>
    <comment ref="A47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log(漁具能率*初期資源尾数)-漁具能率*累積努力量</t>
        </r>
      </text>
    </comment>
    <comment ref="Y61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初期資源尾数と漁具能率と分散</t>
        </r>
      </text>
    </comment>
  </commentList>
</comments>
</file>

<file path=xl/comments3.xml><?xml version="1.0" encoding="utf-8"?>
<comments xmlns="http://schemas.openxmlformats.org/spreadsheetml/2006/main">
  <authors>
    <author>Shota Nishijima</author>
  </authors>
  <commentList>
    <comment ref="A32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前月までの出漁隻日と当月の半分の合計</t>
        </r>
      </text>
    </comment>
  </commentList>
</comments>
</file>

<file path=xl/comments4.xml><?xml version="1.0" encoding="utf-8"?>
<comments xmlns="http://schemas.openxmlformats.org/spreadsheetml/2006/main">
  <authors>
    <author>Shota Nishijima</author>
  </authors>
  <commentList>
    <comment ref="A19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漁獲されなかった個体数を推定する</t>
        </r>
      </text>
    </comment>
    <comment ref="A20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漁獲尾数と非漁獲尾数の合計</t>
        </r>
      </text>
    </comment>
    <comment ref="A22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1-exp(-漁具能率*努力量)</t>
        </r>
      </text>
    </comment>
    <comment ref="A29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前月までの資源尾数から漁獲尾数を引く</t>
        </r>
      </text>
    </comment>
    <comment ref="A36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残存資源尾数*漁獲確率</t>
        </r>
      </text>
    </comment>
    <comment ref="A43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二項分布から期待される標準偏差: 
残存資源尾数*漁獲確率*(1-漁獲確率) = 
期待漁獲尾数*(1-漁獲確率)</t>
        </r>
      </text>
    </comment>
    <comment ref="A50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漁獲尾数を正規近似したときの対数尤度。
分散が過分散パラメータにより調整されている</t>
        </r>
      </text>
    </comment>
    <comment ref="V50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二項分布から期待される標準偏差にかかるパラメータ。&gt;1で過分散</t>
        </r>
      </text>
    </comment>
    <comment ref="W50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対数尤度が最大になる様に初期資源尾数、漁具能率、過分散パラメータを推定する。
初期資源尾数のみ推定→漁具能率も推定→過分散パラメータも推定というようにやるとうまくいきやすい</t>
        </r>
      </text>
    </comment>
  </commentList>
</comments>
</file>

<file path=xl/comments5.xml><?xml version="1.0" encoding="utf-8"?>
<comments xmlns="http://schemas.openxmlformats.org/spreadsheetml/2006/main">
  <authors>
    <author>Shota Nishijima</author>
  </authors>
  <commentList>
    <comment ref="D2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正規分布による過分散二項分布のシートから</t>
        </r>
      </text>
    </comment>
  </commentList>
</comments>
</file>

<file path=xl/comments6.xml><?xml version="1.0" encoding="utf-8"?>
<comments xmlns="http://schemas.openxmlformats.org/spreadsheetml/2006/main">
  <authors>
    <author>Shota Nishijima</author>
  </authors>
  <commentList>
    <comment ref="V11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直近3年間の平均</t>
        </r>
      </text>
    </comment>
    <comment ref="X14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この値が1となるようにソルバーで解く</t>
        </r>
      </text>
    </comment>
  </commentList>
</comments>
</file>

<file path=xl/comments7.xml><?xml version="1.0" encoding="utf-8"?>
<comments xmlns="http://schemas.openxmlformats.org/spreadsheetml/2006/main">
  <authors>
    <author>Shota Nishijima</author>
  </authors>
  <commentList>
    <comment ref="V19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選択率が直近3年間の平均と仮定</t>
        </r>
      </text>
    </comment>
    <comment ref="B35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正規近似による過分散二項分布の結果から</t>
        </r>
      </text>
    </comment>
    <comment ref="X38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この値が最小になる様にterminal Fをソルバーで推定</t>
        </r>
      </text>
    </comment>
  </commentList>
</comments>
</file>

<file path=xl/comments8.xml><?xml version="1.0" encoding="utf-8"?>
<comments xmlns="http://schemas.openxmlformats.org/spreadsheetml/2006/main">
  <authors>
    <author>Shota Nishijima</author>
  </authors>
  <commentList>
    <comment ref="V19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選択率が直近3年間の平均と仮定</t>
        </r>
      </text>
    </comment>
    <comment ref="B35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正規近似による過分散二項分布の結果から</t>
        </r>
      </text>
    </comment>
    <comment ref="X38" authorId="0">
      <text>
        <r>
          <rPr>
            <b/>
            <sz val="9"/>
            <color indexed="81"/>
            <rFont val="ＭＳ Ｐゴシック"/>
            <family val="3"/>
            <charset val="128"/>
          </rPr>
          <t>Shota Nishijima:</t>
        </r>
        <r>
          <rPr>
            <sz val="9"/>
            <color indexed="81"/>
            <rFont val="ＭＳ Ｐゴシック"/>
            <family val="3"/>
            <charset val="128"/>
          </rPr>
          <t xml:space="preserve">
この値が最小になる様にterminal Fをソルバーで推定</t>
        </r>
      </text>
    </comment>
  </commentList>
</comments>
</file>

<file path=xl/sharedStrings.xml><?xml version="1.0" encoding="utf-8"?>
<sst xmlns="http://schemas.openxmlformats.org/spreadsheetml/2006/main" count="1088" uniqueCount="111">
  <si>
    <t>10月</t>
    <rPh sb="2" eb="3">
      <t>ガツ</t>
    </rPh>
    <phoneticPr fontId="18"/>
  </si>
  <si>
    <t>11月</t>
  </si>
  <si>
    <t>12月</t>
  </si>
  <si>
    <t>1月</t>
  </si>
  <si>
    <t>2月</t>
  </si>
  <si>
    <t>漁獲尾数</t>
    <rPh sb="0" eb="2">
      <t>ギョカク</t>
    </rPh>
    <rPh sb="2" eb="3">
      <t>ビ</t>
    </rPh>
    <rPh sb="3" eb="4">
      <t>スウ</t>
    </rPh>
    <phoneticPr fontId="18"/>
  </si>
  <si>
    <t>出漁隻数</t>
    <rPh sb="0" eb="2">
      <t>シュツリョウ</t>
    </rPh>
    <rPh sb="2" eb="4">
      <t>セキスウ</t>
    </rPh>
    <phoneticPr fontId="18"/>
  </si>
  <si>
    <t>CPUE</t>
    <phoneticPr fontId="18"/>
  </si>
  <si>
    <t>累積漁獲尾数</t>
    <rPh sb="0" eb="2">
      <t>ルイセキ</t>
    </rPh>
    <rPh sb="2" eb="4">
      <t>ギョカク</t>
    </rPh>
    <rPh sb="4" eb="5">
      <t>ビ</t>
    </rPh>
    <rPh sb="5" eb="6">
      <t>スウ</t>
    </rPh>
    <phoneticPr fontId="18"/>
  </si>
  <si>
    <t>総和</t>
    <rPh sb="0" eb="2">
      <t>ソウワ</t>
    </rPh>
    <phoneticPr fontId="18"/>
  </si>
  <si>
    <t>Nominal</t>
    <phoneticPr fontId="18"/>
  </si>
  <si>
    <t>漁具能率</t>
    <rPh sb="0" eb="2">
      <t>ギョグ</t>
    </rPh>
    <rPh sb="2" eb="4">
      <t>ノウリツ</t>
    </rPh>
    <phoneticPr fontId="18"/>
  </si>
  <si>
    <t>初期資源尾数</t>
    <rPh sb="0" eb="2">
      <t>ショキ</t>
    </rPh>
    <rPh sb="2" eb="4">
      <t>シゲン</t>
    </rPh>
    <rPh sb="4" eb="5">
      <t>ビ</t>
    </rPh>
    <rPh sb="5" eb="6">
      <t>スウ</t>
    </rPh>
    <phoneticPr fontId="18"/>
  </si>
  <si>
    <t>予測CPUE</t>
    <rPh sb="0" eb="2">
      <t>ヨソク</t>
    </rPh>
    <phoneticPr fontId="18"/>
  </si>
  <si>
    <t>残差平方和</t>
    <rPh sb="0" eb="2">
      <t>ザンサ</t>
    </rPh>
    <rPh sb="2" eb="4">
      <t>ヘイホウ</t>
    </rPh>
    <rPh sb="4" eb="5">
      <t>ワ</t>
    </rPh>
    <phoneticPr fontId="18"/>
  </si>
  <si>
    <t>残差</t>
    <rPh sb="0" eb="2">
      <t>ザンサ</t>
    </rPh>
    <phoneticPr fontId="18"/>
  </si>
  <si>
    <t>残差の2乗</t>
    <rPh sb="0" eb="2">
      <t>ザンサ</t>
    </rPh>
    <rPh sb="4" eb="5">
      <t>ジョウ</t>
    </rPh>
    <phoneticPr fontId="18"/>
  </si>
  <si>
    <t>1995年</t>
    <rPh sb="4" eb="5">
      <t>ネン</t>
    </rPh>
    <phoneticPr fontId="18"/>
  </si>
  <si>
    <t>1996年</t>
    <rPh sb="4" eb="5">
      <t>ネン</t>
    </rPh>
    <phoneticPr fontId="18"/>
  </si>
  <si>
    <t>1997年</t>
    <rPh sb="4" eb="5">
      <t>ネン</t>
    </rPh>
    <phoneticPr fontId="18"/>
  </si>
  <si>
    <t>1998年</t>
    <rPh sb="4" eb="5">
      <t>ネン</t>
    </rPh>
    <phoneticPr fontId="18"/>
  </si>
  <si>
    <t>1999年</t>
    <rPh sb="4" eb="5">
      <t>ネン</t>
    </rPh>
    <phoneticPr fontId="18"/>
  </si>
  <si>
    <t>2000年</t>
    <rPh sb="4" eb="5">
      <t>ネン</t>
    </rPh>
    <phoneticPr fontId="18"/>
  </si>
  <si>
    <t>2001年</t>
    <rPh sb="4" eb="5">
      <t>ネン</t>
    </rPh>
    <phoneticPr fontId="18"/>
  </si>
  <si>
    <t>2002年</t>
    <rPh sb="4" eb="5">
      <t>ネン</t>
    </rPh>
    <phoneticPr fontId="18"/>
  </si>
  <si>
    <t>2003年</t>
    <rPh sb="4" eb="5">
      <t>ネン</t>
    </rPh>
    <phoneticPr fontId="18"/>
  </si>
  <si>
    <t>2004年</t>
    <rPh sb="4" eb="5">
      <t>ネン</t>
    </rPh>
    <phoneticPr fontId="18"/>
  </si>
  <si>
    <t>2005年</t>
    <rPh sb="4" eb="5">
      <t>ネン</t>
    </rPh>
    <phoneticPr fontId="18"/>
  </si>
  <si>
    <t>2006年</t>
    <rPh sb="4" eb="5">
      <t>ネン</t>
    </rPh>
    <phoneticPr fontId="18"/>
  </si>
  <si>
    <t>2007年</t>
    <rPh sb="4" eb="5">
      <t>ネン</t>
    </rPh>
    <phoneticPr fontId="18"/>
  </si>
  <si>
    <t>2008年</t>
    <rPh sb="4" eb="5">
      <t>ネン</t>
    </rPh>
    <phoneticPr fontId="18"/>
  </si>
  <si>
    <t>2009年</t>
    <rPh sb="4" eb="5">
      <t>ネン</t>
    </rPh>
    <phoneticPr fontId="18"/>
  </si>
  <si>
    <t>2010年</t>
    <rPh sb="4" eb="5">
      <t>ネン</t>
    </rPh>
    <phoneticPr fontId="18"/>
  </si>
  <si>
    <t>2011年</t>
    <rPh sb="4" eb="5">
      <t>ネン</t>
    </rPh>
    <phoneticPr fontId="18"/>
  </si>
  <si>
    <t>2012年</t>
    <rPh sb="4" eb="5">
      <t>ネン</t>
    </rPh>
    <phoneticPr fontId="18"/>
  </si>
  <si>
    <t>2013年</t>
    <rPh sb="4" eb="5">
      <t>ネン</t>
    </rPh>
    <phoneticPr fontId="18"/>
  </si>
  <si>
    <t>2014年</t>
    <rPh sb="4" eb="5">
      <t>ネン</t>
    </rPh>
    <phoneticPr fontId="18"/>
  </si>
  <si>
    <t>累積努力量</t>
    <rPh sb="0" eb="2">
      <t>ルイセキ</t>
    </rPh>
    <rPh sb="2" eb="4">
      <t>ドリョク</t>
    </rPh>
    <rPh sb="4" eb="5">
      <t>リョウ</t>
    </rPh>
    <phoneticPr fontId="18"/>
  </si>
  <si>
    <t>log(CPUE)</t>
    <phoneticPr fontId="18"/>
  </si>
  <si>
    <t>予測log(CPUE)</t>
    <rPh sb="0" eb="2">
      <t>ヨソク</t>
    </rPh>
    <phoneticPr fontId="18"/>
  </si>
  <si>
    <t>対数尤度</t>
    <rPh sb="0" eb="2">
      <t>タイスウ</t>
    </rPh>
    <rPh sb="2" eb="4">
      <t>ユウド</t>
    </rPh>
    <phoneticPr fontId="18"/>
  </si>
  <si>
    <t>分散</t>
  </si>
  <si>
    <t>分散</t>
    <rPh sb="0" eb="2">
      <t>ブンサン</t>
    </rPh>
    <phoneticPr fontId="18"/>
  </si>
  <si>
    <t>AIC</t>
    <phoneticPr fontId="18"/>
  </si>
  <si>
    <t>AICc</t>
    <phoneticPr fontId="18"/>
  </si>
  <si>
    <t>自由度</t>
  </si>
  <si>
    <t>自由度</t>
    <rPh sb="0" eb="3">
      <t>ジユウド</t>
    </rPh>
    <phoneticPr fontId="18"/>
  </si>
  <si>
    <t>総出漁隻日</t>
    <rPh sb="0" eb="1">
      <t>ソウ</t>
    </rPh>
    <rPh sb="1" eb="3">
      <t>シュツリョウ</t>
    </rPh>
    <rPh sb="3" eb="4">
      <t>セキ</t>
    </rPh>
    <rPh sb="4" eb="5">
      <t>ビ</t>
    </rPh>
    <phoneticPr fontId="18"/>
  </si>
  <si>
    <t>延べ出漁隻数</t>
    <rPh sb="0" eb="1">
      <t>ノ</t>
    </rPh>
    <rPh sb="2" eb="4">
      <t>シュツリョウ</t>
    </rPh>
    <rPh sb="4" eb="6">
      <t>セキスウ</t>
    </rPh>
    <phoneticPr fontId="18"/>
  </si>
  <si>
    <t>log(漁具能率)</t>
    <rPh sb="4" eb="6">
      <t>ギョグ</t>
    </rPh>
    <rPh sb="6" eb="8">
      <t>ノウリツ</t>
    </rPh>
    <phoneticPr fontId="18"/>
  </si>
  <si>
    <t>log(初期資源尾数)</t>
  </si>
  <si>
    <t>log(初期資源尾数)</t>
    <rPh sb="4" eb="6">
      <t>ショキ</t>
    </rPh>
    <rPh sb="6" eb="8">
      <t>シゲン</t>
    </rPh>
    <rPh sb="8" eb="9">
      <t>ビ</t>
    </rPh>
    <rPh sb="9" eb="10">
      <t>スウ</t>
    </rPh>
    <phoneticPr fontId="18"/>
  </si>
  <si>
    <t>log(総出漁隻日)</t>
  </si>
  <si>
    <t>log(総出漁隻日)</t>
    <rPh sb="4" eb="9">
      <t>ソウシュツリョウセキビ</t>
    </rPh>
    <phoneticPr fontId="18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</si>
  <si>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</si>
  <si>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</si>
  <si>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</si>
  <si>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</si>
  <si>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</si>
  <si>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</si>
  <si>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</si>
  <si>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</si>
  <si>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</si>
  <si>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</si>
  <si>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</si>
  <si>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</si>
  <si>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変動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</si>
  <si>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</si>
  <si>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</si>
  <si>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</si>
  <si>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</si>
  <si>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</si>
  <si>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</si>
  <si>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</si>
  <si>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</si>
  <si>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</si>
  <si>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表面海水温</t>
    <rPh sb="0" eb="2">
      <t>ヒョウメン</t>
    </rPh>
    <rPh sb="2" eb="5">
      <t>カイスイオン</t>
    </rPh>
    <phoneticPr fontId="18"/>
  </si>
  <si>
    <t>log(表面海水温)</t>
  </si>
  <si>
    <t>log(表面海水温)</t>
    <rPh sb="4" eb="6">
      <t>ヒョウメン</t>
    </rPh>
    <rPh sb="6" eb="9">
      <t>カイスイオン</t>
    </rPh>
    <phoneticPr fontId="18"/>
  </si>
  <si>
    <t>漁獲尾数</t>
    <rPh sb="0" eb="2">
      <t>ギョカク</t>
    </rPh>
    <rPh sb="2" eb="3">
      <t>ビ</t>
    </rPh>
    <rPh sb="3" eb="4">
      <t>スウ</t>
    </rPh>
    <phoneticPr fontId="21"/>
  </si>
  <si>
    <t>年齢</t>
    <rPh sb="0" eb="2">
      <t>ネンレイ</t>
    </rPh>
    <phoneticPr fontId="21"/>
  </si>
  <si>
    <t>年死亡係数（M)</t>
    <rPh sb="0" eb="1">
      <t>ネン</t>
    </rPh>
    <rPh sb="1" eb="3">
      <t>シボウ</t>
    </rPh>
    <rPh sb="3" eb="5">
      <t>ケイスウ</t>
    </rPh>
    <phoneticPr fontId="18"/>
  </si>
  <si>
    <t>3+</t>
    <phoneticPr fontId="21"/>
  </si>
  <si>
    <t>合計</t>
    <rPh sb="0" eb="2">
      <t>ゴウケイ</t>
    </rPh>
    <phoneticPr fontId="21"/>
  </si>
  <si>
    <t>F</t>
    <phoneticPr fontId="18"/>
  </si>
  <si>
    <t>目的関数</t>
    <rPh sb="0" eb="2">
      <t>モクテキ</t>
    </rPh>
    <rPh sb="2" eb="4">
      <t>カンスウ</t>
    </rPh>
    <phoneticPr fontId="18"/>
  </si>
  <si>
    <t>Fmax</t>
    <phoneticPr fontId="21"/>
  </si>
  <si>
    <t>資源尾数</t>
    <rPh sb="0" eb="2">
      <t>シゲン</t>
    </rPh>
    <rPh sb="2" eb="3">
      <t>ビ</t>
    </rPh>
    <rPh sb="3" eb="4">
      <t>スウ</t>
    </rPh>
    <phoneticPr fontId="21"/>
  </si>
  <si>
    <t>3+</t>
    <phoneticPr fontId="21"/>
  </si>
  <si>
    <t>3+</t>
    <phoneticPr fontId="21"/>
  </si>
  <si>
    <t>F</t>
    <phoneticPr fontId="18"/>
  </si>
  <si>
    <t>3+</t>
    <phoneticPr fontId="21"/>
  </si>
  <si>
    <t>3+</t>
    <phoneticPr fontId="21"/>
  </si>
  <si>
    <t>資源量指数</t>
    <rPh sb="0" eb="2">
      <t>シゲン</t>
    </rPh>
    <rPh sb="2" eb="3">
      <t>リョウ</t>
    </rPh>
    <rPh sb="3" eb="5">
      <t>シスウ</t>
    </rPh>
    <phoneticPr fontId="18"/>
  </si>
  <si>
    <t>DeLury一歳</t>
    <rPh sb="6" eb="8">
      <t>イッサイ</t>
    </rPh>
    <phoneticPr fontId="18"/>
  </si>
  <si>
    <t>ln(delury/N)</t>
    <phoneticPr fontId="18"/>
  </si>
  <si>
    <t>比例定数k</t>
    <rPh sb="0" eb="2">
      <t>ヒレイ</t>
    </rPh>
    <rPh sb="2" eb="4">
      <t>テイスウ</t>
    </rPh>
    <phoneticPr fontId="18"/>
  </si>
  <si>
    <t>残差平方</t>
    <rPh sb="0" eb="2">
      <t>ザンサ</t>
    </rPh>
    <rPh sb="2" eb="4">
      <t>ヘイホウ</t>
    </rPh>
    <phoneticPr fontId="18"/>
  </si>
  <si>
    <t>ln(CPUE/N)</t>
    <phoneticPr fontId="18"/>
  </si>
  <si>
    <t>漁獲死亡確率</t>
    <rPh sb="0" eb="2">
      <t>ギョカク</t>
    </rPh>
    <rPh sb="2" eb="4">
      <t>シボウ</t>
    </rPh>
    <rPh sb="4" eb="6">
      <t>カクリツ</t>
    </rPh>
    <phoneticPr fontId="18"/>
  </si>
  <si>
    <t>残存資源尾数</t>
    <rPh sb="0" eb="2">
      <t>ザンゾン</t>
    </rPh>
    <rPh sb="2" eb="4">
      <t>シゲン</t>
    </rPh>
    <rPh sb="4" eb="5">
      <t>ビ</t>
    </rPh>
    <rPh sb="5" eb="6">
      <t>スウ</t>
    </rPh>
    <phoneticPr fontId="18"/>
  </si>
  <si>
    <t>過分散パラメータ</t>
    <rPh sb="0" eb="1">
      <t>カ</t>
    </rPh>
    <rPh sb="1" eb="3">
      <t>ブンサン</t>
    </rPh>
    <phoneticPr fontId="18"/>
  </si>
  <si>
    <t>非漁獲資源尾数</t>
    <rPh sb="0" eb="1">
      <t>ヒ</t>
    </rPh>
    <rPh sb="1" eb="3">
      <t>ギョカク</t>
    </rPh>
    <rPh sb="3" eb="5">
      <t>シゲン</t>
    </rPh>
    <rPh sb="5" eb="6">
      <t>ビ</t>
    </rPh>
    <rPh sb="6" eb="7">
      <t>スウ</t>
    </rPh>
    <phoneticPr fontId="18"/>
  </si>
  <si>
    <t>選択率</t>
    <rPh sb="0" eb="2">
      <t>センタク</t>
    </rPh>
    <rPh sb="2" eb="3">
      <t>リツ</t>
    </rPh>
    <phoneticPr fontId="18"/>
  </si>
  <si>
    <t>推定パラメータ</t>
    <rPh sb="0" eb="2">
      <t>スイテイ</t>
    </rPh>
    <phoneticPr fontId="18"/>
  </si>
  <si>
    <t>標準偏差（二項分布）</t>
    <rPh sb="0" eb="2">
      <t>ヒョウジュン</t>
    </rPh>
    <rPh sb="2" eb="4">
      <t>ヘンサ</t>
    </rPh>
    <rPh sb="5" eb="7">
      <t>ニコウ</t>
    </rPh>
    <rPh sb="7" eb="9">
      <t>ブンプ</t>
    </rPh>
    <phoneticPr fontId="18"/>
  </si>
  <si>
    <t>期待漁獲尾数</t>
    <rPh sb="0" eb="2">
      <t>キタイ</t>
    </rPh>
    <rPh sb="2" eb="4">
      <t>ギョカク</t>
    </rPh>
    <rPh sb="4" eb="5">
      <t>ビ</t>
    </rPh>
    <rPh sb="5" eb="6">
      <t>スウ</t>
    </rPh>
    <phoneticPr fontId="18"/>
  </si>
  <si>
    <t>切片</t>
    <rPh sb="0" eb="2">
      <t>セッペン</t>
    </rPh>
    <phoneticPr fontId="18"/>
  </si>
  <si>
    <t>傾き</t>
    <rPh sb="0" eb="1">
      <t>カタム</t>
    </rPh>
    <phoneticPr fontId="18"/>
  </si>
  <si>
    <t>最高齢を基準としたときの選択率</t>
    <rPh sb="0" eb="3">
      <t>サイコウレイ</t>
    </rPh>
    <rPh sb="4" eb="6">
      <t>キジュン</t>
    </rPh>
    <rPh sb="12" eb="14">
      <t>センタク</t>
    </rPh>
    <rPh sb="14" eb="15">
      <t>リツ</t>
    </rPh>
    <phoneticPr fontId="18"/>
  </si>
  <si>
    <t>Terminal F1と等しくなる制約条件</t>
    <rPh sb="12" eb="13">
      <t>ヒト</t>
    </rPh>
    <rPh sb="17" eb="19">
      <t>セイヤク</t>
    </rPh>
    <rPh sb="19" eb="21">
      <t>ジョウケン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</si>
</sst>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游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0" borderId="0" xfId="0" applyFill="1">
      <alignment vertical="center"/>
    </xf>
    <xf numFmtId="0" fontId="0" fillId="42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20" fillId="0" borderId="0" xfId="0" applyNumberFormat="1" applyFont="1">
      <alignment vertical="center"/>
    </xf>
    <xf numFmtId="0" fontId="20" fillId="40" borderId="0" xfId="0" applyNumberFormat="1" applyFont="1" applyFill="1">
      <alignment vertical="center"/>
    </xf>
    <xf numFmtId="0" fontId="20" fillId="41" borderId="0" xfId="0" applyNumberFormat="1" applyFont="1" applyFill="1">
      <alignment vertical="center"/>
    </xf>
    <xf numFmtId="0" fontId="22" fillId="0" borderId="12" xfId="0" applyNumberFormat="1" applyFont="1" applyFill="1" applyBorder="1">
      <alignment vertical="center"/>
    </xf>
    <xf numFmtId="0" fontId="22" fillId="43" borderId="12" xfId="0" applyNumberFormat="1" applyFont="1" applyFill="1" applyBorder="1">
      <alignment vertical="center"/>
    </xf>
    <xf numFmtId="0" fontId="22" fillId="0" borderId="0" xfId="42" applyNumberFormat="1" applyFont="1" applyFill="1" applyAlignment="1">
      <alignment horizontal="right" vertical="center"/>
    </xf>
    <xf numFmtId="0" fontId="22" fillId="0" borderId="0" xfId="42" applyNumberFormat="1" applyFont="1" applyFill="1">
      <alignment vertical="center"/>
    </xf>
    <xf numFmtId="0" fontId="20" fillId="0" borderId="0" xfId="0" applyFont="1">
      <alignment vertical="center"/>
    </xf>
    <xf numFmtId="0" fontId="22" fillId="0" borderId="12" xfId="42" applyNumberFormat="1" applyFont="1" applyFill="1" applyBorder="1" applyAlignment="1">
      <alignment horizontal="right" vertical="center"/>
    </xf>
    <xf numFmtId="0" fontId="22" fillId="0" borderId="12" xfId="42" applyNumberFormat="1" applyFont="1" applyFill="1" applyBorder="1">
      <alignment vertical="center"/>
    </xf>
    <xf numFmtId="0" fontId="19" fillId="0" borderId="0" xfId="42" applyNumberFormat="1" applyFont="1" applyFill="1">
      <alignment vertical="center"/>
    </xf>
    <xf numFmtId="0" fontId="19" fillId="0" borderId="12" xfId="42" applyNumberFormat="1" applyFont="1" applyFill="1" applyBorder="1">
      <alignment vertical="center"/>
    </xf>
    <xf numFmtId="0" fontId="19" fillId="42" borderId="0" xfId="42" applyNumberFormat="1" applyFont="1" applyFill="1">
      <alignment vertical="center"/>
    </xf>
    <xf numFmtId="0" fontId="19" fillId="44" borderId="0" xfId="42" applyNumberFormat="1" applyFont="1" applyFill="1">
      <alignment vertical="center"/>
    </xf>
    <xf numFmtId="0" fontId="20" fillId="0" borderId="12" xfId="0" applyFont="1" applyBorder="1">
      <alignment vertical="center"/>
    </xf>
    <xf numFmtId="0" fontId="19" fillId="40" borderId="0" xfId="0" applyNumberFormat="1" applyFont="1" applyFill="1">
      <alignment vertical="center"/>
    </xf>
    <xf numFmtId="0" fontId="19" fillId="0" borderId="0" xfId="42" applyNumberFormat="1" applyFont="1" applyFill="1" applyBorder="1">
      <alignment vertical="center"/>
    </xf>
    <xf numFmtId="0" fontId="20" fillId="39" borderId="0" xfId="0" applyFont="1" applyFill="1">
      <alignment vertical="center"/>
    </xf>
    <xf numFmtId="0" fontId="19" fillId="34" borderId="0" xfId="42" applyNumberFormat="1" applyFont="1" applyFill="1">
      <alignment vertical="center"/>
    </xf>
    <xf numFmtId="0" fontId="19" fillId="42" borderId="12" xfId="42" applyNumberFormat="1" applyFont="1" applyFill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9966"/>
      <color rgb="FFCCFF99"/>
      <color rgb="FFFFFFCC"/>
      <color rgb="FFFFCC99"/>
      <color rgb="FFFFFF00"/>
      <color rgb="FFFF7C80"/>
      <color rgb="FF99CCFF"/>
      <color rgb="FFCCECFF"/>
      <color rgb="FFFF66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16" zoomScaleNormal="100" workbookViewId="0">
      <selection activeCell="B23" sqref="B23"/>
    </sheetView>
  </sheetViews>
  <sheetFormatPr defaultRowHeight="18.75" x14ac:dyDescent="0.4"/>
  <cols>
    <col min="1" max="1" width="15" bestFit="1" customWidth="1"/>
    <col min="22" max="22" width="13.25" bestFit="1" customWidth="1"/>
  </cols>
  <sheetData>
    <row r="1" spans="1:21" x14ac:dyDescent="0.4">
      <c r="A1" s="4" t="s">
        <v>5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</row>
    <row r="2" spans="1:21" x14ac:dyDescent="0.4">
      <c r="A2" s="2" t="s">
        <v>0</v>
      </c>
      <c r="B2">
        <v>24022</v>
      </c>
      <c r="C2">
        <v>4276</v>
      </c>
      <c r="D2">
        <v>7450</v>
      </c>
      <c r="E2">
        <v>23132</v>
      </c>
      <c r="F2">
        <v>13507</v>
      </c>
      <c r="G2">
        <v>148494</v>
      </c>
      <c r="H2">
        <v>48408</v>
      </c>
      <c r="I2">
        <v>204922</v>
      </c>
      <c r="J2">
        <v>26125</v>
      </c>
      <c r="K2">
        <v>5583</v>
      </c>
      <c r="L2">
        <v>21249</v>
      </c>
      <c r="M2">
        <v>58745</v>
      </c>
      <c r="N2">
        <v>103399</v>
      </c>
      <c r="O2">
        <v>55053</v>
      </c>
      <c r="P2">
        <v>91129</v>
      </c>
      <c r="Q2">
        <v>12014</v>
      </c>
      <c r="R2">
        <v>10741</v>
      </c>
      <c r="S2">
        <v>13394</v>
      </c>
      <c r="T2">
        <v>6982</v>
      </c>
      <c r="U2">
        <v>35006</v>
      </c>
    </row>
    <row r="3" spans="1:21" x14ac:dyDescent="0.4">
      <c r="A3" s="2" t="s">
        <v>1</v>
      </c>
      <c r="B3">
        <v>14737</v>
      </c>
      <c r="C3">
        <v>3847</v>
      </c>
      <c r="D3">
        <v>2665</v>
      </c>
      <c r="E3">
        <v>20700</v>
      </c>
      <c r="F3">
        <v>7715</v>
      </c>
      <c r="G3">
        <v>69144</v>
      </c>
      <c r="H3">
        <v>26141</v>
      </c>
      <c r="I3">
        <v>91441</v>
      </c>
      <c r="J3">
        <v>9528</v>
      </c>
      <c r="K3">
        <v>7632</v>
      </c>
      <c r="L3">
        <v>10556</v>
      </c>
      <c r="M3">
        <v>30174</v>
      </c>
      <c r="N3">
        <v>36988</v>
      </c>
      <c r="O3">
        <v>22580</v>
      </c>
      <c r="P3">
        <v>39789</v>
      </c>
      <c r="Q3">
        <v>9991</v>
      </c>
      <c r="R3">
        <v>9961</v>
      </c>
      <c r="S3">
        <v>7198</v>
      </c>
      <c r="T3">
        <v>8121</v>
      </c>
      <c r="U3">
        <v>18951</v>
      </c>
    </row>
    <row r="4" spans="1:21" x14ac:dyDescent="0.4">
      <c r="A4" s="2" t="s">
        <v>2</v>
      </c>
      <c r="B4">
        <v>6958</v>
      </c>
      <c r="C4">
        <v>1992</v>
      </c>
      <c r="D4">
        <v>2349</v>
      </c>
      <c r="E4">
        <v>10753</v>
      </c>
      <c r="F4">
        <v>4382</v>
      </c>
      <c r="G4">
        <v>41898</v>
      </c>
      <c r="H4">
        <v>9253</v>
      </c>
      <c r="I4">
        <v>46768</v>
      </c>
      <c r="J4">
        <v>16941</v>
      </c>
      <c r="K4">
        <v>3869</v>
      </c>
      <c r="L4">
        <v>3200</v>
      </c>
      <c r="M4">
        <v>18598</v>
      </c>
      <c r="N4">
        <v>25735</v>
      </c>
      <c r="O4">
        <v>17921</v>
      </c>
      <c r="P4">
        <v>25045</v>
      </c>
      <c r="Q4">
        <v>5217</v>
      </c>
      <c r="R4">
        <v>3995</v>
      </c>
      <c r="S4">
        <v>6504</v>
      </c>
      <c r="T4">
        <v>4392</v>
      </c>
      <c r="U4">
        <v>11864</v>
      </c>
    </row>
    <row r="5" spans="1:21" x14ac:dyDescent="0.4">
      <c r="A5" s="2" t="s">
        <v>3</v>
      </c>
      <c r="B5">
        <v>2673</v>
      </c>
      <c r="C5">
        <v>772</v>
      </c>
      <c r="D5">
        <v>904</v>
      </c>
      <c r="E5">
        <v>3420</v>
      </c>
      <c r="F5">
        <v>1579</v>
      </c>
      <c r="G5">
        <v>12075</v>
      </c>
      <c r="H5">
        <v>2621</v>
      </c>
      <c r="I5">
        <v>27121</v>
      </c>
      <c r="J5">
        <v>7096</v>
      </c>
      <c r="K5">
        <v>2618</v>
      </c>
      <c r="L5">
        <v>2225</v>
      </c>
      <c r="M5">
        <v>9125</v>
      </c>
      <c r="N5">
        <v>9123</v>
      </c>
      <c r="O5">
        <v>3593</v>
      </c>
      <c r="P5">
        <v>12065</v>
      </c>
      <c r="Q5">
        <v>4923</v>
      </c>
      <c r="R5">
        <v>1744</v>
      </c>
      <c r="S5">
        <v>2047</v>
      </c>
      <c r="T5">
        <v>1603</v>
      </c>
      <c r="U5">
        <v>3047</v>
      </c>
    </row>
    <row r="6" spans="1:21" x14ac:dyDescent="0.4">
      <c r="A6" s="2" t="s">
        <v>4</v>
      </c>
      <c r="B6">
        <v>2212</v>
      </c>
      <c r="C6">
        <v>146</v>
      </c>
      <c r="D6">
        <v>639</v>
      </c>
      <c r="E6">
        <v>3214</v>
      </c>
      <c r="F6">
        <v>457</v>
      </c>
      <c r="G6">
        <v>6661</v>
      </c>
      <c r="H6">
        <v>3693</v>
      </c>
      <c r="I6">
        <v>27555</v>
      </c>
      <c r="J6">
        <v>5949</v>
      </c>
      <c r="K6">
        <v>1896</v>
      </c>
      <c r="L6">
        <v>1499</v>
      </c>
      <c r="M6">
        <v>6284</v>
      </c>
      <c r="N6">
        <v>6580</v>
      </c>
      <c r="O6">
        <v>2653</v>
      </c>
      <c r="P6">
        <v>5179</v>
      </c>
      <c r="Q6">
        <v>3829</v>
      </c>
      <c r="R6">
        <v>1650</v>
      </c>
      <c r="S6">
        <v>1025</v>
      </c>
      <c r="T6">
        <v>1143</v>
      </c>
      <c r="U6">
        <v>3148</v>
      </c>
    </row>
    <row r="7" spans="1:21" x14ac:dyDescent="0.4">
      <c r="A7" s="1" t="s">
        <v>9</v>
      </c>
      <c r="B7" s="6">
        <f>SUM(B2:B6)</f>
        <v>50602</v>
      </c>
      <c r="C7" s="6">
        <f t="shared" ref="C7:U7" si="0">SUM(C2:C6)</f>
        <v>11033</v>
      </c>
      <c r="D7" s="6">
        <f t="shared" si="0"/>
        <v>14007</v>
      </c>
      <c r="E7" s="6">
        <f t="shared" si="0"/>
        <v>61219</v>
      </c>
      <c r="F7" s="6">
        <f t="shared" si="0"/>
        <v>27640</v>
      </c>
      <c r="G7" s="6">
        <f t="shared" si="0"/>
        <v>278272</v>
      </c>
      <c r="H7" s="6">
        <f t="shared" si="0"/>
        <v>90116</v>
      </c>
      <c r="I7" s="6">
        <f t="shared" si="0"/>
        <v>397807</v>
      </c>
      <c r="J7" s="6">
        <f t="shared" si="0"/>
        <v>65639</v>
      </c>
      <c r="K7" s="6">
        <f t="shared" si="0"/>
        <v>21598</v>
      </c>
      <c r="L7" s="6">
        <f t="shared" si="0"/>
        <v>38729</v>
      </c>
      <c r="M7" s="6">
        <f t="shared" si="0"/>
        <v>122926</v>
      </c>
      <c r="N7" s="6">
        <f t="shared" si="0"/>
        <v>181825</v>
      </c>
      <c r="O7" s="6">
        <f t="shared" si="0"/>
        <v>101800</v>
      </c>
      <c r="P7" s="6">
        <f t="shared" si="0"/>
        <v>173207</v>
      </c>
      <c r="Q7" s="6">
        <f t="shared" si="0"/>
        <v>35974</v>
      </c>
      <c r="R7" s="6">
        <f t="shared" si="0"/>
        <v>28091</v>
      </c>
      <c r="S7" s="6">
        <f t="shared" si="0"/>
        <v>30168</v>
      </c>
      <c r="T7" s="6">
        <f t="shared" si="0"/>
        <v>22241</v>
      </c>
      <c r="U7" s="6">
        <f t="shared" si="0"/>
        <v>72016</v>
      </c>
    </row>
    <row r="9" spans="1:21" x14ac:dyDescent="0.4">
      <c r="A9" s="4" t="s">
        <v>6</v>
      </c>
      <c r="B9" s="3" t="s">
        <v>17</v>
      </c>
      <c r="C9" s="3" t="s">
        <v>18</v>
      </c>
      <c r="D9" s="3" t="s">
        <v>19</v>
      </c>
      <c r="E9" s="3" t="s">
        <v>20</v>
      </c>
      <c r="F9" s="3" t="s">
        <v>21</v>
      </c>
      <c r="G9" s="3" t="s">
        <v>22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27</v>
      </c>
      <c r="M9" s="3" t="s">
        <v>28</v>
      </c>
      <c r="N9" s="3" t="s">
        <v>29</v>
      </c>
      <c r="O9" s="3" t="s">
        <v>30</v>
      </c>
      <c r="P9" s="3" t="s">
        <v>31</v>
      </c>
      <c r="Q9" s="3" t="s">
        <v>32</v>
      </c>
      <c r="R9" s="3" t="s">
        <v>33</v>
      </c>
      <c r="S9" s="3" t="s">
        <v>34</v>
      </c>
      <c r="T9" s="3" t="s">
        <v>35</v>
      </c>
      <c r="U9" s="3" t="s">
        <v>36</v>
      </c>
    </row>
    <row r="10" spans="1:21" x14ac:dyDescent="0.4">
      <c r="A10" s="2" t="s">
        <v>0</v>
      </c>
      <c r="B10">
        <v>2431</v>
      </c>
      <c r="C10">
        <v>1076</v>
      </c>
      <c r="D10">
        <v>1749</v>
      </c>
      <c r="E10">
        <v>2101</v>
      </c>
      <c r="F10">
        <v>2140</v>
      </c>
      <c r="G10">
        <v>3320</v>
      </c>
      <c r="H10">
        <v>2662</v>
      </c>
      <c r="I10">
        <v>2347</v>
      </c>
      <c r="J10">
        <v>2417</v>
      </c>
      <c r="K10">
        <v>1247</v>
      </c>
      <c r="L10">
        <v>1449</v>
      </c>
      <c r="M10">
        <v>1788</v>
      </c>
      <c r="N10">
        <v>2155</v>
      </c>
      <c r="O10">
        <v>1656</v>
      </c>
      <c r="P10">
        <v>1265</v>
      </c>
      <c r="Q10">
        <v>836</v>
      </c>
      <c r="R10">
        <v>983</v>
      </c>
      <c r="S10">
        <v>988</v>
      </c>
      <c r="T10">
        <v>599</v>
      </c>
      <c r="U10">
        <v>757</v>
      </c>
    </row>
    <row r="11" spans="1:21" x14ac:dyDescent="0.4">
      <c r="A11" s="2" t="s">
        <v>1</v>
      </c>
      <c r="B11">
        <v>2075</v>
      </c>
      <c r="C11">
        <v>1099</v>
      </c>
      <c r="D11">
        <v>1238</v>
      </c>
      <c r="E11">
        <v>2017</v>
      </c>
      <c r="F11">
        <v>1661</v>
      </c>
      <c r="G11">
        <v>2990</v>
      </c>
      <c r="H11">
        <v>2810</v>
      </c>
      <c r="I11">
        <v>2276</v>
      </c>
      <c r="J11">
        <v>1428</v>
      </c>
      <c r="K11">
        <v>1965</v>
      </c>
      <c r="L11">
        <v>1584</v>
      </c>
      <c r="M11">
        <v>1409</v>
      </c>
      <c r="N11">
        <v>1904</v>
      </c>
      <c r="O11">
        <v>1318</v>
      </c>
      <c r="P11">
        <v>1320</v>
      </c>
      <c r="Q11">
        <v>1295</v>
      </c>
      <c r="R11">
        <v>1191</v>
      </c>
      <c r="S11">
        <v>749</v>
      </c>
      <c r="T11">
        <v>713</v>
      </c>
      <c r="U11">
        <v>629</v>
      </c>
    </row>
    <row r="12" spans="1:21" x14ac:dyDescent="0.4">
      <c r="A12" s="2" t="s">
        <v>2</v>
      </c>
      <c r="B12">
        <v>1766</v>
      </c>
      <c r="C12">
        <v>901</v>
      </c>
      <c r="D12">
        <v>912</v>
      </c>
      <c r="E12">
        <v>1961</v>
      </c>
      <c r="F12">
        <v>1545</v>
      </c>
      <c r="G12">
        <v>3078</v>
      </c>
      <c r="H12">
        <v>2040</v>
      </c>
      <c r="I12">
        <v>2189</v>
      </c>
      <c r="J12">
        <v>2372</v>
      </c>
      <c r="K12">
        <v>1304</v>
      </c>
      <c r="L12">
        <v>766</v>
      </c>
      <c r="M12">
        <v>1455</v>
      </c>
      <c r="N12">
        <v>1953</v>
      </c>
      <c r="O12">
        <v>1576</v>
      </c>
      <c r="P12">
        <v>1221</v>
      </c>
      <c r="Q12">
        <v>799</v>
      </c>
      <c r="R12">
        <v>707</v>
      </c>
      <c r="S12">
        <v>885</v>
      </c>
      <c r="T12">
        <v>817</v>
      </c>
      <c r="U12">
        <v>676</v>
      </c>
    </row>
    <row r="13" spans="1:21" x14ac:dyDescent="0.4">
      <c r="A13" s="2" t="s">
        <v>3</v>
      </c>
      <c r="B13">
        <v>1004</v>
      </c>
      <c r="C13">
        <v>377</v>
      </c>
      <c r="D13">
        <v>378</v>
      </c>
      <c r="E13">
        <v>819</v>
      </c>
      <c r="F13">
        <v>623</v>
      </c>
      <c r="G13">
        <v>1298</v>
      </c>
      <c r="H13">
        <v>707</v>
      </c>
      <c r="I13">
        <v>1034</v>
      </c>
      <c r="J13">
        <v>1302</v>
      </c>
      <c r="K13">
        <v>1011</v>
      </c>
      <c r="L13">
        <v>525</v>
      </c>
      <c r="M13">
        <v>1036</v>
      </c>
      <c r="N13">
        <v>984</v>
      </c>
      <c r="O13">
        <v>778</v>
      </c>
      <c r="P13">
        <v>721</v>
      </c>
      <c r="Q13">
        <v>537</v>
      </c>
      <c r="R13">
        <v>400</v>
      </c>
      <c r="S13">
        <v>463</v>
      </c>
      <c r="T13">
        <v>441</v>
      </c>
      <c r="U13">
        <v>317</v>
      </c>
    </row>
    <row r="14" spans="1:21" x14ac:dyDescent="0.4">
      <c r="A14" s="2" t="s">
        <v>4</v>
      </c>
      <c r="B14">
        <v>687</v>
      </c>
      <c r="C14">
        <v>95</v>
      </c>
      <c r="D14">
        <v>244</v>
      </c>
      <c r="E14">
        <v>790</v>
      </c>
      <c r="F14">
        <v>222</v>
      </c>
      <c r="G14">
        <v>1369</v>
      </c>
      <c r="H14">
        <v>910</v>
      </c>
      <c r="I14">
        <v>1270</v>
      </c>
      <c r="J14">
        <v>1455</v>
      </c>
      <c r="K14">
        <v>658</v>
      </c>
      <c r="L14">
        <v>517</v>
      </c>
      <c r="M14">
        <v>803</v>
      </c>
      <c r="N14">
        <v>1049</v>
      </c>
      <c r="O14">
        <v>652</v>
      </c>
      <c r="P14">
        <v>407</v>
      </c>
      <c r="Q14">
        <v>767</v>
      </c>
      <c r="R14">
        <v>473</v>
      </c>
      <c r="S14">
        <v>339</v>
      </c>
      <c r="T14">
        <v>282</v>
      </c>
      <c r="U14">
        <v>370</v>
      </c>
    </row>
    <row r="15" spans="1:21" x14ac:dyDescent="0.4">
      <c r="A15" s="1" t="s">
        <v>9</v>
      </c>
      <c r="B15" s="6">
        <f t="shared" ref="B15:U15" si="1">SUM(B10:B14)</f>
        <v>7963</v>
      </c>
      <c r="C15" s="6">
        <f t="shared" si="1"/>
        <v>3548</v>
      </c>
      <c r="D15" s="6">
        <f t="shared" si="1"/>
        <v>4521</v>
      </c>
      <c r="E15" s="6">
        <f t="shared" si="1"/>
        <v>7688</v>
      </c>
      <c r="F15" s="6">
        <f t="shared" si="1"/>
        <v>6191</v>
      </c>
      <c r="G15" s="6">
        <f t="shared" si="1"/>
        <v>12055</v>
      </c>
      <c r="H15" s="6">
        <f t="shared" si="1"/>
        <v>9129</v>
      </c>
      <c r="I15" s="6">
        <f t="shared" si="1"/>
        <v>9116</v>
      </c>
      <c r="J15" s="6">
        <f t="shared" si="1"/>
        <v>8974</v>
      </c>
      <c r="K15" s="6">
        <f t="shared" si="1"/>
        <v>6185</v>
      </c>
      <c r="L15" s="6">
        <f t="shared" si="1"/>
        <v>4841</v>
      </c>
      <c r="M15" s="6">
        <f t="shared" si="1"/>
        <v>6491</v>
      </c>
      <c r="N15" s="6">
        <f t="shared" si="1"/>
        <v>8045</v>
      </c>
      <c r="O15" s="6">
        <f t="shared" si="1"/>
        <v>5980</v>
      </c>
      <c r="P15" s="6">
        <f t="shared" si="1"/>
        <v>4934</v>
      </c>
      <c r="Q15" s="6">
        <f t="shared" si="1"/>
        <v>4234</v>
      </c>
      <c r="R15" s="6">
        <f t="shared" si="1"/>
        <v>3754</v>
      </c>
      <c r="S15" s="6">
        <f t="shared" si="1"/>
        <v>3424</v>
      </c>
      <c r="T15" s="6">
        <f t="shared" si="1"/>
        <v>2852</v>
      </c>
      <c r="U15" s="6">
        <f t="shared" si="1"/>
        <v>2749</v>
      </c>
    </row>
    <row r="17" spans="1:23" x14ac:dyDescent="0.4">
      <c r="A17" s="4" t="s">
        <v>7</v>
      </c>
      <c r="B17" s="3" t="s">
        <v>17</v>
      </c>
      <c r="C17" s="3" t="s">
        <v>18</v>
      </c>
      <c r="D17" s="3" t="s">
        <v>19</v>
      </c>
      <c r="E17" s="3" t="s">
        <v>20</v>
      </c>
      <c r="F17" s="3" t="s">
        <v>21</v>
      </c>
      <c r="G17" s="3" t="s">
        <v>22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27</v>
      </c>
      <c r="M17" s="3" t="s">
        <v>28</v>
      </c>
      <c r="N17" s="3" t="s">
        <v>29</v>
      </c>
      <c r="O17" s="3" t="s">
        <v>30</v>
      </c>
      <c r="P17" s="3" t="s">
        <v>31</v>
      </c>
      <c r="Q17" s="3" t="s">
        <v>32</v>
      </c>
      <c r="R17" s="3" t="s">
        <v>33</v>
      </c>
      <c r="S17" s="3" t="s">
        <v>34</v>
      </c>
      <c r="T17" s="3" t="s">
        <v>35</v>
      </c>
      <c r="U17" s="3" t="s">
        <v>36</v>
      </c>
    </row>
    <row r="18" spans="1:23" x14ac:dyDescent="0.4">
      <c r="A18" s="2" t="s">
        <v>0</v>
      </c>
      <c r="B18">
        <f>B2/B10</f>
        <v>9.8815302344714109</v>
      </c>
      <c r="C18">
        <f t="shared" ref="C18:U18" si="2">C2/C10</f>
        <v>3.9739776951672861</v>
      </c>
      <c r="D18">
        <f t="shared" si="2"/>
        <v>4.2595769010863354</v>
      </c>
      <c r="E18">
        <f t="shared" si="2"/>
        <v>11.009995240361732</v>
      </c>
      <c r="F18">
        <f t="shared" si="2"/>
        <v>6.3116822429906545</v>
      </c>
      <c r="G18">
        <f t="shared" si="2"/>
        <v>44.727108433734941</v>
      </c>
      <c r="H18">
        <f t="shared" si="2"/>
        <v>18.184823441021788</v>
      </c>
      <c r="I18">
        <f t="shared" si="2"/>
        <v>87.312313591819347</v>
      </c>
      <c r="J18">
        <f t="shared" si="2"/>
        <v>10.808853951179147</v>
      </c>
      <c r="K18">
        <f t="shared" si="2"/>
        <v>4.4771451483560547</v>
      </c>
      <c r="L18">
        <f t="shared" si="2"/>
        <v>14.664596273291925</v>
      </c>
      <c r="M18">
        <f t="shared" si="2"/>
        <v>32.855145413870247</v>
      </c>
      <c r="N18">
        <f t="shared" si="2"/>
        <v>47.980974477958235</v>
      </c>
      <c r="O18">
        <f t="shared" si="2"/>
        <v>33.244565217391305</v>
      </c>
      <c r="P18">
        <f t="shared" si="2"/>
        <v>72.038735177865618</v>
      </c>
      <c r="Q18">
        <f t="shared" si="2"/>
        <v>14.370813397129186</v>
      </c>
      <c r="R18">
        <f t="shared" si="2"/>
        <v>10.926754832146491</v>
      </c>
      <c r="S18">
        <f t="shared" si="2"/>
        <v>13.556680161943319</v>
      </c>
      <c r="T18">
        <f t="shared" si="2"/>
        <v>11.656093489148581</v>
      </c>
      <c r="U18">
        <f t="shared" si="2"/>
        <v>46.243064729194188</v>
      </c>
    </row>
    <row r="19" spans="1:23" x14ac:dyDescent="0.4">
      <c r="A19" s="2" t="s">
        <v>1</v>
      </c>
      <c r="B19">
        <f t="shared" ref="B19:U19" si="3">B3/B11</f>
        <v>7.1021686746987953</v>
      </c>
      <c r="C19">
        <f t="shared" si="3"/>
        <v>3.5004549590536853</v>
      </c>
      <c r="D19">
        <f t="shared" si="3"/>
        <v>2.1526655896607432</v>
      </c>
      <c r="E19">
        <f t="shared" si="3"/>
        <v>10.262766484878533</v>
      </c>
      <c r="F19">
        <f t="shared" si="3"/>
        <v>4.6447922937989166</v>
      </c>
      <c r="G19">
        <f t="shared" si="3"/>
        <v>23.125083612040132</v>
      </c>
      <c r="H19">
        <f t="shared" si="3"/>
        <v>9.3028469750889684</v>
      </c>
      <c r="I19">
        <f t="shared" si="3"/>
        <v>40.176186291739896</v>
      </c>
      <c r="J19">
        <f t="shared" si="3"/>
        <v>6.6722689075630255</v>
      </c>
      <c r="K19">
        <f t="shared" si="3"/>
        <v>3.883969465648855</v>
      </c>
      <c r="L19">
        <f t="shared" si="3"/>
        <v>6.6641414141414144</v>
      </c>
      <c r="M19">
        <f t="shared" si="3"/>
        <v>21.415188076650107</v>
      </c>
      <c r="N19">
        <f t="shared" si="3"/>
        <v>19.426470588235293</v>
      </c>
      <c r="O19">
        <f t="shared" si="3"/>
        <v>17.132018209408194</v>
      </c>
      <c r="P19">
        <f t="shared" si="3"/>
        <v>30.143181818181819</v>
      </c>
      <c r="Q19">
        <f t="shared" si="3"/>
        <v>7.7150579150579155</v>
      </c>
      <c r="R19">
        <f t="shared" si="3"/>
        <v>8.3635600335852232</v>
      </c>
      <c r="S19">
        <f t="shared" si="3"/>
        <v>9.6101468624833117</v>
      </c>
      <c r="T19">
        <f t="shared" si="3"/>
        <v>11.389901823281907</v>
      </c>
      <c r="U19">
        <f t="shared" si="3"/>
        <v>30.128775834658189</v>
      </c>
    </row>
    <row r="20" spans="1:23" x14ac:dyDescent="0.4">
      <c r="A20" s="2" t="s">
        <v>2</v>
      </c>
      <c r="B20">
        <f t="shared" ref="B20:U20" si="4">B4/B12</f>
        <v>3.939977349943375</v>
      </c>
      <c r="C20">
        <f t="shared" si="4"/>
        <v>2.2108768035516095</v>
      </c>
      <c r="D20">
        <f t="shared" si="4"/>
        <v>2.575657894736842</v>
      </c>
      <c r="E20">
        <f t="shared" si="4"/>
        <v>5.4834268230494647</v>
      </c>
      <c r="F20">
        <f t="shared" si="4"/>
        <v>2.8362459546925565</v>
      </c>
      <c r="G20">
        <f t="shared" si="4"/>
        <v>13.612085769980506</v>
      </c>
      <c r="H20">
        <f t="shared" si="4"/>
        <v>4.5357843137254905</v>
      </c>
      <c r="I20">
        <f t="shared" si="4"/>
        <v>21.36500685244404</v>
      </c>
      <c r="J20">
        <f t="shared" si="4"/>
        <v>7.1420741989881957</v>
      </c>
      <c r="K20">
        <f t="shared" si="4"/>
        <v>2.9670245398773005</v>
      </c>
      <c r="L20">
        <f t="shared" si="4"/>
        <v>4.1775456919060057</v>
      </c>
      <c r="M20">
        <f t="shared" si="4"/>
        <v>12.782130584192441</v>
      </c>
      <c r="N20">
        <f t="shared" si="4"/>
        <v>13.177163338453662</v>
      </c>
      <c r="O20">
        <f t="shared" si="4"/>
        <v>11.371192893401016</v>
      </c>
      <c r="P20">
        <f t="shared" si="4"/>
        <v>20.511875511875513</v>
      </c>
      <c r="Q20">
        <f t="shared" si="4"/>
        <v>6.5294117647058822</v>
      </c>
      <c r="R20">
        <f t="shared" si="4"/>
        <v>5.6506364922206505</v>
      </c>
      <c r="S20">
        <f t="shared" si="4"/>
        <v>7.349152542372881</v>
      </c>
      <c r="T20">
        <f t="shared" si="4"/>
        <v>5.3757649938800487</v>
      </c>
      <c r="U20">
        <f t="shared" si="4"/>
        <v>17.550295857988164</v>
      </c>
    </row>
    <row r="21" spans="1:23" x14ac:dyDescent="0.4">
      <c r="A21" s="2" t="s">
        <v>3</v>
      </c>
      <c r="B21">
        <f t="shared" ref="B21:U21" si="5">B5/B13</f>
        <v>2.6623505976095618</v>
      </c>
      <c r="C21">
        <f t="shared" si="5"/>
        <v>2.0477453580901859</v>
      </c>
      <c r="D21">
        <f t="shared" si="5"/>
        <v>2.3915343915343916</v>
      </c>
      <c r="E21">
        <f t="shared" si="5"/>
        <v>4.1758241758241761</v>
      </c>
      <c r="F21">
        <f t="shared" si="5"/>
        <v>2.534510433386838</v>
      </c>
      <c r="G21">
        <f t="shared" si="5"/>
        <v>9.3027734976887526</v>
      </c>
      <c r="H21">
        <f t="shared" si="5"/>
        <v>3.7072135785007072</v>
      </c>
      <c r="I21">
        <f t="shared" si="5"/>
        <v>26.229206963249517</v>
      </c>
      <c r="J21">
        <f t="shared" si="5"/>
        <v>5.4500768049155148</v>
      </c>
      <c r="K21">
        <f t="shared" si="5"/>
        <v>2.589515331355094</v>
      </c>
      <c r="L21">
        <f t="shared" si="5"/>
        <v>4.2380952380952381</v>
      </c>
      <c r="M21">
        <f t="shared" si="5"/>
        <v>8.8079150579150571</v>
      </c>
      <c r="N21">
        <f t="shared" si="5"/>
        <v>9.2713414634146343</v>
      </c>
      <c r="O21">
        <f t="shared" si="5"/>
        <v>4.6182519280205652</v>
      </c>
      <c r="P21">
        <f t="shared" si="5"/>
        <v>16.73370319001387</v>
      </c>
      <c r="Q21">
        <f t="shared" si="5"/>
        <v>9.1675977653631282</v>
      </c>
      <c r="R21">
        <f t="shared" si="5"/>
        <v>4.3600000000000003</v>
      </c>
      <c r="S21">
        <f t="shared" si="5"/>
        <v>4.4211663066954641</v>
      </c>
      <c r="T21">
        <f t="shared" si="5"/>
        <v>3.6349206349206349</v>
      </c>
      <c r="U21">
        <f t="shared" si="5"/>
        <v>9.6119873817034698</v>
      </c>
    </row>
    <row r="22" spans="1:23" x14ac:dyDescent="0.4">
      <c r="A22" s="2" t="s">
        <v>4</v>
      </c>
      <c r="B22">
        <f t="shared" ref="B22:U23" si="6">B6/B14</f>
        <v>3.2197962154294033</v>
      </c>
      <c r="C22">
        <f t="shared" si="6"/>
        <v>1.5368421052631578</v>
      </c>
      <c r="D22">
        <f t="shared" si="6"/>
        <v>2.6188524590163933</v>
      </c>
      <c r="E22">
        <f t="shared" si="6"/>
        <v>4.0683544303797472</v>
      </c>
      <c r="F22">
        <f t="shared" si="6"/>
        <v>2.0585585585585586</v>
      </c>
      <c r="G22">
        <f t="shared" si="6"/>
        <v>4.8655953250547848</v>
      </c>
      <c r="H22">
        <f t="shared" si="6"/>
        <v>4.058241758241758</v>
      </c>
      <c r="I22">
        <f t="shared" si="6"/>
        <v>21.696850393700789</v>
      </c>
      <c r="J22">
        <f t="shared" si="6"/>
        <v>4.0886597938144327</v>
      </c>
      <c r="K22">
        <f t="shared" si="6"/>
        <v>2.8814589665653494</v>
      </c>
      <c r="L22">
        <f t="shared" si="6"/>
        <v>2.8994197292069632</v>
      </c>
      <c r="M22">
        <f t="shared" si="6"/>
        <v>7.8256537982565382</v>
      </c>
      <c r="N22">
        <f t="shared" si="6"/>
        <v>6.2726406101048617</v>
      </c>
      <c r="O22">
        <f t="shared" si="6"/>
        <v>4.0690184049079754</v>
      </c>
      <c r="P22">
        <f t="shared" si="6"/>
        <v>12.724815724815725</v>
      </c>
      <c r="Q22">
        <f t="shared" si="6"/>
        <v>4.9921773142112125</v>
      </c>
      <c r="R22">
        <f t="shared" si="6"/>
        <v>3.4883720930232558</v>
      </c>
      <c r="S22">
        <f t="shared" si="6"/>
        <v>3.0235988200589969</v>
      </c>
      <c r="T22">
        <f t="shared" si="6"/>
        <v>4.0531914893617023</v>
      </c>
      <c r="U22">
        <f t="shared" si="6"/>
        <v>8.5081081081081074</v>
      </c>
      <c r="V22" s="9"/>
      <c r="W22" s="9"/>
    </row>
    <row r="23" spans="1:23" x14ac:dyDescent="0.4">
      <c r="A23" s="1" t="s">
        <v>10</v>
      </c>
      <c r="B23" s="6">
        <f t="shared" si="6"/>
        <v>6.3546402109757629</v>
      </c>
      <c r="C23" s="6">
        <f t="shared" si="6"/>
        <v>3.1096392333709133</v>
      </c>
      <c r="D23" s="6">
        <f t="shared" si="6"/>
        <v>3.0982083609820834</v>
      </c>
      <c r="E23" s="6">
        <f t="shared" si="6"/>
        <v>7.9629292403746099</v>
      </c>
      <c r="F23" s="6">
        <f t="shared" si="6"/>
        <v>4.464545307704733</v>
      </c>
      <c r="G23" s="6">
        <f t="shared" si="6"/>
        <v>23.083533803401078</v>
      </c>
      <c r="H23" s="6">
        <f t="shared" si="6"/>
        <v>9.8713988388651543</v>
      </c>
      <c r="I23" s="6">
        <f t="shared" si="6"/>
        <v>43.638328214129004</v>
      </c>
      <c r="J23" s="6">
        <f t="shared" si="6"/>
        <v>7.3143525741029638</v>
      </c>
      <c r="K23" s="6">
        <f t="shared" si="6"/>
        <v>3.4919967663702507</v>
      </c>
      <c r="L23" s="6">
        <f t="shared" si="6"/>
        <v>8.0002065688907251</v>
      </c>
      <c r="M23" s="6">
        <f t="shared" si="6"/>
        <v>18.937914034817439</v>
      </c>
      <c r="N23" s="6">
        <f t="shared" si="6"/>
        <v>22.600994406463641</v>
      </c>
      <c r="O23" s="6">
        <f t="shared" si="6"/>
        <v>17.023411371237458</v>
      </c>
      <c r="P23" s="6">
        <f t="shared" si="6"/>
        <v>35.104783137413861</v>
      </c>
      <c r="Q23" s="6">
        <f t="shared" si="6"/>
        <v>8.4964572508266407</v>
      </c>
      <c r="R23" s="6">
        <f t="shared" si="6"/>
        <v>7.4829515183803945</v>
      </c>
      <c r="S23" s="6">
        <f t="shared" si="6"/>
        <v>8.8107476635514015</v>
      </c>
      <c r="T23" s="6">
        <f t="shared" si="6"/>
        <v>7.7983870967741939</v>
      </c>
      <c r="U23" s="6">
        <f t="shared" si="6"/>
        <v>26.197162604583486</v>
      </c>
      <c r="V23" s="9"/>
      <c r="W23" s="9"/>
    </row>
    <row r="25" spans="1:23" x14ac:dyDescent="0.4">
      <c r="A25" s="4" t="s">
        <v>8</v>
      </c>
      <c r="B25" s="3" t="s">
        <v>17</v>
      </c>
      <c r="C25" s="3" t="s">
        <v>18</v>
      </c>
      <c r="D25" s="3" t="s">
        <v>19</v>
      </c>
      <c r="E25" s="3" t="s">
        <v>20</v>
      </c>
      <c r="F25" s="3" t="s">
        <v>21</v>
      </c>
      <c r="G25" s="3" t="s">
        <v>22</v>
      </c>
      <c r="H25" s="3" t="s">
        <v>23</v>
      </c>
      <c r="I25" s="3" t="s">
        <v>24</v>
      </c>
      <c r="J25" s="3" t="s">
        <v>25</v>
      </c>
      <c r="K25" s="3" t="s">
        <v>26</v>
      </c>
      <c r="L25" s="3" t="s">
        <v>27</v>
      </c>
      <c r="M25" s="3" t="s">
        <v>28</v>
      </c>
      <c r="N25" s="3" t="s">
        <v>29</v>
      </c>
      <c r="O25" s="3" t="s">
        <v>30</v>
      </c>
      <c r="P25" s="3" t="s">
        <v>31</v>
      </c>
      <c r="Q25" s="3" t="s">
        <v>32</v>
      </c>
      <c r="R25" s="3" t="s">
        <v>33</v>
      </c>
      <c r="S25" s="3" t="s">
        <v>34</v>
      </c>
      <c r="T25" s="3" t="s">
        <v>35</v>
      </c>
      <c r="U25" s="3" t="s">
        <v>36</v>
      </c>
    </row>
    <row r="26" spans="1:23" x14ac:dyDescent="0.4">
      <c r="A26" s="2" t="s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3" x14ac:dyDescent="0.4">
      <c r="A27" s="2" t="s">
        <v>1</v>
      </c>
      <c r="B27">
        <f>SUM(B$2:B2)</f>
        <v>24022</v>
      </c>
      <c r="C27">
        <f>SUM(C$2:C2)</f>
        <v>4276</v>
      </c>
      <c r="D27">
        <f>SUM(D$2:D2)</f>
        <v>7450</v>
      </c>
      <c r="E27">
        <f>SUM(E$2:E2)</f>
        <v>23132</v>
      </c>
      <c r="F27">
        <f>SUM(F$2:F2)</f>
        <v>13507</v>
      </c>
      <c r="G27">
        <f>SUM(G$2:G2)</f>
        <v>148494</v>
      </c>
      <c r="H27">
        <f>SUM(H$2:H2)</f>
        <v>48408</v>
      </c>
      <c r="I27">
        <f>SUM(I$2:I2)</f>
        <v>204922</v>
      </c>
      <c r="J27">
        <f>SUM(J$2:J2)</f>
        <v>26125</v>
      </c>
      <c r="K27">
        <f>SUM(K$2:K2)</f>
        <v>5583</v>
      </c>
      <c r="L27">
        <f>SUM(L$2:L2)</f>
        <v>21249</v>
      </c>
      <c r="M27">
        <f>SUM(M$2:M2)</f>
        <v>58745</v>
      </c>
      <c r="N27">
        <f>SUM(N$2:N2)</f>
        <v>103399</v>
      </c>
      <c r="O27">
        <f>SUM(O$2:O2)</f>
        <v>55053</v>
      </c>
      <c r="P27">
        <f>SUM(P$2:P2)</f>
        <v>91129</v>
      </c>
      <c r="Q27">
        <f>SUM(Q$2:Q2)</f>
        <v>12014</v>
      </c>
      <c r="R27">
        <f>SUM(R$2:R2)</f>
        <v>10741</v>
      </c>
      <c r="S27">
        <f>SUM(S$2:S2)</f>
        <v>13394</v>
      </c>
      <c r="T27">
        <f>SUM(T$2:T2)</f>
        <v>6982</v>
      </c>
      <c r="U27">
        <f>SUM(U$2:U2)</f>
        <v>35006</v>
      </c>
    </row>
    <row r="28" spans="1:23" x14ac:dyDescent="0.4">
      <c r="A28" s="2" t="s">
        <v>2</v>
      </c>
      <c r="B28">
        <f>SUM(B$2:B3)</f>
        <v>38759</v>
      </c>
      <c r="C28">
        <f>SUM(C$2:C3)</f>
        <v>8123</v>
      </c>
      <c r="D28">
        <f>SUM(D$2:D3)</f>
        <v>10115</v>
      </c>
      <c r="E28">
        <f>SUM(E$2:E3)</f>
        <v>43832</v>
      </c>
      <c r="F28">
        <f>SUM(F$2:F3)</f>
        <v>21222</v>
      </c>
      <c r="G28">
        <f>SUM(G$2:G3)</f>
        <v>217638</v>
      </c>
      <c r="H28">
        <f>SUM(H$2:H3)</f>
        <v>74549</v>
      </c>
      <c r="I28">
        <f>SUM(I$2:I3)</f>
        <v>296363</v>
      </c>
      <c r="J28">
        <f>SUM(J$2:J3)</f>
        <v>35653</v>
      </c>
      <c r="K28">
        <f>SUM(K$2:K3)</f>
        <v>13215</v>
      </c>
      <c r="L28">
        <f>SUM(L$2:L3)</f>
        <v>31805</v>
      </c>
      <c r="M28">
        <f>SUM(M$2:M3)</f>
        <v>88919</v>
      </c>
      <c r="N28">
        <f>SUM(N$2:N3)</f>
        <v>140387</v>
      </c>
      <c r="O28">
        <f>SUM(O$2:O3)</f>
        <v>77633</v>
      </c>
      <c r="P28">
        <f>SUM(P$2:P3)</f>
        <v>130918</v>
      </c>
      <c r="Q28">
        <f>SUM(Q$2:Q3)</f>
        <v>22005</v>
      </c>
      <c r="R28">
        <f>SUM(R$2:R3)</f>
        <v>20702</v>
      </c>
      <c r="S28">
        <f>SUM(S$2:S3)</f>
        <v>20592</v>
      </c>
      <c r="T28">
        <f>SUM(T$2:T3)</f>
        <v>15103</v>
      </c>
      <c r="U28">
        <f>SUM(U$2:U3)</f>
        <v>53957</v>
      </c>
    </row>
    <row r="29" spans="1:23" x14ac:dyDescent="0.4">
      <c r="A29" s="2" t="s">
        <v>3</v>
      </c>
      <c r="B29">
        <f>SUM(B$2:B4)</f>
        <v>45717</v>
      </c>
      <c r="C29">
        <f>SUM(C$2:C4)</f>
        <v>10115</v>
      </c>
      <c r="D29">
        <f>SUM(D$2:D4)</f>
        <v>12464</v>
      </c>
      <c r="E29">
        <f>SUM(E$2:E4)</f>
        <v>54585</v>
      </c>
      <c r="F29">
        <f>SUM(F$2:F4)</f>
        <v>25604</v>
      </c>
      <c r="G29">
        <f>SUM(G$2:G4)</f>
        <v>259536</v>
      </c>
      <c r="H29">
        <f>SUM(H$2:H4)</f>
        <v>83802</v>
      </c>
      <c r="I29">
        <f>SUM(I$2:I4)</f>
        <v>343131</v>
      </c>
      <c r="J29">
        <f>SUM(J$2:J4)</f>
        <v>52594</v>
      </c>
      <c r="K29">
        <f>SUM(K$2:K4)</f>
        <v>17084</v>
      </c>
      <c r="L29">
        <f>SUM(L$2:L4)</f>
        <v>35005</v>
      </c>
      <c r="M29">
        <f>SUM(M$2:M4)</f>
        <v>107517</v>
      </c>
      <c r="N29">
        <f>SUM(N$2:N4)</f>
        <v>166122</v>
      </c>
      <c r="O29">
        <f>SUM(O$2:O4)</f>
        <v>95554</v>
      </c>
      <c r="P29">
        <f>SUM(P$2:P4)</f>
        <v>155963</v>
      </c>
      <c r="Q29">
        <f>SUM(Q$2:Q4)</f>
        <v>27222</v>
      </c>
      <c r="R29">
        <f>SUM(R$2:R4)</f>
        <v>24697</v>
      </c>
      <c r="S29">
        <f>SUM(S$2:S4)</f>
        <v>27096</v>
      </c>
      <c r="T29">
        <f>SUM(T$2:T4)</f>
        <v>19495</v>
      </c>
      <c r="U29">
        <f>SUM(U$2:U4)</f>
        <v>65821</v>
      </c>
    </row>
    <row r="30" spans="1:23" x14ac:dyDescent="0.4">
      <c r="A30" s="2" t="s">
        <v>4</v>
      </c>
      <c r="B30">
        <f>SUM(B$2:B5)</f>
        <v>48390</v>
      </c>
      <c r="C30">
        <f>SUM(C$2:C5)</f>
        <v>10887</v>
      </c>
      <c r="D30">
        <f>SUM(D$2:D5)</f>
        <v>13368</v>
      </c>
      <c r="E30">
        <f>SUM(E$2:E5)</f>
        <v>58005</v>
      </c>
      <c r="F30">
        <f>SUM(F$2:F5)</f>
        <v>27183</v>
      </c>
      <c r="G30">
        <f>SUM(G$2:G5)</f>
        <v>271611</v>
      </c>
      <c r="H30">
        <f>SUM(H$2:H5)</f>
        <v>86423</v>
      </c>
      <c r="I30">
        <f>SUM(I$2:I5)</f>
        <v>370252</v>
      </c>
      <c r="J30">
        <f>SUM(J$2:J5)</f>
        <v>59690</v>
      </c>
      <c r="K30">
        <f>SUM(K$2:K5)</f>
        <v>19702</v>
      </c>
      <c r="L30">
        <f>SUM(L$2:L5)</f>
        <v>37230</v>
      </c>
      <c r="M30">
        <f>SUM(M$2:M5)</f>
        <v>116642</v>
      </c>
      <c r="N30">
        <f>SUM(N$2:N5)</f>
        <v>175245</v>
      </c>
      <c r="O30">
        <f>SUM(O$2:O5)</f>
        <v>99147</v>
      </c>
      <c r="P30">
        <f>SUM(P$2:P5)</f>
        <v>168028</v>
      </c>
      <c r="Q30">
        <f>SUM(Q$2:Q5)</f>
        <v>32145</v>
      </c>
      <c r="R30">
        <f>SUM(R$2:R5)</f>
        <v>26441</v>
      </c>
      <c r="S30">
        <f>SUM(S$2:S5)</f>
        <v>29143</v>
      </c>
      <c r="T30">
        <f>SUM(T$2:T5)</f>
        <v>21098</v>
      </c>
      <c r="U30">
        <f>SUM(U$2:U5)</f>
        <v>68868</v>
      </c>
    </row>
    <row r="31" spans="1:23" x14ac:dyDescent="0.4">
      <c r="A31" s="9"/>
    </row>
    <row r="32" spans="1:23" x14ac:dyDescent="0.4">
      <c r="A32" s="4" t="s">
        <v>104</v>
      </c>
      <c r="B32" s="3" t="s">
        <v>17</v>
      </c>
      <c r="C32" s="3" t="s">
        <v>18</v>
      </c>
      <c r="D32" s="3" t="s">
        <v>19</v>
      </c>
      <c r="E32" s="3" t="s">
        <v>20</v>
      </c>
      <c r="F32" s="3" t="s">
        <v>21</v>
      </c>
      <c r="G32" s="3" t="s">
        <v>22</v>
      </c>
      <c r="H32" s="3" t="s">
        <v>23</v>
      </c>
      <c r="I32" s="3" t="s">
        <v>24</v>
      </c>
      <c r="J32" s="3" t="s">
        <v>25</v>
      </c>
      <c r="K32" s="3" t="s">
        <v>26</v>
      </c>
      <c r="L32" s="3" t="s">
        <v>27</v>
      </c>
      <c r="M32" s="3" t="s">
        <v>28</v>
      </c>
      <c r="N32" s="3" t="s">
        <v>29</v>
      </c>
      <c r="O32" s="3" t="s">
        <v>30</v>
      </c>
      <c r="P32" s="3" t="s">
        <v>31</v>
      </c>
      <c r="Q32" s="3" t="s">
        <v>32</v>
      </c>
      <c r="R32" s="3" t="s">
        <v>33</v>
      </c>
      <c r="S32" s="3" t="s">
        <v>34</v>
      </c>
      <c r="T32" s="3" t="s">
        <v>35</v>
      </c>
      <c r="U32" s="3" t="s">
        <v>36</v>
      </c>
    </row>
    <row r="33" spans="1:23" x14ac:dyDescent="0.4">
      <c r="A33" s="2" t="s">
        <v>107</v>
      </c>
      <c r="B33" s="6">
        <f>INTERCEPT(B18:B22,B26:B30)</f>
        <v>10.108035961139386</v>
      </c>
      <c r="C33" s="6">
        <f>INTERCEPT(C18:C22,C26:C30)</f>
        <v>4.1430244246216086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3" x14ac:dyDescent="0.4">
      <c r="A34" s="2" t="s">
        <v>108</v>
      </c>
      <c r="B34" s="6">
        <f>SLOPE(B18:B22,B26:B30)</f>
        <v>-1.5128216774733811E-4</v>
      </c>
      <c r="C34" s="6">
        <f>SLOPE(C18:C22,C26:C30)</f>
        <v>-2.2290426041082952E-4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6" spans="1:23" x14ac:dyDescent="0.4">
      <c r="A36" s="4"/>
      <c r="B36" s="3" t="s">
        <v>17</v>
      </c>
      <c r="C36" s="3" t="s">
        <v>18</v>
      </c>
      <c r="D36" s="3" t="s">
        <v>19</v>
      </c>
      <c r="E36" s="3" t="s">
        <v>20</v>
      </c>
      <c r="F36" s="3" t="s">
        <v>21</v>
      </c>
      <c r="G36" s="3" t="s">
        <v>22</v>
      </c>
      <c r="H36" s="3" t="s">
        <v>23</v>
      </c>
      <c r="I36" s="3" t="s">
        <v>24</v>
      </c>
      <c r="J36" s="3" t="s">
        <v>25</v>
      </c>
      <c r="K36" s="3" t="s">
        <v>26</v>
      </c>
      <c r="L36" s="3" t="s">
        <v>27</v>
      </c>
      <c r="M36" s="3" t="s">
        <v>28</v>
      </c>
      <c r="N36" s="3" t="s">
        <v>29</v>
      </c>
      <c r="O36" s="3" t="s">
        <v>30</v>
      </c>
      <c r="P36" s="3" t="s">
        <v>31</v>
      </c>
      <c r="Q36" s="3" t="s">
        <v>32</v>
      </c>
      <c r="R36" s="3" t="s">
        <v>33</v>
      </c>
      <c r="S36" s="3" t="s">
        <v>34</v>
      </c>
      <c r="T36" s="3" t="s">
        <v>35</v>
      </c>
      <c r="U36" s="3" t="s">
        <v>36</v>
      </c>
      <c r="V36" s="9"/>
      <c r="W36" s="9"/>
    </row>
    <row r="37" spans="1:23" x14ac:dyDescent="0.4">
      <c r="A37" s="2" t="s">
        <v>11</v>
      </c>
      <c r="B37" s="7">
        <f>-B34</f>
        <v>1.5128216774733811E-4</v>
      </c>
      <c r="C37" s="7">
        <f t="shared" ref="C37:U37" si="7">-C34</f>
        <v>2.2290426041082952E-4</v>
      </c>
      <c r="D37" s="7">
        <f t="shared" si="7"/>
        <v>0</v>
      </c>
      <c r="E37" s="7">
        <f t="shared" si="7"/>
        <v>0</v>
      </c>
      <c r="F37" s="7">
        <f t="shared" si="7"/>
        <v>0</v>
      </c>
      <c r="G37" s="7">
        <f t="shared" si="7"/>
        <v>0</v>
      </c>
      <c r="H37" s="7">
        <f t="shared" si="7"/>
        <v>0</v>
      </c>
      <c r="I37" s="7">
        <f t="shared" si="7"/>
        <v>0</v>
      </c>
      <c r="J37" s="7">
        <f t="shared" si="7"/>
        <v>0</v>
      </c>
      <c r="K37" s="7">
        <f t="shared" si="7"/>
        <v>0</v>
      </c>
      <c r="L37" s="7">
        <f t="shared" si="7"/>
        <v>0</v>
      </c>
      <c r="M37" s="7">
        <f t="shared" si="7"/>
        <v>0</v>
      </c>
      <c r="N37" s="7">
        <f t="shared" si="7"/>
        <v>0</v>
      </c>
      <c r="O37" s="7">
        <f t="shared" si="7"/>
        <v>0</v>
      </c>
      <c r="P37" s="7">
        <f t="shared" si="7"/>
        <v>0</v>
      </c>
      <c r="Q37" s="7">
        <f t="shared" si="7"/>
        <v>0</v>
      </c>
      <c r="R37" s="7">
        <f t="shared" si="7"/>
        <v>0</v>
      </c>
      <c r="S37" s="7">
        <f t="shared" si="7"/>
        <v>0</v>
      </c>
      <c r="T37" s="7">
        <f t="shared" si="7"/>
        <v>0</v>
      </c>
      <c r="U37" s="7">
        <f t="shared" si="7"/>
        <v>0</v>
      </c>
      <c r="V37" s="9"/>
      <c r="W37" s="9"/>
    </row>
    <row r="38" spans="1:23" x14ac:dyDescent="0.4">
      <c r="A38" s="2" t="s">
        <v>12</v>
      </c>
      <c r="B38" s="7">
        <f>B33/B37</f>
        <v>66815.779491084424</v>
      </c>
      <c r="C38" s="7">
        <f t="shared" ref="C38:U38" si="8">C33/C37</f>
        <v>18586.56455011537</v>
      </c>
      <c r="D38" s="7" t="e">
        <f t="shared" si="8"/>
        <v>#DIV/0!</v>
      </c>
      <c r="E38" s="7" t="e">
        <f t="shared" si="8"/>
        <v>#DIV/0!</v>
      </c>
      <c r="F38" s="7" t="e">
        <f t="shared" si="8"/>
        <v>#DIV/0!</v>
      </c>
      <c r="G38" s="7" t="e">
        <f t="shared" si="8"/>
        <v>#DIV/0!</v>
      </c>
      <c r="H38" s="7" t="e">
        <f t="shared" si="8"/>
        <v>#DIV/0!</v>
      </c>
      <c r="I38" s="7" t="e">
        <f t="shared" si="8"/>
        <v>#DIV/0!</v>
      </c>
      <c r="J38" s="7" t="e">
        <f t="shared" si="8"/>
        <v>#DIV/0!</v>
      </c>
      <c r="K38" s="7" t="e">
        <f t="shared" si="8"/>
        <v>#DIV/0!</v>
      </c>
      <c r="L38" s="7" t="e">
        <f t="shared" si="8"/>
        <v>#DIV/0!</v>
      </c>
      <c r="M38" s="7" t="e">
        <f t="shared" si="8"/>
        <v>#DIV/0!</v>
      </c>
      <c r="N38" s="7" t="e">
        <f t="shared" si="8"/>
        <v>#DIV/0!</v>
      </c>
      <c r="O38" s="7" t="e">
        <f t="shared" si="8"/>
        <v>#DIV/0!</v>
      </c>
      <c r="P38" s="7" t="e">
        <f t="shared" si="8"/>
        <v>#DIV/0!</v>
      </c>
      <c r="Q38" s="7" t="e">
        <f t="shared" si="8"/>
        <v>#DIV/0!</v>
      </c>
      <c r="R38" s="7" t="e">
        <f t="shared" si="8"/>
        <v>#DIV/0!</v>
      </c>
      <c r="S38" s="7" t="e">
        <f t="shared" si="8"/>
        <v>#DIV/0!</v>
      </c>
      <c r="T38" s="7" t="e">
        <f t="shared" si="8"/>
        <v>#DIV/0!</v>
      </c>
      <c r="U38" s="7" t="e">
        <f t="shared" si="8"/>
        <v>#DIV/0!</v>
      </c>
      <c r="V38" s="9"/>
      <c r="W38" s="9"/>
    </row>
    <row r="40" spans="1:23" x14ac:dyDescent="0.4">
      <c r="A40" s="4" t="s">
        <v>13</v>
      </c>
      <c r="B40" s="3" t="s">
        <v>17</v>
      </c>
      <c r="C40" s="3" t="s">
        <v>18</v>
      </c>
      <c r="D40" s="3" t="s">
        <v>19</v>
      </c>
      <c r="E40" s="3" t="s">
        <v>20</v>
      </c>
      <c r="F40" s="3" t="s">
        <v>21</v>
      </c>
      <c r="G40" s="3" t="s">
        <v>22</v>
      </c>
      <c r="H40" s="3" t="s">
        <v>23</v>
      </c>
      <c r="I40" s="3" t="s">
        <v>24</v>
      </c>
      <c r="J40" s="3" t="s">
        <v>25</v>
      </c>
      <c r="K40" s="3" t="s">
        <v>26</v>
      </c>
      <c r="L40" s="3" t="s">
        <v>27</v>
      </c>
      <c r="M40" s="3" t="s">
        <v>28</v>
      </c>
      <c r="N40" s="3" t="s">
        <v>29</v>
      </c>
      <c r="O40" s="3" t="s">
        <v>30</v>
      </c>
      <c r="P40" s="3" t="s">
        <v>31</v>
      </c>
      <c r="Q40" s="3" t="s">
        <v>32</v>
      </c>
      <c r="R40" s="3" t="s">
        <v>33</v>
      </c>
      <c r="S40" s="3" t="s">
        <v>34</v>
      </c>
      <c r="T40" s="3" t="s">
        <v>35</v>
      </c>
      <c r="U40" s="3" t="s">
        <v>36</v>
      </c>
    </row>
    <row r="41" spans="1:23" x14ac:dyDescent="0.4">
      <c r="A41" s="2" t="s">
        <v>0</v>
      </c>
      <c r="B41">
        <f t="shared" ref="B41:U41" si="9">B$37*(B$38-B26)</f>
        <v>10.108035961139388</v>
      </c>
      <c r="C41">
        <f t="shared" si="9"/>
        <v>4.1430244246216086</v>
      </c>
      <c r="D41" t="e">
        <f t="shared" si="9"/>
        <v>#DIV/0!</v>
      </c>
      <c r="E41" t="e">
        <f t="shared" si="9"/>
        <v>#DIV/0!</v>
      </c>
      <c r="F41" t="e">
        <f t="shared" si="9"/>
        <v>#DIV/0!</v>
      </c>
      <c r="G41" t="e">
        <f t="shared" si="9"/>
        <v>#DIV/0!</v>
      </c>
      <c r="H41" t="e">
        <f t="shared" si="9"/>
        <v>#DIV/0!</v>
      </c>
      <c r="I41" t="e">
        <f t="shared" si="9"/>
        <v>#DIV/0!</v>
      </c>
      <c r="J41" t="e">
        <f t="shared" si="9"/>
        <v>#DIV/0!</v>
      </c>
      <c r="K41" t="e">
        <f t="shared" si="9"/>
        <v>#DIV/0!</v>
      </c>
      <c r="L41" t="e">
        <f t="shared" si="9"/>
        <v>#DIV/0!</v>
      </c>
      <c r="M41" t="e">
        <f t="shared" si="9"/>
        <v>#DIV/0!</v>
      </c>
      <c r="N41" t="e">
        <f t="shared" si="9"/>
        <v>#DIV/0!</v>
      </c>
      <c r="O41" t="e">
        <f t="shared" si="9"/>
        <v>#DIV/0!</v>
      </c>
      <c r="P41" t="e">
        <f t="shared" si="9"/>
        <v>#DIV/0!</v>
      </c>
      <c r="Q41" t="e">
        <f t="shared" si="9"/>
        <v>#DIV/0!</v>
      </c>
      <c r="R41" t="e">
        <f t="shared" si="9"/>
        <v>#DIV/0!</v>
      </c>
      <c r="S41" t="e">
        <f t="shared" si="9"/>
        <v>#DIV/0!</v>
      </c>
      <c r="T41" t="e">
        <f t="shared" si="9"/>
        <v>#DIV/0!</v>
      </c>
      <c r="U41" t="e">
        <f t="shared" si="9"/>
        <v>#DIV/0!</v>
      </c>
    </row>
    <row r="42" spans="1:23" x14ac:dyDescent="0.4">
      <c r="A42" s="2" t="s">
        <v>1</v>
      </c>
      <c r="B42">
        <f>B$37*(B$38-B27)</f>
        <v>6.4739357275128313</v>
      </c>
      <c r="C42">
        <f t="shared" ref="C42:Q42" si="10">C$37*(C$38-C27)</f>
        <v>3.1898858071049019</v>
      </c>
      <c r="D42" t="e">
        <f t="shared" si="10"/>
        <v>#DIV/0!</v>
      </c>
      <c r="E42" t="e">
        <f t="shared" si="10"/>
        <v>#DIV/0!</v>
      </c>
      <c r="F42" t="e">
        <f t="shared" si="10"/>
        <v>#DIV/0!</v>
      </c>
      <c r="G42" t="e">
        <f t="shared" si="10"/>
        <v>#DIV/0!</v>
      </c>
      <c r="H42" t="e">
        <f t="shared" si="10"/>
        <v>#DIV/0!</v>
      </c>
      <c r="I42" t="e">
        <f t="shared" si="10"/>
        <v>#DIV/0!</v>
      </c>
      <c r="J42" t="e">
        <f t="shared" si="10"/>
        <v>#DIV/0!</v>
      </c>
      <c r="K42" t="e">
        <f t="shared" si="10"/>
        <v>#DIV/0!</v>
      </c>
      <c r="L42" t="e">
        <f t="shared" si="10"/>
        <v>#DIV/0!</v>
      </c>
      <c r="M42" t="e">
        <f t="shared" si="10"/>
        <v>#DIV/0!</v>
      </c>
      <c r="N42" t="e">
        <f t="shared" si="10"/>
        <v>#DIV/0!</v>
      </c>
      <c r="O42" t="e">
        <f t="shared" si="10"/>
        <v>#DIV/0!</v>
      </c>
      <c r="P42" t="e">
        <f t="shared" si="10"/>
        <v>#DIV/0!</v>
      </c>
      <c r="Q42" t="e">
        <f t="shared" si="10"/>
        <v>#DIV/0!</v>
      </c>
      <c r="R42" t="e">
        <f t="shared" ref="R42:U45" si="11">R$37*(R$38-R27)</f>
        <v>#DIV/0!</v>
      </c>
      <c r="S42" t="e">
        <f t="shared" si="11"/>
        <v>#DIV/0!</v>
      </c>
      <c r="T42" t="e">
        <f t="shared" si="11"/>
        <v>#DIV/0!</v>
      </c>
      <c r="U42" t="e">
        <f t="shared" si="11"/>
        <v>#DIV/0!</v>
      </c>
    </row>
    <row r="43" spans="1:23" x14ac:dyDescent="0.4">
      <c r="A43" s="2" t="s">
        <v>2</v>
      </c>
      <c r="B43">
        <f>B$37*(B$38-B28)</f>
        <v>4.2444904214203092</v>
      </c>
      <c r="C43">
        <f t="shared" ref="C43:Q43" si="12">C$37*(C$38-C28)</f>
        <v>2.3323731173044409</v>
      </c>
      <c r="D43" t="e">
        <f t="shared" si="12"/>
        <v>#DIV/0!</v>
      </c>
      <c r="E43" t="e">
        <f t="shared" si="12"/>
        <v>#DIV/0!</v>
      </c>
      <c r="F43" t="e">
        <f t="shared" si="12"/>
        <v>#DIV/0!</v>
      </c>
      <c r="G43" t="e">
        <f t="shared" si="12"/>
        <v>#DIV/0!</v>
      </c>
      <c r="H43" t="e">
        <f t="shared" si="12"/>
        <v>#DIV/0!</v>
      </c>
      <c r="I43" t="e">
        <f t="shared" si="12"/>
        <v>#DIV/0!</v>
      </c>
      <c r="J43" t="e">
        <f t="shared" si="12"/>
        <v>#DIV/0!</v>
      </c>
      <c r="K43" t="e">
        <f t="shared" si="12"/>
        <v>#DIV/0!</v>
      </c>
      <c r="L43" t="e">
        <f t="shared" si="12"/>
        <v>#DIV/0!</v>
      </c>
      <c r="M43" t="e">
        <f t="shared" si="12"/>
        <v>#DIV/0!</v>
      </c>
      <c r="N43" t="e">
        <f t="shared" si="12"/>
        <v>#DIV/0!</v>
      </c>
      <c r="O43" t="e">
        <f t="shared" si="12"/>
        <v>#DIV/0!</v>
      </c>
      <c r="P43" t="e">
        <f t="shared" si="12"/>
        <v>#DIV/0!</v>
      </c>
      <c r="Q43" t="e">
        <f t="shared" si="12"/>
        <v>#DIV/0!</v>
      </c>
      <c r="R43" t="e">
        <f t="shared" si="11"/>
        <v>#DIV/0!</v>
      </c>
      <c r="S43" t="e">
        <f t="shared" si="11"/>
        <v>#DIV/0!</v>
      </c>
      <c r="T43" t="e">
        <f t="shared" si="11"/>
        <v>#DIV/0!</v>
      </c>
      <c r="U43" t="e">
        <f t="shared" si="11"/>
        <v>#DIV/0!</v>
      </c>
    </row>
    <row r="44" spans="1:23" x14ac:dyDescent="0.4">
      <c r="A44" s="2" t="s">
        <v>3</v>
      </c>
      <c r="B44">
        <f>B$37*(B$38-B29)</f>
        <v>3.191869098234331</v>
      </c>
      <c r="C44">
        <f t="shared" ref="C44:Q44" si="13">C$37*(C$38-C29)</f>
        <v>1.8883478305660684</v>
      </c>
      <c r="D44" t="e">
        <f t="shared" si="13"/>
        <v>#DIV/0!</v>
      </c>
      <c r="E44" t="e">
        <f t="shared" si="13"/>
        <v>#DIV/0!</v>
      </c>
      <c r="F44" t="e">
        <f t="shared" si="13"/>
        <v>#DIV/0!</v>
      </c>
      <c r="G44" t="e">
        <f t="shared" si="13"/>
        <v>#DIV/0!</v>
      </c>
      <c r="H44" t="e">
        <f t="shared" si="13"/>
        <v>#DIV/0!</v>
      </c>
      <c r="I44" t="e">
        <f t="shared" si="13"/>
        <v>#DIV/0!</v>
      </c>
      <c r="J44" t="e">
        <f t="shared" si="13"/>
        <v>#DIV/0!</v>
      </c>
      <c r="K44" t="e">
        <f t="shared" si="13"/>
        <v>#DIV/0!</v>
      </c>
      <c r="L44" t="e">
        <f t="shared" si="13"/>
        <v>#DIV/0!</v>
      </c>
      <c r="M44" t="e">
        <f t="shared" si="13"/>
        <v>#DIV/0!</v>
      </c>
      <c r="N44" t="e">
        <f t="shared" si="13"/>
        <v>#DIV/0!</v>
      </c>
      <c r="O44" t="e">
        <f t="shared" si="13"/>
        <v>#DIV/0!</v>
      </c>
      <c r="P44" t="e">
        <f t="shared" si="13"/>
        <v>#DIV/0!</v>
      </c>
      <c r="Q44" t="e">
        <f t="shared" si="13"/>
        <v>#DIV/0!</v>
      </c>
      <c r="R44" t="e">
        <f t="shared" si="11"/>
        <v>#DIV/0!</v>
      </c>
      <c r="S44" t="e">
        <f t="shared" si="11"/>
        <v>#DIV/0!</v>
      </c>
      <c r="T44" t="e">
        <f t="shared" si="11"/>
        <v>#DIV/0!</v>
      </c>
      <c r="U44" t="e">
        <f t="shared" si="11"/>
        <v>#DIV/0!</v>
      </c>
    </row>
    <row r="45" spans="1:23" x14ac:dyDescent="0.4">
      <c r="A45" s="2" t="s">
        <v>4</v>
      </c>
      <c r="B45">
        <f>B$37*(B$38-B30)</f>
        <v>2.787491863845696</v>
      </c>
      <c r="C45">
        <f t="shared" ref="C45:Q45" si="14">C$37*(C$38-C30)</f>
        <v>1.716265741528908</v>
      </c>
      <c r="D45" t="e">
        <f t="shared" si="14"/>
        <v>#DIV/0!</v>
      </c>
      <c r="E45" t="e">
        <f t="shared" si="14"/>
        <v>#DIV/0!</v>
      </c>
      <c r="F45" t="e">
        <f t="shared" si="14"/>
        <v>#DIV/0!</v>
      </c>
      <c r="G45" t="e">
        <f t="shared" si="14"/>
        <v>#DIV/0!</v>
      </c>
      <c r="H45" t="e">
        <f t="shared" si="14"/>
        <v>#DIV/0!</v>
      </c>
      <c r="I45" t="e">
        <f t="shared" si="14"/>
        <v>#DIV/0!</v>
      </c>
      <c r="J45" t="e">
        <f t="shared" si="14"/>
        <v>#DIV/0!</v>
      </c>
      <c r="K45" t="e">
        <f t="shared" si="14"/>
        <v>#DIV/0!</v>
      </c>
      <c r="L45" t="e">
        <f t="shared" si="14"/>
        <v>#DIV/0!</v>
      </c>
      <c r="M45" t="e">
        <f t="shared" si="14"/>
        <v>#DIV/0!</v>
      </c>
      <c r="N45" t="e">
        <f t="shared" si="14"/>
        <v>#DIV/0!</v>
      </c>
      <c r="O45" t="e">
        <f t="shared" si="14"/>
        <v>#DIV/0!</v>
      </c>
      <c r="P45" t="e">
        <f t="shared" si="14"/>
        <v>#DIV/0!</v>
      </c>
      <c r="Q45" t="e">
        <f t="shared" si="14"/>
        <v>#DIV/0!</v>
      </c>
      <c r="R45" t="e">
        <f t="shared" si="11"/>
        <v>#DIV/0!</v>
      </c>
      <c r="S45" t="e">
        <f t="shared" si="11"/>
        <v>#DIV/0!</v>
      </c>
      <c r="T45" t="e">
        <f t="shared" si="11"/>
        <v>#DIV/0!</v>
      </c>
      <c r="U45" t="e">
        <f t="shared" si="11"/>
        <v>#DIV/0!</v>
      </c>
    </row>
    <row r="47" spans="1:23" x14ac:dyDescent="0.4">
      <c r="A47" s="4" t="s">
        <v>15</v>
      </c>
      <c r="B47" s="3" t="s">
        <v>17</v>
      </c>
      <c r="C47" s="3" t="s">
        <v>18</v>
      </c>
      <c r="D47" s="3" t="s">
        <v>19</v>
      </c>
      <c r="E47" s="3" t="s">
        <v>20</v>
      </c>
      <c r="F47" s="3" t="s">
        <v>21</v>
      </c>
      <c r="G47" s="3" t="s">
        <v>22</v>
      </c>
      <c r="H47" s="3" t="s">
        <v>23</v>
      </c>
      <c r="I47" s="3" t="s">
        <v>24</v>
      </c>
      <c r="J47" s="3" t="s">
        <v>25</v>
      </c>
      <c r="K47" s="3" t="s">
        <v>26</v>
      </c>
      <c r="L47" s="3" t="s">
        <v>27</v>
      </c>
      <c r="M47" s="3" t="s">
        <v>28</v>
      </c>
      <c r="N47" s="3" t="s">
        <v>29</v>
      </c>
      <c r="O47" s="3" t="s">
        <v>30</v>
      </c>
      <c r="P47" s="3" t="s">
        <v>31</v>
      </c>
      <c r="Q47" s="3" t="s">
        <v>32</v>
      </c>
      <c r="R47" s="3" t="s">
        <v>33</v>
      </c>
      <c r="S47" s="3" t="s">
        <v>34</v>
      </c>
      <c r="T47" s="3" t="s">
        <v>35</v>
      </c>
      <c r="U47" s="3" t="s">
        <v>36</v>
      </c>
    </row>
    <row r="48" spans="1:23" x14ac:dyDescent="0.4">
      <c r="A48" s="2" t="s">
        <v>0</v>
      </c>
      <c r="B48">
        <f>B18-B41</f>
        <v>-0.22650572666797686</v>
      </c>
      <c r="C48">
        <f t="shared" ref="C48:U48" si="15">C18-C41</f>
        <v>-0.16904672945432253</v>
      </c>
      <c r="D48" t="e">
        <f t="shared" si="15"/>
        <v>#DIV/0!</v>
      </c>
      <c r="E48" t="e">
        <f t="shared" si="15"/>
        <v>#DIV/0!</v>
      </c>
      <c r="F48" t="e">
        <f t="shared" si="15"/>
        <v>#DIV/0!</v>
      </c>
      <c r="G48" t="e">
        <f t="shared" si="15"/>
        <v>#DIV/0!</v>
      </c>
      <c r="H48" t="e">
        <f t="shared" si="15"/>
        <v>#DIV/0!</v>
      </c>
      <c r="I48" t="e">
        <f t="shared" si="15"/>
        <v>#DIV/0!</v>
      </c>
      <c r="J48" t="e">
        <f t="shared" si="15"/>
        <v>#DIV/0!</v>
      </c>
      <c r="K48" t="e">
        <f t="shared" si="15"/>
        <v>#DIV/0!</v>
      </c>
      <c r="L48" t="e">
        <f t="shared" si="15"/>
        <v>#DIV/0!</v>
      </c>
      <c r="M48" t="e">
        <f t="shared" si="15"/>
        <v>#DIV/0!</v>
      </c>
      <c r="N48" t="e">
        <f t="shared" si="15"/>
        <v>#DIV/0!</v>
      </c>
      <c r="O48" t="e">
        <f t="shared" si="15"/>
        <v>#DIV/0!</v>
      </c>
      <c r="P48" t="e">
        <f t="shared" si="15"/>
        <v>#DIV/0!</v>
      </c>
      <c r="Q48" t="e">
        <f t="shared" si="15"/>
        <v>#DIV/0!</v>
      </c>
      <c r="R48" t="e">
        <f t="shared" si="15"/>
        <v>#DIV/0!</v>
      </c>
      <c r="S48" t="e">
        <f t="shared" si="15"/>
        <v>#DIV/0!</v>
      </c>
      <c r="T48" t="e">
        <f t="shared" si="15"/>
        <v>#DIV/0!</v>
      </c>
      <c r="U48" t="e">
        <f t="shared" si="15"/>
        <v>#DIV/0!</v>
      </c>
    </row>
    <row r="49" spans="1:22" x14ac:dyDescent="0.4">
      <c r="A49" s="2" t="s">
        <v>1</v>
      </c>
      <c r="B49">
        <f t="shared" ref="B49:U49" si="16">B19-B42</f>
        <v>0.62823294718596401</v>
      </c>
      <c r="C49">
        <f t="shared" si="16"/>
        <v>0.31056915194878343</v>
      </c>
      <c r="D49" t="e">
        <f t="shared" si="16"/>
        <v>#DIV/0!</v>
      </c>
      <c r="E49" t="e">
        <f t="shared" si="16"/>
        <v>#DIV/0!</v>
      </c>
      <c r="F49" t="e">
        <f t="shared" si="16"/>
        <v>#DIV/0!</v>
      </c>
      <c r="G49" t="e">
        <f t="shared" si="16"/>
        <v>#DIV/0!</v>
      </c>
      <c r="H49" t="e">
        <f t="shared" si="16"/>
        <v>#DIV/0!</v>
      </c>
      <c r="I49" t="e">
        <f t="shared" si="16"/>
        <v>#DIV/0!</v>
      </c>
      <c r="J49" t="e">
        <f t="shared" si="16"/>
        <v>#DIV/0!</v>
      </c>
      <c r="K49" t="e">
        <f t="shared" si="16"/>
        <v>#DIV/0!</v>
      </c>
      <c r="L49" t="e">
        <f t="shared" si="16"/>
        <v>#DIV/0!</v>
      </c>
      <c r="M49" t="e">
        <f t="shared" si="16"/>
        <v>#DIV/0!</v>
      </c>
      <c r="N49" t="e">
        <f t="shared" si="16"/>
        <v>#DIV/0!</v>
      </c>
      <c r="O49" t="e">
        <f t="shared" si="16"/>
        <v>#DIV/0!</v>
      </c>
      <c r="P49" t="e">
        <f t="shared" si="16"/>
        <v>#DIV/0!</v>
      </c>
      <c r="Q49" t="e">
        <f t="shared" si="16"/>
        <v>#DIV/0!</v>
      </c>
      <c r="R49" t="e">
        <f t="shared" si="16"/>
        <v>#DIV/0!</v>
      </c>
      <c r="S49" t="e">
        <f t="shared" si="16"/>
        <v>#DIV/0!</v>
      </c>
      <c r="T49" t="e">
        <f t="shared" si="16"/>
        <v>#DIV/0!</v>
      </c>
      <c r="U49" t="e">
        <f t="shared" si="16"/>
        <v>#DIV/0!</v>
      </c>
    </row>
    <row r="50" spans="1:22" x14ac:dyDescent="0.4">
      <c r="A50" s="2" t="s">
        <v>2</v>
      </c>
      <c r="B50">
        <f t="shared" ref="B50:U50" si="17">B20-B43</f>
        <v>-0.30451307147693418</v>
      </c>
      <c r="C50">
        <f t="shared" si="17"/>
        <v>-0.12149631375283132</v>
      </c>
      <c r="D50" t="e">
        <f t="shared" si="17"/>
        <v>#DIV/0!</v>
      </c>
      <c r="E50" t="e">
        <f t="shared" si="17"/>
        <v>#DIV/0!</v>
      </c>
      <c r="F50" t="e">
        <f t="shared" si="17"/>
        <v>#DIV/0!</v>
      </c>
      <c r="G50" t="e">
        <f t="shared" si="17"/>
        <v>#DIV/0!</v>
      </c>
      <c r="H50" t="e">
        <f t="shared" si="17"/>
        <v>#DIV/0!</v>
      </c>
      <c r="I50" t="e">
        <f t="shared" si="17"/>
        <v>#DIV/0!</v>
      </c>
      <c r="J50" t="e">
        <f t="shared" si="17"/>
        <v>#DIV/0!</v>
      </c>
      <c r="K50" t="e">
        <f t="shared" si="17"/>
        <v>#DIV/0!</v>
      </c>
      <c r="L50" t="e">
        <f t="shared" si="17"/>
        <v>#DIV/0!</v>
      </c>
      <c r="M50" t="e">
        <f t="shared" si="17"/>
        <v>#DIV/0!</v>
      </c>
      <c r="N50" t="e">
        <f t="shared" si="17"/>
        <v>#DIV/0!</v>
      </c>
      <c r="O50" t="e">
        <f t="shared" si="17"/>
        <v>#DIV/0!</v>
      </c>
      <c r="P50" t="e">
        <f t="shared" si="17"/>
        <v>#DIV/0!</v>
      </c>
      <c r="Q50" t="e">
        <f t="shared" si="17"/>
        <v>#DIV/0!</v>
      </c>
      <c r="R50" t="e">
        <f t="shared" si="17"/>
        <v>#DIV/0!</v>
      </c>
      <c r="S50" t="e">
        <f t="shared" si="17"/>
        <v>#DIV/0!</v>
      </c>
      <c r="T50" t="e">
        <f t="shared" si="17"/>
        <v>#DIV/0!</v>
      </c>
      <c r="U50" t="e">
        <f t="shared" si="17"/>
        <v>#DIV/0!</v>
      </c>
    </row>
    <row r="51" spans="1:22" x14ac:dyDescent="0.4">
      <c r="A51" s="2" t="s">
        <v>3</v>
      </c>
      <c r="B51">
        <f t="shared" ref="B51:U51" si="18">B21-B44</f>
        <v>-0.52951850062476913</v>
      </c>
      <c r="C51">
        <f t="shared" si="18"/>
        <v>0.15939752752411751</v>
      </c>
      <c r="D51" t="e">
        <f t="shared" si="18"/>
        <v>#DIV/0!</v>
      </c>
      <c r="E51" t="e">
        <f t="shared" si="18"/>
        <v>#DIV/0!</v>
      </c>
      <c r="F51" t="e">
        <f t="shared" si="18"/>
        <v>#DIV/0!</v>
      </c>
      <c r="G51" t="e">
        <f t="shared" si="18"/>
        <v>#DIV/0!</v>
      </c>
      <c r="H51" t="e">
        <f t="shared" si="18"/>
        <v>#DIV/0!</v>
      </c>
      <c r="I51" t="e">
        <f t="shared" si="18"/>
        <v>#DIV/0!</v>
      </c>
      <c r="J51" t="e">
        <f t="shared" si="18"/>
        <v>#DIV/0!</v>
      </c>
      <c r="K51" t="e">
        <f t="shared" si="18"/>
        <v>#DIV/0!</v>
      </c>
      <c r="L51" t="e">
        <f t="shared" si="18"/>
        <v>#DIV/0!</v>
      </c>
      <c r="M51" t="e">
        <f t="shared" si="18"/>
        <v>#DIV/0!</v>
      </c>
      <c r="N51" t="e">
        <f t="shared" si="18"/>
        <v>#DIV/0!</v>
      </c>
      <c r="O51" t="e">
        <f t="shared" si="18"/>
        <v>#DIV/0!</v>
      </c>
      <c r="P51" t="e">
        <f t="shared" si="18"/>
        <v>#DIV/0!</v>
      </c>
      <c r="Q51" t="e">
        <f t="shared" si="18"/>
        <v>#DIV/0!</v>
      </c>
      <c r="R51" t="e">
        <f t="shared" si="18"/>
        <v>#DIV/0!</v>
      </c>
      <c r="S51" t="e">
        <f t="shared" si="18"/>
        <v>#DIV/0!</v>
      </c>
      <c r="T51" t="e">
        <f t="shared" si="18"/>
        <v>#DIV/0!</v>
      </c>
      <c r="U51" t="e">
        <f t="shared" si="18"/>
        <v>#DIV/0!</v>
      </c>
    </row>
    <row r="52" spans="1:22" x14ac:dyDescent="0.4">
      <c r="A52" s="2" t="s">
        <v>4</v>
      </c>
      <c r="B52">
        <f t="shared" ref="B52:U52" si="19">B22-B45</f>
        <v>0.43230435158370728</v>
      </c>
      <c r="C52">
        <f t="shared" si="19"/>
        <v>-0.1794236362657502</v>
      </c>
      <c r="D52" t="e">
        <f t="shared" si="19"/>
        <v>#DIV/0!</v>
      </c>
      <c r="E52" t="e">
        <f t="shared" si="19"/>
        <v>#DIV/0!</v>
      </c>
      <c r="F52" t="e">
        <f t="shared" si="19"/>
        <v>#DIV/0!</v>
      </c>
      <c r="G52" t="e">
        <f t="shared" si="19"/>
        <v>#DIV/0!</v>
      </c>
      <c r="H52" t="e">
        <f t="shared" si="19"/>
        <v>#DIV/0!</v>
      </c>
      <c r="I52" t="e">
        <f t="shared" si="19"/>
        <v>#DIV/0!</v>
      </c>
      <c r="J52" t="e">
        <f t="shared" si="19"/>
        <v>#DIV/0!</v>
      </c>
      <c r="K52" t="e">
        <f t="shared" si="19"/>
        <v>#DIV/0!</v>
      </c>
      <c r="L52" t="e">
        <f t="shared" si="19"/>
        <v>#DIV/0!</v>
      </c>
      <c r="M52" t="e">
        <f t="shared" si="19"/>
        <v>#DIV/0!</v>
      </c>
      <c r="N52" t="e">
        <f t="shared" si="19"/>
        <v>#DIV/0!</v>
      </c>
      <c r="O52" t="e">
        <f t="shared" si="19"/>
        <v>#DIV/0!</v>
      </c>
      <c r="P52" t="e">
        <f t="shared" si="19"/>
        <v>#DIV/0!</v>
      </c>
      <c r="Q52" t="e">
        <f t="shared" si="19"/>
        <v>#DIV/0!</v>
      </c>
      <c r="R52" t="e">
        <f t="shared" si="19"/>
        <v>#DIV/0!</v>
      </c>
      <c r="S52" t="e">
        <f t="shared" si="19"/>
        <v>#DIV/0!</v>
      </c>
      <c r="T52" t="e">
        <f t="shared" si="19"/>
        <v>#DIV/0!</v>
      </c>
      <c r="U52" t="e">
        <f t="shared" si="19"/>
        <v>#DIV/0!</v>
      </c>
    </row>
    <row r="54" spans="1:22" x14ac:dyDescent="0.4">
      <c r="A54" s="4" t="s">
        <v>16</v>
      </c>
      <c r="B54" s="3" t="s">
        <v>17</v>
      </c>
      <c r="C54" s="3" t="s">
        <v>18</v>
      </c>
      <c r="D54" s="3" t="s">
        <v>19</v>
      </c>
      <c r="E54" s="3" t="s">
        <v>20</v>
      </c>
      <c r="F54" s="3" t="s">
        <v>21</v>
      </c>
      <c r="G54" s="3" t="s">
        <v>22</v>
      </c>
      <c r="H54" s="3" t="s">
        <v>23</v>
      </c>
      <c r="I54" s="3" t="s">
        <v>24</v>
      </c>
      <c r="J54" s="3" t="s">
        <v>25</v>
      </c>
      <c r="K54" s="3" t="s">
        <v>26</v>
      </c>
      <c r="L54" s="3" t="s">
        <v>27</v>
      </c>
      <c r="M54" s="3" t="s">
        <v>28</v>
      </c>
      <c r="N54" s="3" t="s">
        <v>29</v>
      </c>
      <c r="O54" s="3" t="s">
        <v>30</v>
      </c>
      <c r="P54" s="3" t="s">
        <v>31</v>
      </c>
      <c r="Q54" s="3" t="s">
        <v>32</v>
      </c>
      <c r="R54" s="3" t="s">
        <v>33</v>
      </c>
      <c r="S54" s="3" t="s">
        <v>34</v>
      </c>
      <c r="T54" s="3" t="s">
        <v>35</v>
      </c>
      <c r="U54" s="3" t="s">
        <v>36</v>
      </c>
      <c r="V54" s="8" t="s">
        <v>14</v>
      </c>
    </row>
    <row r="55" spans="1:22" x14ac:dyDescent="0.4">
      <c r="A55" s="2" t="s">
        <v>0</v>
      </c>
      <c r="B55">
        <f>B48^2</f>
        <v>5.130484421338824E-2</v>
      </c>
      <c r="C55">
        <f t="shared" ref="C55:U55" si="20">C48^2</f>
        <v>2.8576796739202916E-2</v>
      </c>
      <c r="D55" t="e">
        <f t="shared" si="20"/>
        <v>#DIV/0!</v>
      </c>
      <c r="E55" t="e">
        <f t="shared" si="20"/>
        <v>#DIV/0!</v>
      </c>
      <c r="F55" t="e">
        <f t="shared" si="20"/>
        <v>#DIV/0!</v>
      </c>
      <c r="G55" t="e">
        <f t="shared" si="20"/>
        <v>#DIV/0!</v>
      </c>
      <c r="H55" t="e">
        <f t="shared" si="20"/>
        <v>#DIV/0!</v>
      </c>
      <c r="I55" t="e">
        <f t="shared" si="20"/>
        <v>#DIV/0!</v>
      </c>
      <c r="J55" t="e">
        <f t="shared" si="20"/>
        <v>#DIV/0!</v>
      </c>
      <c r="K55" t="e">
        <f t="shared" si="20"/>
        <v>#DIV/0!</v>
      </c>
      <c r="L55" t="e">
        <f t="shared" si="20"/>
        <v>#DIV/0!</v>
      </c>
      <c r="M55" t="e">
        <f t="shared" si="20"/>
        <v>#DIV/0!</v>
      </c>
      <c r="N55" t="e">
        <f t="shared" si="20"/>
        <v>#DIV/0!</v>
      </c>
      <c r="O55" t="e">
        <f t="shared" si="20"/>
        <v>#DIV/0!</v>
      </c>
      <c r="P55" t="e">
        <f t="shared" si="20"/>
        <v>#DIV/0!</v>
      </c>
      <c r="Q55" t="e">
        <f t="shared" si="20"/>
        <v>#DIV/0!</v>
      </c>
      <c r="R55" t="e">
        <f t="shared" si="20"/>
        <v>#DIV/0!</v>
      </c>
      <c r="S55" t="e">
        <f t="shared" si="20"/>
        <v>#DIV/0!</v>
      </c>
      <c r="T55" t="e">
        <f t="shared" si="20"/>
        <v>#DIV/0!</v>
      </c>
      <c r="U55" t="e">
        <f t="shared" si="20"/>
        <v>#DIV/0!</v>
      </c>
      <c r="V55" s="8" t="e">
        <f>SUM(B55:U59)</f>
        <v>#DIV/0!</v>
      </c>
    </row>
    <row r="56" spans="1:22" x14ac:dyDescent="0.4">
      <c r="A56" s="2" t="s">
        <v>1</v>
      </c>
      <c r="B56">
        <f t="shared" ref="B56:U56" si="21">B49^2</f>
        <v>0.39467663592996222</v>
      </c>
      <c r="C56">
        <f t="shared" si="21"/>
        <v>9.645319814218653E-2</v>
      </c>
      <c r="D56" t="e">
        <f t="shared" si="21"/>
        <v>#DIV/0!</v>
      </c>
      <c r="E56" t="e">
        <f t="shared" si="21"/>
        <v>#DIV/0!</v>
      </c>
      <c r="F56" t="e">
        <f t="shared" si="21"/>
        <v>#DIV/0!</v>
      </c>
      <c r="G56" t="e">
        <f t="shared" si="21"/>
        <v>#DIV/0!</v>
      </c>
      <c r="H56" t="e">
        <f t="shared" si="21"/>
        <v>#DIV/0!</v>
      </c>
      <c r="I56" t="e">
        <f t="shared" si="21"/>
        <v>#DIV/0!</v>
      </c>
      <c r="J56" t="e">
        <f t="shared" si="21"/>
        <v>#DIV/0!</v>
      </c>
      <c r="K56" t="e">
        <f t="shared" si="21"/>
        <v>#DIV/0!</v>
      </c>
      <c r="L56" t="e">
        <f t="shared" si="21"/>
        <v>#DIV/0!</v>
      </c>
      <c r="M56" t="e">
        <f t="shared" si="21"/>
        <v>#DIV/0!</v>
      </c>
      <c r="N56" t="e">
        <f t="shared" si="21"/>
        <v>#DIV/0!</v>
      </c>
      <c r="O56" t="e">
        <f t="shared" si="21"/>
        <v>#DIV/0!</v>
      </c>
      <c r="P56" t="e">
        <f t="shared" si="21"/>
        <v>#DIV/0!</v>
      </c>
      <c r="Q56" t="e">
        <f t="shared" si="21"/>
        <v>#DIV/0!</v>
      </c>
      <c r="R56" t="e">
        <f t="shared" si="21"/>
        <v>#DIV/0!</v>
      </c>
      <c r="S56" t="e">
        <f t="shared" si="21"/>
        <v>#DIV/0!</v>
      </c>
      <c r="T56" t="e">
        <f t="shared" si="21"/>
        <v>#DIV/0!</v>
      </c>
      <c r="U56" t="e">
        <f t="shared" si="21"/>
        <v>#DIV/0!</v>
      </c>
    </row>
    <row r="57" spans="1:22" x14ac:dyDescent="0.4">
      <c r="A57" s="2" t="s">
        <v>2</v>
      </c>
      <c r="B57">
        <f t="shared" ref="B57:U57" si="22">B50^2</f>
        <v>9.2728210700316421E-2</v>
      </c>
      <c r="C57">
        <f t="shared" si="22"/>
        <v>1.4761354255526429E-2</v>
      </c>
      <c r="D57" t="e">
        <f t="shared" si="22"/>
        <v>#DIV/0!</v>
      </c>
      <c r="E57" t="e">
        <f t="shared" si="22"/>
        <v>#DIV/0!</v>
      </c>
      <c r="F57" t="e">
        <f t="shared" si="22"/>
        <v>#DIV/0!</v>
      </c>
      <c r="G57" t="e">
        <f t="shared" si="22"/>
        <v>#DIV/0!</v>
      </c>
      <c r="H57" t="e">
        <f t="shared" si="22"/>
        <v>#DIV/0!</v>
      </c>
      <c r="I57" t="e">
        <f t="shared" si="22"/>
        <v>#DIV/0!</v>
      </c>
      <c r="J57" t="e">
        <f t="shared" si="22"/>
        <v>#DIV/0!</v>
      </c>
      <c r="K57" t="e">
        <f t="shared" si="22"/>
        <v>#DIV/0!</v>
      </c>
      <c r="L57" t="e">
        <f t="shared" si="22"/>
        <v>#DIV/0!</v>
      </c>
      <c r="M57" t="e">
        <f t="shared" si="22"/>
        <v>#DIV/0!</v>
      </c>
      <c r="N57" t="e">
        <f t="shared" si="22"/>
        <v>#DIV/0!</v>
      </c>
      <c r="O57" t="e">
        <f t="shared" si="22"/>
        <v>#DIV/0!</v>
      </c>
      <c r="P57" t="e">
        <f t="shared" si="22"/>
        <v>#DIV/0!</v>
      </c>
      <c r="Q57" t="e">
        <f t="shared" si="22"/>
        <v>#DIV/0!</v>
      </c>
      <c r="R57" t="e">
        <f t="shared" si="22"/>
        <v>#DIV/0!</v>
      </c>
      <c r="S57" t="e">
        <f t="shared" si="22"/>
        <v>#DIV/0!</v>
      </c>
      <c r="T57" t="e">
        <f t="shared" si="22"/>
        <v>#DIV/0!</v>
      </c>
      <c r="U57" t="e">
        <f t="shared" si="22"/>
        <v>#DIV/0!</v>
      </c>
    </row>
    <row r="58" spans="1:22" x14ac:dyDescent="0.4">
      <c r="A58" s="2" t="s">
        <v>3</v>
      </c>
      <c r="B58">
        <f t="shared" ref="B58:U58" si="23">B51^2</f>
        <v>0.28038984250390364</v>
      </c>
      <c r="C58">
        <f t="shared" si="23"/>
        <v>2.5407571780801799E-2</v>
      </c>
      <c r="D58" t="e">
        <f t="shared" si="23"/>
        <v>#DIV/0!</v>
      </c>
      <c r="E58" t="e">
        <f t="shared" si="23"/>
        <v>#DIV/0!</v>
      </c>
      <c r="F58" t="e">
        <f t="shared" si="23"/>
        <v>#DIV/0!</v>
      </c>
      <c r="G58" t="e">
        <f t="shared" si="23"/>
        <v>#DIV/0!</v>
      </c>
      <c r="H58" t="e">
        <f t="shared" si="23"/>
        <v>#DIV/0!</v>
      </c>
      <c r="I58" t="e">
        <f t="shared" si="23"/>
        <v>#DIV/0!</v>
      </c>
      <c r="J58" t="e">
        <f t="shared" si="23"/>
        <v>#DIV/0!</v>
      </c>
      <c r="K58" t="e">
        <f t="shared" si="23"/>
        <v>#DIV/0!</v>
      </c>
      <c r="L58" t="e">
        <f t="shared" si="23"/>
        <v>#DIV/0!</v>
      </c>
      <c r="M58" t="e">
        <f t="shared" si="23"/>
        <v>#DIV/0!</v>
      </c>
      <c r="N58" t="e">
        <f t="shared" si="23"/>
        <v>#DIV/0!</v>
      </c>
      <c r="O58" t="e">
        <f t="shared" si="23"/>
        <v>#DIV/0!</v>
      </c>
      <c r="P58" t="e">
        <f t="shared" si="23"/>
        <v>#DIV/0!</v>
      </c>
      <c r="Q58" t="e">
        <f t="shared" si="23"/>
        <v>#DIV/0!</v>
      </c>
      <c r="R58" t="e">
        <f t="shared" si="23"/>
        <v>#DIV/0!</v>
      </c>
      <c r="S58" t="e">
        <f t="shared" si="23"/>
        <v>#DIV/0!</v>
      </c>
      <c r="T58" t="e">
        <f t="shared" si="23"/>
        <v>#DIV/0!</v>
      </c>
      <c r="U58" t="e">
        <f t="shared" si="23"/>
        <v>#DIV/0!</v>
      </c>
    </row>
    <row r="59" spans="1:22" x14ac:dyDescent="0.4">
      <c r="A59" s="2" t="s">
        <v>4</v>
      </c>
      <c r="B59">
        <f t="shared" ref="B59:U59" si="24">B52^2</f>
        <v>0.1868870523982096</v>
      </c>
      <c r="C59">
        <f t="shared" si="24"/>
        <v>3.2192841250824229E-2</v>
      </c>
      <c r="D59" t="e">
        <f t="shared" si="24"/>
        <v>#DIV/0!</v>
      </c>
      <c r="E59" t="e">
        <f t="shared" si="24"/>
        <v>#DIV/0!</v>
      </c>
      <c r="F59" t="e">
        <f t="shared" si="24"/>
        <v>#DIV/0!</v>
      </c>
      <c r="G59" t="e">
        <f t="shared" si="24"/>
        <v>#DIV/0!</v>
      </c>
      <c r="H59" t="e">
        <f t="shared" si="24"/>
        <v>#DIV/0!</v>
      </c>
      <c r="I59" t="e">
        <f t="shared" si="24"/>
        <v>#DIV/0!</v>
      </c>
      <c r="J59" t="e">
        <f t="shared" si="24"/>
        <v>#DIV/0!</v>
      </c>
      <c r="K59" t="e">
        <f t="shared" si="24"/>
        <v>#DIV/0!</v>
      </c>
      <c r="L59" t="e">
        <f t="shared" si="24"/>
        <v>#DIV/0!</v>
      </c>
      <c r="M59" t="e">
        <f t="shared" si="24"/>
        <v>#DIV/0!</v>
      </c>
      <c r="N59" t="e">
        <f t="shared" si="24"/>
        <v>#DIV/0!</v>
      </c>
      <c r="O59" t="e">
        <f t="shared" si="24"/>
        <v>#DIV/0!</v>
      </c>
      <c r="P59" t="e">
        <f t="shared" si="24"/>
        <v>#DIV/0!</v>
      </c>
      <c r="Q59" t="e">
        <f t="shared" si="24"/>
        <v>#DIV/0!</v>
      </c>
      <c r="R59" t="e">
        <f t="shared" si="24"/>
        <v>#DIV/0!</v>
      </c>
      <c r="S59" t="e">
        <f t="shared" si="24"/>
        <v>#DIV/0!</v>
      </c>
      <c r="T59" t="e">
        <f t="shared" si="24"/>
        <v>#DIV/0!</v>
      </c>
      <c r="U59" t="e">
        <f t="shared" si="24"/>
        <v>#DIV/0!</v>
      </c>
    </row>
  </sheetData>
  <phoneticPr fontId="18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6"/>
  <sheetViews>
    <sheetView topLeftCell="A37" zoomScaleNormal="100" workbookViewId="0">
      <selection activeCell="A39" sqref="A39:XFD42"/>
    </sheetView>
  </sheetViews>
  <sheetFormatPr defaultRowHeight="18.75" x14ac:dyDescent="0.4"/>
  <cols>
    <col min="1" max="1" width="15" bestFit="1" customWidth="1"/>
    <col min="22" max="22" width="13.25" bestFit="1" customWidth="1"/>
  </cols>
  <sheetData>
    <row r="1" spans="1:21" x14ac:dyDescent="0.4">
      <c r="A1" s="4" t="s">
        <v>5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</row>
    <row r="2" spans="1:21" x14ac:dyDescent="0.4">
      <c r="A2" s="2" t="s">
        <v>0</v>
      </c>
      <c r="B2">
        <v>24022</v>
      </c>
      <c r="C2">
        <v>4276</v>
      </c>
      <c r="D2">
        <v>7450</v>
      </c>
      <c r="E2">
        <v>23132</v>
      </c>
      <c r="F2">
        <v>13507</v>
      </c>
      <c r="G2">
        <v>148494</v>
      </c>
      <c r="H2">
        <v>48408</v>
      </c>
      <c r="I2">
        <v>204922</v>
      </c>
      <c r="J2">
        <v>26125</v>
      </c>
      <c r="K2">
        <v>5583</v>
      </c>
      <c r="L2">
        <v>21249</v>
      </c>
      <c r="M2">
        <v>58745</v>
      </c>
      <c r="N2">
        <v>103399</v>
      </c>
      <c r="O2">
        <v>55053</v>
      </c>
      <c r="P2">
        <v>91129</v>
      </c>
      <c r="Q2">
        <v>12014</v>
      </c>
      <c r="R2">
        <v>10741</v>
      </c>
      <c r="S2">
        <v>13394</v>
      </c>
      <c r="T2">
        <v>6982</v>
      </c>
      <c r="U2">
        <v>35006</v>
      </c>
    </row>
    <row r="3" spans="1:21" x14ac:dyDescent="0.4">
      <c r="A3" s="2" t="s">
        <v>1</v>
      </c>
      <c r="B3">
        <v>14737</v>
      </c>
      <c r="C3">
        <v>3847</v>
      </c>
      <c r="D3">
        <v>2665</v>
      </c>
      <c r="E3">
        <v>20700</v>
      </c>
      <c r="F3">
        <v>7715</v>
      </c>
      <c r="G3">
        <v>69144</v>
      </c>
      <c r="H3">
        <v>26141</v>
      </c>
      <c r="I3">
        <v>91441</v>
      </c>
      <c r="J3">
        <v>9528</v>
      </c>
      <c r="K3">
        <v>7632</v>
      </c>
      <c r="L3">
        <v>10556</v>
      </c>
      <c r="M3">
        <v>30174</v>
      </c>
      <c r="N3">
        <v>36988</v>
      </c>
      <c r="O3">
        <v>22580</v>
      </c>
      <c r="P3">
        <v>39789</v>
      </c>
      <c r="Q3">
        <v>9991</v>
      </c>
      <c r="R3">
        <v>9961</v>
      </c>
      <c r="S3">
        <v>7198</v>
      </c>
      <c r="T3">
        <v>8121</v>
      </c>
      <c r="U3">
        <v>18951</v>
      </c>
    </row>
    <row r="4" spans="1:21" x14ac:dyDescent="0.4">
      <c r="A4" s="2" t="s">
        <v>2</v>
      </c>
      <c r="B4">
        <v>6958</v>
      </c>
      <c r="C4">
        <v>1992</v>
      </c>
      <c r="D4">
        <v>2349</v>
      </c>
      <c r="E4">
        <v>10753</v>
      </c>
      <c r="F4">
        <v>4382</v>
      </c>
      <c r="G4">
        <v>41898</v>
      </c>
      <c r="H4">
        <v>9253</v>
      </c>
      <c r="I4">
        <v>46768</v>
      </c>
      <c r="J4">
        <v>16941</v>
      </c>
      <c r="K4">
        <v>3869</v>
      </c>
      <c r="L4">
        <v>3200</v>
      </c>
      <c r="M4">
        <v>18598</v>
      </c>
      <c r="N4">
        <v>25735</v>
      </c>
      <c r="O4">
        <v>17921</v>
      </c>
      <c r="P4">
        <v>25045</v>
      </c>
      <c r="Q4">
        <v>5217</v>
      </c>
      <c r="R4">
        <v>3995</v>
      </c>
      <c r="S4">
        <v>6504</v>
      </c>
      <c r="T4">
        <v>4392</v>
      </c>
      <c r="U4">
        <v>11864</v>
      </c>
    </row>
    <row r="5" spans="1:21" x14ac:dyDescent="0.4">
      <c r="A5" s="2" t="s">
        <v>3</v>
      </c>
      <c r="B5">
        <v>2673</v>
      </c>
      <c r="C5">
        <v>772</v>
      </c>
      <c r="D5">
        <v>904</v>
      </c>
      <c r="E5">
        <v>3420</v>
      </c>
      <c r="F5">
        <v>1579</v>
      </c>
      <c r="G5">
        <v>12075</v>
      </c>
      <c r="H5">
        <v>2621</v>
      </c>
      <c r="I5">
        <v>27121</v>
      </c>
      <c r="J5">
        <v>7096</v>
      </c>
      <c r="K5">
        <v>2618</v>
      </c>
      <c r="L5">
        <v>2225</v>
      </c>
      <c r="M5">
        <v>9125</v>
      </c>
      <c r="N5">
        <v>9123</v>
      </c>
      <c r="O5">
        <v>3593</v>
      </c>
      <c r="P5">
        <v>12065</v>
      </c>
      <c r="Q5">
        <v>4923</v>
      </c>
      <c r="R5">
        <v>1744</v>
      </c>
      <c r="S5">
        <v>2047</v>
      </c>
      <c r="T5">
        <v>1603</v>
      </c>
      <c r="U5">
        <v>3047</v>
      </c>
    </row>
    <row r="6" spans="1:21" x14ac:dyDescent="0.4">
      <c r="A6" s="2" t="s">
        <v>4</v>
      </c>
      <c r="B6">
        <v>2212</v>
      </c>
      <c r="C6">
        <v>146</v>
      </c>
      <c r="D6">
        <v>639</v>
      </c>
      <c r="E6">
        <v>3214</v>
      </c>
      <c r="F6">
        <v>457</v>
      </c>
      <c r="G6">
        <v>6661</v>
      </c>
      <c r="H6">
        <v>3693</v>
      </c>
      <c r="I6">
        <v>27555</v>
      </c>
      <c r="J6">
        <v>5949</v>
      </c>
      <c r="K6">
        <v>1896</v>
      </c>
      <c r="L6">
        <v>1499</v>
      </c>
      <c r="M6">
        <v>6284</v>
      </c>
      <c r="N6">
        <v>6580</v>
      </c>
      <c r="O6">
        <v>2653</v>
      </c>
      <c r="P6">
        <v>5179</v>
      </c>
      <c r="Q6">
        <v>3829</v>
      </c>
      <c r="R6">
        <v>1650</v>
      </c>
      <c r="S6">
        <v>1025</v>
      </c>
      <c r="T6">
        <v>1143</v>
      </c>
      <c r="U6">
        <v>3148</v>
      </c>
    </row>
    <row r="7" spans="1:21" x14ac:dyDescent="0.4">
      <c r="A7" s="1" t="s">
        <v>9</v>
      </c>
      <c r="B7" s="6">
        <f>SUM(B2:B6)</f>
        <v>50602</v>
      </c>
      <c r="C7" s="6">
        <f t="shared" ref="C7:U7" si="0">SUM(C2:C6)</f>
        <v>11033</v>
      </c>
      <c r="D7" s="6">
        <f t="shared" si="0"/>
        <v>14007</v>
      </c>
      <c r="E7" s="6">
        <f t="shared" si="0"/>
        <v>61219</v>
      </c>
      <c r="F7" s="6">
        <f t="shared" si="0"/>
        <v>27640</v>
      </c>
      <c r="G7" s="6">
        <f t="shared" si="0"/>
        <v>278272</v>
      </c>
      <c r="H7" s="6">
        <f t="shared" si="0"/>
        <v>90116</v>
      </c>
      <c r="I7" s="6">
        <f t="shared" si="0"/>
        <v>397807</v>
      </c>
      <c r="J7" s="6">
        <f t="shared" si="0"/>
        <v>65639</v>
      </c>
      <c r="K7" s="6">
        <f t="shared" si="0"/>
        <v>21598</v>
      </c>
      <c r="L7" s="6">
        <f t="shared" si="0"/>
        <v>38729</v>
      </c>
      <c r="M7" s="6">
        <f t="shared" si="0"/>
        <v>122926</v>
      </c>
      <c r="N7" s="6">
        <f t="shared" si="0"/>
        <v>181825</v>
      </c>
      <c r="O7" s="6">
        <f t="shared" si="0"/>
        <v>101800</v>
      </c>
      <c r="P7" s="6">
        <f t="shared" si="0"/>
        <v>173207</v>
      </c>
      <c r="Q7" s="6">
        <f t="shared" si="0"/>
        <v>35974</v>
      </c>
      <c r="R7" s="6">
        <f t="shared" si="0"/>
        <v>28091</v>
      </c>
      <c r="S7" s="6">
        <f t="shared" si="0"/>
        <v>30168</v>
      </c>
      <c r="T7" s="6">
        <f t="shared" si="0"/>
        <v>22241</v>
      </c>
      <c r="U7" s="6">
        <f t="shared" si="0"/>
        <v>72016</v>
      </c>
    </row>
    <row r="9" spans="1:21" x14ac:dyDescent="0.4">
      <c r="A9" s="4" t="s">
        <v>48</v>
      </c>
      <c r="B9" s="3" t="s">
        <v>17</v>
      </c>
      <c r="C9" s="3" t="s">
        <v>18</v>
      </c>
      <c r="D9" s="3" t="s">
        <v>19</v>
      </c>
      <c r="E9" s="3" t="s">
        <v>20</v>
      </c>
      <c r="F9" s="3" t="s">
        <v>21</v>
      </c>
      <c r="G9" s="3" t="s">
        <v>22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27</v>
      </c>
      <c r="M9" s="3" t="s">
        <v>28</v>
      </c>
      <c r="N9" s="3" t="s">
        <v>29</v>
      </c>
      <c r="O9" s="3" t="s">
        <v>30</v>
      </c>
      <c r="P9" s="3" t="s">
        <v>31</v>
      </c>
      <c r="Q9" s="3" t="s">
        <v>32</v>
      </c>
      <c r="R9" s="3" t="s">
        <v>33</v>
      </c>
      <c r="S9" s="3" t="s">
        <v>34</v>
      </c>
      <c r="T9" s="3" t="s">
        <v>35</v>
      </c>
      <c r="U9" s="3" t="s">
        <v>36</v>
      </c>
    </row>
    <row r="10" spans="1:21" x14ac:dyDescent="0.4">
      <c r="A10" s="2" t="s">
        <v>0</v>
      </c>
      <c r="B10">
        <v>2431</v>
      </c>
      <c r="C10">
        <v>1076</v>
      </c>
      <c r="D10">
        <v>1749</v>
      </c>
      <c r="E10">
        <v>2101</v>
      </c>
      <c r="F10">
        <v>2140</v>
      </c>
      <c r="G10">
        <v>3320</v>
      </c>
      <c r="H10">
        <v>2662</v>
      </c>
      <c r="I10">
        <v>2347</v>
      </c>
      <c r="J10">
        <v>2417</v>
      </c>
      <c r="K10">
        <v>1247</v>
      </c>
      <c r="L10">
        <v>1449</v>
      </c>
      <c r="M10">
        <v>1788</v>
      </c>
      <c r="N10">
        <v>2155</v>
      </c>
      <c r="O10">
        <v>1656</v>
      </c>
      <c r="P10">
        <v>1265</v>
      </c>
      <c r="Q10">
        <v>836</v>
      </c>
      <c r="R10">
        <v>983</v>
      </c>
      <c r="S10">
        <v>988</v>
      </c>
      <c r="T10">
        <v>599</v>
      </c>
      <c r="U10">
        <v>757</v>
      </c>
    </row>
    <row r="11" spans="1:21" x14ac:dyDescent="0.4">
      <c r="A11" s="2" t="s">
        <v>1</v>
      </c>
      <c r="B11">
        <v>2075</v>
      </c>
      <c r="C11">
        <v>1099</v>
      </c>
      <c r="D11">
        <v>1238</v>
      </c>
      <c r="E11">
        <v>2017</v>
      </c>
      <c r="F11">
        <v>1661</v>
      </c>
      <c r="G11">
        <v>2990</v>
      </c>
      <c r="H11">
        <v>2810</v>
      </c>
      <c r="I11">
        <v>2276</v>
      </c>
      <c r="J11">
        <v>1428</v>
      </c>
      <c r="K11">
        <v>1965</v>
      </c>
      <c r="L11">
        <v>1584</v>
      </c>
      <c r="M11">
        <v>1409</v>
      </c>
      <c r="N11">
        <v>1904</v>
      </c>
      <c r="O11">
        <v>1318</v>
      </c>
      <c r="P11">
        <v>1320</v>
      </c>
      <c r="Q11">
        <v>1295</v>
      </c>
      <c r="R11">
        <v>1191</v>
      </c>
      <c r="S11">
        <v>749</v>
      </c>
      <c r="T11">
        <v>713</v>
      </c>
      <c r="U11">
        <v>629</v>
      </c>
    </row>
    <row r="12" spans="1:21" x14ac:dyDescent="0.4">
      <c r="A12" s="2" t="s">
        <v>2</v>
      </c>
      <c r="B12">
        <v>1766</v>
      </c>
      <c r="C12">
        <v>901</v>
      </c>
      <c r="D12">
        <v>912</v>
      </c>
      <c r="E12">
        <v>1961</v>
      </c>
      <c r="F12">
        <v>1545</v>
      </c>
      <c r="G12">
        <v>3078</v>
      </c>
      <c r="H12">
        <v>2040</v>
      </c>
      <c r="I12">
        <v>2189</v>
      </c>
      <c r="J12">
        <v>2372</v>
      </c>
      <c r="K12">
        <v>1304</v>
      </c>
      <c r="L12">
        <v>766</v>
      </c>
      <c r="M12">
        <v>1455</v>
      </c>
      <c r="N12">
        <v>1953</v>
      </c>
      <c r="O12">
        <v>1576</v>
      </c>
      <c r="P12">
        <v>1221</v>
      </c>
      <c r="Q12">
        <v>799</v>
      </c>
      <c r="R12">
        <v>707</v>
      </c>
      <c r="S12">
        <v>885</v>
      </c>
      <c r="T12">
        <v>817</v>
      </c>
      <c r="U12">
        <v>676</v>
      </c>
    </row>
    <row r="13" spans="1:21" x14ac:dyDescent="0.4">
      <c r="A13" s="2" t="s">
        <v>3</v>
      </c>
      <c r="B13">
        <v>1004</v>
      </c>
      <c r="C13">
        <v>377</v>
      </c>
      <c r="D13">
        <v>378</v>
      </c>
      <c r="E13">
        <v>819</v>
      </c>
      <c r="F13">
        <v>623</v>
      </c>
      <c r="G13">
        <v>1298</v>
      </c>
      <c r="H13">
        <v>707</v>
      </c>
      <c r="I13">
        <v>1034</v>
      </c>
      <c r="J13">
        <v>1302</v>
      </c>
      <c r="K13">
        <v>1011</v>
      </c>
      <c r="L13">
        <v>525</v>
      </c>
      <c r="M13">
        <v>1036</v>
      </c>
      <c r="N13">
        <v>984</v>
      </c>
      <c r="O13">
        <v>778</v>
      </c>
      <c r="P13">
        <v>721</v>
      </c>
      <c r="Q13">
        <v>537</v>
      </c>
      <c r="R13">
        <v>400</v>
      </c>
      <c r="S13">
        <v>463</v>
      </c>
      <c r="T13">
        <v>441</v>
      </c>
      <c r="U13">
        <v>317</v>
      </c>
    </row>
    <row r="14" spans="1:21" x14ac:dyDescent="0.4">
      <c r="A14" s="2" t="s">
        <v>4</v>
      </c>
      <c r="B14">
        <v>687</v>
      </c>
      <c r="C14">
        <v>95</v>
      </c>
      <c r="D14">
        <v>244</v>
      </c>
      <c r="E14">
        <v>790</v>
      </c>
      <c r="F14">
        <v>222</v>
      </c>
      <c r="G14">
        <v>1369</v>
      </c>
      <c r="H14">
        <v>910</v>
      </c>
      <c r="I14">
        <v>1270</v>
      </c>
      <c r="J14">
        <v>1455</v>
      </c>
      <c r="K14">
        <v>658</v>
      </c>
      <c r="L14">
        <v>517</v>
      </c>
      <c r="M14">
        <v>803</v>
      </c>
      <c r="N14">
        <v>1049</v>
      </c>
      <c r="O14">
        <v>652</v>
      </c>
      <c r="P14">
        <v>407</v>
      </c>
      <c r="Q14">
        <v>767</v>
      </c>
      <c r="R14">
        <v>473</v>
      </c>
      <c r="S14">
        <v>339</v>
      </c>
      <c r="T14">
        <v>282</v>
      </c>
      <c r="U14">
        <v>370</v>
      </c>
    </row>
    <row r="15" spans="1:21" x14ac:dyDescent="0.4">
      <c r="A15" s="1" t="s">
        <v>9</v>
      </c>
      <c r="B15" s="6">
        <f>SUM(B10:B14)</f>
        <v>7963</v>
      </c>
      <c r="C15" s="6">
        <f t="shared" ref="C15:U15" si="1">SUM(C10:C14)</f>
        <v>3548</v>
      </c>
      <c r="D15" s="6">
        <f t="shared" si="1"/>
        <v>4521</v>
      </c>
      <c r="E15" s="6">
        <f t="shared" si="1"/>
        <v>7688</v>
      </c>
      <c r="F15" s="6">
        <f t="shared" si="1"/>
        <v>6191</v>
      </c>
      <c r="G15" s="6">
        <f t="shared" si="1"/>
        <v>12055</v>
      </c>
      <c r="H15" s="6">
        <f t="shared" si="1"/>
        <v>9129</v>
      </c>
      <c r="I15" s="6">
        <f t="shared" si="1"/>
        <v>9116</v>
      </c>
      <c r="J15" s="6">
        <f t="shared" si="1"/>
        <v>8974</v>
      </c>
      <c r="K15" s="6">
        <f t="shared" si="1"/>
        <v>6185</v>
      </c>
      <c r="L15" s="6">
        <f t="shared" si="1"/>
        <v>4841</v>
      </c>
      <c r="M15" s="6">
        <f t="shared" si="1"/>
        <v>6491</v>
      </c>
      <c r="N15" s="6">
        <f t="shared" si="1"/>
        <v>8045</v>
      </c>
      <c r="O15" s="6">
        <f t="shared" si="1"/>
        <v>5980</v>
      </c>
      <c r="P15" s="6">
        <f t="shared" si="1"/>
        <v>4934</v>
      </c>
      <c r="Q15" s="6">
        <f t="shared" si="1"/>
        <v>4234</v>
      </c>
      <c r="R15" s="6">
        <f t="shared" si="1"/>
        <v>3754</v>
      </c>
      <c r="S15" s="6">
        <f t="shared" si="1"/>
        <v>3424</v>
      </c>
      <c r="T15" s="6">
        <f t="shared" si="1"/>
        <v>2852</v>
      </c>
      <c r="U15" s="6">
        <f t="shared" si="1"/>
        <v>2749</v>
      </c>
    </row>
    <row r="17" spans="1:24" x14ac:dyDescent="0.4">
      <c r="A17" s="4" t="s">
        <v>7</v>
      </c>
      <c r="B17" s="3" t="s">
        <v>17</v>
      </c>
      <c r="C17" s="3" t="s">
        <v>18</v>
      </c>
      <c r="D17" s="3" t="s">
        <v>19</v>
      </c>
      <c r="E17" s="3" t="s">
        <v>20</v>
      </c>
      <c r="F17" s="3" t="s">
        <v>21</v>
      </c>
      <c r="G17" s="3" t="s">
        <v>22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27</v>
      </c>
      <c r="M17" s="3" t="s">
        <v>28</v>
      </c>
      <c r="N17" s="3" t="s">
        <v>29</v>
      </c>
      <c r="O17" s="3" t="s">
        <v>30</v>
      </c>
      <c r="P17" s="3" t="s">
        <v>31</v>
      </c>
      <c r="Q17" s="3" t="s">
        <v>32</v>
      </c>
      <c r="R17" s="3" t="s">
        <v>33</v>
      </c>
      <c r="S17" s="3" t="s">
        <v>34</v>
      </c>
      <c r="T17" s="3" t="s">
        <v>35</v>
      </c>
      <c r="U17" s="3" t="s">
        <v>36</v>
      </c>
    </row>
    <row r="18" spans="1:24" x14ac:dyDescent="0.4">
      <c r="A18" s="2" t="s">
        <v>0</v>
      </c>
      <c r="B18">
        <f t="shared" ref="B18:U18" si="2">B2/B10</f>
        <v>9.8815302344714109</v>
      </c>
      <c r="C18">
        <f t="shared" si="2"/>
        <v>3.9739776951672861</v>
      </c>
      <c r="D18">
        <f t="shared" si="2"/>
        <v>4.2595769010863354</v>
      </c>
      <c r="E18">
        <f t="shared" si="2"/>
        <v>11.009995240361732</v>
      </c>
      <c r="F18">
        <f t="shared" si="2"/>
        <v>6.3116822429906545</v>
      </c>
      <c r="G18">
        <f t="shared" si="2"/>
        <v>44.727108433734941</v>
      </c>
      <c r="H18">
        <f t="shared" si="2"/>
        <v>18.184823441021788</v>
      </c>
      <c r="I18">
        <f t="shared" si="2"/>
        <v>87.312313591819347</v>
      </c>
      <c r="J18">
        <f t="shared" si="2"/>
        <v>10.808853951179147</v>
      </c>
      <c r="K18">
        <f t="shared" si="2"/>
        <v>4.4771451483560547</v>
      </c>
      <c r="L18">
        <f t="shared" si="2"/>
        <v>14.664596273291925</v>
      </c>
      <c r="M18">
        <f t="shared" si="2"/>
        <v>32.855145413870247</v>
      </c>
      <c r="N18">
        <f t="shared" si="2"/>
        <v>47.980974477958235</v>
      </c>
      <c r="O18">
        <f t="shared" si="2"/>
        <v>33.244565217391305</v>
      </c>
      <c r="P18">
        <f t="shared" si="2"/>
        <v>72.038735177865618</v>
      </c>
      <c r="Q18">
        <f t="shared" si="2"/>
        <v>14.370813397129186</v>
      </c>
      <c r="R18">
        <f t="shared" si="2"/>
        <v>10.926754832146491</v>
      </c>
      <c r="S18">
        <f t="shared" si="2"/>
        <v>13.556680161943319</v>
      </c>
      <c r="T18">
        <f t="shared" si="2"/>
        <v>11.656093489148581</v>
      </c>
      <c r="U18">
        <f t="shared" si="2"/>
        <v>46.243064729194188</v>
      </c>
    </row>
    <row r="19" spans="1:24" x14ac:dyDescent="0.4">
      <c r="A19" s="2" t="s">
        <v>1</v>
      </c>
      <c r="B19">
        <f t="shared" ref="B19:U19" si="3">B3/B11</f>
        <v>7.1021686746987953</v>
      </c>
      <c r="C19">
        <f t="shared" si="3"/>
        <v>3.5004549590536853</v>
      </c>
      <c r="D19">
        <f t="shared" si="3"/>
        <v>2.1526655896607432</v>
      </c>
      <c r="E19">
        <f t="shared" si="3"/>
        <v>10.262766484878533</v>
      </c>
      <c r="F19">
        <f t="shared" si="3"/>
        <v>4.6447922937989166</v>
      </c>
      <c r="G19">
        <f t="shared" si="3"/>
        <v>23.125083612040132</v>
      </c>
      <c r="H19">
        <f t="shared" si="3"/>
        <v>9.3028469750889684</v>
      </c>
      <c r="I19">
        <f t="shared" si="3"/>
        <v>40.176186291739896</v>
      </c>
      <c r="J19">
        <f t="shared" si="3"/>
        <v>6.6722689075630255</v>
      </c>
      <c r="K19">
        <f t="shared" si="3"/>
        <v>3.883969465648855</v>
      </c>
      <c r="L19">
        <f t="shared" si="3"/>
        <v>6.6641414141414144</v>
      </c>
      <c r="M19">
        <f t="shared" si="3"/>
        <v>21.415188076650107</v>
      </c>
      <c r="N19">
        <f t="shared" si="3"/>
        <v>19.426470588235293</v>
      </c>
      <c r="O19">
        <f t="shared" si="3"/>
        <v>17.132018209408194</v>
      </c>
      <c r="P19">
        <f t="shared" si="3"/>
        <v>30.143181818181819</v>
      </c>
      <c r="Q19">
        <f t="shared" si="3"/>
        <v>7.7150579150579155</v>
      </c>
      <c r="R19">
        <f t="shared" si="3"/>
        <v>8.3635600335852232</v>
      </c>
      <c r="S19">
        <f t="shared" si="3"/>
        <v>9.6101468624833117</v>
      </c>
      <c r="T19">
        <f t="shared" si="3"/>
        <v>11.389901823281907</v>
      </c>
      <c r="U19">
        <f t="shared" si="3"/>
        <v>30.128775834658189</v>
      </c>
    </row>
    <row r="20" spans="1:24" x14ac:dyDescent="0.4">
      <c r="A20" s="2" t="s">
        <v>2</v>
      </c>
      <c r="B20">
        <f t="shared" ref="B20:U20" si="4">B4/B12</f>
        <v>3.939977349943375</v>
      </c>
      <c r="C20">
        <f t="shared" si="4"/>
        <v>2.2108768035516095</v>
      </c>
      <c r="D20">
        <f t="shared" si="4"/>
        <v>2.575657894736842</v>
      </c>
      <c r="E20">
        <f t="shared" si="4"/>
        <v>5.4834268230494647</v>
      </c>
      <c r="F20">
        <f t="shared" si="4"/>
        <v>2.8362459546925565</v>
      </c>
      <c r="G20">
        <f t="shared" si="4"/>
        <v>13.612085769980506</v>
      </c>
      <c r="H20">
        <f t="shared" si="4"/>
        <v>4.5357843137254905</v>
      </c>
      <c r="I20">
        <f t="shared" si="4"/>
        <v>21.36500685244404</v>
      </c>
      <c r="J20">
        <f t="shared" si="4"/>
        <v>7.1420741989881957</v>
      </c>
      <c r="K20">
        <f t="shared" si="4"/>
        <v>2.9670245398773005</v>
      </c>
      <c r="L20">
        <f t="shared" si="4"/>
        <v>4.1775456919060057</v>
      </c>
      <c r="M20">
        <f t="shared" si="4"/>
        <v>12.782130584192441</v>
      </c>
      <c r="N20">
        <f t="shared" si="4"/>
        <v>13.177163338453662</v>
      </c>
      <c r="O20">
        <f t="shared" si="4"/>
        <v>11.371192893401016</v>
      </c>
      <c r="P20">
        <f t="shared" si="4"/>
        <v>20.511875511875513</v>
      </c>
      <c r="Q20">
        <f t="shared" si="4"/>
        <v>6.5294117647058822</v>
      </c>
      <c r="R20">
        <f t="shared" si="4"/>
        <v>5.6506364922206505</v>
      </c>
      <c r="S20">
        <f t="shared" si="4"/>
        <v>7.349152542372881</v>
      </c>
      <c r="T20">
        <f t="shared" si="4"/>
        <v>5.3757649938800487</v>
      </c>
      <c r="U20">
        <f t="shared" si="4"/>
        <v>17.550295857988164</v>
      </c>
    </row>
    <row r="21" spans="1:24" x14ac:dyDescent="0.4">
      <c r="A21" s="2" t="s">
        <v>3</v>
      </c>
      <c r="B21">
        <f t="shared" ref="B21:U21" si="5">B5/B13</f>
        <v>2.6623505976095618</v>
      </c>
      <c r="C21">
        <f t="shared" si="5"/>
        <v>2.0477453580901859</v>
      </c>
      <c r="D21">
        <f t="shared" si="5"/>
        <v>2.3915343915343916</v>
      </c>
      <c r="E21">
        <f t="shared" si="5"/>
        <v>4.1758241758241761</v>
      </c>
      <c r="F21">
        <f t="shared" si="5"/>
        <v>2.534510433386838</v>
      </c>
      <c r="G21">
        <f t="shared" si="5"/>
        <v>9.3027734976887526</v>
      </c>
      <c r="H21">
        <f t="shared" si="5"/>
        <v>3.7072135785007072</v>
      </c>
      <c r="I21">
        <f t="shared" si="5"/>
        <v>26.229206963249517</v>
      </c>
      <c r="J21">
        <f t="shared" si="5"/>
        <v>5.4500768049155148</v>
      </c>
      <c r="K21">
        <f t="shared" si="5"/>
        <v>2.589515331355094</v>
      </c>
      <c r="L21">
        <f t="shared" si="5"/>
        <v>4.2380952380952381</v>
      </c>
      <c r="M21">
        <f t="shared" si="5"/>
        <v>8.8079150579150571</v>
      </c>
      <c r="N21">
        <f t="shared" si="5"/>
        <v>9.2713414634146343</v>
      </c>
      <c r="O21">
        <f t="shared" si="5"/>
        <v>4.6182519280205652</v>
      </c>
      <c r="P21">
        <f t="shared" si="5"/>
        <v>16.73370319001387</v>
      </c>
      <c r="Q21">
        <f t="shared" si="5"/>
        <v>9.1675977653631282</v>
      </c>
      <c r="R21">
        <f t="shared" si="5"/>
        <v>4.3600000000000003</v>
      </c>
      <c r="S21">
        <f t="shared" si="5"/>
        <v>4.4211663066954641</v>
      </c>
      <c r="T21">
        <f t="shared" si="5"/>
        <v>3.6349206349206349</v>
      </c>
      <c r="U21">
        <f t="shared" si="5"/>
        <v>9.6119873817034698</v>
      </c>
    </row>
    <row r="22" spans="1:24" x14ac:dyDescent="0.4">
      <c r="A22" s="2" t="s">
        <v>4</v>
      </c>
      <c r="B22">
        <f t="shared" ref="B22:U22" si="6">B6/B14</f>
        <v>3.2197962154294033</v>
      </c>
      <c r="C22">
        <f t="shared" si="6"/>
        <v>1.5368421052631578</v>
      </c>
      <c r="D22">
        <f t="shared" si="6"/>
        <v>2.6188524590163933</v>
      </c>
      <c r="E22">
        <f t="shared" si="6"/>
        <v>4.0683544303797472</v>
      </c>
      <c r="F22">
        <f t="shared" si="6"/>
        <v>2.0585585585585586</v>
      </c>
      <c r="G22">
        <f t="shared" si="6"/>
        <v>4.8655953250547848</v>
      </c>
      <c r="H22">
        <f t="shared" si="6"/>
        <v>4.058241758241758</v>
      </c>
      <c r="I22">
        <f t="shared" si="6"/>
        <v>21.696850393700789</v>
      </c>
      <c r="J22">
        <f t="shared" si="6"/>
        <v>4.0886597938144327</v>
      </c>
      <c r="K22">
        <f t="shared" si="6"/>
        <v>2.8814589665653494</v>
      </c>
      <c r="L22">
        <f t="shared" si="6"/>
        <v>2.8994197292069632</v>
      </c>
      <c r="M22">
        <f t="shared" si="6"/>
        <v>7.8256537982565382</v>
      </c>
      <c r="N22">
        <f t="shared" si="6"/>
        <v>6.2726406101048617</v>
      </c>
      <c r="O22">
        <f t="shared" si="6"/>
        <v>4.0690184049079754</v>
      </c>
      <c r="P22">
        <f t="shared" si="6"/>
        <v>12.724815724815725</v>
      </c>
      <c r="Q22">
        <f t="shared" si="6"/>
        <v>4.9921773142112125</v>
      </c>
      <c r="R22">
        <f t="shared" si="6"/>
        <v>3.4883720930232558</v>
      </c>
      <c r="S22">
        <f t="shared" si="6"/>
        <v>3.0235988200589969</v>
      </c>
      <c r="T22">
        <f t="shared" si="6"/>
        <v>4.0531914893617023</v>
      </c>
      <c r="U22">
        <f t="shared" si="6"/>
        <v>8.5081081081081074</v>
      </c>
    </row>
    <row r="23" spans="1:24" x14ac:dyDescent="0.4">
      <c r="A23" s="1" t="s">
        <v>10</v>
      </c>
      <c r="B23" s="6">
        <f t="shared" ref="B23:U23" si="7">B7/B15</f>
        <v>6.3546402109757629</v>
      </c>
      <c r="C23" s="6">
        <f t="shared" si="7"/>
        <v>3.1096392333709133</v>
      </c>
      <c r="D23" s="6">
        <f t="shared" si="7"/>
        <v>3.0982083609820834</v>
      </c>
      <c r="E23" s="6">
        <f t="shared" si="7"/>
        <v>7.9629292403746099</v>
      </c>
      <c r="F23" s="6">
        <f t="shared" si="7"/>
        <v>4.464545307704733</v>
      </c>
      <c r="G23" s="6">
        <f t="shared" si="7"/>
        <v>23.083533803401078</v>
      </c>
      <c r="H23" s="6">
        <f t="shared" si="7"/>
        <v>9.8713988388651543</v>
      </c>
      <c r="I23" s="6">
        <f t="shared" si="7"/>
        <v>43.638328214129004</v>
      </c>
      <c r="J23" s="6">
        <f t="shared" si="7"/>
        <v>7.3143525741029638</v>
      </c>
      <c r="K23" s="6">
        <f t="shared" si="7"/>
        <v>3.4919967663702507</v>
      </c>
      <c r="L23" s="6">
        <f t="shared" si="7"/>
        <v>8.0002065688907251</v>
      </c>
      <c r="M23" s="6">
        <f t="shared" si="7"/>
        <v>18.937914034817439</v>
      </c>
      <c r="N23" s="6">
        <f t="shared" si="7"/>
        <v>22.600994406463641</v>
      </c>
      <c r="O23" s="6">
        <f t="shared" si="7"/>
        <v>17.023411371237458</v>
      </c>
      <c r="P23" s="6">
        <f t="shared" si="7"/>
        <v>35.104783137413861</v>
      </c>
      <c r="Q23" s="6">
        <f t="shared" si="7"/>
        <v>8.4964572508266407</v>
      </c>
      <c r="R23" s="6">
        <f t="shared" si="7"/>
        <v>7.4829515183803945</v>
      </c>
      <c r="S23" s="6">
        <f t="shared" si="7"/>
        <v>8.8107476635514015</v>
      </c>
      <c r="T23" s="6">
        <f t="shared" si="7"/>
        <v>7.7983870967741939</v>
      </c>
      <c r="U23" s="6">
        <f t="shared" si="7"/>
        <v>26.197162604583486</v>
      </c>
    </row>
    <row r="25" spans="1:24" x14ac:dyDescent="0.4">
      <c r="A25" s="4" t="s">
        <v>38</v>
      </c>
      <c r="B25" s="3" t="s">
        <v>17</v>
      </c>
      <c r="C25" s="3" t="s">
        <v>18</v>
      </c>
      <c r="D25" s="3" t="s">
        <v>19</v>
      </c>
      <c r="E25" s="3" t="s">
        <v>20</v>
      </c>
      <c r="F25" s="3" t="s">
        <v>21</v>
      </c>
      <c r="G25" s="3" t="s">
        <v>22</v>
      </c>
      <c r="H25" s="3" t="s">
        <v>23</v>
      </c>
      <c r="I25" s="3" t="s">
        <v>24</v>
      </c>
      <c r="J25" s="3" t="s">
        <v>25</v>
      </c>
      <c r="K25" s="3" t="s">
        <v>26</v>
      </c>
      <c r="L25" s="3" t="s">
        <v>27</v>
      </c>
      <c r="M25" s="3" t="s">
        <v>28</v>
      </c>
      <c r="N25" s="3" t="s">
        <v>29</v>
      </c>
      <c r="O25" s="3" t="s">
        <v>30</v>
      </c>
      <c r="P25" s="3" t="s">
        <v>31</v>
      </c>
      <c r="Q25" s="3" t="s">
        <v>32</v>
      </c>
      <c r="R25" s="3" t="s">
        <v>33</v>
      </c>
      <c r="S25" s="3" t="s">
        <v>34</v>
      </c>
      <c r="T25" s="3" t="s">
        <v>35</v>
      </c>
      <c r="U25" s="3" t="s">
        <v>36</v>
      </c>
    </row>
    <row r="26" spans="1:24" x14ac:dyDescent="0.4">
      <c r="A26" s="2" t="s">
        <v>0</v>
      </c>
      <c r="B26">
        <f>LN(B18)</f>
        <v>2.2906673817983121</v>
      </c>
      <c r="C26">
        <f t="shared" ref="C26:U26" si="8">LN(C18)</f>
        <v>1.3797675314232061</v>
      </c>
      <c r="D26">
        <f t="shared" si="8"/>
        <v>1.4491698363550032</v>
      </c>
      <c r="E26">
        <f t="shared" si="8"/>
        <v>2.3988035184331085</v>
      </c>
      <c r="F26">
        <f t="shared" si="8"/>
        <v>1.842402240544867</v>
      </c>
      <c r="G26">
        <f t="shared" si="8"/>
        <v>3.8005797704576878</v>
      </c>
      <c r="H26">
        <f t="shared" si="8"/>
        <v>2.9005873693471003</v>
      </c>
      <c r="I26">
        <f t="shared" si="8"/>
        <v>4.4694915020607926</v>
      </c>
      <c r="J26">
        <f t="shared" si="8"/>
        <v>2.3803656085636291</v>
      </c>
      <c r="K26">
        <f t="shared" si="8"/>
        <v>1.4989855996303241</v>
      </c>
      <c r="L26">
        <f t="shared" si="8"/>
        <v>2.68543617210105</v>
      </c>
      <c r="M26">
        <f t="shared" si="8"/>
        <v>3.4921083662682135</v>
      </c>
      <c r="N26">
        <f t="shared" si="8"/>
        <v>3.8708045672919673</v>
      </c>
      <c r="O26">
        <f t="shared" si="8"/>
        <v>3.5038913016335793</v>
      </c>
      <c r="P26">
        <f t="shared" si="8"/>
        <v>4.2772039629335481</v>
      </c>
      <c r="Q26">
        <f t="shared" si="8"/>
        <v>2.665199302325405</v>
      </c>
      <c r="R26">
        <f t="shared" si="8"/>
        <v>2.3912143534508807</v>
      </c>
      <c r="S26">
        <f t="shared" si="8"/>
        <v>2.6068794267221276</v>
      </c>
      <c r="T26">
        <f t="shared" si="8"/>
        <v>2.4558290895495318</v>
      </c>
      <c r="U26">
        <f t="shared" si="8"/>
        <v>3.8339115009133322</v>
      </c>
    </row>
    <row r="27" spans="1:24" x14ac:dyDescent="0.4">
      <c r="A27" s="2" t="s">
        <v>1</v>
      </c>
      <c r="B27">
        <f t="shared" ref="B27:U27" si="9">LN(B19)</f>
        <v>1.9604001845484642</v>
      </c>
      <c r="C27">
        <f t="shared" si="9"/>
        <v>1.2528929483486737</v>
      </c>
      <c r="D27">
        <f t="shared" si="9"/>
        <v>0.76670688335540349</v>
      </c>
      <c r="E27">
        <f t="shared" si="9"/>
        <v>2.3285224412992487</v>
      </c>
      <c r="F27">
        <f t="shared" si="9"/>
        <v>1.5357466551839665</v>
      </c>
      <c r="G27">
        <f t="shared" si="9"/>
        <v>3.140917899047742</v>
      </c>
      <c r="H27">
        <f t="shared" si="9"/>
        <v>2.230320479665751</v>
      </c>
      <c r="I27">
        <f t="shared" si="9"/>
        <v>3.6932744392956551</v>
      </c>
      <c r="J27">
        <f t="shared" si="9"/>
        <v>1.8979599681356063</v>
      </c>
      <c r="K27">
        <f t="shared" si="9"/>
        <v>1.3568576888247608</v>
      </c>
      <c r="L27">
        <f t="shared" si="9"/>
        <v>1.8967411252488435</v>
      </c>
      <c r="M27">
        <f t="shared" si="9"/>
        <v>3.0641003935013398</v>
      </c>
      <c r="N27">
        <f t="shared" si="9"/>
        <v>2.9666365993462187</v>
      </c>
      <c r="O27">
        <f t="shared" si="9"/>
        <v>2.8409491226412005</v>
      </c>
      <c r="P27">
        <f t="shared" si="9"/>
        <v>3.4059587555820463</v>
      </c>
      <c r="Q27">
        <f t="shared" si="9"/>
        <v>2.0431739925993804</v>
      </c>
      <c r="R27">
        <f t="shared" si="9"/>
        <v>2.1238841777898658</v>
      </c>
      <c r="S27">
        <f t="shared" si="9"/>
        <v>2.2628195051217568</v>
      </c>
      <c r="T27">
        <f t="shared" si="9"/>
        <v>2.4327271578681149</v>
      </c>
      <c r="U27">
        <f t="shared" si="9"/>
        <v>3.4054807228663697</v>
      </c>
    </row>
    <row r="28" spans="1:24" x14ac:dyDescent="0.4">
      <c r="A28" s="2" t="s">
        <v>2</v>
      </c>
      <c r="B28">
        <f t="shared" ref="B28:U28" si="10">LN(B20)</f>
        <v>1.371174974547982</v>
      </c>
      <c r="C28">
        <f t="shared" si="10"/>
        <v>0.79338918053620577</v>
      </c>
      <c r="D28">
        <f t="shared" si="10"/>
        <v>0.94610499458458142</v>
      </c>
      <c r="E28">
        <f t="shared" si="10"/>
        <v>1.7017302381941801</v>
      </c>
      <c r="F28">
        <f t="shared" si="10"/>
        <v>1.0424813308235659</v>
      </c>
      <c r="G28">
        <f t="shared" si="10"/>
        <v>2.6109580576752656</v>
      </c>
      <c r="H28">
        <f t="shared" si="10"/>
        <v>1.5119980154107682</v>
      </c>
      <c r="I28">
        <f t="shared" si="10"/>
        <v>3.0617543898281645</v>
      </c>
      <c r="J28">
        <f t="shared" si="10"/>
        <v>1.9660032382233303</v>
      </c>
      <c r="K28">
        <f t="shared" si="10"/>
        <v>1.0875596122139146</v>
      </c>
      <c r="L28">
        <f t="shared" si="10"/>
        <v>1.4297239190472266</v>
      </c>
      <c r="M28">
        <f t="shared" si="10"/>
        <v>2.5480481474325498</v>
      </c>
      <c r="N28">
        <f t="shared" si="10"/>
        <v>2.5784852812101762</v>
      </c>
      <c r="O28">
        <f t="shared" si="10"/>
        <v>2.4310832181255644</v>
      </c>
      <c r="P28">
        <f t="shared" si="10"/>
        <v>3.0210040116810126</v>
      </c>
      <c r="Q28">
        <f t="shared" si="10"/>
        <v>1.876316857256118</v>
      </c>
      <c r="R28">
        <f t="shared" si="10"/>
        <v>1.7317681923038022</v>
      </c>
      <c r="S28">
        <f t="shared" si="10"/>
        <v>1.994585006219717</v>
      </c>
      <c r="T28">
        <f t="shared" si="10"/>
        <v>1.6819008883293636</v>
      </c>
      <c r="U28">
        <f t="shared" si="10"/>
        <v>2.8650708077748037</v>
      </c>
    </row>
    <row r="29" spans="1:24" x14ac:dyDescent="0.4">
      <c r="A29" s="2" t="s">
        <v>3</v>
      </c>
      <c r="B29">
        <f t="shared" ref="B29:U29" si="11">LN(B21)</f>
        <v>0.97920941588724453</v>
      </c>
      <c r="C29">
        <f t="shared" si="11"/>
        <v>0.71673936257676552</v>
      </c>
      <c r="D29">
        <f t="shared" si="11"/>
        <v>0.87193516477258881</v>
      </c>
      <c r="E29">
        <f t="shared" si="11"/>
        <v>1.4293117462035814</v>
      </c>
      <c r="F29">
        <f t="shared" si="11"/>
        <v>0.93000049546818897</v>
      </c>
      <c r="G29">
        <f t="shared" si="11"/>
        <v>2.2303125812567384</v>
      </c>
      <c r="H29">
        <f t="shared" si="11"/>
        <v>1.3102805374268336</v>
      </c>
      <c r="I29">
        <f t="shared" si="11"/>
        <v>3.2668735594625016</v>
      </c>
      <c r="J29">
        <f t="shared" si="11"/>
        <v>1.695629701220901</v>
      </c>
      <c r="K29">
        <f t="shared" si="11"/>
        <v>0.95147072744937389</v>
      </c>
      <c r="L29">
        <f t="shared" si="11"/>
        <v>1.4441139320087168</v>
      </c>
      <c r="M29">
        <f t="shared" si="11"/>
        <v>2.1756507556312639</v>
      </c>
      <c r="N29">
        <f t="shared" si="11"/>
        <v>2.2269280792932209</v>
      </c>
      <c r="O29">
        <f t="shared" si="11"/>
        <v>1.530016262935127</v>
      </c>
      <c r="P29">
        <f t="shared" si="11"/>
        <v>2.8174248407741831</v>
      </c>
      <c r="Q29">
        <f t="shared" si="11"/>
        <v>2.2156752852493358</v>
      </c>
      <c r="R29">
        <f t="shared" si="11"/>
        <v>1.4724720573609431</v>
      </c>
      <c r="S29">
        <f t="shared" si="11"/>
        <v>1.4864035315750554</v>
      </c>
      <c r="T29">
        <f t="shared" si="11"/>
        <v>1.2905872771627069</v>
      </c>
      <c r="U29">
        <f t="shared" si="11"/>
        <v>2.2630110051084285</v>
      </c>
      <c r="V29" s="9"/>
      <c r="W29" s="9"/>
      <c r="X29" s="9"/>
    </row>
    <row r="30" spans="1:24" x14ac:dyDescent="0.4">
      <c r="A30" s="2" t="s">
        <v>4</v>
      </c>
      <c r="B30">
        <f t="shared" ref="B30:U30" si="12">LN(B22)</f>
        <v>1.169318070419876</v>
      </c>
      <c r="C30">
        <f t="shared" si="12"/>
        <v>0.42972973010779553</v>
      </c>
      <c r="D30">
        <f t="shared" si="12"/>
        <v>0.96273622908433287</v>
      </c>
      <c r="E30">
        <f t="shared" si="12"/>
        <v>1.4032386008363908</v>
      </c>
      <c r="F30">
        <f t="shared" si="12"/>
        <v>0.72200600902192524</v>
      </c>
      <c r="G30">
        <f t="shared" si="12"/>
        <v>1.5821890771247307</v>
      </c>
      <c r="H30">
        <f t="shared" si="12"/>
        <v>1.4007498153416673</v>
      </c>
      <c r="I30">
        <f t="shared" si="12"/>
        <v>3.0771671068646986</v>
      </c>
      <c r="J30">
        <f t="shared" si="12"/>
        <v>1.4082172375823128</v>
      </c>
      <c r="K30">
        <f t="shared" si="12"/>
        <v>1.05829675148965</v>
      </c>
      <c r="L30">
        <f t="shared" si="12"/>
        <v>1.0645106235941686</v>
      </c>
      <c r="M30">
        <f t="shared" si="12"/>
        <v>2.05740728542875</v>
      </c>
      <c r="N30">
        <f t="shared" si="12"/>
        <v>1.8361974159230656</v>
      </c>
      <c r="O30">
        <f t="shared" si="12"/>
        <v>1.4034017922110866</v>
      </c>
      <c r="P30">
        <f t="shared" si="12"/>
        <v>2.5435540809812967</v>
      </c>
      <c r="Q30">
        <f t="shared" si="12"/>
        <v>1.6078721501100384</v>
      </c>
      <c r="R30">
        <f t="shared" si="12"/>
        <v>1.2494351784026934</v>
      </c>
      <c r="S30">
        <f t="shared" si="12"/>
        <v>1.1064477841920584</v>
      </c>
      <c r="T30">
        <f t="shared" si="12"/>
        <v>1.3995045928566971</v>
      </c>
      <c r="U30">
        <f t="shared" si="12"/>
        <v>2.1410196038990237</v>
      </c>
      <c r="V30" s="9"/>
      <c r="W30" s="9"/>
      <c r="X30" s="9"/>
    </row>
    <row r="31" spans="1:24" s="5" customFormat="1" x14ac:dyDescent="0.4">
      <c r="V31" s="9"/>
      <c r="W31" s="9"/>
      <c r="X31" s="9"/>
    </row>
    <row r="32" spans="1:24" x14ac:dyDescent="0.4">
      <c r="A32" s="4" t="s">
        <v>37</v>
      </c>
      <c r="B32" s="3" t="s">
        <v>17</v>
      </c>
      <c r="C32" s="3" t="s">
        <v>18</v>
      </c>
      <c r="D32" s="3" t="s">
        <v>19</v>
      </c>
      <c r="E32" s="3" t="s">
        <v>20</v>
      </c>
      <c r="F32" s="3" t="s">
        <v>21</v>
      </c>
      <c r="G32" s="3" t="s">
        <v>22</v>
      </c>
      <c r="H32" s="3" t="s">
        <v>23</v>
      </c>
      <c r="I32" s="3" t="s">
        <v>24</v>
      </c>
      <c r="J32" s="3" t="s">
        <v>25</v>
      </c>
      <c r="K32" s="3" t="s">
        <v>26</v>
      </c>
      <c r="L32" s="3" t="s">
        <v>27</v>
      </c>
      <c r="M32" s="3" t="s">
        <v>28</v>
      </c>
      <c r="N32" s="3" t="s">
        <v>29</v>
      </c>
      <c r="O32" s="3" t="s">
        <v>30</v>
      </c>
      <c r="P32" s="3" t="s">
        <v>31</v>
      </c>
      <c r="Q32" s="3" t="s">
        <v>32</v>
      </c>
      <c r="R32" s="3" t="s">
        <v>33</v>
      </c>
      <c r="S32" s="3" t="s">
        <v>34</v>
      </c>
      <c r="T32" s="3" t="s">
        <v>35</v>
      </c>
      <c r="U32" s="3" t="s">
        <v>36</v>
      </c>
      <c r="V32" s="9"/>
      <c r="W32" s="9"/>
      <c r="X32" s="9"/>
    </row>
    <row r="33" spans="1:24" x14ac:dyDescent="0.4">
      <c r="A33" s="2" t="s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9"/>
      <c r="W33" s="9"/>
      <c r="X33" s="9"/>
    </row>
    <row r="34" spans="1:24" x14ac:dyDescent="0.4">
      <c r="A34" s="2" t="s">
        <v>1</v>
      </c>
      <c r="B34">
        <f>SUM(B$10:B10)</f>
        <v>2431</v>
      </c>
      <c r="C34">
        <f>SUM(C$10:C10)</f>
        <v>1076</v>
      </c>
      <c r="D34">
        <f>SUM(D$10:D10)</f>
        <v>1749</v>
      </c>
      <c r="E34">
        <f>SUM(E$10:E10)</f>
        <v>2101</v>
      </c>
      <c r="F34">
        <f>SUM(F$10:F10)</f>
        <v>2140</v>
      </c>
      <c r="G34">
        <f>SUM(G$10:G10)</f>
        <v>3320</v>
      </c>
      <c r="H34">
        <f>SUM(H$10:H10)</f>
        <v>2662</v>
      </c>
      <c r="I34">
        <f>SUM(I$10:I10)</f>
        <v>2347</v>
      </c>
      <c r="J34">
        <f>SUM(J$10:J10)</f>
        <v>2417</v>
      </c>
      <c r="K34">
        <f>SUM(K$10:K10)</f>
        <v>1247</v>
      </c>
      <c r="L34">
        <f>SUM(L$10:L10)</f>
        <v>1449</v>
      </c>
      <c r="M34">
        <f>SUM(M$10:M10)</f>
        <v>1788</v>
      </c>
      <c r="N34">
        <f>SUM(N$10:N10)</f>
        <v>2155</v>
      </c>
      <c r="O34">
        <f>SUM(O$10:O10)</f>
        <v>1656</v>
      </c>
      <c r="P34">
        <f>SUM(P$10:P10)</f>
        <v>1265</v>
      </c>
      <c r="Q34">
        <f>SUM(Q$10:Q10)</f>
        <v>836</v>
      </c>
      <c r="R34">
        <f>SUM(R$10:R10)</f>
        <v>983</v>
      </c>
      <c r="S34">
        <f>SUM(S$10:S10)</f>
        <v>988</v>
      </c>
      <c r="T34">
        <f>SUM(T$10:T10)</f>
        <v>599</v>
      </c>
      <c r="U34">
        <f>SUM(U$10:U10)</f>
        <v>757</v>
      </c>
      <c r="V34" s="9"/>
      <c r="W34" s="9"/>
      <c r="X34" s="9"/>
    </row>
    <row r="35" spans="1:24" x14ac:dyDescent="0.4">
      <c r="A35" s="2" t="s">
        <v>2</v>
      </c>
      <c r="B35">
        <f>SUM(B$10:B11)</f>
        <v>4506</v>
      </c>
      <c r="C35">
        <f>SUM(C$10:C11)</f>
        <v>2175</v>
      </c>
      <c r="D35">
        <f>SUM(D$10:D11)</f>
        <v>2987</v>
      </c>
      <c r="E35">
        <f>SUM(E$10:E11)</f>
        <v>4118</v>
      </c>
      <c r="F35">
        <f>SUM(F$10:F11)</f>
        <v>3801</v>
      </c>
      <c r="G35">
        <f>SUM(G$10:G11)</f>
        <v>6310</v>
      </c>
      <c r="H35">
        <f>SUM(H$10:H11)</f>
        <v>5472</v>
      </c>
      <c r="I35">
        <f>SUM(I$10:I11)</f>
        <v>4623</v>
      </c>
      <c r="J35">
        <f>SUM(J$10:J11)</f>
        <v>3845</v>
      </c>
      <c r="K35">
        <f>SUM(K$10:K11)</f>
        <v>3212</v>
      </c>
      <c r="L35">
        <f>SUM(L$10:L11)</f>
        <v>3033</v>
      </c>
      <c r="M35">
        <f>SUM(M$10:M11)</f>
        <v>3197</v>
      </c>
      <c r="N35">
        <f>SUM(N$10:N11)</f>
        <v>4059</v>
      </c>
      <c r="O35">
        <f>SUM(O$10:O11)</f>
        <v>2974</v>
      </c>
      <c r="P35">
        <f>SUM(P$10:P11)</f>
        <v>2585</v>
      </c>
      <c r="Q35">
        <f>SUM(Q$10:Q11)</f>
        <v>2131</v>
      </c>
      <c r="R35">
        <f>SUM(R$10:R11)</f>
        <v>2174</v>
      </c>
      <c r="S35">
        <f>SUM(S$10:S11)</f>
        <v>1737</v>
      </c>
      <c r="T35">
        <f>SUM(T$10:T11)</f>
        <v>1312</v>
      </c>
      <c r="U35">
        <f>SUM(U$10:U11)</f>
        <v>1386</v>
      </c>
      <c r="V35" s="9"/>
      <c r="W35" s="9"/>
      <c r="X35" s="9"/>
    </row>
    <row r="36" spans="1:24" x14ac:dyDescent="0.4">
      <c r="A36" s="2" t="s">
        <v>3</v>
      </c>
      <c r="B36">
        <f>SUM(B$10:B12)</f>
        <v>6272</v>
      </c>
      <c r="C36">
        <f>SUM(C$10:C12)</f>
        <v>3076</v>
      </c>
      <c r="D36">
        <f>SUM(D$10:D12)</f>
        <v>3899</v>
      </c>
      <c r="E36">
        <f>SUM(E$10:E12)</f>
        <v>6079</v>
      </c>
      <c r="F36">
        <f>SUM(F$10:F12)</f>
        <v>5346</v>
      </c>
      <c r="G36">
        <f>SUM(G$10:G12)</f>
        <v>9388</v>
      </c>
      <c r="H36">
        <f>SUM(H$10:H12)</f>
        <v>7512</v>
      </c>
      <c r="I36">
        <f>SUM(I$10:I12)</f>
        <v>6812</v>
      </c>
      <c r="J36">
        <f>SUM(J$10:J12)</f>
        <v>6217</v>
      </c>
      <c r="K36">
        <f>SUM(K$10:K12)</f>
        <v>4516</v>
      </c>
      <c r="L36">
        <f>SUM(L$10:L12)</f>
        <v>3799</v>
      </c>
      <c r="M36">
        <f>SUM(M$10:M12)</f>
        <v>4652</v>
      </c>
      <c r="N36">
        <f>SUM(N$10:N12)</f>
        <v>6012</v>
      </c>
      <c r="O36">
        <f>SUM(O$10:O12)</f>
        <v>4550</v>
      </c>
      <c r="P36">
        <f>SUM(P$10:P12)</f>
        <v>3806</v>
      </c>
      <c r="Q36">
        <f>SUM(Q$10:Q12)</f>
        <v>2930</v>
      </c>
      <c r="R36">
        <f>SUM(R$10:R12)</f>
        <v>2881</v>
      </c>
      <c r="S36">
        <f>SUM(S$10:S12)</f>
        <v>2622</v>
      </c>
      <c r="T36">
        <f>SUM(T$10:T12)</f>
        <v>2129</v>
      </c>
      <c r="U36">
        <f>SUM(U$10:U12)</f>
        <v>2062</v>
      </c>
      <c r="V36" s="9"/>
      <c r="W36" s="9"/>
      <c r="X36" s="9"/>
    </row>
    <row r="37" spans="1:24" x14ac:dyDescent="0.4">
      <c r="A37" s="2" t="s">
        <v>4</v>
      </c>
      <c r="B37">
        <f>SUM(B$10:B13)</f>
        <v>7276</v>
      </c>
      <c r="C37">
        <f>SUM(C$10:C13)</f>
        <v>3453</v>
      </c>
      <c r="D37">
        <f>SUM(D$10:D13)</f>
        <v>4277</v>
      </c>
      <c r="E37">
        <f>SUM(E$10:E13)</f>
        <v>6898</v>
      </c>
      <c r="F37">
        <f>SUM(F$10:F13)</f>
        <v>5969</v>
      </c>
      <c r="G37">
        <f>SUM(G$10:G13)</f>
        <v>10686</v>
      </c>
      <c r="H37">
        <f>SUM(H$10:H13)</f>
        <v>8219</v>
      </c>
      <c r="I37">
        <f>SUM(I$10:I13)</f>
        <v>7846</v>
      </c>
      <c r="J37">
        <f>SUM(J$10:J13)</f>
        <v>7519</v>
      </c>
      <c r="K37">
        <f>SUM(K$10:K13)</f>
        <v>5527</v>
      </c>
      <c r="L37">
        <f>SUM(L$10:L13)</f>
        <v>4324</v>
      </c>
      <c r="M37">
        <f>SUM(M$10:M13)</f>
        <v>5688</v>
      </c>
      <c r="N37">
        <f>SUM(N$10:N13)</f>
        <v>6996</v>
      </c>
      <c r="O37">
        <f>SUM(O$10:O13)</f>
        <v>5328</v>
      </c>
      <c r="P37">
        <f>SUM(P$10:P13)</f>
        <v>4527</v>
      </c>
      <c r="Q37">
        <f>SUM(Q$10:Q13)</f>
        <v>3467</v>
      </c>
      <c r="R37">
        <f>SUM(R$10:R13)</f>
        <v>3281</v>
      </c>
      <c r="S37">
        <f>SUM(S$10:S13)</f>
        <v>3085</v>
      </c>
      <c r="T37">
        <f>SUM(T$10:T13)</f>
        <v>2570</v>
      </c>
      <c r="U37">
        <f>SUM(U$10:U13)</f>
        <v>2379</v>
      </c>
      <c r="V37" s="9"/>
      <c r="W37" s="9"/>
      <c r="X37" s="9"/>
    </row>
    <row r="38" spans="1:24" x14ac:dyDescent="0.4">
      <c r="V38" s="9"/>
      <c r="W38" s="9"/>
      <c r="X38" s="9"/>
    </row>
    <row r="39" spans="1:24" x14ac:dyDescent="0.4">
      <c r="A39" s="4" t="s">
        <v>104</v>
      </c>
      <c r="B39" s="3" t="s">
        <v>17</v>
      </c>
      <c r="C39" s="3" t="s">
        <v>18</v>
      </c>
      <c r="D39" s="3" t="s">
        <v>19</v>
      </c>
      <c r="E39" s="3" t="s">
        <v>20</v>
      </c>
      <c r="F39" s="3" t="s">
        <v>21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27</v>
      </c>
      <c r="M39" s="3" t="s">
        <v>28</v>
      </c>
      <c r="N39" s="3" t="s">
        <v>29</v>
      </c>
      <c r="O39" s="3" t="s">
        <v>30</v>
      </c>
      <c r="P39" s="3" t="s">
        <v>31</v>
      </c>
      <c r="Q39" s="3" t="s">
        <v>32</v>
      </c>
      <c r="R39" s="3" t="s">
        <v>33</v>
      </c>
      <c r="S39" s="3" t="s">
        <v>34</v>
      </c>
      <c r="T39" s="3" t="s">
        <v>35</v>
      </c>
      <c r="U39" s="3" t="s">
        <v>36</v>
      </c>
    </row>
    <row r="40" spans="1:24" x14ac:dyDescent="0.4">
      <c r="A40" s="2" t="s">
        <v>107</v>
      </c>
      <c r="B40" s="6">
        <f>INTERCEPT(B26:B30,B33:B37)</f>
        <v>2.2941450630605598</v>
      </c>
      <c r="C40" s="6">
        <f>INTERCEPT(C26:C30,C33:C37)</f>
        <v>1.4384840920845061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4" x14ac:dyDescent="0.4">
      <c r="A41" s="2" t="s">
        <v>108</v>
      </c>
      <c r="B41" s="6">
        <f>SLOPE(B26:B30, B33:B37)</f>
        <v>-1.806177831633351E-4</v>
      </c>
      <c r="C41" s="6">
        <f>SLOPE(C26:C30, C33:C37)</f>
        <v>-2.6788361016665479E-4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3" spans="1:24" x14ac:dyDescent="0.4">
      <c r="A43" s="4"/>
      <c r="B43" s="3" t="s">
        <v>17</v>
      </c>
      <c r="C43" s="3" t="s">
        <v>18</v>
      </c>
      <c r="D43" s="3" t="s">
        <v>19</v>
      </c>
      <c r="E43" s="3" t="s">
        <v>20</v>
      </c>
      <c r="F43" s="3" t="s">
        <v>21</v>
      </c>
      <c r="G43" s="3" t="s">
        <v>22</v>
      </c>
      <c r="H43" s="3" t="s">
        <v>23</v>
      </c>
      <c r="I43" s="3" t="s">
        <v>24</v>
      </c>
      <c r="J43" s="3" t="s">
        <v>25</v>
      </c>
      <c r="K43" s="3" t="s">
        <v>26</v>
      </c>
      <c r="L43" s="3" t="s">
        <v>27</v>
      </c>
      <c r="M43" s="3" t="s">
        <v>28</v>
      </c>
      <c r="N43" s="3" t="s">
        <v>29</v>
      </c>
      <c r="O43" s="3" t="s">
        <v>30</v>
      </c>
      <c r="P43" s="3" t="s">
        <v>31</v>
      </c>
      <c r="Q43" s="3" t="s">
        <v>32</v>
      </c>
      <c r="R43" s="3" t="s">
        <v>33</v>
      </c>
      <c r="S43" s="3" t="s">
        <v>34</v>
      </c>
      <c r="T43" s="3" t="s">
        <v>35</v>
      </c>
      <c r="U43" s="3" t="s">
        <v>36</v>
      </c>
    </row>
    <row r="44" spans="1:24" x14ac:dyDescent="0.4">
      <c r="A44" s="2" t="s">
        <v>11</v>
      </c>
      <c r="B44" s="7">
        <f>-B41</f>
        <v>1.806177831633351E-4</v>
      </c>
      <c r="C44" s="7">
        <f>-C41</f>
        <v>2.6788361016665479E-4</v>
      </c>
      <c r="D44" s="7">
        <f t="shared" ref="D44:U44" si="13">-D41</f>
        <v>0</v>
      </c>
      <c r="E44" s="7">
        <f t="shared" si="13"/>
        <v>0</v>
      </c>
      <c r="F44" s="7">
        <f t="shared" si="13"/>
        <v>0</v>
      </c>
      <c r="G44" s="7">
        <f t="shared" si="13"/>
        <v>0</v>
      </c>
      <c r="H44" s="7">
        <f t="shared" si="13"/>
        <v>0</v>
      </c>
      <c r="I44" s="7">
        <f t="shared" si="13"/>
        <v>0</v>
      </c>
      <c r="J44" s="7">
        <f t="shared" si="13"/>
        <v>0</v>
      </c>
      <c r="K44" s="7">
        <f t="shared" si="13"/>
        <v>0</v>
      </c>
      <c r="L44" s="7">
        <f t="shared" si="13"/>
        <v>0</v>
      </c>
      <c r="M44" s="7">
        <f t="shared" si="13"/>
        <v>0</v>
      </c>
      <c r="N44" s="7">
        <f t="shared" si="13"/>
        <v>0</v>
      </c>
      <c r="O44" s="7">
        <f t="shared" si="13"/>
        <v>0</v>
      </c>
      <c r="P44" s="7">
        <f t="shared" si="13"/>
        <v>0</v>
      </c>
      <c r="Q44" s="7">
        <f t="shared" si="13"/>
        <v>0</v>
      </c>
      <c r="R44" s="7">
        <f t="shared" si="13"/>
        <v>0</v>
      </c>
      <c r="S44" s="7">
        <f t="shared" si="13"/>
        <v>0</v>
      </c>
      <c r="T44" s="7">
        <f t="shared" si="13"/>
        <v>0</v>
      </c>
      <c r="U44" s="7">
        <f t="shared" si="13"/>
        <v>0</v>
      </c>
    </row>
    <row r="45" spans="1:24" x14ac:dyDescent="0.4">
      <c r="A45" s="2" t="s">
        <v>12</v>
      </c>
      <c r="B45" s="7">
        <f>EXP(B40)/B44</f>
        <v>54900.213575897782</v>
      </c>
      <c r="C45" s="7">
        <f>EXP(C40)/C44</f>
        <v>15731.841433889471</v>
      </c>
      <c r="D45" s="7" t="e">
        <f t="shared" ref="D45:U45" si="14">EXP(D40)/D44</f>
        <v>#DIV/0!</v>
      </c>
      <c r="E45" s="7" t="e">
        <f t="shared" si="14"/>
        <v>#DIV/0!</v>
      </c>
      <c r="F45" s="7" t="e">
        <f t="shared" si="14"/>
        <v>#DIV/0!</v>
      </c>
      <c r="G45" s="7" t="e">
        <f t="shared" si="14"/>
        <v>#DIV/0!</v>
      </c>
      <c r="H45" s="7" t="e">
        <f t="shared" si="14"/>
        <v>#DIV/0!</v>
      </c>
      <c r="I45" s="7" t="e">
        <f t="shared" si="14"/>
        <v>#DIV/0!</v>
      </c>
      <c r="J45" s="7" t="e">
        <f t="shared" si="14"/>
        <v>#DIV/0!</v>
      </c>
      <c r="K45" s="7" t="e">
        <f t="shared" si="14"/>
        <v>#DIV/0!</v>
      </c>
      <c r="L45" s="7" t="e">
        <f t="shared" si="14"/>
        <v>#DIV/0!</v>
      </c>
      <c r="M45" s="7" t="e">
        <f t="shared" si="14"/>
        <v>#DIV/0!</v>
      </c>
      <c r="N45" s="7" t="e">
        <f t="shared" si="14"/>
        <v>#DIV/0!</v>
      </c>
      <c r="O45" s="7" t="e">
        <f t="shared" si="14"/>
        <v>#DIV/0!</v>
      </c>
      <c r="P45" s="7" t="e">
        <f t="shared" si="14"/>
        <v>#DIV/0!</v>
      </c>
      <c r="Q45" s="7" t="e">
        <f t="shared" si="14"/>
        <v>#DIV/0!</v>
      </c>
      <c r="R45" s="7" t="e">
        <f t="shared" si="14"/>
        <v>#DIV/0!</v>
      </c>
      <c r="S45" s="7" t="e">
        <f t="shared" si="14"/>
        <v>#DIV/0!</v>
      </c>
      <c r="T45" s="7" t="e">
        <f t="shared" si="14"/>
        <v>#DIV/0!</v>
      </c>
      <c r="U45" s="7" t="e">
        <f t="shared" si="14"/>
        <v>#DIV/0!</v>
      </c>
    </row>
    <row r="47" spans="1:24" x14ac:dyDescent="0.4">
      <c r="A47" s="4" t="s">
        <v>39</v>
      </c>
      <c r="B47" s="3" t="s">
        <v>17</v>
      </c>
      <c r="C47" s="3" t="s">
        <v>18</v>
      </c>
      <c r="D47" s="3" t="s">
        <v>19</v>
      </c>
      <c r="E47" s="3" t="s">
        <v>20</v>
      </c>
      <c r="F47" s="3" t="s">
        <v>21</v>
      </c>
      <c r="G47" s="3" t="s">
        <v>22</v>
      </c>
      <c r="H47" s="3" t="s">
        <v>23</v>
      </c>
      <c r="I47" s="3" t="s">
        <v>24</v>
      </c>
      <c r="J47" s="3" t="s">
        <v>25</v>
      </c>
      <c r="K47" s="3" t="s">
        <v>26</v>
      </c>
      <c r="L47" s="3" t="s">
        <v>27</v>
      </c>
      <c r="M47" s="3" t="s">
        <v>28</v>
      </c>
      <c r="N47" s="3" t="s">
        <v>29</v>
      </c>
      <c r="O47" s="3" t="s">
        <v>30</v>
      </c>
      <c r="P47" s="3" t="s">
        <v>31</v>
      </c>
      <c r="Q47" s="3" t="s">
        <v>32</v>
      </c>
      <c r="R47" s="3" t="s">
        <v>33</v>
      </c>
      <c r="S47" s="3" t="s">
        <v>34</v>
      </c>
      <c r="T47" s="3" t="s">
        <v>35</v>
      </c>
      <c r="U47" s="3" t="s">
        <v>36</v>
      </c>
    </row>
    <row r="48" spans="1:24" x14ac:dyDescent="0.4">
      <c r="A48" s="2" t="s">
        <v>0</v>
      </c>
      <c r="B48">
        <f t="shared" ref="B48:U48" si="15">LN(B$44*B$45)-B$44*B33</f>
        <v>2.2941450630605598</v>
      </c>
      <c r="C48">
        <f t="shared" si="15"/>
        <v>1.4384840920845061</v>
      </c>
      <c r="D48" t="e">
        <f t="shared" si="15"/>
        <v>#DIV/0!</v>
      </c>
      <c r="E48" t="e">
        <f t="shared" si="15"/>
        <v>#DIV/0!</v>
      </c>
      <c r="F48" t="e">
        <f t="shared" si="15"/>
        <v>#DIV/0!</v>
      </c>
      <c r="G48" t="e">
        <f t="shared" si="15"/>
        <v>#DIV/0!</v>
      </c>
      <c r="H48" t="e">
        <f t="shared" si="15"/>
        <v>#DIV/0!</v>
      </c>
      <c r="I48" t="e">
        <f t="shared" si="15"/>
        <v>#DIV/0!</v>
      </c>
      <c r="J48" t="e">
        <f t="shared" si="15"/>
        <v>#DIV/0!</v>
      </c>
      <c r="K48" t="e">
        <f t="shared" si="15"/>
        <v>#DIV/0!</v>
      </c>
      <c r="L48" t="e">
        <f t="shared" si="15"/>
        <v>#DIV/0!</v>
      </c>
      <c r="M48" t="e">
        <f t="shared" si="15"/>
        <v>#DIV/0!</v>
      </c>
      <c r="N48" t="e">
        <f t="shared" si="15"/>
        <v>#DIV/0!</v>
      </c>
      <c r="O48" t="e">
        <f t="shared" si="15"/>
        <v>#DIV/0!</v>
      </c>
      <c r="P48" t="e">
        <f t="shared" si="15"/>
        <v>#DIV/0!</v>
      </c>
      <c r="Q48" t="e">
        <f t="shared" si="15"/>
        <v>#DIV/0!</v>
      </c>
      <c r="R48" t="e">
        <f t="shared" si="15"/>
        <v>#DIV/0!</v>
      </c>
      <c r="S48" t="e">
        <f t="shared" si="15"/>
        <v>#DIV/0!</v>
      </c>
      <c r="T48" t="e">
        <f t="shared" si="15"/>
        <v>#DIV/0!</v>
      </c>
      <c r="U48" t="e">
        <f t="shared" si="15"/>
        <v>#DIV/0!</v>
      </c>
    </row>
    <row r="49" spans="1:27" x14ac:dyDescent="0.4">
      <c r="A49" s="2" t="s">
        <v>1</v>
      </c>
      <c r="B49">
        <f>LN(B$44*B$45)-B$44*B34</f>
        <v>1.8550632321904921</v>
      </c>
      <c r="C49">
        <f t="shared" ref="C49:Q49" si="16">LN(C$44*C$45)-C$44*C34</f>
        <v>1.1502413275451855</v>
      </c>
      <c r="D49" t="e">
        <f t="shared" si="16"/>
        <v>#DIV/0!</v>
      </c>
      <c r="E49" t="e">
        <f t="shared" si="16"/>
        <v>#DIV/0!</v>
      </c>
      <c r="F49" t="e">
        <f t="shared" si="16"/>
        <v>#DIV/0!</v>
      </c>
      <c r="G49" t="e">
        <f t="shared" si="16"/>
        <v>#DIV/0!</v>
      </c>
      <c r="H49" t="e">
        <f t="shared" si="16"/>
        <v>#DIV/0!</v>
      </c>
      <c r="I49" t="e">
        <f t="shared" si="16"/>
        <v>#DIV/0!</v>
      </c>
      <c r="J49" t="e">
        <f t="shared" si="16"/>
        <v>#DIV/0!</v>
      </c>
      <c r="K49" t="e">
        <f t="shared" si="16"/>
        <v>#DIV/0!</v>
      </c>
      <c r="L49" t="e">
        <f t="shared" si="16"/>
        <v>#DIV/0!</v>
      </c>
      <c r="M49" t="e">
        <f t="shared" si="16"/>
        <v>#DIV/0!</v>
      </c>
      <c r="N49" t="e">
        <f t="shared" si="16"/>
        <v>#DIV/0!</v>
      </c>
      <c r="O49" t="e">
        <f t="shared" si="16"/>
        <v>#DIV/0!</v>
      </c>
      <c r="P49" t="e">
        <f t="shared" si="16"/>
        <v>#DIV/0!</v>
      </c>
      <c r="Q49" t="e">
        <f t="shared" si="16"/>
        <v>#DIV/0!</v>
      </c>
      <c r="R49" t="e">
        <f t="shared" ref="R49:U52" si="17">LN(R$44*R$45)-R$44*R34</f>
        <v>#DIV/0!</v>
      </c>
      <c r="S49" t="e">
        <f t="shared" si="17"/>
        <v>#DIV/0!</v>
      </c>
      <c r="T49" t="e">
        <f t="shared" si="17"/>
        <v>#DIV/0!</v>
      </c>
      <c r="U49" t="e">
        <f t="shared" si="17"/>
        <v>#DIV/0!</v>
      </c>
    </row>
    <row r="50" spans="1:27" x14ac:dyDescent="0.4">
      <c r="A50" s="2" t="s">
        <v>2</v>
      </c>
      <c r="B50">
        <f>LN(B$44*B$45)-B$44*B35</f>
        <v>1.4802813321265718</v>
      </c>
      <c r="C50">
        <f t="shared" ref="C50:Q50" si="18">LN(C$44*C$45)-C$44*C35</f>
        <v>0.85583723997203198</v>
      </c>
      <c r="D50" t="e">
        <f t="shared" si="18"/>
        <v>#DIV/0!</v>
      </c>
      <c r="E50" t="e">
        <f t="shared" si="18"/>
        <v>#DIV/0!</v>
      </c>
      <c r="F50" t="e">
        <f t="shared" si="18"/>
        <v>#DIV/0!</v>
      </c>
      <c r="G50" t="e">
        <f t="shared" si="18"/>
        <v>#DIV/0!</v>
      </c>
      <c r="H50" t="e">
        <f t="shared" si="18"/>
        <v>#DIV/0!</v>
      </c>
      <c r="I50" t="e">
        <f t="shared" si="18"/>
        <v>#DIV/0!</v>
      </c>
      <c r="J50" t="e">
        <f t="shared" si="18"/>
        <v>#DIV/0!</v>
      </c>
      <c r="K50" t="e">
        <f t="shared" si="18"/>
        <v>#DIV/0!</v>
      </c>
      <c r="L50" t="e">
        <f t="shared" si="18"/>
        <v>#DIV/0!</v>
      </c>
      <c r="M50" t="e">
        <f t="shared" si="18"/>
        <v>#DIV/0!</v>
      </c>
      <c r="N50" t="e">
        <f t="shared" si="18"/>
        <v>#DIV/0!</v>
      </c>
      <c r="O50" t="e">
        <f t="shared" si="18"/>
        <v>#DIV/0!</v>
      </c>
      <c r="P50" t="e">
        <f t="shared" si="18"/>
        <v>#DIV/0!</v>
      </c>
      <c r="Q50" t="e">
        <f t="shared" si="18"/>
        <v>#DIV/0!</v>
      </c>
      <c r="R50" t="e">
        <f t="shared" si="17"/>
        <v>#DIV/0!</v>
      </c>
      <c r="S50" t="e">
        <f t="shared" si="17"/>
        <v>#DIV/0!</v>
      </c>
      <c r="T50" t="e">
        <f t="shared" si="17"/>
        <v>#DIV/0!</v>
      </c>
      <c r="U50" t="e">
        <f t="shared" si="17"/>
        <v>#DIV/0!</v>
      </c>
    </row>
    <row r="51" spans="1:27" x14ac:dyDescent="0.4">
      <c r="A51" s="2" t="s">
        <v>3</v>
      </c>
      <c r="B51">
        <f>LN(B$44*B$45)-B$44*B36</f>
        <v>1.1613103270601219</v>
      </c>
      <c r="C51">
        <f t="shared" ref="C51:Q51" si="19">LN(C$44*C$45)-C$44*C36</f>
        <v>0.61447410721187601</v>
      </c>
      <c r="D51" t="e">
        <f t="shared" si="19"/>
        <v>#DIV/0!</v>
      </c>
      <c r="E51" t="e">
        <f t="shared" si="19"/>
        <v>#DIV/0!</v>
      </c>
      <c r="F51" t="e">
        <f t="shared" si="19"/>
        <v>#DIV/0!</v>
      </c>
      <c r="G51" t="e">
        <f t="shared" si="19"/>
        <v>#DIV/0!</v>
      </c>
      <c r="H51" t="e">
        <f t="shared" si="19"/>
        <v>#DIV/0!</v>
      </c>
      <c r="I51" t="e">
        <f t="shared" si="19"/>
        <v>#DIV/0!</v>
      </c>
      <c r="J51" t="e">
        <f t="shared" si="19"/>
        <v>#DIV/0!</v>
      </c>
      <c r="K51" t="e">
        <f t="shared" si="19"/>
        <v>#DIV/0!</v>
      </c>
      <c r="L51" t="e">
        <f t="shared" si="19"/>
        <v>#DIV/0!</v>
      </c>
      <c r="M51" t="e">
        <f t="shared" si="19"/>
        <v>#DIV/0!</v>
      </c>
      <c r="N51" t="e">
        <f t="shared" si="19"/>
        <v>#DIV/0!</v>
      </c>
      <c r="O51" t="e">
        <f t="shared" si="19"/>
        <v>#DIV/0!</v>
      </c>
      <c r="P51" t="e">
        <f t="shared" si="19"/>
        <v>#DIV/0!</v>
      </c>
      <c r="Q51" t="e">
        <f t="shared" si="19"/>
        <v>#DIV/0!</v>
      </c>
      <c r="R51" t="e">
        <f t="shared" si="17"/>
        <v>#DIV/0!</v>
      </c>
      <c r="S51" t="e">
        <f t="shared" si="17"/>
        <v>#DIV/0!</v>
      </c>
      <c r="T51" t="e">
        <f t="shared" si="17"/>
        <v>#DIV/0!</v>
      </c>
      <c r="U51" t="e">
        <f t="shared" si="17"/>
        <v>#DIV/0!</v>
      </c>
    </row>
    <row r="52" spans="1:27" x14ac:dyDescent="0.4">
      <c r="A52" s="2" t="s">
        <v>4</v>
      </c>
      <c r="B52">
        <f>LN(B$44*B$45)-B$44*B37</f>
        <v>0.97997007276413362</v>
      </c>
      <c r="C52">
        <f t="shared" ref="C52:Q52" si="20">LN(C$44*C$45)-C$44*C37</f>
        <v>0.51348198617904717</v>
      </c>
      <c r="D52" t="e">
        <f t="shared" si="20"/>
        <v>#DIV/0!</v>
      </c>
      <c r="E52" t="e">
        <f t="shared" si="20"/>
        <v>#DIV/0!</v>
      </c>
      <c r="F52" t="e">
        <f t="shared" si="20"/>
        <v>#DIV/0!</v>
      </c>
      <c r="G52" t="e">
        <f t="shared" si="20"/>
        <v>#DIV/0!</v>
      </c>
      <c r="H52" t="e">
        <f t="shared" si="20"/>
        <v>#DIV/0!</v>
      </c>
      <c r="I52" t="e">
        <f t="shared" si="20"/>
        <v>#DIV/0!</v>
      </c>
      <c r="J52" t="e">
        <f t="shared" si="20"/>
        <v>#DIV/0!</v>
      </c>
      <c r="K52" t="e">
        <f t="shared" si="20"/>
        <v>#DIV/0!</v>
      </c>
      <c r="L52" t="e">
        <f t="shared" si="20"/>
        <v>#DIV/0!</v>
      </c>
      <c r="M52" t="e">
        <f t="shared" si="20"/>
        <v>#DIV/0!</v>
      </c>
      <c r="N52" t="e">
        <f t="shared" si="20"/>
        <v>#DIV/0!</v>
      </c>
      <c r="O52" t="e">
        <f t="shared" si="20"/>
        <v>#DIV/0!</v>
      </c>
      <c r="P52" t="e">
        <f t="shared" si="20"/>
        <v>#DIV/0!</v>
      </c>
      <c r="Q52" t="e">
        <f t="shared" si="20"/>
        <v>#DIV/0!</v>
      </c>
      <c r="R52" t="e">
        <f t="shared" si="17"/>
        <v>#DIV/0!</v>
      </c>
      <c r="S52" t="e">
        <f t="shared" si="17"/>
        <v>#DIV/0!</v>
      </c>
      <c r="T52" t="e">
        <f t="shared" si="17"/>
        <v>#DIV/0!</v>
      </c>
      <c r="U52" t="e">
        <f t="shared" si="17"/>
        <v>#DIV/0!</v>
      </c>
    </row>
    <row r="54" spans="1:27" x14ac:dyDescent="0.4">
      <c r="A54" s="4" t="s">
        <v>15</v>
      </c>
      <c r="B54" s="3" t="s">
        <v>17</v>
      </c>
      <c r="C54" s="3" t="s">
        <v>18</v>
      </c>
      <c r="D54" s="3" t="s">
        <v>19</v>
      </c>
      <c r="E54" s="3" t="s">
        <v>20</v>
      </c>
      <c r="F54" s="3" t="s">
        <v>21</v>
      </c>
      <c r="G54" s="3" t="s">
        <v>22</v>
      </c>
      <c r="H54" s="3" t="s">
        <v>23</v>
      </c>
      <c r="I54" s="3" t="s">
        <v>24</v>
      </c>
      <c r="J54" s="3" t="s">
        <v>25</v>
      </c>
      <c r="K54" s="3" t="s">
        <v>26</v>
      </c>
      <c r="L54" s="3" t="s">
        <v>27</v>
      </c>
      <c r="M54" s="3" t="s">
        <v>28</v>
      </c>
      <c r="N54" s="3" t="s">
        <v>29</v>
      </c>
      <c r="O54" s="3" t="s">
        <v>30</v>
      </c>
      <c r="P54" s="3" t="s">
        <v>31</v>
      </c>
      <c r="Q54" s="3" t="s">
        <v>32</v>
      </c>
      <c r="R54" s="3" t="s">
        <v>33</v>
      </c>
      <c r="S54" s="3" t="s">
        <v>34</v>
      </c>
      <c r="T54" s="3" t="s">
        <v>35</v>
      </c>
      <c r="U54" s="3" t="s">
        <v>36</v>
      </c>
    </row>
    <row r="55" spans="1:27" x14ac:dyDescent="0.4">
      <c r="A55" s="2" t="s">
        <v>0</v>
      </c>
      <c r="B55">
        <f t="shared" ref="B55:U55" si="21">B26-B48</f>
        <v>-3.4776812622476783E-3</v>
      </c>
      <c r="C55">
        <f t="shared" si="21"/>
        <v>-5.8716560661300043E-2</v>
      </c>
      <c r="D55" t="e">
        <f t="shared" si="21"/>
        <v>#DIV/0!</v>
      </c>
      <c r="E55" t="e">
        <f t="shared" si="21"/>
        <v>#DIV/0!</v>
      </c>
      <c r="F55" t="e">
        <f t="shared" si="21"/>
        <v>#DIV/0!</v>
      </c>
      <c r="G55" t="e">
        <f t="shared" si="21"/>
        <v>#DIV/0!</v>
      </c>
      <c r="H55" t="e">
        <f t="shared" si="21"/>
        <v>#DIV/0!</v>
      </c>
      <c r="I55" t="e">
        <f t="shared" si="21"/>
        <v>#DIV/0!</v>
      </c>
      <c r="J55" t="e">
        <f t="shared" si="21"/>
        <v>#DIV/0!</v>
      </c>
      <c r="K55" t="e">
        <f t="shared" si="21"/>
        <v>#DIV/0!</v>
      </c>
      <c r="L55" t="e">
        <f t="shared" si="21"/>
        <v>#DIV/0!</v>
      </c>
      <c r="M55" t="e">
        <f t="shared" si="21"/>
        <v>#DIV/0!</v>
      </c>
      <c r="N55" t="e">
        <f t="shared" si="21"/>
        <v>#DIV/0!</v>
      </c>
      <c r="O55" t="e">
        <f t="shared" si="21"/>
        <v>#DIV/0!</v>
      </c>
      <c r="P55" t="e">
        <f t="shared" si="21"/>
        <v>#DIV/0!</v>
      </c>
      <c r="Q55" t="e">
        <f t="shared" si="21"/>
        <v>#DIV/0!</v>
      </c>
      <c r="R55" t="e">
        <f t="shared" si="21"/>
        <v>#DIV/0!</v>
      </c>
      <c r="S55" t="e">
        <f t="shared" si="21"/>
        <v>#DIV/0!</v>
      </c>
      <c r="T55" t="e">
        <f t="shared" si="21"/>
        <v>#DIV/0!</v>
      </c>
      <c r="U55" t="e">
        <f t="shared" si="21"/>
        <v>#DIV/0!</v>
      </c>
    </row>
    <row r="56" spans="1:27" x14ac:dyDescent="0.4">
      <c r="A56" s="2" t="s">
        <v>1</v>
      </c>
      <c r="B56">
        <f>B27-B49</f>
        <v>0.10533695235797214</v>
      </c>
      <c r="C56">
        <f t="shared" ref="C56:Q56" si="22">C27-C49</f>
        <v>0.10265162080348822</v>
      </c>
      <c r="D56" t="e">
        <f t="shared" si="22"/>
        <v>#DIV/0!</v>
      </c>
      <c r="E56" t="e">
        <f t="shared" si="22"/>
        <v>#DIV/0!</v>
      </c>
      <c r="F56" t="e">
        <f t="shared" si="22"/>
        <v>#DIV/0!</v>
      </c>
      <c r="G56" t="e">
        <f t="shared" si="22"/>
        <v>#DIV/0!</v>
      </c>
      <c r="H56" t="e">
        <f t="shared" si="22"/>
        <v>#DIV/0!</v>
      </c>
      <c r="I56" t="e">
        <f t="shared" si="22"/>
        <v>#DIV/0!</v>
      </c>
      <c r="J56" t="e">
        <f t="shared" si="22"/>
        <v>#DIV/0!</v>
      </c>
      <c r="K56" t="e">
        <f t="shared" si="22"/>
        <v>#DIV/0!</v>
      </c>
      <c r="L56" t="e">
        <f t="shared" si="22"/>
        <v>#DIV/0!</v>
      </c>
      <c r="M56" t="e">
        <f t="shared" si="22"/>
        <v>#DIV/0!</v>
      </c>
      <c r="N56" t="e">
        <f t="shared" si="22"/>
        <v>#DIV/0!</v>
      </c>
      <c r="O56" t="e">
        <f t="shared" si="22"/>
        <v>#DIV/0!</v>
      </c>
      <c r="P56" t="e">
        <f t="shared" si="22"/>
        <v>#DIV/0!</v>
      </c>
      <c r="Q56" t="e">
        <f t="shared" si="22"/>
        <v>#DIV/0!</v>
      </c>
      <c r="R56" t="e">
        <f t="shared" ref="R56:U59" si="23">R27-R49</f>
        <v>#DIV/0!</v>
      </c>
      <c r="S56" t="e">
        <f t="shared" si="23"/>
        <v>#DIV/0!</v>
      </c>
      <c r="T56" t="e">
        <f t="shared" si="23"/>
        <v>#DIV/0!</v>
      </c>
      <c r="U56" t="e">
        <f t="shared" si="23"/>
        <v>#DIV/0!</v>
      </c>
    </row>
    <row r="57" spans="1:27" x14ac:dyDescent="0.4">
      <c r="A57" s="2" t="s">
        <v>2</v>
      </c>
      <c r="B57">
        <f>B28-B50</f>
        <v>-0.10910635757858977</v>
      </c>
      <c r="C57">
        <f t="shared" ref="C57:Q57" si="24">C28-C50</f>
        <v>-6.2448059435826209E-2</v>
      </c>
      <c r="D57" t="e">
        <f t="shared" si="24"/>
        <v>#DIV/0!</v>
      </c>
      <c r="E57" t="e">
        <f t="shared" si="24"/>
        <v>#DIV/0!</v>
      </c>
      <c r="F57" t="e">
        <f t="shared" si="24"/>
        <v>#DIV/0!</v>
      </c>
      <c r="G57" t="e">
        <f t="shared" si="24"/>
        <v>#DIV/0!</v>
      </c>
      <c r="H57" t="e">
        <f t="shared" si="24"/>
        <v>#DIV/0!</v>
      </c>
      <c r="I57" t="e">
        <f t="shared" si="24"/>
        <v>#DIV/0!</v>
      </c>
      <c r="J57" t="e">
        <f t="shared" si="24"/>
        <v>#DIV/0!</v>
      </c>
      <c r="K57" t="e">
        <f t="shared" si="24"/>
        <v>#DIV/0!</v>
      </c>
      <c r="L57" t="e">
        <f t="shared" si="24"/>
        <v>#DIV/0!</v>
      </c>
      <c r="M57" t="e">
        <f t="shared" si="24"/>
        <v>#DIV/0!</v>
      </c>
      <c r="N57" t="e">
        <f t="shared" si="24"/>
        <v>#DIV/0!</v>
      </c>
      <c r="O57" t="e">
        <f t="shared" si="24"/>
        <v>#DIV/0!</v>
      </c>
      <c r="P57" t="e">
        <f t="shared" si="24"/>
        <v>#DIV/0!</v>
      </c>
      <c r="Q57" t="e">
        <f t="shared" si="24"/>
        <v>#DIV/0!</v>
      </c>
      <c r="R57" t="e">
        <f t="shared" si="23"/>
        <v>#DIV/0!</v>
      </c>
      <c r="S57" t="e">
        <f t="shared" si="23"/>
        <v>#DIV/0!</v>
      </c>
      <c r="T57" t="e">
        <f t="shared" si="23"/>
        <v>#DIV/0!</v>
      </c>
      <c r="U57" t="e">
        <f t="shared" si="23"/>
        <v>#DIV/0!</v>
      </c>
    </row>
    <row r="58" spans="1:27" x14ac:dyDescent="0.4">
      <c r="A58" s="2" t="s">
        <v>3</v>
      </c>
      <c r="B58">
        <f>B29-B51</f>
        <v>-0.18210091117287741</v>
      </c>
      <c r="C58">
        <f t="shared" ref="C58:Q58" si="25">C29-C51</f>
        <v>0.10226525536488951</v>
      </c>
      <c r="D58" t="e">
        <f t="shared" si="25"/>
        <v>#DIV/0!</v>
      </c>
      <c r="E58" t="e">
        <f t="shared" si="25"/>
        <v>#DIV/0!</v>
      </c>
      <c r="F58" t="e">
        <f t="shared" si="25"/>
        <v>#DIV/0!</v>
      </c>
      <c r="G58" t="e">
        <f t="shared" si="25"/>
        <v>#DIV/0!</v>
      </c>
      <c r="H58" t="e">
        <f t="shared" si="25"/>
        <v>#DIV/0!</v>
      </c>
      <c r="I58" t="e">
        <f t="shared" si="25"/>
        <v>#DIV/0!</v>
      </c>
      <c r="J58" t="e">
        <f t="shared" si="25"/>
        <v>#DIV/0!</v>
      </c>
      <c r="K58" t="e">
        <f t="shared" si="25"/>
        <v>#DIV/0!</v>
      </c>
      <c r="L58" t="e">
        <f t="shared" si="25"/>
        <v>#DIV/0!</v>
      </c>
      <c r="M58" t="e">
        <f t="shared" si="25"/>
        <v>#DIV/0!</v>
      </c>
      <c r="N58" t="e">
        <f t="shared" si="25"/>
        <v>#DIV/0!</v>
      </c>
      <c r="O58" t="e">
        <f t="shared" si="25"/>
        <v>#DIV/0!</v>
      </c>
      <c r="P58" t="e">
        <f t="shared" si="25"/>
        <v>#DIV/0!</v>
      </c>
      <c r="Q58" t="e">
        <f t="shared" si="25"/>
        <v>#DIV/0!</v>
      </c>
      <c r="R58" t="e">
        <f t="shared" si="23"/>
        <v>#DIV/0!</v>
      </c>
      <c r="S58" t="e">
        <f t="shared" si="23"/>
        <v>#DIV/0!</v>
      </c>
      <c r="T58" t="e">
        <f t="shared" si="23"/>
        <v>#DIV/0!</v>
      </c>
      <c r="U58" t="e">
        <f t="shared" si="23"/>
        <v>#DIV/0!</v>
      </c>
    </row>
    <row r="59" spans="1:27" x14ac:dyDescent="0.4">
      <c r="A59" s="2" t="s">
        <v>4</v>
      </c>
      <c r="B59">
        <f>B30-B52</f>
        <v>0.18934799765574239</v>
      </c>
      <c r="C59">
        <f t="shared" ref="C59:Q59" si="26">C30-C52</f>
        <v>-8.3752256071251641E-2</v>
      </c>
      <c r="D59" t="e">
        <f t="shared" si="26"/>
        <v>#DIV/0!</v>
      </c>
      <c r="E59" t="e">
        <f t="shared" si="26"/>
        <v>#DIV/0!</v>
      </c>
      <c r="F59" t="e">
        <f t="shared" si="26"/>
        <v>#DIV/0!</v>
      </c>
      <c r="G59" t="e">
        <f t="shared" si="26"/>
        <v>#DIV/0!</v>
      </c>
      <c r="H59" t="e">
        <f t="shared" si="26"/>
        <v>#DIV/0!</v>
      </c>
      <c r="I59" t="e">
        <f t="shared" si="26"/>
        <v>#DIV/0!</v>
      </c>
      <c r="J59" t="e">
        <f t="shared" si="26"/>
        <v>#DIV/0!</v>
      </c>
      <c r="K59" t="e">
        <f t="shared" si="26"/>
        <v>#DIV/0!</v>
      </c>
      <c r="L59" t="e">
        <f t="shared" si="26"/>
        <v>#DIV/0!</v>
      </c>
      <c r="M59" t="e">
        <f t="shared" si="26"/>
        <v>#DIV/0!</v>
      </c>
      <c r="N59" t="e">
        <f t="shared" si="26"/>
        <v>#DIV/0!</v>
      </c>
      <c r="O59" t="e">
        <f t="shared" si="26"/>
        <v>#DIV/0!</v>
      </c>
      <c r="P59" t="e">
        <f t="shared" si="26"/>
        <v>#DIV/0!</v>
      </c>
      <c r="Q59" t="e">
        <f t="shared" si="26"/>
        <v>#DIV/0!</v>
      </c>
      <c r="R59" t="e">
        <f t="shared" si="23"/>
        <v>#DIV/0!</v>
      </c>
      <c r="S59" t="e">
        <f t="shared" si="23"/>
        <v>#DIV/0!</v>
      </c>
      <c r="T59" t="e">
        <f t="shared" si="23"/>
        <v>#DIV/0!</v>
      </c>
      <c r="U59" t="e">
        <f t="shared" si="23"/>
        <v>#DIV/0!</v>
      </c>
    </row>
    <row r="61" spans="1:27" x14ac:dyDescent="0.4">
      <c r="A61" s="4" t="s">
        <v>16</v>
      </c>
      <c r="B61" s="3" t="s">
        <v>17</v>
      </c>
      <c r="C61" s="3" t="s">
        <v>18</v>
      </c>
      <c r="D61" s="3" t="s">
        <v>19</v>
      </c>
      <c r="E61" s="3" t="s">
        <v>20</v>
      </c>
      <c r="F61" s="3" t="s">
        <v>21</v>
      </c>
      <c r="G61" s="3" t="s">
        <v>22</v>
      </c>
      <c r="H61" s="3" t="s">
        <v>23</v>
      </c>
      <c r="I61" s="3" t="s">
        <v>24</v>
      </c>
      <c r="J61" s="3" t="s">
        <v>25</v>
      </c>
      <c r="K61" s="3" t="s">
        <v>26</v>
      </c>
      <c r="L61" s="3" t="s">
        <v>27</v>
      </c>
      <c r="M61" s="3" t="s">
        <v>28</v>
      </c>
      <c r="N61" s="3" t="s">
        <v>29</v>
      </c>
      <c r="O61" s="3" t="s">
        <v>30</v>
      </c>
      <c r="P61" s="3" t="s">
        <v>31</v>
      </c>
      <c r="Q61" s="3" t="s">
        <v>32</v>
      </c>
      <c r="R61" s="3" t="s">
        <v>33</v>
      </c>
      <c r="S61" s="3" t="s">
        <v>34</v>
      </c>
      <c r="T61" s="3" t="s">
        <v>35</v>
      </c>
      <c r="U61" s="3" t="s">
        <v>36</v>
      </c>
      <c r="V61" s="8" t="s">
        <v>14</v>
      </c>
      <c r="W61" s="10" t="s">
        <v>42</v>
      </c>
      <c r="X61" s="10" t="s">
        <v>40</v>
      </c>
      <c r="Y61" s="10" t="s">
        <v>46</v>
      </c>
      <c r="Z61" s="10" t="s">
        <v>43</v>
      </c>
      <c r="AA61" s="10" t="s">
        <v>44</v>
      </c>
    </row>
    <row r="62" spans="1:27" x14ac:dyDescent="0.4">
      <c r="A62" s="2" t="s">
        <v>0</v>
      </c>
      <c r="B62">
        <f>B55^2</f>
        <v>1.2094266961788604E-5</v>
      </c>
      <c r="C62">
        <f t="shared" ref="C62:U62" si="27">C55^2</f>
        <v>3.4476344958921279E-3</v>
      </c>
      <c r="D62" t="e">
        <f t="shared" si="27"/>
        <v>#DIV/0!</v>
      </c>
      <c r="E62" t="e">
        <f t="shared" si="27"/>
        <v>#DIV/0!</v>
      </c>
      <c r="F62" t="e">
        <f t="shared" si="27"/>
        <v>#DIV/0!</v>
      </c>
      <c r="G62" t="e">
        <f t="shared" si="27"/>
        <v>#DIV/0!</v>
      </c>
      <c r="H62" t="e">
        <f t="shared" si="27"/>
        <v>#DIV/0!</v>
      </c>
      <c r="I62" t="e">
        <f t="shared" si="27"/>
        <v>#DIV/0!</v>
      </c>
      <c r="J62" t="e">
        <f t="shared" si="27"/>
        <v>#DIV/0!</v>
      </c>
      <c r="K62" t="e">
        <f t="shared" si="27"/>
        <v>#DIV/0!</v>
      </c>
      <c r="L62" t="e">
        <f t="shared" si="27"/>
        <v>#DIV/0!</v>
      </c>
      <c r="M62" t="e">
        <f t="shared" si="27"/>
        <v>#DIV/0!</v>
      </c>
      <c r="N62" t="e">
        <f t="shared" si="27"/>
        <v>#DIV/0!</v>
      </c>
      <c r="O62" t="e">
        <f t="shared" si="27"/>
        <v>#DIV/0!</v>
      </c>
      <c r="P62" t="e">
        <f t="shared" si="27"/>
        <v>#DIV/0!</v>
      </c>
      <c r="Q62" t="e">
        <f t="shared" si="27"/>
        <v>#DIV/0!</v>
      </c>
      <c r="R62" t="e">
        <f t="shared" si="27"/>
        <v>#DIV/0!</v>
      </c>
      <c r="S62" t="e">
        <f t="shared" si="27"/>
        <v>#DIV/0!</v>
      </c>
      <c r="T62" t="e">
        <f t="shared" si="27"/>
        <v>#DIV/0!</v>
      </c>
      <c r="U62" t="e">
        <f t="shared" si="27"/>
        <v>#DIV/0!</v>
      </c>
      <c r="V62" s="8" t="e">
        <f>SUM(B62:U66)</f>
        <v>#DIV/0!</v>
      </c>
      <c r="W62" t="e">
        <f>V62/COUNT(B62:U66)</f>
        <v>#DIV/0!</v>
      </c>
      <c r="X62" t="e">
        <f>-0.5*COUNT(B62:U66)*LN(2*PI()*W62)-0.5*V62/W62</f>
        <v>#DIV/0!</v>
      </c>
      <c r="Y62">
        <v>41</v>
      </c>
      <c r="Z62" t="e">
        <f>-2*X62+2*Y62</f>
        <v>#DIV/0!</v>
      </c>
      <c r="AA62" t="e">
        <f>Z62+2*Y62*(Y62+1)/(COUNT(B62:U66)-Y62-1)</f>
        <v>#DIV/0!</v>
      </c>
    </row>
    <row r="63" spans="1:27" x14ac:dyDescent="0.4">
      <c r="A63" s="2" t="s">
        <v>1</v>
      </c>
      <c r="B63">
        <f t="shared" ref="B63:U66" si="28">B56^2</f>
        <v>1.1095873532065691E-2</v>
      </c>
      <c r="C63">
        <f t="shared" si="28"/>
        <v>1.0537355253583135E-2</v>
      </c>
      <c r="D63" t="e">
        <f t="shared" si="28"/>
        <v>#DIV/0!</v>
      </c>
      <c r="E63" t="e">
        <f t="shared" si="28"/>
        <v>#DIV/0!</v>
      </c>
      <c r="F63" t="e">
        <f t="shared" si="28"/>
        <v>#DIV/0!</v>
      </c>
      <c r="G63" t="e">
        <f t="shared" si="28"/>
        <v>#DIV/0!</v>
      </c>
      <c r="H63" t="e">
        <f t="shared" si="28"/>
        <v>#DIV/0!</v>
      </c>
      <c r="I63" t="e">
        <f t="shared" si="28"/>
        <v>#DIV/0!</v>
      </c>
      <c r="J63" t="e">
        <f t="shared" si="28"/>
        <v>#DIV/0!</v>
      </c>
      <c r="K63" t="e">
        <f t="shared" si="28"/>
        <v>#DIV/0!</v>
      </c>
      <c r="L63" t="e">
        <f t="shared" si="28"/>
        <v>#DIV/0!</v>
      </c>
      <c r="M63" t="e">
        <f t="shared" si="28"/>
        <v>#DIV/0!</v>
      </c>
      <c r="N63" t="e">
        <f t="shared" si="28"/>
        <v>#DIV/0!</v>
      </c>
      <c r="O63" t="e">
        <f t="shared" si="28"/>
        <v>#DIV/0!</v>
      </c>
      <c r="P63" t="e">
        <f t="shared" si="28"/>
        <v>#DIV/0!</v>
      </c>
      <c r="Q63" t="e">
        <f t="shared" si="28"/>
        <v>#DIV/0!</v>
      </c>
      <c r="R63" t="e">
        <f t="shared" si="28"/>
        <v>#DIV/0!</v>
      </c>
      <c r="S63" t="e">
        <f t="shared" si="28"/>
        <v>#DIV/0!</v>
      </c>
      <c r="T63" t="e">
        <f t="shared" si="28"/>
        <v>#DIV/0!</v>
      </c>
      <c r="U63" t="e">
        <f t="shared" si="28"/>
        <v>#DIV/0!</v>
      </c>
    </row>
    <row r="64" spans="1:27" x14ac:dyDescent="0.4">
      <c r="A64" s="2" t="s">
        <v>2</v>
      </c>
      <c r="B64">
        <f t="shared" si="28"/>
        <v>1.1904197264067095E-2</v>
      </c>
      <c r="C64">
        <f t="shared" si="28"/>
        <v>3.8997601273004826E-3</v>
      </c>
      <c r="D64" t="e">
        <f t="shared" si="28"/>
        <v>#DIV/0!</v>
      </c>
      <c r="E64" t="e">
        <f t="shared" si="28"/>
        <v>#DIV/0!</v>
      </c>
      <c r="F64" t="e">
        <f t="shared" si="28"/>
        <v>#DIV/0!</v>
      </c>
      <c r="G64" t="e">
        <f t="shared" si="28"/>
        <v>#DIV/0!</v>
      </c>
      <c r="H64" t="e">
        <f t="shared" si="28"/>
        <v>#DIV/0!</v>
      </c>
      <c r="I64" t="e">
        <f t="shared" si="28"/>
        <v>#DIV/0!</v>
      </c>
      <c r="J64" t="e">
        <f t="shared" si="28"/>
        <v>#DIV/0!</v>
      </c>
      <c r="K64" t="e">
        <f t="shared" si="28"/>
        <v>#DIV/0!</v>
      </c>
      <c r="L64" t="e">
        <f t="shared" si="28"/>
        <v>#DIV/0!</v>
      </c>
      <c r="M64" t="e">
        <f t="shared" si="28"/>
        <v>#DIV/0!</v>
      </c>
      <c r="N64" t="e">
        <f t="shared" si="28"/>
        <v>#DIV/0!</v>
      </c>
      <c r="O64" t="e">
        <f t="shared" si="28"/>
        <v>#DIV/0!</v>
      </c>
      <c r="P64" t="e">
        <f t="shared" si="28"/>
        <v>#DIV/0!</v>
      </c>
      <c r="Q64" t="e">
        <f t="shared" si="28"/>
        <v>#DIV/0!</v>
      </c>
      <c r="R64" t="e">
        <f t="shared" si="28"/>
        <v>#DIV/0!</v>
      </c>
      <c r="S64" t="e">
        <f t="shared" si="28"/>
        <v>#DIV/0!</v>
      </c>
      <c r="T64" t="e">
        <f t="shared" si="28"/>
        <v>#DIV/0!</v>
      </c>
      <c r="U64" t="e">
        <f t="shared" si="28"/>
        <v>#DIV/0!</v>
      </c>
    </row>
    <row r="65" spans="1:21" x14ac:dyDescent="0.4">
      <c r="A65" s="2" t="s">
        <v>3</v>
      </c>
      <c r="B65">
        <f t="shared" si="28"/>
        <v>3.3160741849992188E-2</v>
      </c>
      <c r="C65">
        <f t="shared" si="28"/>
        <v>1.0458182454846062E-2</v>
      </c>
      <c r="D65" t="e">
        <f t="shared" si="28"/>
        <v>#DIV/0!</v>
      </c>
      <c r="E65" t="e">
        <f t="shared" si="28"/>
        <v>#DIV/0!</v>
      </c>
      <c r="F65" t="e">
        <f t="shared" si="28"/>
        <v>#DIV/0!</v>
      </c>
      <c r="G65" t="e">
        <f t="shared" si="28"/>
        <v>#DIV/0!</v>
      </c>
      <c r="H65" t="e">
        <f t="shared" si="28"/>
        <v>#DIV/0!</v>
      </c>
      <c r="I65" t="e">
        <f t="shared" si="28"/>
        <v>#DIV/0!</v>
      </c>
      <c r="J65" t="e">
        <f t="shared" si="28"/>
        <v>#DIV/0!</v>
      </c>
      <c r="K65" t="e">
        <f t="shared" si="28"/>
        <v>#DIV/0!</v>
      </c>
      <c r="L65" t="e">
        <f t="shared" si="28"/>
        <v>#DIV/0!</v>
      </c>
      <c r="M65" t="e">
        <f t="shared" si="28"/>
        <v>#DIV/0!</v>
      </c>
      <c r="N65" t="e">
        <f t="shared" si="28"/>
        <v>#DIV/0!</v>
      </c>
      <c r="O65" t="e">
        <f t="shared" si="28"/>
        <v>#DIV/0!</v>
      </c>
      <c r="P65" t="e">
        <f t="shared" si="28"/>
        <v>#DIV/0!</v>
      </c>
      <c r="Q65" t="e">
        <f t="shared" si="28"/>
        <v>#DIV/0!</v>
      </c>
      <c r="R65" t="e">
        <f t="shared" si="28"/>
        <v>#DIV/0!</v>
      </c>
      <c r="S65" t="e">
        <f t="shared" si="28"/>
        <v>#DIV/0!</v>
      </c>
      <c r="T65" t="e">
        <f t="shared" si="28"/>
        <v>#DIV/0!</v>
      </c>
      <c r="U65" t="e">
        <f t="shared" si="28"/>
        <v>#DIV/0!</v>
      </c>
    </row>
    <row r="66" spans="1:21" x14ac:dyDescent="0.4">
      <c r="A66" s="2" t="s">
        <v>4</v>
      </c>
      <c r="B66">
        <f t="shared" si="28"/>
        <v>3.5852664216239026E-2</v>
      </c>
      <c r="C66">
        <f t="shared" si="28"/>
        <v>7.0144403970245073E-3</v>
      </c>
      <c r="D66" t="e">
        <f t="shared" si="28"/>
        <v>#DIV/0!</v>
      </c>
      <c r="E66" t="e">
        <f t="shared" si="28"/>
        <v>#DIV/0!</v>
      </c>
      <c r="F66" t="e">
        <f t="shared" si="28"/>
        <v>#DIV/0!</v>
      </c>
      <c r="G66" t="e">
        <f t="shared" si="28"/>
        <v>#DIV/0!</v>
      </c>
      <c r="H66" t="e">
        <f t="shared" si="28"/>
        <v>#DIV/0!</v>
      </c>
      <c r="I66" t="e">
        <f t="shared" si="28"/>
        <v>#DIV/0!</v>
      </c>
      <c r="J66" t="e">
        <f t="shared" si="28"/>
        <v>#DIV/0!</v>
      </c>
      <c r="K66" t="e">
        <f t="shared" si="28"/>
        <v>#DIV/0!</v>
      </c>
      <c r="L66" t="e">
        <f t="shared" si="28"/>
        <v>#DIV/0!</v>
      </c>
      <c r="M66" t="e">
        <f t="shared" si="28"/>
        <v>#DIV/0!</v>
      </c>
      <c r="N66" t="e">
        <f t="shared" si="28"/>
        <v>#DIV/0!</v>
      </c>
      <c r="O66" t="e">
        <f t="shared" si="28"/>
        <v>#DIV/0!</v>
      </c>
      <c r="P66" t="e">
        <f t="shared" si="28"/>
        <v>#DIV/0!</v>
      </c>
      <c r="Q66" t="e">
        <f t="shared" si="28"/>
        <v>#DIV/0!</v>
      </c>
      <c r="R66" t="e">
        <f t="shared" si="28"/>
        <v>#DIV/0!</v>
      </c>
      <c r="S66" t="e">
        <f t="shared" si="28"/>
        <v>#DIV/0!</v>
      </c>
      <c r="T66" t="e">
        <f t="shared" si="28"/>
        <v>#DIV/0!</v>
      </c>
      <c r="U66" t="e">
        <f t="shared" si="28"/>
        <v>#DIV/0!</v>
      </c>
    </row>
  </sheetData>
  <phoneticPr fontId="18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6"/>
  <sheetViews>
    <sheetView topLeftCell="A31" zoomScaleNormal="100" workbookViewId="0">
      <selection activeCell="A43" sqref="A43"/>
    </sheetView>
  </sheetViews>
  <sheetFormatPr defaultRowHeight="18.75" x14ac:dyDescent="0.4"/>
  <cols>
    <col min="1" max="1" width="15" bestFit="1" customWidth="1"/>
    <col min="22" max="22" width="13.25" bestFit="1" customWidth="1"/>
  </cols>
  <sheetData>
    <row r="1" spans="1:21" x14ac:dyDescent="0.4">
      <c r="A1" s="4" t="s">
        <v>5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</row>
    <row r="2" spans="1:21" x14ac:dyDescent="0.4">
      <c r="A2" s="2" t="s">
        <v>0</v>
      </c>
      <c r="B2">
        <v>24022</v>
      </c>
      <c r="C2">
        <v>4276</v>
      </c>
      <c r="D2">
        <v>7450</v>
      </c>
      <c r="E2">
        <v>23132</v>
      </c>
      <c r="F2">
        <v>13507</v>
      </c>
      <c r="G2">
        <v>148494</v>
      </c>
      <c r="H2">
        <v>48408</v>
      </c>
      <c r="I2">
        <v>204922</v>
      </c>
      <c r="J2">
        <v>26125</v>
      </c>
      <c r="K2">
        <v>5583</v>
      </c>
      <c r="L2">
        <v>21249</v>
      </c>
      <c r="M2">
        <v>58745</v>
      </c>
      <c r="N2">
        <v>103399</v>
      </c>
      <c r="O2">
        <v>55053</v>
      </c>
      <c r="P2">
        <v>91129</v>
      </c>
      <c r="Q2">
        <v>12014</v>
      </c>
      <c r="R2">
        <v>10741</v>
      </c>
      <c r="S2">
        <v>13394</v>
      </c>
      <c r="T2">
        <v>6982</v>
      </c>
      <c r="U2">
        <v>35006</v>
      </c>
    </row>
    <row r="3" spans="1:21" x14ac:dyDescent="0.4">
      <c r="A3" s="2" t="s">
        <v>1</v>
      </c>
      <c r="B3">
        <v>14737</v>
      </c>
      <c r="C3">
        <v>3847</v>
      </c>
      <c r="D3">
        <v>2665</v>
      </c>
      <c r="E3">
        <v>20700</v>
      </c>
      <c r="F3">
        <v>7715</v>
      </c>
      <c r="G3">
        <v>69144</v>
      </c>
      <c r="H3">
        <v>26141</v>
      </c>
      <c r="I3">
        <v>91441</v>
      </c>
      <c r="J3">
        <v>9528</v>
      </c>
      <c r="K3">
        <v>7632</v>
      </c>
      <c r="L3">
        <v>10556</v>
      </c>
      <c r="M3">
        <v>30174</v>
      </c>
      <c r="N3">
        <v>36988</v>
      </c>
      <c r="O3">
        <v>22580</v>
      </c>
      <c r="P3">
        <v>39789</v>
      </c>
      <c r="Q3">
        <v>9991</v>
      </c>
      <c r="R3">
        <v>9961</v>
      </c>
      <c r="S3">
        <v>7198</v>
      </c>
      <c r="T3">
        <v>8121</v>
      </c>
      <c r="U3">
        <v>18951</v>
      </c>
    </row>
    <row r="4" spans="1:21" x14ac:dyDescent="0.4">
      <c r="A4" s="2" t="s">
        <v>2</v>
      </c>
      <c r="B4">
        <v>6958</v>
      </c>
      <c r="C4">
        <v>1992</v>
      </c>
      <c r="D4">
        <v>2349</v>
      </c>
      <c r="E4">
        <v>10753</v>
      </c>
      <c r="F4">
        <v>4382</v>
      </c>
      <c r="G4">
        <v>41898</v>
      </c>
      <c r="H4">
        <v>9253</v>
      </c>
      <c r="I4">
        <v>46768</v>
      </c>
      <c r="J4">
        <v>16941</v>
      </c>
      <c r="K4">
        <v>3869</v>
      </c>
      <c r="L4">
        <v>3200</v>
      </c>
      <c r="M4">
        <v>18598</v>
      </c>
      <c r="N4">
        <v>25735</v>
      </c>
      <c r="O4">
        <v>17921</v>
      </c>
      <c r="P4">
        <v>25045</v>
      </c>
      <c r="Q4">
        <v>5217</v>
      </c>
      <c r="R4">
        <v>3995</v>
      </c>
      <c r="S4">
        <v>6504</v>
      </c>
      <c r="T4">
        <v>4392</v>
      </c>
      <c r="U4">
        <v>11864</v>
      </c>
    </row>
    <row r="5" spans="1:21" x14ac:dyDescent="0.4">
      <c r="A5" s="2" t="s">
        <v>3</v>
      </c>
      <c r="B5">
        <v>2673</v>
      </c>
      <c r="C5">
        <v>772</v>
      </c>
      <c r="D5">
        <v>904</v>
      </c>
      <c r="E5">
        <v>3420</v>
      </c>
      <c r="F5">
        <v>1579</v>
      </c>
      <c r="G5">
        <v>12075</v>
      </c>
      <c r="H5">
        <v>2621</v>
      </c>
      <c r="I5">
        <v>27121</v>
      </c>
      <c r="J5">
        <v>7096</v>
      </c>
      <c r="K5">
        <v>2618</v>
      </c>
      <c r="L5">
        <v>2225</v>
      </c>
      <c r="M5">
        <v>9125</v>
      </c>
      <c r="N5">
        <v>9123</v>
      </c>
      <c r="O5">
        <v>3593</v>
      </c>
      <c r="P5">
        <v>12065</v>
      </c>
      <c r="Q5">
        <v>4923</v>
      </c>
      <c r="R5">
        <v>1744</v>
      </c>
      <c r="S5">
        <v>2047</v>
      </c>
      <c r="T5">
        <v>1603</v>
      </c>
      <c r="U5">
        <v>3047</v>
      </c>
    </row>
    <row r="6" spans="1:21" x14ac:dyDescent="0.4">
      <c r="A6" s="2" t="s">
        <v>4</v>
      </c>
      <c r="B6">
        <v>2212</v>
      </c>
      <c r="C6">
        <v>146</v>
      </c>
      <c r="D6">
        <v>639</v>
      </c>
      <c r="E6">
        <v>3214</v>
      </c>
      <c r="F6">
        <v>457</v>
      </c>
      <c r="G6">
        <v>6661</v>
      </c>
      <c r="H6">
        <v>3693</v>
      </c>
      <c r="I6">
        <v>27555</v>
      </c>
      <c r="J6">
        <v>5949</v>
      </c>
      <c r="K6">
        <v>1896</v>
      </c>
      <c r="L6">
        <v>1499</v>
      </c>
      <c r="M6">
        <v>6284</v>
      </c>
      <c r="N6">
        <v>6580</v>
      </c>
      <c r="O6">
        <v>2653</v>
      </c>
      <c r="P6">
        <v>5179</v>
      </c>
      <c r="Q6">
        <v>3829</v>
      </c>
      <c r="R6">
        <v>1650</v>
      </c>
      <c r="S6">
        <v>1025</v>
      </c>
      <c r="T6">
        <v>1143</v>
      </c>
      <c r="U6">
        <v>3148</v>
      </c>
    </row>
    <row r="7" spans="1:21" x14ac:dyDescent="0.4">
      <c r="A7" s="1" t="s">
        <v>9</v>
      </c>
      <c r="B7" s="6">
        <f>SUM(B2:B6)</f>
        <v>50602</v>
      </c>
      <c r="C7" s="6">
        <f t="shared" ref="C7:U7" si="0">SUM(C2:C6)</f>
        <v>11033</v>
      </c>
      <c r="D7" s="6">
        <f t="shared" si="0"/>
        <v>14007</v>
      </c>
      <c r="E7" s="6">
        <f t="shared" si="0"/>
        <v>61219</v>
      </c>
      <c r="F7" s="6">
        <f t="shared" si="0"/>
        <v>27640</v>
      </c>
      <c r="G7" s="6">
        <f t="shared" si="0"/>
        <v>278272</v>
      </c>
      <c r="H7" s="6">
        <f t="shared" si="0"/>
        <v>90116</v>
      </c>
      <c r="I7" s="6">
        <f t="shared" si="0"/>
        <v>397807</v>
      </c>
      <c r="J7" s="6">
        <f t="shared" si="0"/>
        <v>65639</v>
      </c>
      <c r="K7" s="6">
        <f t="shared" si="0"/>
        <v>21598</v>
      </c>
      <c r="L7" s="6">
        <f t="shared" si="0"/>
        <v>38729</v>
      </c>
      <c r="M7" s="6">
        <f t="shared" si="0"/>
        <v>122926</v>
      </c>
      <c r="N7" s="6">
        <f t="shared" si="0"/>
        <v>181825</v>
      </c>
      <c r="O7" s="6">
        <f t="shared" si="0"/>
        <v>101800</v>
      </c>
      <c r="P7" s="6">
        <f t="shared" si="0"/>
        <v>173207</v>
      </c>
      <c r="Q7" s="6">
        <f t="shared" si="0"/>
        <v>35974</v>
      </c>
      <c r="R7" s="6">
        <f t="shared" si="0"/>
        <v>28091</v>
      </c>
      <c r="S7" s="6">
        <f t="shared" si="0"/>
        <v>30168</v>
      </c>
      <c r="T7" s="6">
        <f t="shared" si="0"/>
        <v>22241</v>
      </c>
      <c r="U7" s="6">
        <f t="shared" si="0"/>
        <v>72016</v>
      </c>
    </row>
    <row r="9" spans="1:21" x14ac:dyDescent="0.4">
      <c r="A9" s="4" t="s">
        <v>48</v>
      </c>
      <c r="B9" s="3" t="s">
        <v>17</v>
      </c>
      <c r="C9" s="3" t="s">
        <v>18</v>
      </c>
      <c r="D9" s="3" t="s">
        <v>19</v>
      </c>
      <c r="E9" s="3" t="s">
        <v>20</v>
      </c>
      <c r="F9" s="3" t="s">
        <v>21</v>
      </c>
      <c r="G9" s="3" t="s">
        <v>22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27</v>
      </c>
      <c r="M9" s="3" t="s">
        <v>28</v>
      </c>
      <c r="N9" s="3" t="s">
        <v>29</v>
      </c>
      <c r="O9" s="3" t="s">
        <v>30</v>
      </c>
      <c r="P9" s="3" t="s">
        <v>31</v>
      </c>
      <c r="Q9" s="3" t="s">
        <v>32</v>
      </c>
      <c r="R9" s="3" t="s">
        <v>33</v>
      </c>
      <c r="S9" s="3" t="s">
        <v>34</v>
      </c>
      <c r="T9" s="3" t="s">
        <v>35</v>
      </c>
      <c r="U9" s="3" t="s">
        <v>36</v>
      </c>
    </row>
    <row r="10" spans="1:21" x14ac:dyDescent="0.4">
      <c r="A10" s="2" t="s">
        <v>0</v>
      </c>
      <c r="B10">
        <v>2431</v>
      </c>
      <c r="C10">
        <v>1076</v>
      </c>
      <c r="D10">
        <v>1749</v>
      </c>
      <c r="E10">
        <v>2101</v>
      </c>
      <c r="F10">
        <v>2140</v>
      </c>
      <c r="G10">
        <v>3320</v>
      </c>
      <c r="H10">
        <v>2662</v>
      </c>
      <c r="I10">
        <v>2347</v>
      </c>
      <c r="J10">
        <v>2417</v>
      </c>
      <c r="K10">
        <v>1247</v>
      </c>
      <c r="L10">
        <v>1449</v>
      </c>
      <c r="M10">
        <v>1788</v>
      </c>
      <c r="N10">
        <v>2155</v>
      </c>
      <c r="O10">
        <v>1656</v>
      </c>
      <c r="P10">
        <v>1265</v>
      </c>
      <c r="Q10">
        <v>836</v>
      </c>
      <c r="R10">
        <v>983</v>
      </c>
      <c r="S10">
        <v>988</v>
      </c>
      <c r="T10">
        <v>599</v>
      </c>
      <c r="U10">
        <v>757</v>
      </c>
    </row>
    <row r="11" spans="1:21" x14ac:dyDescent="0.4">
      <c r="A11" s="2" t="s">
        <v>1</v>
      </c>
      <c r="B11">
        <v>2075</v>
      </c>
      <c r="C11">
        <v>1099</v>
      </c>
      <c r="D11">
        <v>1238</v>
      </c>
      <c r="E11">
        <v>2017</v>
      </c>
      <c r="F11">
        <v>1661</v>
      </c>
      <c r="G11">
        <v>2990</v>
      </c>
      <c r="H11">
        <v>2810</v>
      </c>
      <c r="I11">
        <v>2276</v>
      </c>
      <c r="J11">
        <v>1428</v>
      </c>
      <c r="K11">
        <v>1965</v>
      </c>
      <c r="L11">
        <v>1584</v>
      </c>
      <c r="M11">
        <v>1409</v>
      </c>
      <c r="N11">
        <v>1904</v>
      </c>
      <c r="O11">
        <v>1318</v>
      </c>
      <c r="P11">
        <v>1320</v>
      </c>
      <c r="Q11">
        <v>1295</v>
      </c>
      <c r="R11">
        <v>1191</v>
      </c>
      <c r="S11">
        <v>749</v>
      </c>
      <c r="T11">
        <v>713</v>
      </c>
      <c r="U11">
        <v>629</v>
      </c>
    </row>
    <row r="12" spans="1:21" x14ac:dyDescent="0.4">
      <c r="A12" s="2" t="s">
        <v>2</v>
      </c>
      <c r="B12">
        <v>1766</v>
      </c>
      <c r="C12">
        <v>901</v>
      </c>
      <c r="D12">
        <v>912</v>
      </c>
      <c r="E12">
        <v>1961</v>
      </c>
      <c r="F12">
        <v>1545</v>
      </c>
      <c r="G12">
        <v>3078</v>
      </c>
      <c r="H12">
        <v>2040</v>
      </c>
      <c r="I12">
        <v>2189</v>
      </c>
      <c r="J12">
        <v>2372</v>
      </c>
      <c r="K12">
        <v>1304</v>
      </c>
      <c r="L12">
        <v>766</v>
      </c>
      <c r="M12">
        <v>1455</v>
      </c>
      <c r="N12">
        <v>1953</v>
      </c>
      <c r="O12">
        <v>1576</v>
      </c>
      <c r="P12">
        <v>1221</v>
      </c>
      <c r="Q12">
        <v>799</v>
      </c>
      <c r="R12">
        <v>707</v>
      </c>
      <c r="S12">
        <v>885</v>
      </c>
      <c r="T12">
        <v>817</v>
      </c>
      <c r="U12">
        <v>676</v>
      </c>
    </row>
    <row r="13" spans="1:21" x14ac:dyDescent="0.4">
      <c r="A13" s="2" t="s">
        <v>3</v>
      </c>
      <c r="B13">
        <v>1004</v>
      </c>
      <c r="C13">
        <v>377</v>
      </c>
      <c r="D13">
        <v>378</v>
      </c>
      <c r="E13">
        <v>819</v>
      </c>
      <c r="F13">
        <v>623</v>
      </c>
      <c r="G13">
        <v>1298</v>
      </c>
      <c r="H13">
        <v>707</v>
      </c>
      <c r="I13">
        <v>1034</v>
      </c>
      <c r="J13">
        <v>1302</v>
      </c>
      <c r="K13">
        <v>1011</v>
      </c>
      <c r="L13">
        <v>525</v>
      </c>
      <c r="M13">
        <v>1036</v>
      </c>
      <c r="N13">
        <v>984</v>
      </c>
      <c r="O13">
        <v>778</v>
      </c>
      <c r="P13">
        <v>721</v>
      </c>
      <c r="Q13">
        <v>537</v>
      </c>
      <c r="R13">
        <v>400</v>
      </c>
      <c r="S13">
        <v>463</v>
      </c>
      <c r="T13">
        <v>441</v>
      </c>
      <c r="U13">
        <v>317</v>
      </c>
    </row>
    <row r="14" spans="1:21" x14ac:dyDescent="0.4">
      <c r="A14" s="2" t="s">
        <v>4</v>
      </c>
      <c r="B14">
        <v>687</v>
      </c>
      <c r="C14">
        <v>95</v>
      </c>
      <c r="D14">
        <v>244</v>
      </c>
      <c r="E14">
        <v>790</v>
      </c>
      <c r="F14">
        <v>222</v>
      </c>
      <c r="G14">
        <v>1369</v>
      </c>
      <c r="H14">
        <v>910</v>
      </c>
      <c r="I14">
        <v>1270</v>
      </c>
      <c r="J14">
        <v>1455</v>
      </c>
      <c r="K14">
        <v>658</v>
      </c>
      <c r="L14">
        <v>517</v>
      </c>
      <c r="M14">
        <v>803</v>
      </c>
      <c r="N14">
        <v>1049</v>
      </c>
      <c r="O14">
        <v>652</v>
      </c>
      <c r="P14">
        <v>407</v>
      </c>
      <c r="Q14">
        <v>767</v>
      </c>
      <c r="R14">
        <v>473</v>
      </c>
      <c r="S14">
        <v>339</v>
      </c>
      <c r="T14">
        <v>282</v>
      </c>
      <c r="U14">
        <v>370</v>
      </c>
    </row>
    <row r="15" spans="1:21" x14ac:dyDescent="0.4">
      <c r="A15" s="1" t="s">
        <v>9</v>
      </c>
      <c r="B15" s="6">
        <f>SUM(B10:B14)</f>
        <v>7963</v>
      </c>
      <c r="C15" s="6">
        <f t="shared" ref="C15:U15" si="1">SUM(C10:C14)</f>
        <v>3548</v>
      </c>
      <c r="D15" s="6">
        <f t="shared" si="1"/>
        <v>4521</v>
      </c>
      <c r="E15" s="6">
        <f t="shared" si="1"/>
        <v>7688</v>
      </c>
      <c r="F15" s="6">
        <f t="shared" si="1"/>
        <v>6191</v>
      </c>
      <c r="G15" s="6">
        <f t="shared" si="1"/>
        <v>12055</v>
      </c>
      <c r="H15" s="6">
        <f t="shared" si="1"/>
        <v>9129</v>
      </c>
      <c r="I15" s="6">
        <f t="shared" si="1"/>
        <v>9116</v>
      </c>
      <c r="J15" s="6">
        <f t="shared" si="1"/>
        <v>8974</v>
      </c>
      <c r="K15" s="6">
        <f t="shared" si="1"/>
        <v>6185</v>
      </c>
      <c r="L15" s="6">
        <f t="shared" si="1"/>
        <v>4841</v>
      </c>
      <c r="M15" s="6">
        <f t="shared" si="1"/>
        <v>6491</v>
      </c>
      <c r="N15" s="6">
        <f t="shared" si="1"/>
        <v>8045</v>
      </c>
      <c r="O15" s="6">
        <f t="shared" si="1"/>
        <v>5980</v>
      </c>
      <c r="P15" s="6">
        <f t="shared" si="1"/>
        <v>4934</v>
      </c>
      <c r="Q15" s="6">
        <f t="shared" si="1"/>
        <v>4234</v>
      </c>
      <c r="R15" s="6">
        <f t="shared" si="1"/>
        <v>3754</v>
      </c>
      <c r="S15" s="6">
        <f t="shared" si="1"/>
        <v>3424</v>
      </c>
      <c r="T15" s="6">
        <f t="shared" si="1"/>
        <v>2852</v>
      </c>
      <c r="U15" s="6">
        <f t="shared" si="1"/>
        <v>2749</v>
      </c>
    </row>
    <row r="17" spans="1:23" x14ac:dyDescent="0.4">
      <c r="A17" s="4" t="s">
        <v>7</v>
      </c>
      <c r="B17" s="3" t="s">
        <v>17</v>
      </c>
      <c r="C17" s="3" t="s">
        <v>18</v>
      </c>
      <c r="D17" s="3" t="s">
        <v>19</v>
      </c>
      <c r="E17" s="3" t="s">
        <v>20</v>
      </c>
      <c r="F17" s="3" t="s">
        <v>21</v>
      </c>
      <c r="G17" s="3" t="s">
        <v>22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27</v>
      </c>
      <c r="M17" s="3" t="s">
        <v>28</v>
      </c>
      <c r="N17" s="3" t="s">
        <v>29</v>
      </c>
      <c r="O17" s="3" t="s">
        <v>30</v>
      </c>
      <c r="P17" s="3" t="s">
        <v>31</v>
      </c>
      <c r="Q17" s="3" t="s">
        <v>32</v>
      </c>
      <c r="R17" s="3" t="s">
        <v>33</v>
      </c>
      <c r="S17" s="3" t="s">
        <v>34</v>
      </c>
      <c r="T17" s="3" t="s">
        <v>35</v>
      </c>
      <c r="U17" s="3" t="s">
        <v>36</v>
      </c>
    </row>
    <row r="18" spans="1:23" x14ac:dyDescent="0.4">
      <c r="A18" s="2" t="s">
        <v>0</v>
      </c>
      <c r="B18">
        <f t="shared" ref="B18:U18" si="2">B2/B10</f>
        <v>9.8815302344714109</v>
      </c>
      <c r="C18">
        <f t="shared" si="2"/>
        <v>3.9739776951672861</v>
      </c>
      <c r="D18">
        <f t="shared" si="2"/>
        <v>4.2595769010863354</v>
      </c>
      <c r="E18">
        <f t="shared" si="2"/>
        <v>11.009995240361732</v>
      </c>
      <c r="F18">
        <f t="shared" si="2"/>
        <v>6.3116822429906545</v>
      </c>
      <c r="G18">
        <f t="shared" si="2"/>
        <v>44.727108433734941</v>
      </c>
      <c r="H18">
        <f t="shared" si="2"/>
        <v>18.184823441021788</v>
      </c>
      <c r="I18">
        <f t="shared" si="2"/>
        <v>87.312313591819347</v>
      </c>
      <c r="J18">
        <f t="shared" si="2"/>
        <v>10.808853951179147</v>
      </c>
      <c r="K18">
        <f t="shared" si="2"/>
        <v>4.4771451483560547</v>
      </c>
      <c r="L18">
        <f t="shared" si="2"/>
        <v>14.664596273291925</v>
      </c>
      <c r="M18">
        <f t="shared" si="2"/>
        <v>32.855145413870247</v>
      </c>
      <c r="N18">
        <f t="shared" si="2"/>
        <v>47.980974477958235</v>
      </c>
      <c r="O18">
        <f t="shared" si="2"/>
        <v>33.244565217391305</v>
      </c>
      <c r="P18">
        <f t="shared" si="2"/>
        <v>72.038735177865618</v>
      </c>
      <c r="Q18">
        <f t="shared" si="2"/>
        <v>14.370813397129186</v>
      </c>
      <c r="R18">
        <f t="shared" si="2"/>
        <v>10.926754832146491</v>
      </c>
      <c r="S18">
        <f t="shared" si="2"/>
        <v>13.556680161943319</v>
      </c>
      <c r="T18">
        <f t="shared" si="2"/>
        <v>11.656093489148581</v>
      </c>
      <c r="U18">
        <f t="shared" si="2"/>
        <v>46.243064729194188</v>
      </c>
    </row>
    <row r="19" spans="1:23" x14ac:dyDescent="0.4">
      <c r="A19" s="2" t="s">
        <v>1</v>
      </c>
      <c r="B19">
        <f t="shared" ref="B19:U19" si="3">B3/B11</f>
        <v>7.1021686746987953</v>
      </c>
      <c r="C19">
        <f t="shared" si="3"/>
        <v>3.5004549590536853</v>
      </c>
      <c r="D19">
        <f t="shared" si="3"/>
        <v>2.1526655896607432</v>
      </c>
      <c r="E19">
        <f t="shared" si="3"/>
        <v>10.262766484878533</v>
      </c>
      <c r="F19">
        <f t="shared" si="3"/>
        <v>4.6447922937989166</v>
      </c>
      <c r="G19">
        <f t="shared" si="3"/>
        <v>23.125083612040132</v>
      </c>
      <c r="H19">
        <f t="shared" si="3"/>
        <v>9.3028469750889684</v>
      </c>
      <c r="I19">
        <f t="shared" si="3"/>
        <v>40.176186291739896</v>
      </c>
      <c r="J19">
        <f t="shared" si="3"/>
        <v>6.6722689075630255</v>
      </c>
      <c r="K19">
        <f t="shared" si="3"/>
        <v>3.883969465648855</v>
      </c>
      <c r="L19">
        <f t="shared" si="3"/>
        <v>6.6641414141414144</v>
      </c>
      <c r="M19">
        <f t="shared" si="3"/>
        <v>21.415188076650107</v>
      </c>
      <c r="N19">
        <f t="shared" si="3"/>
        <v>19.426470588235293</v>
      </c>
      <c r="O19">
        <f t="shared" si="3"/>
        <v>17.132018209408194</v>
      </c>
      <c r="P19">
        <f t="shared" si="3"/>
        <v>30.143181818181819</v>
      </c>
      <c r="Q19">
        <f t="shared" si="3"/>
        <v>7.7150579150579155</v>
      </c>
      <c r="R19">
        <f t="shared" si="3"/>
        <v>8.3635600335852232</v>
      </c>
      <c r="S19">
        <f t="shared" si="3"/>
        <v>9.6101468624833117</v>
      </c>
      <c r="T19">
        <f t="shared" si="3"/>
        <v>11.389901823281907</v>
      </c>
      <c r="U19">
        <f t="shared" si="3"/>
        <v>30.128775834658189</v>
      </c>
    </row>
    <row r="20" spans="1:23" x14ac:dyDescent="0.4">
      <c r="A20" s="2" t="s">
        <v>2</v>
      </c>
      <c r="B20">
        <f t="shared" ref="B20:U20" si="4">B4/B12</f>
        <v>3.939977349943375</v>
      </c>
      <c r="C20">
        <f t="shared" si="4"/>
        <v>2.2108768035516095</v>
      </c>
      <c r="D20">
        <f t="shared" si="4"/>
        <v>2.575657894736842</v>
      </c>
      <c r="E20">
        <f t="shared" si="4"/>
        <v>5.4834268230494647</v>
      </c>
      <c r="F20">
        <f t="shared" si="4"/>
        <v>2.8362459546925565</v>
      </c>
      <c r="G20">
        <f t="shared" si="4"/>
        <v>13.612085769980506</v>
      </c>
      <c r="H20">
        <f t="shared" si="4"/>
        <v>4.5357843137254905</v>
      </c>
      <c r="I20">
        <f t="shared" si="4"/>
        <v>21.36500685244404</v>
      </c>
      <c r="J20">
        <f t="shared" si="4"/>
        <v>7.1420741989881957</v>
      </c>
      <c r="K20">
        <f t="shared" si="4"/>
        <v>2.9670245398773005</v>
      </c>
      <c r="L20">
        <f t="shared" si="4"/>
        <v>4.1775456919060057</v>
      </c>
      <c r="M20">
        <f t="shared" si="4"/>
        <v>12.782130584192441</v>
      </c>
      <c r="N20">
        <f t="shared" si="4"/>
        <v>13.177163338453662</v>
      </c>
      <c r="O20">
        <f t="shared" si="4"/>
        <v>11.371192893401016</v>
      </c>
      <c r="P20">
        <f t="shared" si="4"/>
        <v>20.511875511875513</v>
      </c>
      <c r="Q20">
        <f t="shared" si="4"/>
        <v>6.5294117647058822</v>
      </c>
      <c r="R20">
        <f t="shared" si="4"/>
        <v>5.6506364922206505</v>
      </c>
      <c r="S20">
        <f t="shared" si="4"/>
        <v>7.349152542372881</v>
      </c>
      <c r="T20">
        <f t="shared" si="4"/>
        <v>5.3757649938800487</v>
      </c>
      <c r="U20">
        <f t="shared" si="4"/>
        <v>17.550295857988164</v>
      </c>
    </row>
    <row r="21" spans="1:23" x14ac:dyDescent="0.4">
      <c r="A21" s="2" t="s">
        <v>3</v>
      </c>
      <c r="B21">
        <f t="shared" ref="B21:U21" si="5">B5/B13</f>
        <v>2.6623505976095618</v>
      </c>
      <c r="C21">
        <f t="shared" si="5"/>
        <v>2.0477453580901859</v>
      </c>
      <c r="D21">
        <f t="shared" si="5"/>
        <v>2.3915343915343916</v>
      </c>
      <c r="E21">
        <f t="shared" si="5"/>
        <v>4.1758241758241761</v>
      </c>
      <c r="F21">
        <f t="shared" si="5"/>
        <v>2.534510433386838</v>
      </c>
      <c r="G21">
        <f t="shared" si="5"/>
        <v>9.3027734976887526</v>
      </c>
      <c r="H21">
        <f t="shared" si="5"/>
        <v>3.7072135785007072</v>
      </c>
      <c r="I21">
        <f t="shared" si="5"/>
        <v>26.229206963249517</v>
      </c>
      <c r="J21">
        <f t="shared" si="5"/>
        <v>5.4500768049155148</v>
      </c>
      <c r="K21">
        <f t="shared" si="5"/>
        <v>2.589515331355094</v>
      </c>
      <c r="L21">
        <f t="shared" si="5"/>
        <v>4.2380952380952381</v>
      </c>
      <c r="M21">
        <f t="shared" si="5"/>
        <v>8.8079150579150571</v>
      </c>
      <c r="N21">
        <f t="shared" si="5"/>
        <v>9.2713414634146343</v>
      </c>
      <c r="O21">
        <f t="shared" si="5"/>
        <v>4.6182519280205652</v>
      </c>
      <c r="P21">
        <f t="shared" si="5"/>
        <v>16.73370319001387</v>
      </c>
      <c r="Q21">
        <f t="shared" si="5"/>
        <v>9.1675977653631282</v>
      </c>
      <c r="R21">
        <f t="shared" si="5"/>
        <v>4.3600000000000003</v>
      </c>
      <c r="S21">
        <f t="shared" si="5"/>
        <v>4.4211663066954641</v>
      </c>
      <c r="T21">
        <f t="shared" si="5"/>
        <v>3.6349206349206349</v>
      </c>
      <c r="U21">
        <f t="shared" si="5"/>
        <v>9.6119873817034698</v>
      </c>
    </row>
    <row r="22" spans="1:23" x14ac:dyDescent="0.4">
      <c r="A22" s="2" t="s">
        <v>4</v>
      </c>
      <c r="B22">
        <f t="shared" ref="B22:U22" si="6">B6/B14</f>
        <v>3.2197962154294033</v>
      </c>
      <c r="C22">
        <f t="shared" si="6"/>
        <v>1.5368421052631578</v>
      </c>
      <c r="D22">
        <f t="shared" si="6"/>
        <v>2.6188524590163933</v>
      </c>
      <c r="E22">
        <f t="shared" si="6"/>
        <v>4.0683544303797472</v>
      </c>
      <c r="F22">
        <f t="shared" si="6"/>
        <v>2.0585585585585586</v>
      </c>
      <c r="G22">
        <f t="shared" si="6"/>
        <v>4.8655953250547848</v>
      </c>
      <c r="H22">
        <f t="shared" si="6"/>
        <v>4.058241758241758</v>
      </c>
      <c r="I22">
        <f t="shared" si="6"/>
        <v>21.696850393700789</v>
      </c>
      <c r="J22">
        <f t="shared" si="6"/>
        <v>4.0886597938144327</v>
      </c>
      <c r="K22">
        <f t="shared" si="6"/>
        <v>2.8814589665653494</v>
      </c>
      <c r="L22">
        <f t="shared" si="6"/>
        <v>2.8994197292069632</v>
      </c>
      <c r="M22">
        <f t="shared" si="6"/>
        <v>7.8256537982565382</v>
      </c>
      <c r="N22">
        <f t="shared" si="6"/>
        <v>6.2726406101048617</v>
      </c>
      <c r="O22">
        <f t="shared" si="6"/>
        <v>4.0690184049079754</v>
      </c>
      <c r="P22">
        <f t="shared" si="6"/>
        <v>12.724815724815725</v>
      </c>
      <c r="Q22">
        <f t="shared" si="6"/>
        <v>4.9921773142112125</v>
      </c>
      <c r="R22">
        <f t="shared" si="6"/>
        <v>3.4883720930232558</v>
      </c>
      <c r="S22">
        <f t="shared" si="6"/>
        <v>3.0235988200589969</v>
      </c>
      <c r="T22">
        <f t="shared" si="6"/>
        <v>4.0531914893617023</v>
      </c>
      <c r="U22">
        <f t="shared" si="6"/>
        <v>8.5081081081081074</v>
      </c>
    </row>
    <row r="23" spans="1:23" x14ac:dyDescent="0.4">
      <c r="A23" s="1" t="s">
        <v>10</v>
      </c>
      <c r="B23" s="6">
        <f t="shared" ref="B23:U23" si="7">B7/B15</f>
        <v>6.3546402109757629</v>
      </c>
      <c r="C23" s="6">
        <f t="shared" si="7"/>
        <v>3.1096392333709133</v>
      </c>
      <c r="D23" s="6">
        <f t="shared" si="7"/>
        <v>3.0982083609820834</v>
      </c>
      <c r="E23" s="6">
        <f t="shared" si="7"/>
        <v>7.9629292403746099</v>
      </c>
      <c r="F23" s="6">
        <f t="shared" si="7"/>
        <v>4.464545307704733</v>
      </c>
      <c r="G23" s="6">
        <f t="shared" si="7"/>
        <v>23.083533803401078</v>
      </c>
      <c r="H23" s="6">
        <f t="shared" si="7"/>
        <v>9.8713988388651543</v>
      </c>
      <c r="I23" s="6">
        <f t="shared" si="7"/>
        <v>43.638328214129004</v>
      </c>
      <c r="J23" s="6">
        <f t="shared" si="7"/>
        <v>7.3143525741029638</v>
      </c>
      <c r="K23" s="6">
        <f t="shared" si="7"/>
        <v>3.4919967663702507</v>
      </c>
      <c r="L23" s="6">
        <f t="shared" si="7"/>
        <v>8.0002065688907251</v>
      </c>
      <c r="M23" s="6">
        <f t="shared" si="7"/>
        <v>18.937914034817439</v>
      </c>
      <c r="N23" s="6">
        <f t="shared" si="7"/>
        <v>22.600994406463641</v>
      </c>
      <c r="O23" s="6">
        <f t="shared" si="7"/>
        <v>17.023411371237458</v>
      </c>
      <c r="P23" s="6">
        <f t="shared" si="7"/>
        <v>35.104783137413861</v>
      </c>
      <c r="Q23" s="6">
        <f t="shared" si="7"/>
        <v>8.4964572508266407</v>
      </c>
      <c r="R23" s="6">
        <f t="shared" si="7"/>
        <v>7.4829515183803945</v>
      </c>
      <c r="S23" s="6">
        <f t="shared" si="7"/>
        <v>8.8107476635514015</v>
      </c>
      <c r="T23" s="6">
        <f t="shared" si="7"/>
        <v>7.7983870967741939</v>
      </c>
      <c r="U23" s="6">
        <f t="shared" si="7"/>
        <v>26.197162604583486</v>
      </c>
    </row>
    <row r="25" spans="1:23" x14ac:dyDescent="0.4">
      <c r="A25" s="4" t="s">
        <v>38</v>
      </c>
      <c r="B25" s="3" t="s">
        <v>17</v>
      </c>
      <c r="C25" s="3" t="s">
        <v>18</v>
      </c>
      <c r="D25" s="3" t="s">
        <v>19</v>
      </c>
      <c r="E25" s="3" t="s">
        <v>20</v>
      </c>
      <c r="F25" s="3" t="s">
        <v>21</v>
      </c>
      <c r="G25" s="3" t="s">
        <v>22</v>
      </c>
      <c r="H25" s="3" t="s">
        <v>23</v>
      </c>
      <c r="I25" s="3" t="s">
        <v>24</v>
      </c>
      <c r="J25" s="3" t="s">
        <v>25</v>
      </c>
      <c r="K25" s="3" t="s">
        <v>26</v>
      </c>
      <c r="L25" s="3" t="s">
        <v>27</v>
      </c>
      <c r="M25" s="3" t="s">
        <v>28</v>
      </c>
      <c r="N25" s="3" t="s">
        <v>29</v>
      </c>
      <c r="O25" s="3" t="s">
        <v>30</v>
      </c>
      <c r="P25" s="3" t="s">
        <v>31</v>
      </c>
      <c r="Q25" s="3" t="s">
        <v>32</v>
      </c>
      <c r="R25" s="3" t="s">
        <v>33</v>
      </c>
      <c r="S25" s="3" t="s">
        <v>34</v>
      </c>
      <c r="T25" s="3" t="s">
        <v>35</v>
      </c>
      <c r="U25" s="3" t="s">
        <v>36</v>
      </c>
    </row>
    <row r="26" spans="1:23" x14ac:dyDescent="0.4">
      <c r="A26" s="2" t="s">
        <v>0</v>
      </c>
      <c r="B26">
        <f>LN(B18)</f>
        <v>2.2906673817983121</v>
      </c>
      <c r="C26">
        <f t="shared" ref="C26:U26" si="8">LN(C18)</f>
        <v>1.3797675314232061</v>
      </c>
      <c r="D26">
        <f t="shared" si="8"/>
        <v>1.4491698363550032</v>
      </c>
      <c r="E26">
        <f t="shared" si="8"/>
        <v>2.3988035184331085</v>
      </c>
      <c r="F26">
        <f t="shared" si="8"/>
        <v>1.842402240544867</v>
      </c>
      <c r="G26">
        <f t="shared" si="8"/>
        <v>3.8005797704576878</v>
      </c>
      <c r="H26">
        <f t="shared" si="8"/>
        <v>2.9005873693471003</v>
      </c>
      <c r="I26">
        <f t="shared" si="8"/>
        <v>4.4694915020607926</v>
      </c>
      <c r="J26">
        <f t="shared" si="8"/>
        <v>2.3803656085636291</v>
      </c>
      <c r="K26">
        <f t="shared" si="8"/>
        <v>1.4989855996303241</v>
      </c>
      <c r="L26">
        <f t="shared" si="8"/>
        <v>2.68543617210105</v>
      </c>
      <c r="M26">
        <f t="shared" si="8"/>
        <v>3.4921083662682135</v>
      </c>
      <c r="N26">
        <f t="shared" si="8"/>
        <v>3.8708045672919673</v>
      </c>
      <c r="O26">
        <f t="shared" si="8"/>
        <v>3.5038913016335793</v>
      </c>
      <c r="P26">
        <f t="shared" si="8"/>
        <v>4.2772039629335481</v>
      </c>
      <c r="Q26">
        <f t="shared" si="8"/>
        <v>2.665199302325405</v>
      </c>
      <c r="R26">
        <f t="shared" si="8"/>
        <v>2.3912143534508807</v>
      </c>
      <c r="S26">
        <f t="shared" si="8"/>
        <v>2.6068794267221276</v>
      </c>
      <c r="T26">
        <f t="shared" si="8"/>
        <v>2.4558290895495318</v>
      </c>
      <c r="U26">
        <f t="shared" si="8"/>
        <v>3.8339115009133322</v>
      </c>
    </row>
    <row r="27" spans="1:23" x14ac:dyDescent="0.4">
      <c r="A27" s="2" t="s">
        <v>1</v>
      </c>
      <c r="B27">
        <f t="shared" ref="B27:U30" si="9">LN(B19)</f>
        <v>1.9604001845484642</v>
      </c>
      <c r="C27">
        <f t="shared" si="9"/>
        <v>1.2528929483486737</v>
      </c>
      <c r="D27">
        <f t="shared" si="9"/>
        <v>0.76670688335540349</v>
      </c>
      <c r="E27">
        <f t="shared" si="9"/>
        <v>2.3285224412992487</v>
      </c>
      <c r="F27">
        <f t="shared" si="9"/>
        <v>1.5357466551839665</v>
      </c>
      <c r="G27">
        <f t="shared" si="9"/>
        <v>3.140917899047742</v>
      </c>
      <c r="H27">
        <f t="shared" si="9"/>
        <v>2.230320479665751</v>
      </c>
      <c r="I27">
        <f t="shared" si="9"/>
        <v>3.6932744392956551</v>
      </c>
      <c r="J27">
        <f t="shared" si="9"/>
        <v>1.8979599681356063</v>
      </c>
      <c r="K27">
        <f t="shared" si="9"/>
        <v>1.3568576888247608</v>
      </c>
      <c r="L27">
        <f t="shared" si="9"/>
        <v>1.8967411252488435</v>
      </c>
      <c r="M27">
        <f t="shared" si="9"/>
        <v>3.0641003935013398</v>
      </c>
      <c r="N27">
        <f t="shared" si="9"/>
        <v>2.9666365993462187</v>
      </c>
      <c r="O27">
        <f t="shared" si="9"/>
        <v>2.8409491226412005</v>
      </c>
      <c r="P27">
        <f t="shared" si="9"/>
        <v>3.4059587555820463</v>
      </c>
      <c r="Q27">
        <f t="shared" si="9"/>
        <v>2.0431739925993804</v>
      </c>
      <c r="R27">
        <f t="shared" si="9"/>
        <v>2.1238841777898658</v>
      </c>
      <c r="S27">
        <f t="shared" si="9"/>
        <v>2.2628195051217568</v>
      </c>
      <c r="T27">
        <f t="shared" si="9"/>
        <v>2.4327271578681149</v>
      </c>
      <c r="U27">
        <f t="shared" si="9"/>
        <v>3.4054807228663697</v>
      </c>
    </row>
    <row r="28" spans="1:23" x14ac:dyDescent="0.4">
      <c r="A28" s="2" t="s">
        <v>2</v>
      </c>
      <c r="B28">
        <f t="shared" si="9"/>
        <v>1.371174974547982</v>
      </c>
      <c r="C28">
        <f t="shared" si="9"/>
        <v>0.79338918053620577</v>
      </c>
      <c r="D28">
        <f t="shared" si="9"/>
        <v>0.94610499458458142</v>
      </c>
      <c r="E28">
        <f t="shared" si="9"/>
        <v>1.7017302381941801</v>
      </c>
      <c r="F28">
        <f t="shared" si="9"/>
        <v>1.0424813308235659</v>
      </c>
      <c r="G28">
        <f t="shared" si="9"/>
        <v>2.6109580576752656</v>
      </c>
      <c r="H28">
        <f t="shared" si="9"/>
        <v>1.5119980154107682</v>
      </c>
      <c r="I28">
        <f t="shared" si="9"/>
        <v>3.0617543898281645</v>
      </c>
      <c r="J28">
        <f t="shared" si="9"/>
        <v>1.9660032382233303</v>
      </c>
      <c r="K28">
        <f t="shared" si="9"/>
        <v>1.0875596122139146</v>
      </c>
      <c r="L28">
        <f t="shared" si="9"/>
        <v>1.4297239190472266</v>
      </c>
      <c r="M28">
        <f t="shared" si="9"/>
        <v>2.5480481474325498</v>
      </c>
      <c r="N28">
        <f t="shared" si="9"/>
        <v>2.5784852812101762</v>
      </c>
      <c r="O28">
        <f t="shared" si="9"/>
        <v>2.4310832181255644</v>
      </c>
      <c r="P28">
        <f t="shared" si="9"/>
        <v>3.0210040116810126</v>
      </c>
      <c r="Q28">
        <f t="shared" si="9"/>
        <v>1.876316857256118</v>
      </c>
      <c r="R28">
        <f t="shared" si="9"/>
        <v>1.7317681923038022</v>
      </c>
      <c r="S28">
        <f t="shared" si="9"/>
        <v>1.994585006219717</v>
      </c>
      <c r="T28">
        <f t="shared" si="9"/>
        <v>1.6819008883293636</v>
      </c>
      <c r="U28">
        <f t="shared" si="9"/>
        <v>2.8650708077748037</v>
      </c>
    </row>
    <row r="29" spans="1:23" x14ac:dyDescent="0.4">
      <c r="A29" s="2" t="s">
        <v>3</v>
      </c>
      <c r="B29">
        <f t="shared" si="9"/>
        <v>0.97920941588724453</v>
      </c>
      <c r="C29">
        <f t="shared" si="9"/>
        <v>0.71673936257676552</v>
      </c>
      <c r="D29">
        <f t="shared" si="9"/>
        <v>0.87193516477258881</v>
      </c>
      <c r="E29">
        <f t="shared" si="9"/>
        <v>1.4293117462035814</v>
      </c>
      <c r="F29">
        <f t="shared" si="9"/>
        <v>0.93000049546818897</v>
      </c>
      <c r="G29">
        <f t="shared" si="9"/>
        <v>2.2303125812567384</v>
      </c>
      <c r="H29">
        <f t="shared" si="9"/>
        <v>1.3102805374268336</v>
      </c>
      <c r="I29">
        <f t="shared" si="9"/>
        <v>3.2668735594625016</v>
      </c>
      <c r="J29">
        <f t="shared" si="9"/>
        <v>1.695629701220901</v>
      </c>
      <c r="K29">
        <f t="shared" si="9"/>
        <v>0.95147072744937389</v>
      </c>
      <c r="L29">
        <f t="shared" si="9"/>
        <v>1.4441139320087168</v>
      </c>
      <c r="M29">
        <f t="shared" si="9"/>
        <v>2.1756507556312639</v>
      </c>
      <c r="N29">
        <f t="shared" si="9"/>
        <v>2.2269280792932209</v>
      </c>
      <c r="O29">
        <f t="shared" si="9"/>
        <v>1.530016262935127</v>
      </c>
      <c r="P29">
        <f t="shared" si="9"/>
        <v>2.8174248407741831</v>
      </c>
      <c r="Q29">
        <f t="shared" si="9"/>
        <v>2.2156752852493358</v>
      </c>
      <c r="R29">
        <f t="shared" si="9"/>
        <v>1.4724720573609431</v>
      </c>
      <c r="S29">
        <f t="shared" si="9"/>
        <v>1.4864035315750554</v>
      </c>
      <c r="T29">
        <f t="shared" si="9"/>
        <v>1.2905872771627069</v>
      </c>
      <c r="U29">
        <f t="shared" si="9"/>
        <v>2.2630110051084285</v>
      </c>
      <c r="V29" s="9"/>
      <c r="W29" s="9"/>
    </row>
    <row r="30" spans="1:23" x14ac:dyDescent="0.4">
      <c r="A30" s="2" t="s">
        <v>4</v>
      </c>
      <c r="B30">
        <f t="shared" si="9"/>
        <v>1.169318070419876</v>
      </c>
      <c r="C30">
        <f t="shared" si="9"/>
        <v>0.42972973010779553</v>
      </c>
      <c r="D30">
        <f t="shared" si="9"/>
        <v>0.96273622908433287</v>
      </c>
      <c r="E30">
        <f t="shared" si="9"/>
        <v>1.4032386008363908</v>
      </c>
      <c r="F30">
        <f t="shared" si="9"/>
        <v>0.72200600902192524</v>
      </c>
      <c r="G30">
        <f t="shared" si="9"/>
        <v>1.5821890771247307</v>
      </c>
      <c r="H30">
        <f t="shared" si="9"/>
        <v>1.4007498153416673</v>
      </c>
      <c r="I30">
        <f t="shared" si="9"/>
        <v>3.0771671068646986</v>
      </c>
      <c r="J30">
        <f t="shared" si="9"/>
        <v>1.4082172375823128</v>
      </c>
      <c r="K30">
        <f t="shared" si="9"/>
        <v>1.05829675148965</v>
      </c>
      <c r="L30">
        <f t="shared" si="9"/>
        <v>1.0645106235941686</v>
      </c>
      <c r="M30">
        <f t="shared" si="9"/>
        <v>2.05740728542875</v>
      </c>
      <c r="N30">
        <f t="shared" si="9"/>
        <v>1.8361974159230656</v>
      </c>
      <c r="O30">
        <f t="shared" si="9"/>
        <v>1.4034017922110866</v>
      </c>
      <c r="P30">
        <f t="shared" si="9"/>
        <v>2.5435540809812967</v>
      </c>
      <c r="Q30">
        <f t="shared" si="9"/>
        <v>1.6078721501100384</v>
      </c>
      <c r="R30">
        <f t="shared" si="9"/>
        <v>1.2494351784026934</v>
      </c>
      <c r="S30">
        <f t="shared" si="9"/>
        <v>1.1064477841920584</v>
      </c>
      <c r="T30">
        <f t="shared" si="9"/>
        <v>1.3995045928566971</v>
      </c>
      <c r="U30">
        <f t="shared" si="9"/>
        <v>2.1410196038990237</v>
      </c>
      <c r="V30" s="9"/>
      <c r="W30" s="9"/>
    </row>
    <row r="31" spans="1:23" s="5" customFormat="1" x14ac:dyDescent="0.4">
      <c r="V31" s="9"/>
      <c r="W31" s="9"/>
    </row>
    <row r="32" spans="1:23" x14ac:dyDescent="0.4">
      <c r="A32" s="4" t="s">
        <v>37</v>
      </c>
      <c r="B32" s="3" t="s">
        <v>17</v>
      </c>
      <c r="C32" s="3" t="s">
        <v>18</v>
      </c>
      <c r="D32" s="3" t="s">
        <v>19</v>
      </c>
      <c r="E32" s="3" t="s">
        <v>20</v>
      </c>
      <c r="F32" s="3" t="s">
        <v>21</v>
      </c>
      <c r="G32" s="3" t="s">
        <v>22</v>
      </c>
      <c r="H32" s="3" t="s">
        <v>23</v>
      </c>
      <c r="I32" s="3" t="s">
        <v>24</v>
      </c>
      <c r="J32" s="3" t="s">
        <v>25</v>
      </c>
      <c r="K32" s="3" t="s">
        <v>26</v>
      </c>
      <c r="L32" s="3" t="s">
        <v>27</v>
      </c>
      <c r="M32" s="3" t="s">
        <v>28</v>
      </c>
      <c r="N32" s="3" t="s">
        <v>29</v>
      </c>
      <c r="O32" s="3" t="s">
        <v>30</v>
      </c>
      <c r="P32" s="3" t="s">
        <v>31</v>
      </c>
      <c r="Q32" s="3" t="s">
        <v>32</v>
      </c>
      <c r="R32" s="3" t="s">
        <v>33</v>
      </c>
      <c r="S32" s="3" t="s">
        <v>34</v>
      </c>
      <c r="T32" s="3" t="s">
        <v>35</v>
      </c>
      <c r="U32" s="3" t="s">
        <v>36</v>
      </c>
      <c r="V32" s="9"/>
      <c r="W32" s="9"/>
    </row>
    <row r="33" spans="1:23" x14ac:dyDescent="0.4">
      <c r="A33" s="2" t="s">
        <v>0</v>
      </c>
      <c r="B33">
        <f>B10/2</f>
        <v>1215.5</v>
      </c>
      <c r="C33">
        <f t="shared" ref="C33:U33" si="10">C10/2</f>
        <v>538</v>
      </c>
      <c r="D33">
        <f t="shared" si="10"/>
        <v>874.5</v>
      </c>
      <c r="E33">
        <f t="shared" si="10"/>
        <v>1050.5</v>
      </c>
      <c r="F33">
        <f t="shared" si="10"/>
        <v>1070</v>
      </c>
      <c r="G33">
        <f t="shared" si="10"/>
        <v>1660</v>
      </c>
      <c r="H33">
        <f t="shared" si="10"/>
        <v>1331</v>
      </c>
      <c r="I33">
        <f t="shared" si="10"/>
        <v>1173.5</v>
      </c>
      <c r="J33">
        <f t="shared" si="10"/>
        <v>1208.5</v>
      </c>
      <c r="K33">
        <f t="shared" si="10"/>
        <v>623.5</v>
      </c>
      <c r="L33">
        <f t="shared" si="10"/>
        <v>724.5</v>
      </c>
      <c r="M33">
        <f t="shared" si="10"/>
        <v>894</v>
      </c>
      <c r="N33">
        <f t="shared" si="10"/>
        <v>1077.5</v>
      </c>
      <c r="O33">
        <f t="shared" si="10"/>
        <v>828</v>
      </c>
      <c r="P33">
        <f t="shared" si="10"/>
        <v>632.5</v>
      </c>
      <c r="Q33">
        <f t="shared" si="10"/>
        <v>418</v>
      </c>
      <c r="R33">
        <f t="shared" si="10"/>
        <v>491.5</v>
      </c>
      <c r="S33">
        <f t="shared" si="10"/>
        <v>494</v>
      </c>
      <c r="T33">
        <f t="shared" si="10"/>
        <v>299.5</v>
      </c>
      <c r="U33">
        <f t="shared" si="10"/>
        <v>378.5</v>
      </c>
      <c r="V33" s="9"/>
      <c r="W33" s="9"/>
    </row>
    <row r="34" spans="1:23" x14ac:dyDescent="0.4">
      <c r="A34" s="2" t="s">
        <v>1</v>
      </c>
      <c r="B34">
        <f>SUM(B$10:B10)+B11/2</f>
        <v>3468.5</v>
      </c>
      <c r="C34">
        <f>SUM(C$10:C10)+C11/2</f>
        <v>1625.5</v>
      </c>
      <c r="D34">
        <f>SUM(D$10:D10)+D11/2</f>
        <v>2368</v>
      </c>
      <c r="E34">
        <f>SUM(E$10:E10)+E11/2</f>
        <v>3109.5</v>
      </c>
      <c r="F34">
        <f>SUM(F$10:F10)+F11/2</f>
        <v>2970.5</v>
      </c>
      <c r="G34">
        <f>SUM(G$10:G10)+G11/2</f>
        <v>4815</v>
      </c>
      <c r="H34">
        <f>SUM(H$10:H10)+H11/2</f>
        <v>4067</v>
      </c>
      <c r="I34">
        <f>SUM(I$10:I10)+I11/2</f>
        <v>3485</v>
      </c>
      <c r="J34">
        <f>SUM(J$10:J10)+J11/2</f>
        <v>3131</v>
      </c>
      <c r="K34">
        <f>SUM(K$10:K10)+K11/2</f>
        <v>2229.5</v>
      </c>
      <c r="L34">
        <f>SUM(L$10:L10)+L11/2</f>
        <v>2241</v>
      </c>
      <c r="M34">
        <f>SUM(M$10:M10)+M11/2</f>
        <v>2492.5</v>
      </c>
      <c r="N34">
        <f>SUM(N$10:N10)+N11/2</f>
        <v>3107</v>
      </c>
      <c r="O34">
        <f>SUM(O$10:O10)+O11/2</f>
        <v>2315</v>
      </c>
      <c r="P34">
        <f>SUM(P$10:P10)+P11/2</f>
        <v>1925</v>
      </c>
      <c r="Q34">
        <f>SUM(Q$10:Q10)+Q11/2</f>
        <v>1483.5</v>
      </c>
      <c r="R34">
        <f>SUM(R$10:R10)+R11/2</f>
        <v>1578.5</v>
      </c>
      <c r="S34">
        <f>SUM(S$10:S10)+S11/2</f>
        <v>1362.5</v>
      </c>
      <c r="T34">
        <f>SUM(T$10:T10)+T11/2</f>
        <v>955.5</v>
      </c>
      <c r="U34">
        <f>SUM(U$10:U10)+U11/2</f>
        <v>1071.5</v>
      </c>
      <c r="V34" s="9"/>
      <c r="W34" s="9"/>
    </row>
    <row r="35" spans="1:23" x14ac:dyDescent="0.4">
      <c r="A35" s="2" t="s">
        <v>2</v>
      </c>
      <c r="B35">
        <f>SUM(B$10:B11)+B12/2</f>
        <v>5389</v>
      </c>
      <c r="C35">
        <f>SUM(C$10:C11)+C12/2</f>
        <v>2625.5</v>
      </c>
      <c r="D35">
        <f>SUM(D$10:D11)+D12/2</f>
        <v>3443</v>
      </c>
      <c r="E35">
        <f>SUM(E$10:E11)+E12/2</f>
        <v>5098.5</v>
      </c>
      <c r="F35">
        <f>SUM(F$10:F11)+F12/2</f>
        <v>4573.5</v>
      </c>
      <c r="G35">
        <f>SUM(G$10:G11)+G12/2</f>
        <v>7849</v>
      </c>
      <c r="H35">
        <f>SUM(H$10:H11)+H12/2</f>
        <v>6492</v>
      </c>
      <c r="I35">
        <f>SUM(I$10:I11)+I12/2</f>
        <v>5717.5</v>
      </c>
      <c r="J35">
        <f>SUM(J$10:J11)+J12/2</f>
        <v>5031</v>
      </c>
      <c r="K35">
        <f>SUM(K$10:K11)+K12/2</f>
        <v>3864</v>
      </c>
      <c r="L35">
        <f>SUM(L$10:L11)+L12/2</f>
        <v>3416</v>
      </c>
      <c r="M35">
        <f>SUM(M$10:M11)+M12/2</f>
        <v>3924.5</v>
      </c>
      <c r="N35">
        <f>SUM(N$10:N11)+N12/2</f>
        <v>5035.5</v>
      </c>
      <c r="O35">
        <f>SUM(O$10:O11)+O12/2</f>
        <v>3762</v>
      </c>
      <c r="P35">
        <f>SUM(P$10:P11)+P12/2</f>
        <v>3195.5</v>
      </c>
      <c r="Q35">
        <f>SUM(Q$10:Q11)+Q12/2</f>
        <v>2530.5</v>
      </c>
      <c r="R35">
        <f>SUM(R$10:R11)+R12/2</f>
        <v>2527.5</v>
      </c>
      <c r="S35">
        <f>SUM(S$10:S11)+S12/2</f>
        <v>2179.5</v>
      </c>
      <c r="T35">
        <f>SUM(T$10:T11)+T12/2</f>
        <v>1720.5</v>
      </c>
      <c r="U35">
        <f>SUM(U$10:U11)+U12/2</f>
        <v>1724</v>
      </c>
      <c r="V35" s="9"/>
      <c r="W35" s="9"/>
    </row>
    <row r="36" spans="1:23" x14ac:dyDescent="0.4">
      <c r="A36" s="2" t="s">
        <v>3</v>
      </c>
      <c r="B36">
        <f>SUM(B$10:B12)+B13/2</f>
        <v>6774</v>
      </c>
      <c r="C36">
        <f>SUM(C$10:C12)+C13/2</f>
        <v>3264.5</v>
      </c>
      <c r="D36">
        <f>SUM(D$10:D12)+D13/2</f>
        <v>4088</v>
      </c>
      <c r="E36">
        <f>SUM(E$10:E12)+E13/2</f>
        <v>6488.5</v>
      </c>
      <c r="F36">
        <f>SUM(F$10:F12)+F13/2</f>
        <v>5657.5</v>
      </c>
      <c r="G36">
        <f>SUM(G$10:G12)+G13/2</f>
        <v>10037</v>
      </c>
      <c r="H36">
        <f>SUM(H$10:H12)+H13/2</f>
        <v>7865.5</v>
      </c>
      <c r="I36">
        <f>SUM(I$10:I12)+I13/2</f>
        <v>7329</v>
      </c>
      <c r="J36">
        <f>SUM(J$10:J12)+J13/2</f>
        <v>6868</v>
      </c>
      <c r="K36">
        <f>SUM(K$10:K12)+K13/2</f>
        <v>5021.5</v>
      </c>
      <c r="L36">
        <f>SUM(L$10:L12)+L13/2</f>
        <v>4061.5</v>
      </c>
      <c r="M36">
        <f>SUM(M$10:M12)+M13/2</f>
        <v>5170</v>
      </c>
      <c r="N36">
        <f>SUM(N$10:N12)+N13/2</f>
        <v>6504</v>
      </c>
      <c r="O36">
        <f>SUM(O$10:O12)+O13/2</f>
        <v>4939</v>
      </c>
      <c r="P36">
        <f>SUM(P$10:P12)+P13/2</f>
        <v>4166.5</v>
      </c>
      <c r="Q36">
        <f>SUM(Q$10:Q12)+Q13/2</f>
        <v>3198.5</v>
      </c>
      <c r="R36">
        <f>SUM(R$10:R12)+R13/2</f>
        <v>3081</v>
      </c>
      <c r="S36">
        <f>SUM(S$10:S12)+S13/2</f>
        <v>2853.5</v>
      </c>
      <c r="T36">
        <f>SUM(T$10:T12)+T13/2</f>
        <v>2349.5</v>
      </c>
      <c r="U36">
        <f>SUM(U$10:U12)+U13/2</f>
        <v>2220.5</v>
      </c>
    </row>
    <row r="37" spans="1:23" x14ac:dyDescent="0.4">
      <c r="A37" s="2" t="s">
        <v>4</v>
      </c>
      <c r="B37">
        <f>SUM(B$10:B13)+B14/2</f>
        <v>7619.5</v>
      </c>
      <c r="C37">
        <f>SUM(C$10:C13)+C14/2</f>
        <v>3500.5</v>
      </c>
      <c r="D37">
        <f>SUM(D$10:D13)+D14/2</f>
        <v>4399</v>
      </c>
      <c r="E37">
        <f>SUM(E$10:E13)+E14/2</f>
        <v>7293</v>
      </c>
      <c r="F37">
        <f>SUM(F$10:F13)+F14/2</f>
        <v>6080</v>
      </c>
      <c r="G37">
        <f>SUM(G$10:G13)+G14/2</f>
        <v>11370.5</v>
      </c>
      <c r="H37">
        <f>SUM(H$10:H13)+H14/2</f>
        <v>8674</v>
      </c>
      <c r="I37">
        <f>SUM(I$10:I13)+I14/2</f>
        <v>8481</v>
      </c>
      <c r="J37">
        <f>SUM(J$10:J13)+J14/2</f>
        <v>8246.5</v>
      </c>
      <c r="K37">
        <f>SUM(K$10:K13)+K14/2</f>
        <v>5856</v>
      </c>
      <c r="L37">
        <f>SUM(L$10:L13)+L14/2</f>
        <v>4582.5</v>
      </c>
      <c r="M37">
        <f>SUM(M$10:M13)+M14/2</f>
        <v>6089.5</v>
      </c>
      <c r="N37">
        <f>SUM(N$10:N13)+N14/2</f>
        <v>7520.5</v>
      </c>
      <c r="O37">
        <f>SUM(O$10:O13)+O14/2</f>
        <v>5654</v>
      </c>
      <c r="P37">
        <f>SUM(P$10:P13)+P14/2</f>
        <v>4730.5</v>
      </c>
      <c r="Q37">
        <f>SUM(Q$10:Q13)+Q14/2</f>
        <v>3850.5</v>
      </c>
      <c r="R37">
        <f>SUM(R$10:R13)+R14/2</f>
        <v>3517.5</v>
      </c>
      <c r="S37">
        <f>SUM(S$10:S13)+S14/2</f>
        <v>3254.5</v>
      </c>
      <c r="T37">
        <f>SUM(T$10:T13)+T14/2</f>
        <v>2711</v>
      </c>
      <c r="U37">
        <f>SUM(U$10:U13)+U14/2</f>
        <v>2564</v>
      </c>
    </row>
    <row r="39" spans="1:23" x14ac:dyDescent="0.4">
      <c r="A39" s="4" t="s">
        <v>104</v>
      </c>
      <c r="B39" s="3" t="s">
        <v>17</v>
      </c>
      <c r="C39" s="3" t="s">
        <v>18</v>
      </c>
      <c r="D39" s="3" t="s">
        <v>19</v>
      </c>
      <c r="E39" s="3" t="s">
        <v>20</v>
      </c>
      <c r="F39" s="3" t="s">
        <v>21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27</v>
      </c>
      <c r="M39" s="3" t="s">
        <v>28</v>
      </c>
      <c r="N39" s="3" t="s">
        <v>29</v>
      </c>
      <c r="O39" s="3" t="s">
        <v>30</v>
      </c>
      <c r="P39" s="3" t="s">
        <v>31</v>
      </c>
      <c r="Q39" s="3" t="s">
        <v>32</v>
      </c>
      <c r="R39" s="3" t="s">
        <v>33</v>
      </c>
      <c r="S39" s="3" t="s">
        <v>34</v>
      </c>
      <c r="T39" s="3" t="s">
        <v>35</v>
      </c>
      <c r="U39" s="3" t="s">
        <v>36</v>
      </c>
    </row>
    <row r="40" spans="1:23" x14ac:dyDescent="0.4">
      <c r="A40" s="2" t="s">
        <v>107</v>
      </c>
      <c r="B40" s="6">
        <f>INTERCEPT(B26:B30,B33:B37)</f>
        <v>2.5610487802962476</v>
      </c>
      <c r="C40" s="6">
        <f>INTERCEPT(C26:C30,C33:C37)</f>
        <v>1.6265969348729692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3" x14ac:dyDescent="0.4">
      <c r="A41" s="2" t="s">
        <v>108</v>
      </c>
      <c r="B41" s="6">
        <f>SLOPE(B26:B30, B33:B37)</f>
        <v>-2.0577008866324805E-4</v>
      </c>
      <c r="C41" s="6">
        <f>SLOPE(C26:C30, C33:C37)</f>
        <v>-3.0815872610110779E-4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3" spans="1:23" x14ac:dyDescent="0.4">
      <c r="A43" s="4"/>
      <c r="B43" s="3" t="s">
        <v>17</v>
      </c>
      <c r="C43" s="3" t="s">
        <v>18</v>
      </c>
      <c r="D43" s="3" t="s">
        <v>19</v>
      </c>
      <c r="E43" s="3" t="s">
        <v>20</v>
      </c>
      <c r="F43" s="3" t="s">
        <v>21</v>
      </c>
      <c r="G43" s="3" t="s">
        <v>22</v>
      </c>
      <c r="H43" s="3" t="s">
        <v>23</v>
      </c>
      <c r="I43" s="3" t="s">
        <v>24</v>
      </c>
      <c r="J43" s="3" t="s">
        <v>25</v>
      </c>
      <c r="K43" s="3" t="s">
        <v>26</v>
      </c>
      <c r="L43" s="3" t="s">
        <v>27</v>
      </c>
      <c r="M43" s="3" t="s">
        <v>28</v>
      </c>
      <c r="N43" s="3" t="s">
        <v>29</v>
      </c>
      <c r="O43" s="3" t="s">
        <v>30</v>
      </c>
      <c r="P43" s="3" t="s">
        <v>31</v>
      </c>
      <c r="Q43" s="3" t="s">
        <v>32</v>
      </c>
      <c r="R43" s="3" t="s">
        <v>33</v>
      </c>
      <c r="S43" s="3" t="s">
        <v>34</v>
      </c>
      <c r="T43" s="3" t="s">
        <v>35</v>
      </c>
      <c r="U43" s="3" t="s">
        <v>36</v>
      </c>
    </row>
    <row r="44" spans="1:23" x14ac:dyDescent="0.4">
      <c r="A44" s="2" t="s">
        <v>11</v>
      </c>
      <c r="B44" s="7">
        <f>-B41</f>
        <v>2.0577008866324805E-4</v>
      </c>
      <c r="C44" s="7">
        <f t="shared" ref="C44:U44" si="11">-C41</f>
        <v>3.0815872610110779E-4</v>
      </c>
      <c r="D44" s="7">
        <f t="shared" si="11"/>
        <v>0</v>
      </c>
      <c r="E44" s="7">
        <f t="shared" si="11"/>
        <v>0</v>
      </c>
      <c r="F44" s="7">
        <f t="shared" si="11"/>
        <v>0</v>
      </c>
      <c r="G44" s="7">
        <f t="shared" si="11"/>
        <v>0</v>
      </c>
      <c r="H44" s="7">
        <f t="shared" si="11"/>
        <v>0</v>
      </c>
      <c r="I44" s="7">
        <f t="shared" si="11"/>
        <v>0</v>
      </c>
      <c r="J44" s="7">
        <f t="shared" si="11"/>
        <v>0</v>
      </c>
      <c r="K44" s="7">
        <f t="shared" si="11"/>
        <v>0</v>
      </c>
      <c r="L44" s="7">
        <f t="shared" si="11"/>
        <v>0</v>
      </c>
      <c r="M44" s="7">
        <f t="shared" si="11"/>
        <v>0</v>
      </c>
      <c r="N44" s="7">
        <f t="shared" si="11"/>
        <v>0</v>
      </c>
      <c r="O44" s="7">
        <f t="shared" si="11"/>
        <v>0</v>
      </c>
      <c r="P44" s="7">
        <f t="shared" si="11"/>
        <v>0</v>
      </c>
      <c r="Q44" s="7">
        <f t="shared" si="11"/>
        <v>0</v>
      </c>
      <c r="R44" s="7">
        <f t="shared" si="11"/>
        <v>0</v>
      </c>
      <c r="S44" s="7">
        <f t="shared" si="11"/>
        <v>0</v>
      </c>
      <c r="T44" s="7">
        <f t="shared" si="11"/>
        <v>0</v>
      </c>
      <c r="U44" s="7">
        <f t="shared" si="11"/>
        <v>0</v>
      </c>
    </row>
    <row r="45" spans="1:23" x14ac:dyDescent="0.4">
      <c r="A45" s="2" t="s">
        <v>12</v>
      </c>
      <c r="B45" s="7">
        <f>EXP(B40)/B44</f>
        <v>62931.358715851369</v>
      </c>
      <c r="C45" s="7">
        <f t="shared" ref="C45:U45" si="12">EXP(C40)/C44</f>
        <v>16506.219002586928</v>
      </c>
      <c r="D45" s="7" t="e">
        <f t="shared" si="12"/>
        <v>#DIV/0!</v>
      </c>
      <c r="E45" s="7" t="e">
        <f t="shared" si="12"/>
        <v>#DIV/0!</v>
      </c>
      <c r="F45" s="7" t="e">
        <f t="shared" si="12"/>
        <v>#DIV/0!</v>
      </c>
      <c r="G45" s="7" t="e">
        <f t="shared" si="12"/>
        <v>#DIV/0!</v>
      </c>
      <c r="H45" s="7" t="e">
        <f t="shared" si="12"/>
        <v>#DIV/0!</v>
      </c>
      <c r="I45" s="7" t="e">
        <f t="shared" si="12"/>
        <v>#DIV/0!</v>
      </c>
      <c r="J45" s="7" t="e">
        <f t="shared" si="12"/>
        <v>#DIV/0!</v>
      </c>
      <c r="K45" s="7" t="e">
        <f t="shared" si="12"/>
        <v>#DIV/0!</v>
      </c>
      <c r="L45" s="7" t="e">
        <f t="shared" si="12"/>
        <v>#DIV/0!</v>
      </c>
      <c r="M45" s="7" t="e">
        <f t="shared" si="12"/>
        <v>#DIV/0!</v>
      </c>
      <c r="N45" s="7" t="e">
        <f t="shared" si="12"/>
        <v>#DIV/0!</v>
      </c>
      <c r="O45" s="7" t="e">
        <f t="shared" si="12"/>
        <v>#DIV/0!</v>
      </c>
      <c r="P45" s="7" t="e">
        <f t="shared" si="12"/>
        <v>#DIV/0!</v>
      </c>
      <c r="Q45" s="7" t="e">
        <f t="shared" si="12"/>
        <v>#DIV/0!</v>
      </c>
      <c r="R45" s="7" t="e">
        <f t="shared" si="12"/>
        <v>#DIV/0!</v>
      </c>
      <c r="S45" s="7" t="e">
        <f t="shared" si="12"/>
        <v>#DIV/0!</v>
      </c>
      <c r="T45" s="7" t="e">
        <f t="shared" si="12"/>
        <v>#DIV/0!</v>
      </c>
      <c r="U45" s="7" t="e">
        <f t="shared" si="12"/>
        <v>#DIV/0!</v>
      </c>
    </row>
    <row r="47" spans="1:23" x14ac:dyDescent="0.4">
      <c r="A47" s="4" t="s">
        <v>39</v>
      </c>
      <c r="B47" s="3" t="s">
        <v>17</v>
      </c>
      <c r="C47" s="3" t="s">
        <v>18</v>
      </c>
      <c r="D47" s="3" t="s">
        <v>19</v>
      </c>
      <c r="E47" s="3" t="s">
        <v>20</v>
      </c>
      <c r="F47" s="3" t="s">
        <v>21</v>
      </c>
      <c r="G47" s="3" t="s">
        <v>22</v>
      </c>
      <c r="H47" s="3" t="s">
        <v>23</v>
      </c>
      <c r="I47" s="3" t="s">
        <v>24</v>
      </c>
      <c r="J47" s="3" t="s">
        <v>25</v>
      </c>
      <c r="K47" s="3" t="s">
        <v>26</v>
      </c>
      <c r="L47" s="3" t="s">
        <v>27</v>
      </c>
      <c r="M47" s="3" t="s">
        <v>28</v>
      </c>
      <c r="N47" s="3" t="s">
        <v>29</v>
      </c>
      <c r="O47" s="3" t="s">
        <v>30</v>
      </c>
      <c r="P47" s="3" t="s">
        <v>31</v>
      </c>
      <c r="Q47" s="3" t="s">
        <v>32</v>
      </c>
      <c r="R47" s="3" t="s">
        <v>33</v>
      </c>
      <c r="S47" s="3" t="s">
        <v>34</v>
      </c>
      <c r="T47" s="3" t="s">
        <v>35</v>
      </c>
      <c r="U47" s="3" t="s">
        <v>36</v>
      </c>
    </row>
    <row r="48" spans="1:23" x14ac:dyDescent="0.4">
      <c r="A48" s="2" t="s">
        <v>0</v>
      </c>
      <c r="B48">
        <f t="shared" ref="B48:U48" si="13">LN(B$44*B$45)-B$44*B33</f>
        <v>2.3109352375260697</v>
      </c>
      <c r="C48">
        <f t="shared" si="13"/>
        <v>1.4608075402305729</v>
      </c>
      <c r="D48" t="e">
        <f t="shared" si="13"/>
        <v>#DIV/0!</v>
      </c>
      <c r="E48" t="e">
        <f t="shared" si="13"/>
        <v>#DIV/0!</v>
      </c>
      <c r="F48" t="e">
        <f t="shared" si="13"/>
        <v>#DIV/0!</v>
      </c>
      <c r="G48" t="e">
        <f t="shared" si="13"/>
        <v>#DIV/0!</v>
      </c>
      <c r="H48" t="e">
        <f t="shared" si="13"/>
        <v>#DIV/0!</v>
      </c>
      <c r="I48" t="e">
        <f t="shared" si="13"/>
        <v>#DIV/0!</v>
      </c>
      <c r="J48" t="e">
        <f t="shared" si="13"/>
        <v>#DIV/0!</v>
      </c>
      <c r="K48" t="e">
        <f t="shared" si="13"/>
        <v>#DIV/0!</v>
      </c>
      <c r="L48" t="e">
        <f t="shared" si="13"/>
        <v>#DIV/0!</v>
      </c>
      <c r="M48" t="e">
        <f t="shared" si="13"/>
        <v>#DIV/0!</v>
      </c>
      <c r="N48" t="e">
        <f t="shared" si="13"/>
        <v>#DIV/0!</v>
      </c>
      <c r="O48" t="e">
        <f t="shared" si="13"/>
        <v>#DIV/0!</v>
      </c>
      <c r="P48" t="e">
        <f t="shared" si="13"/>
        <v>#DIV/0!</v>
      </c>
      <c r="Q48" t="e">
        <f t="shared" si="13"/>
        <v>#DIV/0!</v>
      </c>
      <c r="R48" t="e">
        <f t="shared" si="13"/>
        <v>#DIV/0!</v>
      </c>
      <c r="S48" t="e">
        <f t="shared" si="13"/>
        <v>#DIV/0!</v>
      </c>
      <c r="T48" t="e">
        <f t="shared" si="13"/>
        <v>#DIV/0!</v>
      </c>
      <c r="U48" t="e">
        <f t="shared" si="13"/>
        <v>#DIV/0!</v>
      </c>
    </row>
    <row r="49" spans="1:27" x14ac:dyDescent="0.4">
      <c r="A49" s="2" t="s">
        <v>1</v>
      </c>
      <c r="B49">
        <f t="shared" ref="B49:U49" si="14">LN(B$44*B$45)-B$44*B34</f>
        <v>1.8473352277677717</v>
      </c>
      <c r="C49">
        <f t="shared" si="14"/>
        <v>1.1256849255956183</v>
      </c>
      <c r="D49" t="e">
        <f t="shared" si="14"/>
        <v>#DIV/0!</v>
      </c>
      <c r="E49" t="e">
        <f t="shared" si="14"/>
        <v>#DIV/0!</v>
      </c>
      <c r="F49" t="e">
        <f t="shared" si="14"/>
        <v>#DIV/0!</v>
      </c>
      <c r="G49" t="e">
        <f t="shared" si="14"/>
        <v>#DIV/0!</v>
      </c>
      <c r="H49" t="e">
        <f t="shared" si="14"/>
        <v>#DIV/0!</v>
      </c>
      <c r="I49" t="e">
        <f t="shared" si="14"/>
        <v>#DIV/0!</v>
      </c>
      <c r="J49" t="e">
        <f t="shared" si="14"/>
        <v>#DIV/0!</v>
      </c>
      <c r="K49" t="e">
        <f t="shared" si="14"/>
        <v>#DIV/0!</v>
      </c>
      <c r="L49" t="e">
        <f t="shared" si="14"/>
        <v>#DIV/0!</v>
      </c>
      <c r="M49" t="e">
        <f t="shared" si="14"/>
        <v>#DIV/0!</v>
      </c>
      <c r="N49" t="e">
        <f t="shared" si="14"/>
        <v>#DIV/0!</v>
      </c>
      <c r="O49" t="e">
        <f t="shared" si="14"/>
        <v>#DIV/0!</v>
      </c>
      <c r="P49" t="e">
        <f t="shared" si="14"/>
        <v>#DIV/0!</v>
      </c>
      <c r="Q49" t="e">
        <f t="shared" si="14"/>
        <v>#DIV/0!</v>
      </c>
      <c r="R49" t="e">
        <f t="shared" si="14"/>
        <v>#DIV/0!</v>
      </c>
      <c r="S49" t="e">
        <f t="shared" si="14"/>
        <v>#DIV/0!</v>
      </c>
      <c r="T49" t="e">
        <f t="shared" si="14"/>
        <v>#DIV/0!</v>
      </c>
      <c r="U49" t="e">
        <f t="shared" si="14"/>
        <v>#DIV/0!</v>
      </c>
    </row>
    <row r="50" spans="1:27" x14ac:dyDescent="0.4">
      <c r="A50" s="2" t="s">
        <v>2</v>
      </c>
      <c r="B50">
        <f t="shared" ref="B50:U50" si="15">LN(B$44*B$45)-B$44*B35</f>
        <v>1.4521537724900038</v>
      </c>
      <c r="C50">
        <f t="shared" si="15"/>
        <v>0.81752619949451044</v>
      </c>
      <c r="D50" t="e">
        <f t="shared" si="15"/>
        <v>#DIV/0!</v>
      </c>
      <c r="E50" t="e">
        <f t="shared" si="15"/>
        <v>#DIV/0!</v>
      </c>
      <c r="F50" t="e">
        <f t="shared" si="15"/>
        <v>#DIV/0!</v>
      </c>
      <c r="G50" t="e">
        <f t="shared" si="15"/>
        <v>#DIV/0!</v>
      </c>
      <c r="H50" t="e">
        <f t="shared" si="15"/>
        <v>#DIV/0!</v>
      </c>
      <c r="I50" t="e">
        <f t="shared" si="15"/>
        <v>#DIV/0!</v>
      </c>
      <c r="J50" t="e">
        <f t="shared" si="15"/>
        <v>#DIV/0!</v>
      </c>
      <c r="K50" t="e">
        <f t="shared" si="15"/>
        <v>#DIV/0!</v>
      </c>
      <c r="L50" t="e">
        <f t="shared" si="15"/>
        <v>#DIV/0!</v>
      </c>
      <c r="M50" t="e">
        <f t="shared" si="15"/>
        <v>#DIV/0!</v>
      </c>
      <c r="N50" t="e">
        <f t="shared" si="15"/>
        <v>#DIV/0!</v>
      </c>
      <c r="O50" t="e">
        <f t="shared" si="15"/>
        <v>#DIV/0!</v>
      </c>
      <c r="P50" t="e">
        <f t="shared" si="15"/>
        <v>#DIV/0!</v>
      </c>
      <c r="Q50" t="e">
        <f t="shared" si="15"/>
        <v>#DIV/0!</v>
      </c>
      <c r="R50" t="e">
        <f t="shared" si="15"/>
        <v>#DIV/0!</v>
      </c>
      <c r="S50" t="e">
        <f t="shared" si="15"/>
        <v>#DIV/0!</v>
      </c>
      <c r="T50" t="e">
        <f t="shared" si="15"/>
        <v>#DIV/0!</v>
      </c>
      <c r="U50" t="e">
        <f t="shared" si="15"/>
        <v>#DIV/0!</v>
      </c>
    </row>
    <row r="51" spans="1:27" x14ac:dyDescent="0.4">
      <c r="A51" s="2" t="s">
        <v>3</v>
      </c>
      <c r="B51">
        <f t="shared" ref="B51:U51" si="16">LN(B$44*B$45)-B$44*B36</f>
        <v>1.1671621996914052</v>
      </c>
      <c r="C51">
        <f t="shared" si="16"/>
        <v>0.6206127735159026</v>
      </c>
      <c r="D51" t="e">
        <f t="shared" si="16"/>
        <v>#DIV/0!</v>
      </c>
      <c r="E51" t="e">
        <f t="shared" si="16"/>
        <v>#DIV/0!</v>
      </c>
      <c r="F51" t="e">
        <f t="shared" si="16"/>
        <v>#DIV/0!</v>
      </c>
      <c r="G51" t="e">
        <f t="shared" si="16"/>
        <v>#DIV/0!</v>
      </c>
      <c r="H51" t="e">
        <f t="shared" si="16"/>
        <v>#DIV/0!</v>
      </c>
      <c r="I51" t="e">
        <f t="shared" si="16"/>
        <v>#DIV/0!</v>
      </c>
      <c r="J51" t="e">
        <f t="shared" si="16"/>
        <v>#DIV/0!</v>
      </c>
      <c r="K51" t="e">
        <f t="shared" si="16"/>
        <v>#DIV/0!</v>
      </c>
      <c r="L51" t="e">
        <f t="shared" si="16"/>
        <v>#DIV/0!</v>
      </c>
      <c r="M51" t="e">
        <f t="shared" si="16"/>
        <v>#DIV/0!</v>
      </c>
      <c r="N51" t="e">
        <f t="shared" si="16"/>
        <v>#DIV/0!</v>
      </c>
      <c r="O51" t="e">
        <f t="shared" si="16"/>
        <v>#DIV/0!</v>
      </c>
      <c r="P51" t="e">
        <f t="shared" si="16"/>
        <v>#DIV/0!</v>
      </c>
      <c r="Q51" t="e">
        <f t="shared" si="16"/>
        <v>#DIV/0!</v>
      </c>
      <c r="R51" t="e">
        <f t="shared" si="16"/>
        <v>#DIV/0!</v>
      </c>
      <c r="S51" t="e">
        <f t="shared" si="16"/>
        <v>#DIV/0!</v>
      </c>
      <c r="T51" t="e">
        <f t="shared" si="16"/>
        <v>#DIV/0!</v>
      </c>
      <c r="U51" t="e">
        <f t="shared" si="16"/>
        <v>#DIV/0!</v>
      </c>
    </row>
    <row r="52" spans="1:27" x14ac:dyDescent="0.4">
      <c r="A52" s="2" t="s">
        <v>4</v>
      </c>
      <c r="B52">
        <f t="shared" ref="B52:U52" si="17">LN(B$44*B$45)-B$44*B37</f>
        <v>0.99318358972662901</v>
      </c>
      <c r="C52">
        <f t="shared" si="17"/>
        <v>0.54788731415604119</v>
      </c>
      <c r="D52" t="e">
        <f t="shared" si="17"/>
        <v>#DIV/0!</v>
      </c>
      <c r="E52" t="e">
        <f t="shared" si="17"/>
        <v>#DIV/0!</v>
      </c>
      <c r="F52" t="e">
        <f t="shared" si="17"/>
        <v>#DIV/0!</v>
      </c>
      <c r="G52" t="e">
        <f t="shared" si="17"/>
        <v>#DIV/0!</v>
      </c>
      <c r="H52" t="e">
        <f t="shared" si="17"/>
        <v>#DIV/0!</v>
      </c>
      <c r="I52" t="e">
        <f t="shared" si="17"/>
        <v>#DIV/0!</v>
      </c>
      <c r="J52" t="e">
        <f t="shared" si="17"/>
        <v>#DIV/0!</v>
      </c>
      <c r="K52" t="e">
        <f t="shared" si="17"/>
        <v>#DIV/0!</v>
      </c>
      <c r="L52" t="e">
        <f t="shared" si="17"/>
        <v>#DIV/0!</v>
      </c>
      <c r="M52" t="e">
        <f t="shared" si="17"/>
        <v>#DIV/0!</v>
      </c>
      <c r="N52" t="e">
        <f t="shared" si="17"/>
        <v>#DIV/0!</v>
      </c>
      <c r="O52" t="e">
        <f t="shared" si="17"/>
        <v>#DIV/0!</v>
      </c>
      <c r="P52" t="e">
        <f t="shared" si="17"/>
        <v>#DIV/0!</v>
      </c>
      <c r="Q52" t="e">
        <f t="shared" si="17"/>
        <v>#DIV/0!</v>
      </c>
      <c r="R52" t="e">
        <f t="shared" si="17"/>
        <v>#DIV/0!</v>
      </c>
      <c r="S52" t="e">
        <f t="shared" si="17"/>
        <v>#DIV/0!</v>
      </c>
      <c r="T52" t="e">
        <f t="shared" si="17"/>
        <v>#DIV/0!</v>
      </c>
      <c r="U52" t="e">
        <f t="shared" si="17"/>
        <v>#DIV/0!</v>
      </c>
    </row>
    <row r="54" spans="1:27" x14ac:dyDescent="0.4">
      <c r="A54" s="4" t="s">
        <v>15</v>
      </c>
      <c r="B54" s="3" t="s">
        <v>17</v>
      </c>
      <c r="C54" s="3" t="s">
        <v>18</v>
      </c>
      <c r="D54" s="3" t="s">
        <v>19</v>
      </c>
      <c r="E54" s="3" t="s">
        <v>20</v>
      </c>
      <c r="F54" s="3" t="s">
        <v>21</v>
      </c>
      <c r="G54" s="3" t="s">
        <v>22</v>
      </c>
      <c r="H54" s="3" t="s">
        <v>23</v>
      </c>
      <c r="I54" s="3" t="s">
        <v>24</v>
      </c>
      <c r="J54" s="3" t="s">
        <v>25</v>
      </c>
      <c r="K54" s="3" t="s">
        <v>26</v>
      </c>
      <c r="L54" s="3" t="s">
        <v>27</v>
      </c>
      <c r="M54" s="3" t="s">
        <v>28</v>
      </c>
      <c r="N54" s="3" t="s">
        <v>29</v>
      </c>
      <c r="O54" s="3" t="s">
        <v>30</v>
      </c>
      <c r="P54" s="3" t="s">
        <v>31</v>
      </c>
      <c r="Q54" s="3" t="s">
        <v>32</v>
      </c>
      <c r="R54" s="3" t="s">
        <v>33</v>
      </c>
      <c r="S54" s="3" t="s">
        <v>34</v>
      </c>
      <c r="T54" s="3" t="s">
        <v>35</v>
      </c>
      <c r="U54" s="3" t="s">
        <v>36</v>
      </c>
    </row>
    <row r="55" spans="1:27" x14ac:dyDescent="0.4">
      <c r="A55" s="2" t="s">
        <v>0</v>
      </c>
      <c r="B55">
        <f t="shared" ref="B55:U55" si="18">B26-B48</f>
        <v>-2.0267855727757578E-2</v>
      </c>
      <c r="C55">
        <f t="shared" si="18"/>
        <v>-8.1040008807366837E-2</v>
      </c>
      <c r="D55" t="e">
        <f t="shared" si="18"/>
        <v>#DIV/0!</v>
      </c>
      <c r="E55" t="e">
        <f t="shared" si="18"/>
        <v>#DIV/0!</v>
      </c>
      <c r="F55" t="e">
        <f t="shared" si="18"/>
        <v>#DIV/0!</v>
      </c>
      <c r="G55" t="e">
        <f t="shared" si="18"/>
        <v>#DIV/0!</v>
      </c>
      <c r="H55" t="e">
        <f t="shared" si="18"/>
        <v>#DIV/0!</v>
      </c>
      <c r="I55" t="e">
        <f t="shared" si="18"/>
        <v>#DIV/0!</v>
      </c>
      <c r="J55" t="e">
        <f t="shared" si="18"/>
        <v>#DIV/0!</v>
      </c>
      <c r="K55" t="e">
        <f t="shared" si="18"/>
        <v>#DIV/0!</v>
      </c>
      <c r="L55" t="e">
        <f t="shared" si="18"/>
        <v>#DIV/0!</v>
      </c>
      <c r="M55" t="e">
        <f t="shared" si="18"/>
        <v>#DIV/0!</v>
      </c>
      <c r="N55" t="e">
        <f t="shared" si="18"/>
        <v>#DIV/0!</v>
      </c>
      <c r="O55" t="e">
        <f t="shared" si="18"/>
        <v>#DIV/0!</v>
      </c>
      <c r="P55" t="e">
        <f t="shared" si="18"/>
        <v>#DIV/0!</v>
      </c>
      <c r="Q55" t="e">
        <f t="shared" si="18"/>
        <v>#DIV/0!</v>
      </c>
      <c r="R55" t="e">
        <f t="shared" si="18"/>
        <v>#DIV/0!</v>
      </c>
      <c r="S55" t="e">
        <f t="shared" si="18"/>
        <v>#DIV/0!</v>
      </c>
      <c r="T55" t="e">
        <f t="shared" si="18"/>
        <v>#DIV/0!</v>
      </c>
      <c r="U55" t="e">
        <f t="shared" si="18"/>
        <v>#DIV/0!</v>
      </c>
    </row>
    <row r="56" spans="1:27" x14ac:dyDescent="0.4">
      <c r="A56" s="2" t="s">
        <v>1</v>
      </c>
      <c r="B56">
        <f t="shared" ref="B56:U56" si="19">B27-B49</f>
        <v>0.1130649567806925</v>
      </c>
      <c r="C56">
        <f t="shared" si="19"/>
        <v>0.12720802275305543</v>
      </c>
      <c r="D56" t="e">
        <f t="shared" si="19"/>
        <v>#DIV/0!</v>
      </c>
      <c r="E56" t="e">
        <f t="shared" si="19"/>
        <v>#DIV/0!</v>
      </c>
      <c r="F56" t="e">
        <f t="shared" si="19"/>
        <v>#DIV/0!</v>
      </c>
      <c r="G56" t="e">
        <f t="shared" si="19"/>
        <v>#DIV/0!</v>
      </c>
      <c r="H56" t="e">
        <f t="shared" si="19"/>
        <v>#DIV/0!</v>
      </c>
      <c r="I56" t="e">
        <f t="shared" si="19"/>
        <v>#DIV/0!</v>
      </c>
      <c r="J56" t="e">
        <f t="shared" si="19"/>
        <v>#DIV/0!</v>
      </c>
      <c r="K56" t="e">
        <f t="shared" si="19"/>
        <v>#DIV/0!</v>
      </c>
      <c r="L56" t="e">
        <f t="shared" si="19"/>
        <v>#DIV/0!</v>
      </c>
      <c r="M56" t="e">
        <f t="shared" si="19"/>
        <v>#DIV/0!</v>
      </c>
      <c r="N56" t="e">
        <f t="shared" si="19"/>
        <v>#DIV/0!</v>
      </c>
      <c r="O56" t="e">
        <f t="shared" si="19"/>
        <v>#DIV/0!</v>
      </c>
      <c r="P56" t="e">
        <f t="shared" si="19"/>
        <v>#DIV/0!</v>
      </c>
      <c r="Q56" t="e">
        <f t="shared" si="19"/>
        <v>#DIV/0!</v>
      </c>
      <c r="R56" t="e">
        <f t="shared" si="19"/>
        <v>#DIV/0!</v>
      </c>
      <c r="S56" t="e">
        <f t="shared" si="19"/>
        <v>#DIV/0!</v>
      </c>
      <c r="T56" t="e">
        <f t="shared" si="19"/>
        <v>#DIV/0!</v>
      </c>
      <c r="U56" t="e">
        <f t="shared" si="19"/>
        <v>#DIV/0!</v>
      </c>
    </row>
    <row r="57" spans="1:27" x14ac:dyDescent="0.4">
      <c r="A57" s="2" t="s">
        <v>2</v>
      </c>
      <c r="B57">
        <f t="shared" ref="B57:U57" si="20">B28-B50</f>
        <v>-8.0978797942021785E-2</v>
      </c>
      <c r="C57">
        <f t="shared" si="20"/>
        <v>-2.4137018958304668E-2</v>
      </c>
      <c r="D57" t="e">
        <f t="shared" si="20"/>
        <v>#DIV/0!</v>
      </c>
      <c r="E57" t="e">
        <f t="shared" si="20"/>
        <v>#DIV/0!</v>
      </c>
      <c r="F57" t="e">
        <f t="shared" si="20"/>
        <v>#DIV/0!</v>
      </c>
      <c r="G57" t="e">
        <f t="shared" si="20"/>
        <v>#DIV/0!</v>
      </c>
      <c r="H57" t="e">
        <f t="shared" si="20"/>
        <v>#DIV/0!</v>
      </c>
      <c r="I57" t="e">
        <f t="shared" si="20"/>
        <v>#DIV/0!</v>
      </c>
      <c r="J57" t="e">
        <f t="shared" si="20"/>
        <v>#DIV/0!</v>
      </c>
      <c r="K57" t="e">
        <f t="shared" si="20"/>
        <v>#DIV/0!</v>
      </c>
      <c r="L57" t="e">
        <f t="shared" si="20"/>
        <v>#DIV/0!</v>
      </c>
      <c r="M57" t="e">
        <f t="shared" si="20"/>
        <v>#DIV/0!</v>
      </c>
      <c r="N57" t="e">
        <f t="shared" si="20"/>
        <v>#DIV/0!</v>
      </c>
      <c r="O57" t="e">
        <f t="shared" si="20"/>
        <v>#DIV/0!</v>
      </c>
      <c r="P57" t="e">
        <f t="shared" si="20"/>
        <v>#DIV/0!</v>
      </c>
      <c r="Q57" t="e">
        <f t="shared" si="20"/>
        <v>#DIV/0!</v>
      </c>
      <c r="R57" t="e">
        <f t="shared" si="20"/>
        <v>#DIV/0!</v>
      </c>
      <c r="S57" t="e">
        <f t="shared" si="20"/>
        <v>#DIV/0!</v>
      </c>
      <c r="T57" t="e">
        <f t="shared" si="20"/>
        <v>#DIV/0!</v>
      </c>
      <c r="U57" t="e">
        <f t="shared" si="20"/>
        <v>#DIV/0!</v>
      </c>
    </row>
    <row r="58" spans="1:27" x14ac:dyDescent="0.4">
      <c r="A58" s="2" t="s">
        <v>3</v>
      </c>
      <c r="B58">
        <f t="shared" ref="B58:U58" si="21">B29-B51</f>
        <v>-0.18795278380416069</v>
      </c>
      <c r="C58">
        <f t="shared" si="21"/>
        <v>9.612658906086291E-2</v>
      </c>
      <c r="D58" t="e">
        <f t="shared" si="21"/>
        <v>#DIV/0!</v>
      </c>
      <c r="E58" t="e">
        <f t="shared" si="21"/>
        <v>#DIV/0!</v>
      </c>
      <c r="F58" t="e">
        <f t="shared" si="21"/>
        <v>#DIV/0!</v>
      </c>
      <c r="G58" t="e">
        <f t="shared" si="21"/>
        <v>#DIV/0!</v>
      </c>
      <c r="H58" t="e">
        <f t="shared" si="21"/>
        <v>#DIV/0!</v>
      </c>
      <c r="I58" t="e">
        <f t="shared" si="21"/>
        <v>#DIV/0!</v>
      </c>
      <c r="J58" t="e">
        <f t="shared" si="21"/>
        <v>#DIV/0!</v>
      </c>
      <c r="K58" t="e">
        <f t="shared" si="21"/>
        <v>#DIV/0!</v>
      </c>
      <c r="L58" t="e">
        <f t="shared" si="21"/>
        <v>#DIV/0!</v>
      </c>
      <c r="M58" t="e">
        <f t="shared" si="21"/>
        <v>#DIV/0!</v>
      </c>
      <c r="N58" t="e">
        <f t="shared" si="21"/>
        <v>#DIV/0!</v>
      </c>
      <c r="O58" t="e">
        <f t="shared" si="21"/>
        <v>#DIV/0!</v>
      </c>
      <c r="P58" t="e">
        <f t="shared" si="21"/>
        <v>#DIV/0!</v>
      </c>
      <c r="Q58" t="e">
        <f t="shared" si="21"/>
        <v>#DIV/0!</v>
      </c>
      <c r="R58" t="e">
        <f t="shared" si="21"/>
        <v>#DIV/0!</v>
      </c>
      <c r="S58" t="e">
        <f t="shared" si="21"/>
        <v>#DIV/0!</v>
      </c>
      <c r="T58" t="e">
        <f t="shared" si="21"/>
        <v>#DIV/0!</v>
      </c>
      <c r="U58" t="e">
        <f t="shared" si="21"/>
        <v>#DIV/0!</v>
      </c>
    </row>
    <row r="59" spans="1:27" x14ac:dyDescent="0.4">
      <c r="A59" s="2" t="s">
        <v>4</v>
      </c>
      <c r="B59">
        <f t="shared" ref="B59:U59" si="22">B30-B52</f>
        <v>0.176134480693247</v>
      </c>
      <c r="C59">
        <f t="shared" si="22"/>
        <v>-0.11815758404824567</v>
      </c>
      <c r="D59" t="e">
        <f t="shared" si="22"/>
        <v>#DIV/0!</v>
      </c>
      <c r="E59" t="e">
        <f t="shared" si="22"/>
        <v>#DIV/0!</v>
      </c>
      <c r="F59" t="e">
        <f t="shared" si="22"/>
        <v>#DIV/0!</v>
      </c>
      <c r="G59" t="e">
        <f t="shared" si="22"/>
        <v>#DIV/0!</v>
      </c>
      <c r="H59" t="e">
        <f t="shared" si="22"/>
        <v>#DIV/0!</v>
      </c>
      <c r="I59" t="e">
        <f t="shared" si="22"/>
        <v>#DIV/0!</v>
      </c>
      <c r="J59" t="e">
        <f t="shared" si="22"/>
        <v>#DIV/0!</v>
      </c>
      <c r="K59" t="e">
        <f t="shared" si="22"/>
        <v>#DIV/0!</v>
      </c>
      <c r="L59" t="e">
        <f t="shared" si="22"/>
        <v>#DIV/0!</v>
      </c>
      <c r="M59" t="e">
        <f t="shared" si="22"/>
        <v>#DIV/0!</v>
      </c>
      <c r="N59" t="e">
        <f t="shared" si="22"/>
        <v>#DIV/0!</v>
      </c>
      <c r="O59" t="e">
        <f t="shared" si="22"/>
        <v>#DIV/0!</v>
      </c>
      <c r="P59" t="e">
        <f t="shared" si="22"/>
        <v>#DIV/0!</v>
      </c>
      <c r="Q59" t="e">
        <f t="shared" si="22"/>
        <v>#DIV/0!</v>
      </c>
      <c r="R59" t="e">
        <f t="shared" si="22"/>
        <v>#DIV/0!</v>
      </c>
      <c r="S59" t="e">
        <f t="shared" si="22"/>
        <v>#DIV/0!</v>
      </c>
      <c r="T59" t="e">
        <f t="shared" si="22"/>
        <v>#DIV/0!</v>
      </c>
      <c r="U59" t="e">
        <f t="shared" si="22"/>
        <v>#DIV/0!</v>
      </c>
    </row>
    <row r="61" spans="1:27" x14ac:dyDescent="0.4">
      <c r="A61" s="4" t="s">
        <v>16</v>
      </c>
      <c r="B61" s="3" t="s">
        <v>17</v>
      </c>
      <c r="C61" s="3" t="s">
        <v>18</v>
      </c>
      <c r="D61" s="3" t="s">
        <v>19</v>
      </c>
      <c r="E61" s="3" t="s">
        <v>20</v>
      </c>
      <c r="F61" s="3" t="s">
        <v>21</v>
      </c>
      <c r="G61" s="3" t="s">
        <v>22</v>
      </c>
      <c r="H61" s="3" t="s">
        <v>23</v>
      </c>
      <c r="I61" s="3" t="s">
        <v>24</v>
      </c>
      <c r="J61" s="3" t="s">
        <v>25</v>
      </c>
      <c r="K61" s="3" t="s">
        <v>26</v>
      </c>
      <c r="L61" s="3" t="s">
        <v>27</v>
      </c>
      <c r="M61" s="3" t="s">
        <v>28</v>
      </c>
      <c r="N61" s="3" t="s">
        <v>29</v>
      </c>
      <c r="O61" s="3" t="s">
        <v>30</v>
      </c>
      <c r="P61" s="3" t="s">
        <v>31</v>
      </c>
      <c r="Q61" s="3" t="s">
        <v>32</v>
      </c>
      <c r="R61" s="3" t="s">
        <v>33</v>
      </c>
      <c r="S61" s="3" t="s">
        <v>34</v>
      </c>
      <c r="T61" s="3" t="s">
        <v>35</v>
      </c>
      <c r="U61" s="3" t="s">
        <v>36</v>
      </c>
      <c r="V61" s="8" t="s">
        <v>14</v>
      </c>
      <c r="W61" s="10" t="s">
        <v>42</v>
      </c>
      <c r="X61" s="10" t="s">
        <v>40</v>
      </c>
      <c r="Y61" s="10" t="s">
        <v>46</v>
      </c>
      <c r="Z61" s="10" t="s">
        <v>43</v>
      </c>
      <c r="AA61" s="10" t="s">
        <v>44</v>
      </c>
    </row>
    <row r="62" spans="1:27" x14ac:dyDescent="0.4">
      <c r="A62" s="2" t="s">
        <v>0</v>
      </c>
      <c r="B62">
        <f>B55^2</f>
        <v>4.1078597580119564E-4</v>
      </c>
      <c r="C62">
        <f t="shared" ref="C62:U62" si="23">C55^2</f>
        <v>6.5674830274980948E-3</v>
      </c>
      <c r="D62" t="e">
        <f t="shared" si="23"/>
        <v>#DIV/0!</v>
      </c>
      <c r="E62" t="e">
        <f t="shared" si="23"/>
        <v>#DIV/0!</v>
      </c>
      <c r="F62" t="e">
        <f t="shared" si="23"/>
        <v>#DIV/0!</v>
      </c>
      <c r="G62" t="e">
        <f t="shared" si="23"/>
        <v>#DIV/0!</v>
      </c>
      <c r="H62" t="e">
        <f t="shared" si="23"/>
        <v>#DIV/0!</v>
      </c>
      <c r="I62" t="e">
        <f t="shared" si="23"/>
        <v>#DIV/0!</v>
      </c>
      <c r="J62" t="e">
        <f t="shared" si="23"/>
        <v>#DIV/0!</v>
      </c>
      <c r="K62" t="e">
        <f t="shared" si="23"/>
        <v>#DIV/0!</v>
      </c>
      <c r="L62" t="e">
        <f t="shared" si="23"/>
        <v>#DIV/0!</v>
      </c>
      <c r="M62" t="e">
        <f t="shared" si="23"/>
        <v>#DIV/0!</v>
      </c>
      <c r="N62" t="e">
        <f t="shared" si="23"/>
        <v>#DIV/0!</v>
      </c>
      <c r="O62" t="e">
        <f t="shared" si="23"/>
        <v>#DIV/0!</v>
      </c>
      <c r="P62" t="e">
        <f t="shared" si="23"/>
        <v>#DIV/0!</v>
      </c>
      <c r="Q62" t="e">
        <f t="shared" si="23"/>
        <v>#DIV/0!</v>
      </c>
      <c r="R62" t="e">
        <f t="shared" si="23"/>
        <v>#DIV/0!</v>
      </c>
      <c r="S62" t="e">
        <f t="shared" si="23"/>
        <v>#DIV/0!</v>
      </c>
      <c r="T62" t="e">
        <f t="shared" si="23"/>
        <v>#DIV/0!</v>
      </c>
      <c r="U62" t="e">
        <f t="shared" si="23"/>
        <v>#DIV/0!</v>
      </c>
      <c r="V62" s="8" t="e">
        <f>SUM(B62:U66)</f>
        <v>#DIV/0!</v>
      </c>
      <c r="W62" t="e">
        <f>V62/COUNT(B62:U66)</f>
        <v>#DIV/0!</v>
      </c>
      <c r="X62" t="e">
        <f>-0.5*COUNT(B62:U66)*LN(2*PI()*W62)-0.5*V62/W62</f>
        <v>#DIV/0!</v>
      </c>
      <c r="Y62">
        <v>41</v>
      </c>
      <c r="Z62" t="e">
        <f>-2*X62+2*Y62</f>
        <v>#DIV/0!</v>
      </c>
      <c r="AA62" t="e">
        <f>Z62+2*Y62*(Y62+1)/(COUNT(B62:U66)-Y62-1)</f>
        <v>#DIV/0!</v>
      </c>
    </row>
    <row r="63" spans="1:27" x14ac:dyDescent="0.4">
      <c r="A63" s="2" t="s">
        <v>1</v>
      </c>
      <c r="B63">
        <f t="shared" ref="B63:U66" si="24">B56^2</f>
        <v>1.2783684451819865E-2</v>
      </c>
      <c r="C63">
        <f t="shared" si="24"/>
        <v>1.6181881052741869E-2</v>
      </c>
      <c r="D63" t="e">
        <f t="shared" si="24"/>
        <v>#DIV/0!</v>
      </c>
      <c r="E63" t="e">
        <f t="shared" si="24"/>
        <v>#DIV/0!</v>
      </c>
      <c r="F63" t="e">
        <f t="shared" si="24"/>
        <v>#DIV/0!</v>
      </c>
      <c r="G63" t="e">
        <f t="shared" si="24"/>
        <v>#DIV/0!</v>
      </c>
      <c r="H63" t="e">
        <f t="shared" si="24"/>
        <v>#DIV/0!</v>
      </c>
      <c r="I63" t="e">
        <f t="shared" si="24"/>
        <v>#DIV/0!</v>
      </c>
      <c r="J63" t="e">
        <f t="shared" si="24"/>
        <v>#DIV/0!</v>
      </c>
      <c r="K63" t="e">
        <f t="shared" si="24"/>
        <v>#DIV/0!</v>
      </c>
      <c r="L63" t="e">
        <f t="shared" si="24"/>
        <v>#DIV/0!</v>
      </c>
      <c r="M63" t="e">
        <f t="shared" si="24"/>
        <v>#DIV/0!</v>
      </c>
      <c r="N63" t="e">
        <f t="shared" si="24"/>
        <v>#DIV/0!</v>
      </c>
      <c r="O63" t="e">
        <f t="shared" si="24"/>
        <v>#DIV/0!</v>
      </c>
      <c r="P63" t="e">
        <f t="shared" si="24"/>
        <v>#DIV/0!</v>
      </c>
      <c r="Q63" t="e">
        <f t="shared" si="24"/>
        <v>#DIV/0!</v>
      </c>
      <c r="R63" t="e">
        <f t="shared" si="24"/>
        <v>#DIV/0!</v>
      </c>
      <c r="S63" t="e">
        <f t="shared" si="24"/>
        <v>#DIV/0!</v>
      </c>
      <c r="T63" t="e">
        <f t="shared" si="24"/>
        <v>#DIV/0!</v>
      </c>
      <c r="U63" t="e">
        <f t="shared" si="24"/>
        <v>#DIV/0!</v>
      </c>
    </row>
    <row r="64" spans="1:27" x14ac:dyDescent="0.4">
      <c r="A64" s="2" t="s">
        <v>2</v>
      </c>
      <c r="B64">
        <f t="shared" si="24"/>
        <v>6.5575657161347917E-3</v>
      </c>
      <c r="C64">
        <f t="shared" si="24"/>
        <v>5.82595684193559E-4</v>
      </c>
      <c r="D64" t="e">
        <f t="shared" si="24"/>
        <v>#DIV/0!</v>
      </c>
      <c r="E64" t="e">
        <f t="shared" si="24"/>
        <v>#DIV/0!</v>
      </c>
      <c r="F64" t="e">
        <f t="shared" si="24"/>
        <v>#DIV/0!</v>
      </c>
      <c r="G64" t="e">
        <f t="shared" si="24"/>
        <v>#DIV/0!</v>
      </c>
      <c r="H64" t="e">
        <f t="shared" si="24"/>
        <v>#DIV/0!</v>
      </c>
      <c r="I64" t="e">
        <f t="shared" si="24"/>
        <v>#DIV/0!</v>
      </c>
      <c r="J64" t="e">
        <f t="shared" si="24"/>
        <v>#DIV/0!</v>
      </c>
      <c r="K64" t="e">
        <f t="shared" si="24"/>
        <v>#DIV/0!</v>
      </c>
      <c r="L64" t="e">
        <f t="shared" si="24"/>
        <v>#DIV/0!</v>
      </c>
      <c r="M64" t="e">
        <f t="shared" si="24"/>
        <v>#DIV/0!</v>
      </c>
      <c r="N64" t="e">
        <f t="shared" si="24"/>
        <v>#DIV/0!</v>
      </c>
      <c r="O64" t="e">
        <f t="shared" si="24"/>
        <v>#DIV/0!</v>
      </c>
      <c r="P64" t="e">
        <f t="shared" si="24"/>
        <v>#DIV/0!</v>
      </c>
      <c r="Q64" t="e">
        <f t="shared" si="24"/>
        <v>#DIV/0!</v>
      </c>
      <c r="R64" t="e">
        <f t="shared" si="24"/>
        <v>#DIV/0!</v>
      </c>
      <c r="S64" t="e">
        <f t="shared" si="24"/>
        <v>#DIV/0!</v>
      </c>
      <c r="T64" t="e">
        <f t="shared" si="24"/>
        <v>#DIV/0!</v>
      </c>
      <c r="U64" t="e">
        <f t="shared" si="24"/>
        <v>#DIV/0!</v>
      </c>
    </row>
    <row r="65" spans="1:21" x14ac:dyDescent="0.4">
      <c r="A65" s="2" t="s">
        <v>3</v>
      </c>
      <c r="B65">
        <f t="shared" si="24"/>
        <v>3.5326248939733573E-2</v>
      </c>
      <c r="C65">
        <f t="shared" si="24"/>
        <v>9.2403211244760086E-3</v>
      </c>
      <c r="D65" t="e">
        <f t="shared" si="24"/>
        <v>#DIV/0!</v>
      </c>
      <c r="E65" t="e">
        <f t="shared" si="24"/>
        <v>#DIV/0!</v>
      </c>
      <c r="F65" t="e">
        <f t="shared" si="24"/>
        <v>#DIV/0!</v>
      </c>
      <c r="G65" t="e">
        <f t="shared" si="24"/>
        <v>#DIV/0!</v>
      </c>
      <c r="H65" t="e">
        <f t="shared" si="24"/>
        <v>#DIV/0!</v>
      </c>
      <c r="I65" t="e">
        <f t="shared" si="24"/>
        <v>#DIV/0!</v>
      </c>
      <c r="J65" t="e">
        <f t="shared" si="24"/>
        <v>#DIV/0!</v>
      </c>
      <c r="K65" t="e">
        <f t="shared" si="24"/>
        <v>#DIV/0!</v>
      </c>
      <c r="L65" t="e">
        <f t="shared" si="24"/>
        <v>#DIV/0!</v>
      </c>
      <c r="M65" t="e">
        <f t="shared" si="24"/>
        <v>#DIV/0!</v>
      </c>
      <c r="N65" t="e">
        <f t="shared" si="24"/>
        <v>#DIV/0!</v>
      </c>
      <c r="O65" t="e">
        <f t="shared" si="24"/>
        <v>#DIV/0!</v>
      </c>
      <c r="P65" t="e">
        <f t="shared" si="24"/>
        <v>#DIV/0!</v>
      </c>
      <c r="Q65" t="e">
        <f t="shared" si="24"/>
        <v>#DIV/0!</v>
      </c>
      <c r="R65" t="e">
        <f t="shared" si="24"/>
        <v>#DIV/0!</v>
      </c>
      <c r="S65" t="e">
        <f t="shared" si="24"/>
        <v>#DIV/0!</v>
      </c>
      <c r="T65" t="e">
        <f t="shared" si="24"/>
        <v>#DIV/0!</v>
      </c>
      <c r="U65" t="e">
        <f t="shared" si="24"/>
        <v>#DIV/0!</v>
      </c>
    </row>
    <row r="66" spans="1:21" x14ac:dyDescent="0.4">
      <c r="A66" s="2" t="s">
        <v>4</v>
      </c>
      <c r="B66">
        <f t="shared" si="24"/>
        <v>3.1023355289079801E-2</v>
      </c>
      <c r="C66">
        <f t="shared" si="24"/>
        <v>1.3961214668118239E-2</v>
      </c>
      <c r="D66" t="e">
        <f t="shared" si="24"/>
        <v>#DIV/0!</v>
      </c>
      <c r="E66" t="e">
        <f t="shared" si="24"/>
        <v>#DIV/0!</v>
      </c>
      <c r="F66" t="e">
        <f t="shared" si="24"/>
        <v>#DIV/0!</v>
      </c>
      <c r="G66" t="e">
        <f t="shared" si="24"/>
        <v>#DIV/0!</v>
      </c>
      <c r="H66" t="e">
        <f t="shared" si="24"/>
        <v>#DIV/0!</v>
      </c>
      <c r="I66" t="e">
        <f t="shared" si="24"/>
        <v>#DIV/0!</v>
      </c>
      <c r="J66" t="e">
        <f t="shared" si="24"/>
        <v>#DIV/0!</v>
      </c>
      <c r="K66" t="e">
        <f t="shared" si="24"/>
        <v>#DIV/0!</v>
      </c>
      <c r="L66" t="e">
        <f t="shared" si="24"/>
        <v>#DIV/0!</v>
      </c>
      <c r="M66" t="e">
        <f t="shared" si="24"/>
        <v>#DIV/0!</v>
      </c>
      <c r="N66" t="e">
        <f t="shared" si="24"/>
        <v>#DIV/0!</v>
      </c>
      <c r="O66" t="e">
        <f t="shared" si="24"/>
        <v>#DIV/0!</v>
      </c>
      <c r="P66" t="e">
        <f t="shared" si="24"/>
        <v>#DIV/0!</v>
      </c>
      <c r="Q66" t="e">
        <f t="shared" si="24"/>
        <v>#DIV/0!</v>
      </c>
      <c r="R66" t="e">
        <f t="shared" si="24"/>
        <v>#DIV/0!</v>
      </c>
      <c r="S66" t="e">
        <f t="shared" si="24"/>
        <v>#DIV/0!</v>
      </c>
      <c r="T66" t="e">
        <f t="shared" si="24"/>
        <v>#DIV/0!</v>
      </c>
      <c r="U66" t="e">
        <f t="shared" si="24"/>
        <v>#DIV/0!</v>
      </c>
    </row>
  </sheetData>
  <phoneticPr fontId="18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"/>
  <sheetViews>
    <sheetView topLeftCell="A16" zoomScaleNormal="100" workbookViewId="0">
      <selection activeCell="B20" sqref="B20"/>
    </sheetView>
  </sheetViews>
  <sheetFormatPr defaultRowHeight="18.75" x14ac:dyDescent="0.4"/>
  <cols>
    <col min="1" max="1" width="21.375" bestFit="1" customWidth="1"/>
    <col min="2" max="2" width="14" bestFit="1" customWidth="1"/>
    <col min="22" max="22" width="17.25" bestFit="1" customWidth="1"/>
  </cols>
  <sheetData>
    <row r="1" spans="1:26" x14ac:dyDescent="0.4">
      <c r="A1" s="4" t="s">
        <v>5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9"/>
      <c r="W1" s="9"/>
      <c r="X1" s="9"/>
      <c r="Y1" s="9"/>
      <c r="Z1" s="9"/>
    </row>
    <row r="2" spans="1:26" x14ac:dyDescent="0.4">
      <c r="A2" s="2" t="s">
        <v>0</v>
      </c>
      <c r="B2">
        <v>24022</v>
      </c>
      <c r="C2">
        <v>4276</v>
      </c>
      <c r="D2">
        <v>7450</v>
      </c>
      <c r="E2">
        <v>23132</v>
      </c>
      <c r="F2">
        <v>13507</v>
      </c>
      <c r="G2">
        <v>148494</v>
      </c>
      <c r="H2">
        <v>48408</v>
      </c>
      <c r="I2">
        <v>204922</v>
      </c>
      <c r="J2">
        <v>26125</v>
      </c>
      <c r="K2">
        <v>5583</v>
      </c>
      <c r="L2">
        <v>21249</v>
      </c>
      <c r="M2">
        <v>58745</v>
      </c>
      <c r="N2">
        <v>103399</v>
      </c>
      <c r="O2">
        <v>55053</v>
      </c>
      <c r="P2">
        <v>91129</v>
      </c>
      <c r="Q2">
        <v>12014</v>
      </c>
      <c r="R2">
        <v>10741</v>
      </c>
      <c r="S2">
        <v>13394</v>
      </c>
      <c r="T2">
        <v>6982</v>
      </c>
      <c r="U2">
        <v>35006</v>
      </c>
      <c r="V2" s="9"/>
      <c r="W2" s="9"/>
      <c r="X2" s="9"/>
      <c r="Y2" s="9"/>
      <c r="Z2" s="9"/>
    </row>
    <row r="3" spans="1:26" x14ac:dyDescent="0.4">
      <c r="A3" s="2" t="s">
        <v>1</v>
      </c>
      <c r="B3">
        <v>14737</v>
      </c>
      <c r="C3">
        <v>3847</v>
      </c>
      <c r="D3">
        <v>2665</v>
      </c>
      <c r="E3">
        <v>20700</v>
      </c>
      <c r="F3">
        <v>7715</v>
      </c>
      <c r="G3">
        <v>69144</v>
      </c>
      <c r="H3">
        <v>26141</v>
      </c>
      <c r="I3">
        <v>91441</v>
      </c>
      <c r="J3">
        <v>9528</v>
      </c>
      <c r="K3">
        <v>7632</v>
      </c>
      <c r="L3">
        <v>10556</v>
      </c>
      <c r="M3">
        <v>30174</v>
      </c>
      <c r="N3">
        <v>36988</v>
      </c>
      <c r="O3">
        <v>22580</v>
      </c>
      <c r="P3">
        <v>39789</v>
      </c>
      <c r="Q3">
        <v>9991</v>
      </c>
      <c r="R3">
        <v>9961</v>
      </c>
      <c r="S3">
        <v>7198</v>
      </c>
      <c r="T3">
        <v>8121</v>
      </c>
      <c r="U3">
        <v>18951</v>
      </c>
      <c r="V3" s="9"/>
      <c r="W3" s="9"/>
      <c r="X3" s="9"/>
      <c r="Y3" s="9"/>
      <c r="Z3" s="9"/>
    </row>
    <row r="4" spans="1:26" x14ac:dyDescent="0.4">
      <c r="A4" s="2" t="s">
        <v>2</v>
      </c>
      <c r="B4">
        <v>6958</v>
      </c>
      <c r="C4">
        <v>1992</v>
      </c>
      <c r="D4">
        <v>2349</v>
      </c>
      <c r="E4">
        <v>10753</v>
      </c>
      <c r="F4">
        <v>4382</v>
      </c>
      <c r="G4">
        <v>41898</v>
      </c>
      <c r="H4">
        <v>9253</v>
      </c>
      <c r="I4">
        <v>46768</v>
      </c>
      <c r="J4">
        <v>16941</v>
      </c>
      <c r="K4">
        <v>3869</v>
      </c>
      <c r="L4">
        <v>3200</v>
      </c>
      <c r="M4">
        <v>18598</v>
      </c>
      <c r="N4">
        <v>25735</v>
      </c>
      <c r="O4">
        <v>17921</v>
      </c>
      <c r="P4">
        <v>25045</v>
      </c>
      <c r="Q4">
        <v>5217</v>
      </c>
      <c r="R4">
        <v>3995</v>
      </c>
      <c r="S4">
        <v>6504</v>
      </c>
      <c r="T4">
        <v>4392</v>
      </c>
      <c r="U4">
        <v>11864</v>
      </c>
      <c r="V4" s="9"/>
      <c r="W4" s="9"/>
      <c r="X4" s="9"/>
      <c r="Y4" s="9"/>
      <c r="Z4" s="9"/>
    </row>
    <row r="5" spans="1:26" x14ac:dyDescent="0.4">
      <c r="A5" s="2" t="s">
        <v>3</v>
      </c>
      <c r="B5">
        <v>2673</v>
      </c>
      <c r="C5">
        <v>772</v>
      </c>
      <c r="D5">
        <v>904</v>
      </c>
      <c r="E5">
        <v>3420</v>
      </c>
      <c r="F5">
        <v>1579</v>
      </c>
      <c r="G5">
        <v>12075</v>
      </c>
      <c r="H5">
        <v>2621</v>
      </c>
      <c r="I5">
        <v>27121</v>
      </c>
      <c r="J5">
        <v>7096</v>
      </c>
      <c r="K5">
        <v>2618</v>
      </c>
      <c r="L5">
        <v>2225</v>
      </c>
      <c r="M5">
        <v>9125</v>
      </c>
      <c r="N5">
        <v>9123</v>
      </c>
      <c r="O5">
        <v>3593</v>
      </c>
      <c r="P5">
        <v>12065</v>
      </c>
      <c r="Q5">
        <v>4923</v>
      </c>
      <c r="R5">
        <v>1744</v>
      </c>
      <c r="S5">
        <v>2047</v>
      </c>
      <c r="T5">
        <v>1603</v>
      </c>
      <c r="U5">
        <v>3047</v>
      </c>
      <c r="V5" s="9"/>
      <c r="W5" s="9"/>
      <c r="X5" s="9"/>
      <c r="Y5" s="9"/>
      <c r="Z5" s="9"/>
    </row>
    <row r="6" spans="1:26" x14ac:dyDescent="0.4">
      <c r="A6" s="2" t="s">
        <v>4</v>
      </c>
      <c r="B6">
        <v>2212</v>
      </c>
      <c r="C6">
        <v>146</v>
      </c>
      <c r="D6">
        <v>639</v>
      </c>
      <c r="E6">
        <v>3214</v>
      </c>
      <c r="F6">
        <v>457</v>
      </c>
      <c r="G6">
        <v>6661</v>
      </c>
      <c r="H6">
        <v>3693</v>
      </c>
      <c r="I6">
        <v>27555</v>
      </c>
      <c r="J6">
        <v>5949</v>
      </c>
      <c r="K6">
        <v>1896</v>
      </c>
      <c r="L6">
        <v>1499</v>
      </c>
      <c r="M6">
        <v>6284</v>
      </c>
      <c r="N6">
        <v>6580</v>
      </c>
      <c r="O6">
        <v>2653</v>
      </c>
      <c r="P6">
        <v>5179</v>
      </c>
      <c r="Q6">
        <v>3829</v>
      </c>
      <c r="R6">
        <v>1650</v>
      </c>
      <c r="S6">
        <v>1025</v>
      </c>
      <c r="T6">
        <v>1143</v>
      </c>
      <c r="U6">
        <v>3148</v>
      </c>
      <c r="V6" s="9"/>
      <c r="W6" s="9"/>
      <c r="X6" s="9"/>
      <c r="Y6" s="9"/>
      <c r="Z6" s="9"/>
    </row>
    <row r="7" spans="1:26" x14ac:dyDescent="0.4">
      <c r="A7" s="1" t="s">
        <v>9</v>
      </c>
      <c r="B7" s="6">
        <f>SUM(B2:B6)</f>
        <v>50602</v>
      </c>
      <c r="C7" s="6">
        <f t="shared" ref="C7:U7" si="0">SUM(C2:C6)</f>
        <v>11033</v>
      </c>
      <c r="D7" s="6">
        <f t="shared" si="0"/>
        <v>14007</v>
      </c>
      <c r="E7" s="6">
        <f t="shared" si="0"/>
        <v>61219</v>
      </c>
      <c r="F7" s="6">
        <f t="shared" si="0"/>
        <v>27640</v>
      </c>
      <c r="G7" s="6">
        <f t="shared" si="0"/>
        <v>278272</v>
      </c>
      <c r="H7" s="6">
        <f t="shared" si="0"/>
        <v>90116</v>
      </c>
      <c r="I7" s="6">
        <f t="shared" si="0"/>
        <v>397807</v>
      </c>
      <c r="J7" s="6">
        <f t="shared" si="0"/>
        <v>65639</v>
      </c>
      <c r="K7" s="6">
        <f t="shared" si="0"/>
        <v>21598</v>
      </c>
      <c r="L7" s="6">
        <f t="shared" si="0"/>
        <v>38729</v>
      </c>
      <c r="M7" s="6">
        <f t="shared" si="0"/>
        <v>122926</v>
      </c>
      <c r="N7" s="6">
        <f t="shared" si="0"/>
        <v>181825</v>
      </c>
      <c r="O7" s="6">
        <f t="shared" si="0"/>
        <v>101800</v>
      </c>
      <c r="P7" s="6">
        <f t="shared" si="0"/>
        <v>173207</v>
      </c>
      <c r="Q7" s="6">
        <f t="shared" si="0"/>
        <v>35974</v>
      </c>
      <c r="R7" s="6">
        <f t="shared" si="0"/>
        <v>28091</v>
      </c>
      <c r="S7" s="6">
        <f t="shared" si="0"/>
        <v>30168</v>
      </c>
      <c r="T7" s="6">
        <f t="shared" si="0"/>
        <v>22241</v>
      </c>
      <c r="U7" s="6">
        <f t="shared" si="0"/>
        <v>72016</v>
      </c>
      <c r="V7" s="9"/>
      <c r="W7" s="9"/>
      <c r="X7" s="9"/>
      <c r="Y7" s="9"/>
      <c r="Z7" s="9"/>
    </row>
    <row r="8" spans="1:26" x14ac:dyDescent="0.4">
      <c r="V8" s="9"/>
      <c r="W8" s="9"/>
      <c r="X8" s="9"/>
      <c r="Y8" s="9"/>
      <c r="Z8" s="9"/>
    </row>
    <row r="9" spans="1:26" x14ac:dyDescent="0.4">
      <c r="A9" s="4" t="s">
        <v>6</v>
      </c>
      <c r="B9" s="3" t="s">
        <v>17</v>
      </c>
      <c r="C9" s="3" t="s">
        <v>18</v>
      </c>
      <c r="D9" s="3" t="s">
        <v>19</v>
      </c>
      <c r="E9" s="3" t="s">
        <v>20</v>
      </c>
      <c r="F9" s="3" t="s">
        <v>21</v>
      </c>
      <c r="G9" s="3" t="s">
        <v>22</v>
      </c>
      <c r="H9" s="3" t="s">
        <v>23</v>
      </c>
      <c r="I9" s="3" t="s">
        <v>24</v>
      </c>
      <c r="J9" s="3" t="s">
        <v>25</v>
      </c>
      <c r="K9" s="3" t="s">
        <v>26</v>
      </c>
      <c r="L9" s="3" t="s">
        <v>27</v>
      </c>
      <c r="M9" s="3" t="s">
        <v>28</v>
      </c>
      <c r="N9" s="3" t="s">
        <v>29</v>
      </c>
      <c r="O9" s="3" t="s">
        <v>30</v>
      </c>
      <c r="P9" s="3" t="s">
        <v>31</v>
      </c>
      <c r="Q9" s="3" t="s">
        <v>32</v>
      </c>
      <c r="R9" s="3" t="s">
        <v>33</v>
      </c>
      <c r="S9" s="3" t="s">
        <v>34</v>
      </c>
      <c r="T9" s="3" t="s">
        <v>35</v>
      </c>
      <c r="U9" s="3" t="s">
        <v>36</v>
      </c>
      <c r="V9" s="9"/>
      <c r="W9" s="9"/>
      <c r="X9" s="9"/>
      <c r="Y9" s="9"/>
      <c r="Z9" s="9"/>
    </row>
    <row r="10" spans="1:26" x14ac:dyDescent="0.4">
      <c r="A10" s="2" t="s">
        <v>0</v>
      </c>
      <c r="B10">
        <v>2431</v>
      </c>
      <c r="C10">
        <v>1076</v>
      </c>
      <c r="D10">
        <v>1749</v>
      </c>
      <c r="E10">
        <v>2101</v>
      </c>
      <c r="F10">
        <v>2140</v>
      </c>
      <c r="G10">
        <v>3320</v>
      </c>
      <c r="H10">
        <v>2662</v>
      </c>
      <c r="I10">
        <v>2347</v>
      </c>
      <c r="J10">
        <v>2417</v>
      </c>
      <c r="K10">
        <v>1247</v>
      </c>
      <c r="L10">
        <v>1449</v>
      </c>
      <c r="M10">
        <v>1788</v>
      </c>
      <c r="N10">
        <v>2155</v>
      </c>
      <c r="O10">
        <v>1656</v>
      </c>
      <c r="P10">
        <v>1265</v>
      </c>
      <c r="Q10">
        <v>836</v>
      </c>
      <c r="R10">
        <v>983</v>
      </c>
      <c r="S10">
        <v>988</v>
      </c>
      <c r="T10">
        <v>599</v>
      </c>
      <c r="U10">
        <v>757</v>
      </c>
      <c r="V10" s="9"/>
      <c r="W10" s="9"/>
      <c r="X10" s="9"/>
      <c r="Y10" s="9"/>
      <c r="Z10" s="9"/>
    </row>
    <row r="11" spans="1:26" x14ac:dyDescent="0.4">
      <c r="A11" s="2" t="s">
        <v>1</v>
      </c>
      <c r="B11">
        <v>2075</v>
      </c>
      <c r="C11">
        <v>1099</v>
      </c>
      <c r="D11">
        <v>1238</v>
      </c>
      <c r="E11">
        <v>2017</v>
      </c>
      <c r="F11">
        <v>1661</v>
      </c>
      <c r="G11">
        <v>2990</v>
      </c>
      <c r="H11">
        <v>2810</v>
      </c>
      <c r="I11">
        <v>2276</v>
      </c>
      <c r="J11">
        <v>1428</v>
      </c>
      <c r="K11">
        <v>1965</v>
      </c>
      <c r="L11">
        <v>1584</v>
      </c>
      <c r="M11">
        <v>1409</v>
      </c>
      <c r="N11">
        <v>1904</v>
      </c>
      <c r="O11">
        <v>1318</v>
      </c>
      <c r="P11">
        <v>1320</v>
      </c>
      <c r="Q11">
        <v>1295</v>
      </c>
      <c r="R11">
        <v>1191</v>
      </c>
      <c r="S11">
        <v>749</v>
      </c>
      <c r="T11">
        <v>713</v>
      </c>
      <c r="U11">
        <v>629</v>
      </c>
      <c r="V11" s="9"/>
      <c r="W11" s="9"/>
      <c r="X11" s="9"/>
      <c r="Y11" s="9"/>
      <c r="Z11" s="9"/>
    </row>
    <row r="12" spans="1:26" x14ac:dyDescent="0.4">
      <c r="A12" s="2" t="s">
        <v>2</v>
      </c>
      <c r="B12">
        <v>1766</v>
      </c>
      <c r="C12">
        <v>901</v>
      </c>
      <c r="D12">
        <v>912</v>
      </c>
      <c r="E12">
        <v>1961</v>
      </c>
      <c r="F12">
        <v>1545</v>
      </c>
      <c r="G12">
        <v>3078</v>
      </c>
      <c r="H12">
        <v>2040</v>
      </c>
      <c r="I12">
        <v>2189</v>
      </c>
      <c r="J12">
        <v>2372</v>
      </c>
      <c r="K12">
        <v>1304</v>
      </c>
      <c r="L12">
        <v>766</v>
      </c>
      <c r="M12">
        <v>1455</v>
      </c>
      <c r="N12">
        <v>1953</v>
      </c>
      <c r="O12">
        <v>1576</v>
      </c>
      <c r="P12">
        <v>1221</v>
      </c>
      <c r="Q12">
        <v>799</v>
      </c>
      <c r="R12">
        <v>707</v>
      </c>
      <c r="S12">
        <v>885</v>
      </c>
      <c r="T12">
        <v>817</v>
      </c>
      <c r="U12">
        <v>676</v>
      </c>
      <c r="V12" s="9"/>
      <c r="W12" s="9"/>
      <c r="X12" s="9"/>
      <c r="Y12" s="9"/>
      <c r="Z12" s="9"/>
    </row>
    <row r="13" spans="1:26" x14ac:dyDescent="0.4">
      <c r="A13" s="2" t="s">
        <v>3</v>
      </c>
      <c r="B13">
        <v>1004</v>
      </c>
      <c r="C13">
        <v>377</v>
      </c>
      <c r="D13">
        <v>378</v>
      </c>
      <c r="E13">
        <v>819</v>
      </c>
      <c r="F13">
        <v>623</v>
      </c>
      <c r="G13">
        <v>1298</v>
      </c>
      <c r="H13">
        <v>707</v>
      </c>
      <c r="I13">
        <v>1034</v>
      </c>
      <c r="J13">
        <v>1302</v>
      </c>
      <c r="K13">
        <v>1011</v>
      </c>
      <c r="L13">
        <v>525</v>
      </c>
      <c r="M13">
        <v>1036</v>
      </c>
      <c r="N13">
        <v>984</v>
      </c>
      <c r="O13">
        <v>778</v>
      </c>
      <c r="P13">
        <v>721</v>
      </c>
      <c r="Q13">
        <v>537</v>
      </c>
      <c r="R13">
        <v>400</v>
      </c>
      <c r="S13">
        <v>463</v>
      </c>
      <c r="T13">
        <v>441</v>
      </c>
      <c r="U13">
        <v>317</v>
      </c>
      <c r="V13" s="9"/>
      <c r="W13" s="9"/>
      <c r="X13" s="9"/>
      <c r="Y13" s="9"/>
      <c r="Z13" s="9"/>
    </row>
    <row r="14" spans="1:26" x14ac:dyDescent="0.4">
      <c r="A14" s="2" t="s">
        <v>4</v>
      </c>
      <c r="B14">
        <v>687</v>
      </c>
      <c r="C14">
        <v>95</v>
      </c>
      <c r="D14">
        <v>244</v>
      </c>
      <c r="E14">
        <v>790</v>
      </c>
      <c r="F14">
        <v>222</v>
      </c>
      <c r="G14">
        <v>1369</v>
      </c>
      <c r="H14">
        <v>910</v>
      </c>
      <c r="I14">
        <v>1270</v>
      </c>
      <c r="J14">
        <v>1455</v>
      </c>
      <c r="K14">
        <v>658</v>
      </c>
      <c r="L14">
        <v>517</v>
      </c>
      <c r="M14">
        <v>803</v>
      </c>
      <c r="N14">
        <v>1049</v>
      </c>
      <c r="O14">
        <v>652</v>
      </c>
      <c r="P14">
        <v>407</v>
      </c>
      <c r="Q14">
        <v>767</v>
      </c>
      <c r="R14">
        <v>473</v>
      </c>
      <c r="S14">
        <v>339</v>
      </c>
      <c r="T14">
        <v>282</v>
      </c>
      <c r="U14">
        <v>370</v>
      </c>
      <c r="V14" s="9"/>
      <c r="W14" s="9"/>
      <c r="X14" s="9"/>
      <c r="Y14" s="9"/>
      <c r="Z14" s="9"/>
    </row>
    <row r="15" spans="1:26" x14ac:dyDescent="0.4">
      <c r="A15" s="1" t="s">
        <v>9</v>
      </c>
      <c r="B15" s="6">
        <f>SUM(B10:B14)</f>
        <v>7963</v>
      </c>
      <c r="C15" s="6">
        <f t="shared" ref="C15:U15" si="1">SUM(C10:C14)</f>
        <v>3548</v>
      </c>
      <c r="D15" s="6">
        <f t="shared" si="1"/>
        <v>4521</v>
      </c>
      <c r="E15" s="6">
        <f t="shared" si="1"/>
        <v>7688</v>
      </c>
      <c r="F15" s="6">
        <f t="shared" si="1"/>
        <v>6191</v>
      </c>
      <c r="G15" s="6">
        <f t="shared" si="1"/>
        <v>12055</v>
      </c>
      <c r="H15" s="6">
        <f t="shared" si="1"/>
        <v>9129</v>
      </c>
      <c r="I15" s="6">
        <f t="shared" si="1"/>
        <v>9116</v>
      </c>
      <c r="J15" s="6">
        <f t="shared" si="1"/>
        <v>8974</v>
      </c>
      <c r="K15" s="6">
        <f t="shared" si="1"/>
        <v>6185</v>
      </c>
      <c r="L15" s="6">
        <f t="shared" si="1"/>
        <v>4841</v>
      </c>
      <c r="M15" s="6">
        <f t="shared" si="1"/>
        <v>6491</v>
      </c>
      <c r="N15" s="6">
        <f t="shared" si="1"/>
        <v>8045</v>
      </c>
      <c r="O15" s="6">
        <f t="shared" si="1"/>
        <v>5980</v>
      </c>
      <c r="P15" s="6">
        <f t="shared" si="1"/>
        <v>4934</v>
      </c>
      <c r="Q15" s="6">
        <f t="shared" si="1"/>
        <v>4234</v>
      </c>
      <c r="R15" s="6">
        <f t="shared" si="1"/>
        <v>3754</v>
      </c>
      <c r="S15" s="6">
        <f t="shared" si="1"/>
        <v>3424</v>
      </c>
      <c r="T15" s="6">
        <f t="shared" si="1"/>
        <v>2852</v>
      </c>
      <c r="U15" s="6">
        <f t="shared" si="1"/>
        <v>2749</v>
      </c>
      <c r="V15" s="9"/>
      <c r="W15" s="9"/>
      <c r="X15" s="9"/>
      <c r="Y15" s="9"/>
      <c r="Z15" s="9"/>
    </row>
    <row r="16" spans="1:26" x14ac:dyDescent="0.4">
      <c r="V16" s="9"/>
      <c r="W16" s="9"/>
      <c r="X16" s="9"/>
      <c r="Y16" s="9"/>
      <c r="Z16" s="9"/>
    </row>
    <row r="17" spans="1:26" x14ac:dyDescent="0.4">
      <c r="A17" s="4" t="s">
        <v>104</v>
      </c>
      <c r="B17" s="3" t="s">
        <v>17</v>
      </c>
      <c r="C17" s="3" t="s">
        <v>18</v>
      </c>
      <c r="D17" s="3" t="s">
        <v>19</v>
      </c>
      <c r="E17" s="3" t="s">
        <v>20</v>
      </c>
      <c r="F17" s="3" t="s">
        <v>21</v>
      </c>
      <c r="G17" s="3" t="s">
        <v>22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27</v>
      </c>
      <c r="M17" s="3" t="s">
        <v>28</v>
      </c>
      <c r="N17" s="3" t="s">
        <v>29</v>
      </c>
      <c r="O17" s="3" t="s">
        <v>30</v>
      </c>
      <c r="P17" s="3" t="s">
        <v>31</v>
      </c>
      <c r="Q17" s="3" t="s">
        <v>32</v>
      </c>
      <c r="R17" s="3" t="s">
        <v>33</v>
      </c>
      <c r="S17" s="3" t="s">
        <v>34</v>
      </c>
      <c r="T17" s="3" t="s">
        <v>35</v>
      </c>
      <c r="U17" s="3" t="s">
        <v>36</v>
      </c>
      <c r="V17" s="9"/>
      <c r="W17" s="9"/>
      <c r="X17" s="9"/>
      <c r="Y17" s="9"/>
      <c r="Z17" s="9"/>
    </row>
    <row r="18" spans="1:26" x14ac:dyDescent="0.4">
      <c r="A18" s="2" t="s">
        <v>11</v>
      </c>
      <c r="B18" s="7">
        <v>2.0000000000000001E-4</v>
      </c>
      <c r="C18" s="7">
        <v>2.0000000000000001E-4</v>
      </c>
      <c r="D18" s="7">
        <v>2.0000000000000001E-4</v>
      </c>
      <c r="E18" s="7">
        <v>2.0000000000000001E-4</v>
      </c>
      <c r="F18" s="7">
        <v>2.0000000000000001E-4</v>
      </c>
      <c r="G18" s="7">
        <v>2.0000000000000001E-4</v>
      </c>
      <c r="H18" s="7">
        <v>2.0000000000000001E-4</v>
      </c>
      <c r="I18" s="7">
        <v>2.0000000000000001E-4</v>
      </c>
      <c r="J18" s="7">
        <v>2.0000000000000001E-4</v>
      </c>
      <c r="K18" s="7">
        <v>2.0000000000000001E-4</v>
      </c>
      <c r="L18" s="7">
        <v>2.0000000000000001E-4</v>
      </c>
      <c r="M18" s="7">
        <v>2.0000000000000001E-4</v>
      </c>
      <c r="N18" s="7">
        <v>2.0000000000000001E-4</v>
      </c>
      <c r="O18" s="7">
        <v>2.0000000000000001E-4</v>
      </c>
      <c r="P18" s="7">
        <v>2.0000000000000001E-4</v>
      </c>
      <c r="Q18" s="7">
        <v>2.0000000000000001E-4</v>
      </c>
      <c r="R18" s="7">
        <v>2.0000000000000001E-4</v>
      </c>
      <c r="S18" s="7">
        <v>2.0000000000000001E-4</v>
      </c>
      <c r="T18" s="7">
        <v>2.0000000000000001E-4</v>
      </c>
      <c r="U18" s="7">
        <v>2.0000000000000001E-4</v>
      </c>
      <c r="V18" s="9"/>
      <c r="W18" s="9"/>
      <c r="X18" s="9"/>
      <c r="Y18" s="9"/>
      <c r="Z18" s="9"/>
    </row>
    <row r="19" spans="1:26" x14ac:dyDescent="0.4">
      <c r="A19" s="2" t="s">
        <v>102</v>
      </c>
      <c r="B19" s="7">
        <v>10000</v>
      </c>
      <c r="C19" s="7">
        <v>10000</v>
      </c>
      <c r="D19" s="7">
        <v>10000</v>
      </c>
      <c r="E19" s="7">
        <v>10000</v>
      </c>
      <c r="F19" s="7">
        <v>10000</v>
      </c>
      <c r="G19" s="7">
        <v>10000</v>
      </c>
      <c r="H19" s="7">
        <v>10000</v>
      </c>
      <c r="I19" s="7">
        <v>10000</v>
      </c>
      <c r="J19" s="7">
        <v>10000</v>
      </c>
      <c r="K19" s="7">
        <v>10000</v>
      </c>
      <c r="L19" s="7">
        <v>10000</v>
      </c>
      <c r="M19" s="7">
        <v>10000</v>
      </c>
      <c r="N19" s="7">
        <v>10000</v>
      </c>
      <c r="O19" s="7">
        <v>10000</v>
      </c>
      <c r="P19" s="7">
        <v>10000</v>
      </c>
      <c r="Q19" s="7">
        <v>10000</v>
      </c>
      <c r="R19" s="7">
        <v>10000</v>
      </c>
      <c r="S19" s="7">
        <v>10000</v>
      </c>
      <c r="T19" s="7">
        <v>10000</v>
      </c>
      <c r="U19" s="7">
        <v>10000</v>
      </c>
      <c r="V19" s="9"/>
      <c r="W19" s="9"/>
      <c r="X19" s="9"/>
      <c r="Y19" s="9"/>
      <c r="Z19" s="9"/>
    </row>
    <row r="20" spans="1:26" x14ac:dyDescent="0.4">
      <c r="A20" s="2" t="s">
        <v>12</v>
      </c>
      <c r="B20" s="1">
        <f>B19+B7</f>
        <v>60602</v>
      </c>
      <c r="C20" s="1">
        <f t="shared" ref="C20:U20" si="2">C19+C7</f>
        <v>21033</v>
      </c>
      <c r="D20" s="1">
        <f t="shared" si="2"/>
        <v>24007</v>
      </c>
      <c r="E20" s="1">
        <f t="shared" si="2"/>
        <v>71219</v>
      </c>
      <c r="F20" s="1">
        <f t="shared" si="2"/>
        <v>37640</v>
      </c>
      <c r="G20" s="1">
        <f t="shared" si="2"/>
        <v>288272</v>
      </c>
      <c r="H20" s="1">
        <f t="shared" si="2"/>
        <v>100116</v>
      </c>
      <c r="I20" s="1">
        <f t="shared" si="2"/>
        <v>407807</v>
      </c>
      <c r="J20" s="1">
        <f t="shared" si="2"/>
        <v>75639</v>
      </c>
      <c r="K20" s="1">
        <f t="shared" si="2"/>
        <v>31598</v>
      </c>
      <c r="L20" s="1">
        <f t="shared" si="2"/>
        <v>48729</v>
      </c>
      <c r="M20" s="1">
        <f t="shared" si="2"/>
        <v>132926</v>
      </c>
      <c r="N20" s="1">
        <f t="shared" si="2"/>
        <v>191825</v>
      </c>
      <c r="O20" s="1">
        <f t="shared" si="2"/>
        <v>111800</v>
      </c>
      <c r="P20" s="1">
        <f t="shared" si="2"/>
        <v>183207</v>
      </c>
      <c r="Q20" s="1">
        <f t="shared" si="2"/>
        <v>45974</v>
      </c>
      <c r="R20" s="1">
        <f t="shared" si="2"/>
        <v>38091</v>
      </c>
      <c r="S20" s="1">
        <f t="shared" si="2"/>
        <v>40168</v>
      </c>
      <c r="T20" s="1">
        <f t="shared" si="2"/>
        <v>32241</v>
      </c>
      <c r="U20" s="1">
        <f t="shared" si="2"/>
        <v>82016</v>
      </c>
      <c r="V20" s="9"/>
      <c r="W20" s="9"/>
      <c r="X20" s="9"/>
      <c r="Y20" s="9"/>
      <c r="Z20" s="9"/>
    </row>
    <row r="21" spans="1:26" x14ac:dyDescent="0.4">
      <c r="V21" s="9"/>
      <c r="W21" s="9"/>
      <c r="X21" s="9"/>
      <c r="Y21" s="9"/>
      <c r="Z21" s="9"/>
    </row>
    <row r="22" spans="1:26" x14ac:dyDescent="0.4">
      <c r="A22" s="4" t="s">
        <v>99</v>
      </c>
      <c r="B22" s="3" t="s">
        <v>17</v>
      </c>
      <c r="C22" s="3" t="s">
        <v>18</v>
      </c>
      <c r="D22" s="3" t="s">
        <v>19</v>
      </c>
      <c r="E22" s="3" t="s">
        <v>20</v>
      </c>
      <c r="F22" s="3" t="s">
        <v>21</v>
      </c>
      <c r="G22" s="3" t="s">
        <v>22</v>
      </c>
      <c r="H22" s="3" t="s">
        <v>23</v>
      </c>
      <c r="I22" s="3" t="s">
        <v>24</v>
      </c>
      <c r="J22" s="3" t="s">
        <v>25</v>
      </c>
      <c r="K22" s="3" t="s">
        <v>26</v>
      </c>
      <c r="L22" s="3" t="s">
        <v>27</v>
      </c>
      <c r="M22" s="3" t="s">
        <v>28</v>
      </c>
      <c r="N22" s="3" t="s">
        <v>29</v>
      </c>
      <c r="O22" s="3" t="s">
        <v>30</v>
      </c>
      <c r="P22" s="3" t="s">
        <v>31</v>
      </c>
      <c r="Q22" s="3" t="s">
        <v>32</v>
      </c>
      <c r="R22" s="3" t="s">
        <v>33</v>
      </c>
      <c r="S22" s="3" t="s">
        <v>34</v>
      </c>
      <c r="T22" s="3" t="s">
        <v>35</v>
      </c>
      <c r="U22" s="3" t="s">
        <v>36</v>
      </c>
      <c r="V22" s="9"/>
      <c r="W22" s="9"/>
      <c r="X22" s="9"/>
      <c r="Y22" s="9"/>
      <c r="Z22" s="9"/>
    </row>
    <row r="23" spans="1:26" x14ac:dyDescent="0.4">
      <c r="A23" s="2" t="s">
        <v>0</v>
      </c>
      <c r="B23">
        <f t="shared" ref="B23:U23" si="3">1-EXP(-B$18*B10)</f>
        <v>0.38504119674711801</v>
      </c>
      <c r="C23">
        <f t="shared" si="3"/>
        <v>0.1936198519809551</v>
      </c>
      <c r="D23">
        <f t="shared" si="3"/>
        <v>0.2951709585686414</v>
      </c>
      <c r="E23">
        <f t="shared" si="3"/>
        <v>0.34308457640884582</v>
      </c>
      <c r="F23">
        <f t="shared" si="3"/>
        <v>0.34818858520126805</v>
      </c>
      <c r="G23">
        <f t="shared" si="3"/>
        <v>0.48521194154316383</v>
      </c>
      <c r="H23">
        <f t="shared" si="3"/>
        <v>0.41280598842189276</v>
      </c>
      <c r="I23">
        <f t="shared" si="3"/>
        <v>0.37462261783341788</v>
      </c>
      <c r="J23">
        <f t="shared" si="3"/>
        <v>0.38331689920799605</v>
      </c>
      <c r="K23">
        <f t="shared" si="3"/>
        <v>0.22073179624657036</v>
      </c>
      <c r="L23">
        <f t="shared" si="3"/>
        <v>0.25158676474164998</v>
      </c>
      <c r="M23">
        <f t="shared" si="3"/>
        <v>0.30064723983016817</v>
      </c>
      <c r="N23">
        <f t="shared" si="3"/>
        <v>0.35014108922525045</v>
      </c>
      <c r="O23">
        <f t="shared" si="3"/>
        <v>0.28193845763009195</v>
      </c>
      <c r="P23">
        <f t="shared" si="3"/>
        <v>0.22353211817626217</v>
      </c>
      <c r="Q23">
        <f t="shared" si="3"/>
        <v>0.15396961166221512</v>
      </c>
      <c r="R23">
        <f t="shared" si="3"/>
        <v>0.17848082473000615</v>
      </c>
      <c r="S23">
        <f t="shared" si="3"/>
        <v>0.17930193328257416</v>
      </c>
      <c r="T23">
        <f t="shared" si="3"/>
        <v>0.1129021614559077</v>
      </c>
      <c r="U23">
        <f t="shared" si="3"/>
        <v>0.1404961716416131</v>
      </c>
      <c r="V23" s="9"/>
      <c r="W23" s="9"/>
      <c r="X23" s="9"/>
      <c r="Y23" s="9"/>
      <c r="Z23" s="9"/>
    </row>
    <row r="24" spans="1:26" x14ac:dyDescent="0.4">
      <c r="A24" s="2" t="s">
        <v>1</v>
      </c>
      <c r="B24">
        <f t="shared" ref="B24:U24" si="4">1-EXP(-B$18*B11)</f>
        <v>0.33965971929501715</v>
      </c>
      <c r="C24">
        <f t="shared" si="4"/>
        <v>0.19732068222648302</v>
      </c>
      <c r="D24">
        <f t="shared" si="4"/>
        <v>0.21932785030753443</v>
      </c>
      <c r="E24">
        <f t="shared" si="4"/>
        <v>0.33195517205832914</v>
      </c>
      <c r="F24">
        <f t="shared" si="4"/>
        <v>0.28265616026133777</v>
      </c>
      <c r="G24">
        <f t="shared" si="4"/>
        <v>0.45008964227839843</v>
      </c>
      <c r="H24">
        <f t="shared" si="4"/>
        <v>0.42993221262198655</v>
      </c>
      <c r="I24">
        <f t="shared" si="4"/>
        <v>0.36567890895724797</v>
      </c>
      <c r="J24">
        <f t="shared" si="4"/>
        <v>0.24843681889771174</v>
      </c>
      <c r="K24">
        <f t="shared" si="4"/>
        <v>0.32497125241386682</v>
      </c>
      <c r="L24">
        <f t="shared" si="4"/>
        <v>0.2715235641556869</v>
      </c>
      <c r="M24">
        <f t="shared" si="4"/>
        <v>0.24557544564352496</v>
      </c>
      <c r="N24">
        <f t="shared" si="4"/>
        <v>0.31668546113770757</v>
      </c>
      <c r="O24">
        <f t="shared" si="4"/>
        <v>0.23171920948135538</v>
      </c>
      <c r="P24">
        <f t="shared" si="4"/>
        <v>0.23202646034329388</v>
      </c>
      <c r="Q24">
        <f t="shared" si="4"/>
        <v>0.22817697695629657</v>
      </c>
      <c r="R24">
        <f t="shared" si="4"/>
        <v>0.21195493368144536</v>
      </c>
      <c r="S24">
        <f t="shared" si="4"/>
        <v>0.13911986476435001</v>
      </c>
      <c r="T24">
        <f t="shared" si="4"/>
        <v>0.13289916012738101</v>
      </c>
      <c r="U24">
        <f t="shared" si="4"/>
        <v>0.11820881261375482</v>
      </c>
      <c r="V24" s="9"/>
      <c r="W24" s="9"/>
      <c r="X24" s="9"/>
      <c r="Y24" s="9"/>
      <c r="Z24" s="9"/>
    </row>
    <row r="25" spans="1:26" x14ac:dyDescent="0.4">
      <c r="A25" s="2" t="s">
        <v>2</v>
      </c>
      <c r="B25">
        <f t="shared" ref="B25:U25" si="5">1-EXP(-B$18*B12)</f>
        <v>0.29756330801082675</v>
      </c>
      <c r="C25">
        <f t="shared" si="5"/>
        <v>0.16489682592671961</v>
      </c>
      <c r="D25">
        <f t="shared" si="5"/>
        <v>0.16673203344121457</v>
      </c>
      <c r="E25">
        <f t="shared" si="5"/>
        <v>0.32443101334898472</v>
      </c>
      <c r="F25">
        <f t="shared" si="5"/>
        <v>0.26581922997373664</v>
      </c>
      <c r="G25">
        <f t="shared" si="5"/>
        <v>0.45968339193196806</v>
      </c>
      <c r="H25">
        <f t="shared" si="5"/>
        <v>0.33502112117759808</v>
      </c>
      <c r="I25">
        <f t="shared" si="5"/>
        <v>0.35454513907875784</v>
      </c>
      <c r="J25">
        <f t="shared" si="5"/>
        <v>0.37774170053939959</v>
      </c>
      <c r="K25">
        <f t="shared" si="5"/>
        <v>0.22956500879435238</v>
      </c>
      <c r="L25">
        <f t="shared" si="5"/>
        <v>0.14204188697151821</v>
      </c>
      <c r="M25">
        <f t="shared" si="5"/>
        <v>0.25248432198190907</v>
      </c>
      <c r="N25">
        <f t="shared" si="5"/>
        <v>0.32334923778066715</v>
      </c>
      <c r="O25">
        <f t="shared" si="5"/>
        <v>0.27035706891099254</v>
      </c>
      <c r="P25">
        <f t="shared" si="5"/>
        <v>0.21666904759528194</v>
      </c>
      <c r="Q25">
        <f t="shared" si="5"/>
        <v>0.1476857652319834</v>
      </c>
      <c r="R25">
        <f t="shared" si="5"/>
        <v>0.1318580145571292</v>
      </c>
      <c r="S25">
        <f t="shared" si="5"/>
        <v>0.16222021547700616</v>
      </c>
      <c r="T25">
        <f t="shared" si="5"/>
        <v>0.15074858010254188</v>
      </c>
      <c r="U25">
        <f t="shared" si="5"/>
        <v>0.12645881402114989</v>
      </c>
      <c r="V25" s="9"/>
      <c r="W25" s="9"/>
      <c r="X25" s="9"/>
      <c r="Y25" s="9"/>
      <c r="Z25" s="9"/>
    </row>
    <row r="26" spans="1:26" x14ac:dyDescent="0.4">
      <c r="A26" s="2" t="s">
        <v>3</v>
      </c>
      <c r="B26">
        <f t="shared" ref="B26:U26" si="6">1-EXP(-B$18*B13)</f>
        <v>0.18192396960049062</v>
      </c>
      <c r="C26">
        <f t="shared" si="6"/>
        <v>7.2627536856394559E-2</v>
      </c>
      <c r="D26">
        <f t="shared" si="6"/>
        <v>7.2812992802810506E-2</v>
      </c>
      <c r="E26">
        <f t="shared" si="6"/>
        <v>0.15108821273944506</v>
      </c>
      <c r="F26">
        <f t="shared" si="6"/>
        <v>0.11715002804520436</v>
      </c>
      <c r="G26">
        <f t="shared" si="6"/>
        <v>0.22863993186976006</v>
      </c>
      <c r="H26">
        <f t="shared" si="6"/>
        <v>0.1318580145571292</v>
      </c>
      <c r="I26">
        <f t="shared" si="6"/>
        <v>0.18681772982095446</v>
      </c>
      <c r="J26">
        <f t="shared" si="6"/>
        <v>0.22925677315485204</v>
      </c>
      <c r="K26">
        <f t="shared" si="6"/>
        <v>0.18306847470254262</v>
      </c>
      <c r="L26">
        <f t="shared" si="6"/>
        <v>9.9675477413734392E-2</v>
      </c>
      <c r="M26">
        <f t="shared" si="6"/>
        <v>0.18714293768311752</v>
      </c>
      <c r="N26">
        <f t="shared" si="6"/>
        <v>0.17864511213577194</v>
      </c>
      <c r="O26">
        <f t="shared" si="6"/>
        <v>0.14409851749897107</v>
      </c>
      <c r="P26">
        <f t="shared" si="6"/>
        <v>0.1342854121738063</v>
      </c>
      <c r="Q26">
        <f t="shared" si="6"/>
        <v>0.10183366540642003</v>
      </c>
      <c r="R26">
        <f t="shared" si="6"/>
        <v>7.6883653613364245E-2</v>
      </c>
      <c r="S26">
        <f t="shared" si="6"/>
        <v>8.8441949398540554E-2</v>
      </c>
      <c r="T26">
        <f t="shared" si="6"/>
        <v>8.4422257138022427E-2</v>
      </c>
      <c r="U26">
        <f t="shared" si="6"/>
        <v>6.1432028594878951E-2</v>
      </c>
      <c r="V26" s="9"/>
      <c r="W26" s="9"/>
      <c r="X26" s="9"/>
      <c r="Y26" s="9"/>
      <c r="Z26" s="9"/>
    </row>
    <row r="27" spans="1:26" x14ac:dyDescent="0.4">
      <c r="A27" s="2" t="s">
        <v>4</v>
      </c>
      <c r="B27">
        <f t="shared" ref="B27:U27" si="7">1-EXP(-B$18*B14)</f>
        <v>0.1283784922100254</v>
      </c>
      <c r="C27">
        <f t="shared" si="7"/>
        <v>1.8820637757194003E-2</v>
      </c>
      <c r="D27">
        <f t="shared" si="7"/>
        <v>4.7628415030663174E-2</v>
      </c>
      <c r="E27">
        <f t="shared" si="7"/>
        <v>0.14615021803151829</v>
      </c>
      <c r="F27">
        <f t="shared" si="7"/>
        <v>4.3428747563832415E-2</v>
      </c>
      <c r="G27">
        <f t="shared" si="7"/>
        <v>0.23951584311641039</v>
      </c>
      <c r="H27">
        <f t="shared" si="7"/>
        <v>0.1663986595842647</v>
      </c>
      <c r="I27">
        <f t="shared" si="7"/>
        <v>0.22430819795352397</v>
      </c>
      <c r="J27">
        <f t="shared" si="7"/>
        <v>0.25248432198190907</v>
      </c>
      <c r="K27">
        <f t="shared" si="7"/>
        <v>0.12330839840596675</v>
      </c>
      <c r="L27">
        <f t="shared" si="7"/>
        <v>9.8233805147340036E-2</v>
      </c>
      <c r="M27">
        <f t="shared" si="7"/>
        <v>0.14836734395195894</v>
      </c>
      <c r="N27">
        <f t="shared" si="7"/>
        <v>0.18925362096785314</v>
      </c>
      <c r="O27">
        <f t="shared" si="7"/>
        <v>0.12225573701353787</v>
      </c>
      <c r="P27">
        <f t="shared" si="7"/>
        <v>7.8175112266310243E-2</v>
      </c>
      <c r="Q27">
        <f t="shared" si="7"/>
        <v>0.14221346143610547</v>
      </c>
      <c r="R27">
        <f t="shared" si="7"/>
        <v>9.0263243598445619E-2</v>
      </c>
      <c r="S27">
        <f t="shared" si="7"/>
        <v>6.5552655641615831E-2</v>
      </c>
      <c r="T27">
        <f t="shared" si="7"/>
        <v>5.4839004130913804E-2</v>
      </c>
      <c r="U27">
        <f t="shared" si="7"/>
        <v>7.1328306158712773E-2</v>
      </c>
      <c r="V27" s="9"/>
      <c r="W27" s="9"/>
      <c r="X27" s="9"/>
      <c r="Y27" s="9"/>
      <c r="Z27" s="9"/>
    </row>
    <row r="28" spans="1:26" x14ac:dyDescent="0.4">
      <c r="V28" s="9"/>
      <c r="W28" s="9"/>
      <c r="X28" s="9"/>
      <c r="Y28" s="9"/>
      <c r="Z28" s="9"/>
    </row>
    <row r="29" spans="1:26" x14ac:dyDescent="0.4">
      <c r="A29" s="4" t="s">
        <v>100</v>
      </c>
      <c r="B29" s="3" t="s">
        <v>17</v>
      </c>
      <c r="C29" s="3" t="s">
        <v>18</v>
      </c>
      <c r="D29" s="3" t="s">
        <v>19</v>
      </c>
      <c r="E29" s="3" t="s">
        <v>20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25</v>
      </c>
      <c r="K29" s="3" t="s">
        <v>26</v>
      </c>
      <c r="L29" s="3" t="s">
        <v>27</v>
      </c>
      <c r="M29" s="3" t="s">
        <v>28</v>
      </c>
      <c r="N29" s="3" t="s">
        <v>29</v>
      </c>
      <c r="O29" s="3" t="s">
        <v>30</v>
      </c>
      <c r="P29" s="3" t="s">
        <v>31</v>
      </c>
      <c r="Q29" s="3" t="s">
        <v>32</v>
      </c>
      <c r="R29" s="3" t="s">
        <v>33</v>
      </c>
      <c r="S29" s="3" t="s">
        <v>34</v>
      </c>
      <c r="T29" s="3" t="s">
        <v>35</v>
      </c>
      <c r="U29" s="3" t="s">
        <v>36</v>
      </c>
      <c r="V29" s="9"/>
      <c r="W29" s="9"/>
      <c r="X29" s="9"/>
      <c r="Y29" s="9"/>
      <c r="Z29" s="9"/>
    </row>
    <row r="30" spans="1:26" x14ac:dyDescent="0.4">
      <c r="A30" s="2" t="s">
        <v>0</v>
      </c>
      <c r="B30">
        <f t="shared" ref="B30:U30" si="8">B20</f>
        <v>60602</v>
      </c>
      <c r="C30">
        <f t="shared" si="8"/>
        <v>21033</v>
      </c>
      <c r="D30">
        <f t="shared" si="8"/>
        <v>24007</v>
      </c>
      <c r="E30">
        <f t="shared" si="8"/>
        <v>71219</v>
      </c>
      <c r="F30">
        <f t="shared" si="8"/>
        <v>37640</v>
      </c>
      <c r="G30">
        <f t="shared" si="8"/>
        <v>288272</v>
      </c>
      <c r="H30">
        <f t="shared" si="8"/>
        <v>100116</v>
      </c>
      <c r="I30">
        <f t="shared" si="8"/>
        <v>407807</v>
      </c>
      <c r="J30">
        <f t="shared" si="8"/>
        <v>75639</v>
      </c>
      <c r="K30">
        <f t="shared" si="8"/>
        <v>31598</v>
      </c>
      <c r="L30">
        <f t="shared" si="8"/>
        <v>48729</v>
      </c>
      <c r="M30">
        <f t="shared" si="8"/>
        <v>132926</v>
      </c>
      <c r="N30">
        <f t="shared" si="8"/>
        <v>191825</v>
      </c>
      <c r="O30">
        <f t="shared" si="8"/>
        <v>111800</v>
      </c>
      <c r="P30">
        <f t="shared" si="8"/>
        <v>183207</v>
      </c>
      <c r="Q30">
        <f t="shared" si="8"/>
        <v>45974</v>
      </c>
      <c r="R30">
        <f t="shared" si="8"/>
        <v>38091</v>
      </c>
      <c r="S30">
        <f t="shared" si="8"/>
        <v>40168</v>
      </c>
      <c r="T30">
        <f t="shared" si="8"/>
        <v>32241</v>
      </c>
      <c r="U30">
        <f t="shared" si="8"/>
        <v>82016</v>
      </c>
      <c r="V30" s="9"/>
      <c r="W30" s="9"/>
      <c r="X30" s="9"/>
      <c r="Y30" s="9"/>
      <c r="Z30" s="9"/>
    </row>
    <row r="31" spans="1:26" x14ac:dyDescent="0.4">
      <c r="A31" s="2" t="s">
        <v>1</v>
      </c>
      <c r="B31">
        <f>B30-B2</f>
        <v>36580</v>
      </c>
      <c r="C31">
        <f t="shared" ref="C31:U31" si="9">C30-C2</f>
        <v>16757</v>
      </c>
      <c r="D31">
        <f t="shared" si="9"/>
        <v>16557</v>
      </c>
      <c r="E31">
        <f t="shared" si="9"/>
        <v>48087</v>
      </c>
      <c r="F31">
        <f t="shared" si="9"/>
        <v>24133</v>
      </c>
      <c r="G31">
        <f t="shared" si="9"/>
        <v>139778</v>
      </c>
      <c r="H31">
        <f t="shared" si="9"/>
        <v>51708</v>
      </c>
      <c r="I31">
        <f t="shared" si="9"/>
        <v>202885</v>
      </c>
      <c r="J31">
        <f t="shared" si="9"/>
        <v>49514</v>
      </c>
      <c r="K31">
        <f t="shared" si="9"/>
        <v>26015</v>
      </c>
      <c r="L31">
        <f t="shared" si="9"/>
        <v>27480</v>
      </c>
      <c r="M31">
        <f t="shared" si="9"/>
        <v>74181</v>
      </c>
      <c r="N31">
        <f t="shared" si="9"/>
        <v>88426</v>
      </c>
      <c r="O31">
        <f t="shared" si="9"/>
        <v>56747</v>
      </c>
      <c r="P31">
        <f t="shared" si="9"/>
        <v>92078</v>
      </c>
      <c r="Q31">
        <f t="shared" si="9"/>
        <v>33960</v>
      </c>
      <c r="R31">
        <f t="shared" si="9"/>
        <v>27350</v>
      </c>
      <c r="S31">
        <f t="shared" si="9"/>
        <v>26774</v>
      </c>
      <c r="T31">
        <f t="shared" si="9"/>
        <v>25259</v>
      </c>
      <c r="U31">
        <f t="shared" si="9"/>
        <v>47010</v>
      </c>
      <c r="V31" s="9"/>
      <c r="W31" s="9"/>
      <c r="X31" s="9"/>
      <c r="Y31" s="9"/>
      <c r="Z31" s="9"/>
    </row>
    <row r="32" spans="1:26" x14ac:dyDescent="0.4">
      <c r="A32" s="2" t="s">
        <v>2</v>
      </c>
      <c r="B32">
        <f>B31-B3</f>
        <v>21843</v>
      </c>
      <c r="C32">
        <f t="shared" ref="C32:L34" si="10">C31-C3</f>
        <v>12910</v>
      </c>
      <c r="D32">
        <f t="shared" si="10"/>
        <v>13892</v>
      </c>
      <c r="E32">
        <f t="shared" si="10"/>
        <v>27387</v>
      </c>
      <c r="F32">
        <f t="shared" si="10"/>
        <v>16418</v>
      </c>
      <c r="G32">
        <f t="shared" si="10"/>
        <v>70634</v>
      </c>
      <c r="H32">
        <f t="shared" si="10"/>
        <v>25567</v>
      </c>
      <c r="I32">
        <f t="shared" si="10"/>
        <v>111444</v>
      </c>
      <c r="J32">
        <f t="shared" si="10"/>
        <v>39986</v>
      </c>
      <c r="K32">
        <f t="shared" si="10"/>
        <v>18383</v>
      </c>
      <c r="L32">
        <f t="shared" si="10"/>
        <v>16924</v>
      </c>
      <c r="M32">
        <f t="shared" ref="M32:V34" si="11">M31-M3</f>
        <v>44007</v>
      </c>
      <c r="N32">
        <f t="shared" si="11"/>
        <v>51438</v>
      </c>
      <c r="O32">
        <f t="shared" si="11"/>
        <v>34167</v>
      </c>
      <c r="P32">
        <f t="shared" si="11"/>
        <v>52289</v>
      </c>
      <c r="Q32">
        <f t="shared" si="11"/>
        <v>23969</v>
      </c>
      <c r="R32">
        <f t="shared" si="11"/>
        <v>17389</v>
      </c>
      <c r="S32">
        <f t="shared" si="11"/>
        <v>19576</v>
      </c>
      <c r="T32">
        <f t="shared" si="11"/>
        <v>17138</v>
      </c>
      <c r="U32">
        <f t="shared" si="11"/>
        <v>28059</v>
      </c>
      <c r="V32" s="9"/>
      <c r="W32" s="9"/>
      <c r="X32" s="9"/>
      <c r="Y32" s="9"/>
      <c r="Z32" s="9"/>
    </row>
    <row r="33" spans="1:26" x14ac:dyDescent="0.4">
      <c r="A33" s="2" t="s">
        <v>3</v>
      </c>
      <c r="B33">
        <f>B32-B4</f>
        <v>14885</v>
      </c>
      <c r="C33">
        <f t="shared" si="10"/>
        <v>10918</v>
      </c>
      <c r="D33">
        <f t="shared" si="10"/>
        <v>11543</v>
      </c>
      <c r="E33">
        <f t="shared" si="10"/>
        <v>16634</v>
      </c>
      <c r="F33">
        <f t="shared" si="10"/>
        <v>12036</v>
      </c>
      <c r="G33">
        <f t="shared" si="10"/>
        <v>28736</v>
      </c>
      <c r="H33">
        <f t="shared" si="10"/>
        <v>16314</v>
      </c>
      <c r="I33">
        <f t="shared" si="10"/>
        <v>64676</v>
      </c>
      <c r="J33">
        <f t="shared" si="10"/>
        <v>23045</v>
      </c>
      <c r="K33">
        <f t="shared" si="10"/>
        <v>14514</v>
      </c>
      <c r="L33">
        <f t="shared" si="10"/>
        <v>13724</v>
      </c>
      <c r="M33">
        <f t="shared" si="11"/>
        <v>25409</v>
      </c>
      <c r="N33">
        <f t="shared" si="11"/>
        <v>25703</v>
      </c>
      <c r="O33">
        <f t="shared" si="11"/>
        <v>16246</v>
      </c>
      <c r="P33">
        <f t="shared" si="11"/>
        <v>27244</v>
      </c>
      <c r="Q33">
        <f t="shared" si="11"/>
        <v>18752</v>
      </c>
      <c r="R33">
        <f t="shared" si="11"/>
        <v>13394</v>
      </c>
      <c r="S33">
        <f t="shared" si="11"/>
        <v>13072</v>
      </c>
      <c r="T33">
        <f t="shared" si="11"/>
        <v>12746</v>
      </c>
      <c r="U33">
        <f t="shared" si="11"/>
        <v>16195</v>
      </c>
      <c r="V33" s="9"/>
      <c r="W33" s="9"/>
      <c r="X33" s="9"/>
      <c r="Y33" s="9"/>
      <c r="Z33" s="9"/>
    </row>
    <row r="34" spans="1:26" x14ac:dyDescent="0.4">
      <c r="A34" s="2" t="s">
        <v>4</v>
      </c>
      <c r="B34">
        <f>B33-B5</f>
        <v>12212</v>
      </c>
      <c r="C34">
        <f t="shared" si="10"/>
        <v>10146</v>
      </c>
      <c r="D34">
        <f t="shared" si="10"/>
        <v>10639</v>
      </c>
      <c r="E34">
        <f t="shared" si="10"/>
        <v>13214</v>
      </c>
      <c r="F34">
        <f t="shared" si="10"/>
        <v>10457</v>
      </c>
      <c r="G34">
        <f t="shared" si="10"/>
        <v>16661</v>
      </c>
      <c r="H34">
        <f t="shared" si="10"/>
        <v>13693</v>
      </c>
      <c r="I34">
        <f t="shared" si="10"/>
        <v>37555</v>
      </c>
      <c r="J34">
        <f t="shared" si="10"/>
        <v>15949</v>
      </c>
      <c r="K34">
        <f t="shared" si="10"/>
        <v>11896</v>
      </c>
      <c r="L34">
        <f t="shared" si="10"/>
        <v>11499</v>
      </c>
      <c r="M34">
        <f t="shared" si="11"/>
        <v>16284</v>
      </c>
      <c r="N34">
        <f t="shared" si="11"/>
        <v>16580</v>
      </c>
      <c r="O34">
        <f t="shared" si="11"/>
        <v>12653</v>
      </c>
      <c r="P34">
        <f t="shared" si="11"/>
        <v>15179</v>
      </c>
      <c r="Q34">
        <f t="shared" si="11"/>
        <v>13829</v>
      </c>
      <c r="R34">
        <f t="shared" si="11"/>
        <v>11650</v>
      </c>
      <c r="S34">
        <f t="shared" si="11"/>
        <v>11025</v>
      </c>
      <c r="T34">
        <f t="shared" si="11"/>
        <v>11143</v>
      </c>
      <c r="U34">
        <f t="shared" si="11"/>
        <v>13148</v>
      </c>
      <c r="V34" s="9"/>
      <c r="W34" s="9"/>
      <c r="X34" s="9"/>
      <c r="Y34" s="9"/>
      <c r="Z34" s="9"/>
    </row>
    <row r="35" spans="1:26" x14ac:dyDescent="0.4">
      <c r="A35" s="9"/>
      <c r="V35" s="9"/>
      <c r="W35" s="9"/>
      <c r="X35" s="9"/>
      <c r="Y35" s="9"/>
      <c r="Z35" s="9"/>
    </row>
    <row r="36" spans="1:26" x14ac:dyDescent="0.4">
      <c r="A36" s="4" t="s">
        <v>106</v>
      </c>
      <c r="B36" s="3" t="s">
        <v>17</v>
      </c>
      <c r="C36" s="3" t="s">
        <v>18</v>
      </c>
      <c r="D36" s="3" t="s">
        <v>19</v>
      </c>
      <c r="E36" s="3" t="s">
        <v>20</v>
      </c>
      <c r="F36" s="3" t="s">
        <v>21</v>
      </c>
      <c r="G36" s="3" t="s">
        <v>22</v>
      </c>
      <c r="H36" s="3" t="s">
        <v>23</v>
      </c>
      <c r="I36" s="3" t="s">
        <v>24</v>
      </c>
      <c r="J36" s="3" t="s">
        <v>25</v>
      </c>
      <c r="K36" s="3" t="s">
        <v>26</v>
      </c>
      <c r="L36" s="3" t="s">
        <v>27</v>
      </c>
      <c r="M36" s="3" t="s">
        <v>28</v>
      </c>
      <c r="N36" s="3" t="s">
        <v>29</v>
      </c>
      <c r="O36" s="3" t="s">
        <v>30</v>
      </c>
      <c r="P36" s="3" t="s">
        <v>31</v>
      </c>
      <c r="Q36" s="3" t="s">
        <v>32</v>
      </c>
      <c r="R36" s="3" t="s">
        <v>33</v>
      </c>
      <c r="S36" s="3" t="s">
        <v>34</v>
      </c>
      <c r="T36" s="3" t="s">
        <v>35</v>
      </c>
      <c r="U36" s="3" t="s">
        <v>36</v>
      </c>
      <c r="V36" s="9"/>
      <c r="W36" s="9"/>
      <c r="X36" s="9"/>
      <c r="Y36" s="9"/>
      <c r="Z36" s="9"/>
    </row>
    <row r="37" spans="1:26" x14ac:dyDescent="0.4">
      <c r="A37" s="2" t="s">
        <v>0</v>
      </c>
      <c r="B37">
        <f>B30*B23</f>
        <v>23334.266605268847</v>
      </c>
      <c r="C37">
        <f t="shared" ref="C37:U37" si="12">C30*C23</f>
        <v>4072.4063467154288</v>
      </c>
      <c r="D37">
        <f t="shared" si="12"/>
        <v>7086.1692023573742</v>
      </c>
      <c r="E37">
        <f t="shared" si="12"/>
        <v>24434.14044726159</v>
      </c>
      <c r="F37">
        <f t="shared" si="12"/>
        <v>13105.81834697573</v>
      </c>
      <c r="G37">
        <f t="shared" si="12"/>
        <v>139873.01681253093</v>
      </c>
      <c r="H37">
        <f t="shared" si="12"/>
        <v>41328.484336846217</v>
      </c>
      <c r="I37">
        <f t="shared" si="12"/>
        <v>152773.72591079265</v>
      </c>
      <c r="J37">
        <f t="shared" si="12"/>
        <v>28993.706939193613</v>
      </c>
      <c r="K37">
        <f t="shared" si="12"/>
        <v>6974.6832977991298</v>
      </c>
      <c r="L37">
        <f t="shared" si="12"/>
        <v>12259.571459095861</v>
      </c>
      <c r="M37">
        <f t="shared" si="12"/>
        <v>39963.835001664935</v>
      </c>
      <c r="N37">
        <f t="shared" si="12"/>
        <v>67165.814440633665</v>
      </c>
      <c r="O37">
        <f t="shared" si="12"/>
        <v>31520.71956304428</v>
      </c>
      <c r="P37">
        <f t="shared" si="12"/>
        <v>40952.648774718466</v>
      </c>
      <c r="Q37">
        <f t="shared" si="12"/>
        <v>7078.5989265586777</v>
      </c>
      <c r="R37">
        <f t="shared" si="12"/>
        <v>6798.5130947906646</v>
      </c>
      <c r="S37">
        <f t="shared" si="12"/>
        <v>7202.2000560944389</v>
      </c>
      <c r="T37">
        <f t="shared" si="12"/>
        <v>3640.0785874999201</v>
      </c>
      <c r="U37">
        <f t="shared" si="12"/>
        <v>11522.934013358539</v>
      </c>
      <c r="V37" s="9"/>
      <c r="W37" s="9"/>
      <c r="X37" s="9"/>
      <c r="Y37" s="9"/>
      <c r="Z37" s="9"/>
    </row>
    <row r="38" spans="1:26" x14ac:dyDescent="0.4">
      <c r="A38" s="2" t="s">
        <v>1</v>
      </c>
      <c r="B38">
        <f t="shared" ref="B38:U38" si="13">B31*B24</f>
        <v>12424.752531811728</v>
      </c>
      <c r="C38">
        <f t="shared" si="13"/>
        <v>3306.5026720691762</v>
      </c>
      <c r="D38">
        <f t="shared" si="13"/>
        <v>3631.4112175418477</v>
      </c>
      <c r="E38">
        <f t="shared" si="13"/>
        <v>15962.728358768873</v>
      </c>
      <c r="F38">
        <f t="shared" si="13"/>
        <v>6821.3411155868644</v>
      </c>
      <c r="G38">
        <f t="shared" si="13"/>
        <v>62912.630018389973</v>
      </c>
      <c r="H38">
        <f t="shared" si="13"/>
        <v>22230.934850257679</v>
      </c>
      <c r="I38">
        <f t="shared" si="13"/>
        <v>74190.765443791257</v>
      </c>
      <c r="J38">
        <f t="shared" si="13"/>
        <v>12301.100650901299</v>
      </c>
      <c r="K38">
        <f t="shared" si="13"/>
        <v>8454.1271315467457</v>
      </c>
      <c r="L38">
        <f t="shared" si="13"/>
        <v>7461.4675429982763</v>
      </c>
      <c r="M38">
        <f t="shared" si="13"/>
        <v>18217.032133282326</v>
      </c>
      <c r="N38">
        <f t="shared" si="13"/>
        <v>28003.228586562931</v>
      </c>
      <c r="O38">
        <f t="shared" si="13"/>
        <v>13149.369980438474</v>
      </c>
      <c r="P38">
        <f t="shared" si="13"/>
        <v>21364.532415489815</v>
      </c>
      <c r="Q38">
        <f t="shared" si="13"/>
        <v>7748.890137435832</v>
      </c>
      <c r="R38">
        <f t="shared" si="13"/>
        <v>5796.9674361875304</v>
      </c>
      <c r="S38">
        <f t="shared" si="13"/>
        <v>3724.7952592007073</v>
      </c>
      <c r="T38">
        <f t="shared" si="13"/>
        <v>3356.8998856575167</v>
      </c>
      <c r="U38">
        <f t="shared" si="13"/>
        <v>5556.9962809726139</v>
      </c>
      <c r="V38" s="9"/>
      <c r="W38" s="9"/>
      <c r="X38" s="9"/>
      <c r="Y38" s="9"/>
      <c r="Z38" s="9"/>
    </row>
    <row r="39" spans="1:26" x14ac:dyDescent="0.4">
      <c r="A39" s="2" t="s">
        <v>2</v>
      </c>
      <c r="B39">
        <f t="shared" ref="B39:U39" si="14">B32*B25</f>
        <v>6499.6753368804884</v>
      </c>
      <c r="C39">
        <f t="shared" si="14"/>
        <v>2128.8180227139501</v>
      </c>
      <c r="D39">
        <f t="shared" si="14"/>
        <v>2316.2414085653527</v>
      </c>
      <c r="E39">
        <f t="shared" si="14"/>
        <v>8885.1921625886444</v>
      </c>
      <c r="F39">
        <f t="shared" si="14"/>
        <v>4364.2201177088082</v>
      </c>
      <c r="G39">
        <f t="shared" si="14"/>
        <v>32469.27670572263</v>
      </c>
      <c r="H39">
        <f t="shared" si="14"/>
        <v>8565.4850051476496</v>
      </c>
      <c r="I39">
        <f t="shared" si="14"/>
        <v>39511.928479493086</v>
      </c>
      <c r="J39">
        <f t="shared" si="14"/>
        <v>15104.379637768432</v>
      </c>
      <c r="K39">
        <f t="shared" si="14"/>
        <v>4220.0935566665794</v>
      </c>
      <c r="L39">
        <f t="shared" si="14"/>
        <v>2403.9168951059742</v>
      </c>
      <c r="M39">
        <f t="shared" si="14"/>
        <v>11111.077557457873</v>
      </c>
      <c r="N39">
        <f t="shared" si="14"/>
        <v>16632.438092961958</v>
      </c>
      <c r="O39">
        <f t="shared" si="14"/>
        <v>9237.289973481882</v>
      </c>
      <c r="P39">
        <f t="shared" si="14"/>
        <v>11329.407829709697</v>
      </c>
      <c r="Q39">
        <f t="shared" si="14"/>
        <v>3539.88010684541</v>
      </c>
      <c r="R39">
        <f t="shared" si="14"/>
        <v>2292.8790151339194</v>
      </c>
      <c r="S39">
        <f t="shared" si="14"/>
        <v>3175.6229381778726</v>
      </c>
      <c r="T39">
        <f t="shared" si="14"/>
        <v>2583.529165797363</v>
      </c>
      <c r="U39">
        <f t="shared" si="14"/>
        <v>3548.3078626194447</v>
      </c>
      <c r="V39" s="9"/>
      <c r="W39" s="9"/>
      <c r="X39" s="9"/>
      <c r="Y39" s="9"/>
      <c r="Z39" s="9"/>
    </row>
    <row r="40" spans="1:26" x14ac:dyDescent="0.4">
      <c r="A40" s="2" t="s">
        <v>3</v>
      </c>
      <c r="B40">
        <f t="shared" ref="B40:U40" si="15">B33*B26</f>
        <v>2707.9382875033029</v>
      </c>
      <c r="C40">
        <f t="shared" si="15"/>
        <v>792.94744739811574</v>
      </c>
      <c r="D40">
        <f t="shared" si="15"/>
        <v>840.48037592284163</v>
      </c>
      <c r="E40">
        <f t="shared" si="15"/>
        <v>2513.2013307079292</v>
      </c>
      <c r="F40">
        <f t="shared" si="15"/>
        <v>1410.0177375520796</v>
      </c>
      <c r="G40">
        <f t="shared" si="15"/>
        <v>6570.1970822094254</v>
      </c>
      <c r="H40">
        <f t="shared" si="15"/>
        <v>2151.1316494850057</v>
      </c>
      <c r="I40">
        <f t="shared" si="15"/>
        <v>12082.623493900051</v>
      </c>
      <c r="J40">
        <f t="shared" si="15"/>
        <v>5283.2223373535653</v>
      </c>
      <c r="K40">
        <f t="shared" si="15"/>
        <v>2657.0558418327037</v>
      </c>
      <c r="L40">
        <f t="shared" si="15"/>
        <v>1367.9462520260909</v>
      </c>
      <c r="M40">
        <f t="shared" si="15"/>
        <v>4755.1149035903327</v>
      </c>
      <c r="N40">
        <f t="shared" si="15"/>
        <v>4591.7153172257467</v>
      </c>
      <c r="O40">
        <f t="shared" si="15"/>
        <v>2341.024515288284</v>
      </c>
      <c r="P40">
        <f t="shared" si="15"/>
        <v>3658.4717692631789</v>
      </c>
      <c r="Q40">
        <f t="shared" si="15"/>
        <v>1909.5848937011883</v>
      </c>
      <c r="R40">
        <f t="shared" si="15"/>
        <v>1029.7796564974008</v>
      </c>
      <c r="S40">
        <f t="shared" si="15"/>
        <v>1156.113162537722</v>
      </c>
      <c r="T40">
        <f t="shared" si="15"/>
        <v>1076.0460894812338</v>
      </c>
      <c r="U40">
        <f t="shared" si="15"/>
        <v>994.89170309406461</v>
      </c>
      <c r="V40" s="9"/>
      <c r="W40" s="9"/>
      <c r="X40" s="9"/>
      <c r="Y40" s="9"/>
      <c r="Z40" s="9"/>
    </row>
    <row r="41" spans="1:26" x14ac:dyDescent="0.4">
      <c r="A41" s="2" t="s">
        <v>4</v>
      </c>
      <c r="B41">
        <f t="shared" ref="B41:U41" si="16">B34*B27</f>
        <v>1567.7581468688302</v>
      </c>
      <c r="C41">
        <f t="shared" si="16"/>
        <v>190.95419068449036</v>
      </c>
      <c r="D41">
        <f t="shared" si="16"/>
        <v>506.71870751122549</v>
      </c>
      <c r="E41">
        <f t="shared" si="16"/>
        <v>1931.2289810684827</v>
      </c>
      <c r="F41">
        <f t="shared" si="16"/>
        <v>454.13441327499555</v>
      </c>
      <c r="G41">
        <f t="shared" si="16"/>
        <v>3990.5734621625134</v>
      </c>
      <c r="H41">
        <f t="shared" si="16"/>
        <v>2278.4968456873366</v>
      </c>
      <c r="I41">
        <f t="shared" si="16"/>
        <v>8423.8943741445928</v>
      </c>
      <c r="J41">
        <f t="shared" si="16"/>
        <v>4026.8724512894678</v>
      </c>
      <c r="K41">
        <f t="shared" si="16"/>
        <v>1466.8767074373804</v>
      </c>
      <c r="L41">
        <f t="shared" si="16"/>
        <v>1129.5905253892631</v>
      </c>
      <c r="M41">
        <f t="shared" si="16"/>
        <v>2416.0138289136994</v>
      </c>
      <c r="N41">
        <f t="shared" si="16"/>
        <v>3137.8250356470053</v>
      </c>
      <c r="O41">
        <f t="shared" si="16"/>
        <v>1546.9018404322946</v>
      </c>
      <c r="P41">
        <f t="shared" si="16"/>
        <v>1186.6200290903232</v>
      </c>
      <c r="Q41">
        <f t="shared" si="16"/>
        <v>1966.6699581999026</v>
      </c>
      <c r="R41">
        <f t="shared" si="16"/>
        <v>1051.5667879218915</v>
      </c>
      <c r="S41">
        <f t="shared" si="16"/>
        <v>722.71802844881449</v>
      </c>
      <c r="T41">
        <f t="shared" si="16"/>
        <v>611.07102303077249</v>
      </c>
      <c r="U41">
        <f t="shared" si="16"/>
        <v>937.82456937475558</v>
      </c>
      <c r="V41" s="9"/>
      <c r="W41" s="9"/>
      <c r="X41" s="9"/>
      <c r="Y41" s="9"/>
      <c r="Z41" s="9"/>
    </row>
    <row r="42" spans="1:26" x14ac:dyDescent="0.4">
      <c r="V42" s="9"/>
      <c r="W42" s="9"/>
      <c r="X42" s="9"/>
      <c r="Y42" s="9"/>
      <c r="Z42" s="9"/>
    </row>
    <row r="43" spans="1:26" x14ac:dyDescent="0.4">
      <c r="A43" s="4" t="s">
        <v>105</v>
      </c>
      <c r="B43" s="3" t="s">
        <v>17</v>
      </c>
      <c r="C43" s="3" t="s">
        <v>18</v>
      </c>
      <c r="D43" s="3" t="s">
        <v>19</v>
      </c>
      <c r="E43" s="3" t="s">
        <v>20</v>
      </c>
      <c r="F43" s="3" t="s">
        <v>21</v>
      </c>
      <c r="G43" s="3" t="s">
        <v>22</v>
      </c>
      <c r="H43" s="3" t="s">
        <v>23</v>
      </c>
      <c r="I43" s="3" t="s">
        <v>24</v>
      </c>
      <c r="J43" s="3" t="s">
        <v>25</v>
      </c>
      <c r="K43" s="3" t="s">
        <v>26</v>
      </c>
      <c r="L43" s="3" t="s">
        <v>27</v>
      </c>
      <c r="M43" s="3" t="s">
        <v>28</v>
      </c>
      <c r="N43" s="3" t="s">
        <v>29</v>
      </c>
      <c r="O43" s="3" t="s">
        <v>30</v>
      </c>
      <c r="P43" s="3" t="s">
        <v>31</v>
      </c>
      <c r="Q43" s="3" t="s">
        <v>32</v>
      </c>
      <c r="R43" s="3" t="s">
        <v>33</v>
      </c>
      <c r="S43" s="3" t="s">
        <v>34</v>
      </c>
      <c r="T43" s="3" t="s">
        <v>35</v>
      </c>
      <c r="U43" s="3" t="s">
        <v>36</v>
      </c>
      <c r="V43" s="9"/>
      <c r="W43" s="9"/>
      <c r="X43" s="9"/>
      <c r="Y43" s="9"/>
      <c r="Z43" s="9"/>
    </row>
    <row r="44" spans="1:26" x14ac:dyDescent="0.4">
      <c r="A44" s="2" t="s">
        <v>0</v>
      </c>
      <c r="B44">
        <f t="shared" ref="B44:U44" si="17">SQRT(B37*(1-B23))</f>
        <v>119.78986879682196</v>
      </c>
      <c r="C44">
        <f t="shared" si="17"/>
        <v>57.305389211295697</v>
      </c>
      <c r="D44">
        <f t="shared" si="17"/>
        <v>70.672044305495817</v>
      </c>
      <c r="E44">
        <f t="shared" si="17"/>
        <v>126.69318735432699</v>
      </c>
      <c r="F44">
        <f t="shared" si="17"/>
        <v>92.425764799851279</v>
      </c>
      <c r="G44">
        <f t="shared" si="17"/>
        <v>268.33739723606027</v>
      </c>
      <c r="H44">
        <f t="shared" si="17"/>
        <v>155.78138049906897</v>
      </c>
      <c r="I44">
        <f t="shared" si="17"/>
        <v>309.09744866939042</v>
      </c>
      <c r="J44">
        <f t="shared" si="17"/>
        <v>133.71585208462218</v>
      </c>
      <c r="K44">
        <f t="shared" si="17"/>
        <v>73.723462515165238</v>
      </c>
      <c r="L44">
        <f t="shared" si="17"/>
        <v>95.787397597924468</v>
      </c>
      <c r="M44">
        <f t="shared" si="17"/>
        <v>167.17900082063568</v>
      </c>
      <c r="N44">
        <f t="shared" si="17"/>
        <v>208.92176290106576</v>
      </c>
      <c r="O44">
        <f t="shared" si="17"/>
        <v>150.44539376813404</v>
      </c>
      <c r="P44">
        <f t="shared" si="17"/>
        <v>178.32110488996287</v>
      </c>
      <c r="Q44">
        <f t="shared" si="17"/>
        <v>77.386754672384768</v>
      </c>
      <c r="R44">
        <f t="shared" si="17"/>
        <v>74.733585961699177</v>
      </c>
      <c r="S44">
        <f t="shared" si="17"/>
        <v>76.881933262300592</v>
      </c>
      <c r="T44">
        <f t="shared" si="17"/>
        <v>56.825221927431237</v>
      </c>
      <c r="U44">
        <f t="shared" si="17"/>
        <v>99.518872071596235</v>
      </c>
      <c r="V44" s="9"/>
      <c r="W44" s="9"/>
      <c r="X44" s="9"/>
      <c r="Y44" s="9"/>
      <c r="Z44" s="9"/>
    </row>
    <row r="45" spans="1:26" x14ac:dyDescent="0.4">
      <c r="A45" s="2" t="s">
        <v>1</v>
      </c>
      <c r="B45">
        <f t="shared" ref="B45:U45" si="18">SQRT(B38*(1-B24))</f>
        <v>90.579051521565972</v>
      </c>
      <c r="C45">
        <f t="shared" si="18"/>
        <v>51.517582523181318</v>
      </c>
      <c r="D45">
        <f t="shared" si="18"/>
        <v>53.244169649039769</v>
      </c>
      <c r="E45">
        <f t="shared" si="18"/>
        <v>103.26576451038061</v>
      </c>
      <c r="F45">
        <f t="shared" si="18"/>
        <v>69.951747855377363</v>
      </c>
      <c r="G45">
        <f t="shared" si="18"/>
        <v>186.00082494069645</v>
      </c>
      <c r="H45">
        <f t="shared" si="18"/>
        <v>112.5750409346191</v>
      </c>
      <c r="I45">
        <f t="shared" si="18"/>
        <v>216.93493789982878</v>
      </c>
      <c r="J45">
        <f t="shared" si="18"/>
        <v>96.151205589169862</v>
      </c>
      <c r="K45">
        <f t="shared" si="18"/>
        <v>75.543225040647741</v>
      </c>
      <c r="L45">
        <f t="shared" si="18"/>
        <v>73.725865758846183</v>
      </c>
      <c r="M45">
        <f t="shared" si="18"/>
        <v>117.23214725001459</v>
      </c>
      <c r="N45">
        <f t="shared" si="18"/>
        <v>138.32936502522742</v>
      </c>
      <c r="O45">
        <f t="shared" si="18"/>
        <v>100.5107375527282</v>
      </c>
      <c r="P45">
        <f t="shared" si="18"/>
        <v>128.09135639157762</v>
      </c>
      <c r="Q45">
        <f t="shared" si="18"/>
        <v>77.335449899184411</v>
      </c>
      <c r="R45">
        <f t="shared" si="18"/>
        <v>67.588990136685013</v>
      </c>
      <c r="S45">
        <f t="shared" si="18"/>
        <v>56.626868591383477</v>
      </c>
      <c r="T45">
        <f t="shared" si="18"/>
        <v>53.951558922999915</v>
      </c>
      <c r="U45">
        <f t="shared" si="18"/>
        <v>70.000788201989479</v>
      </c>
    </row>
    <row r="46" spans="1:26" x14ac:dyDescent="0.4">
      <c r="A46" s="2" t="s">
        <v>2</v>
      </c>
      <c r="B46">
        <f t="shared" ref="B46:U46" si="19">SQRT(B39*(1-B25))</f>
        <v>67.569301037097802</v>
      </c>
      <c r="C46">
        <f t="shared" si="19"/>
        <v>42.16376036115404</v>
      </c>
      <c r="D46">
        <f t="shared" si="19"/>
        <v>43.93233169972325</v>
      </c>
      <c r="E46">
        <f t="shared" si="19"/>
        <v>77.476191604128005</v>
      </c>
      <c r="F46">
        <f t="shared" si="19"/>
        <v>56.605004077232984</v>
      </c>
      <c r="G46">
        <f t="shared" si="19"/>
        <v>132.45259324021714</v>
      </c>
      <c r="H46">
        <f t="shared" si="19"/>
        <v>75.470965379364131</v>
      </c>
      <c r="I46">
        <f t="shared" si="19"/>
        <v>159.69710799341757</v>
      </c>
      <c r="J46">
        <f t="shared" si="19"/>
        <v>96.947540390693277</v>
      </c>
      <c r="K46">
        <f t="shared" si="19"/>
        <v>57.020239759382164</v>
      </c>
      <c r="L46">
        <f t="shared" si="19"/>
        <v>45.414314959078794</v>
      </c>
      <c r="M46">
        <f t="shared" si="19"/>
        <v>91.135638878951823</v>
      </c>
      <c r="N46">
        <f t="shared" si="19"/>
        <v>106.08653030978333</v>
      </c>
      <c r="O46">
        <f t="shared" si="19"/>
        <v>82.097036070557508</v>
      </c>
      <c r="P46">
        <f t="shared" si="19"/>
        <v>94.205497851388515</v>
      </c>
      <c r="Q46">
        <f t="shared" si="19"/>
        <v>54.928045700138199</v>
      </c>
      <c r="R46">
        <f t="shared" si="19"/>
        <v>44.615519055353992</v>
      </c>
      <c r="S46">
        <f t="shared" si="19"/>
        <v>51.579770267740962</v>
      </c>
      <c r="T46">
        <f t="shared" si="19"/>
        <v>46.840856230430994</v>
      </c>
      <c r="U46">
        <f t="shared" si="19"/>
        <v>55.673989066086044</v>
      </c>
    </row>
    <row r="47" spans="1:26" x14ac:dyDescent="0.4">
      <c r="A47" s="2" t="s">
        <v>3</v>
      </c>
      <c r="B47">
        <f t="shared" ref="B47:U47" si="20">SQRT(B40*(1-B26))</f>
        <v>47.066967236136506</v>
      </c>
      <c r="C47">
        <f t="shared" si="20"/>
        <v>27.117478264710108</v>
      </c>
      <c r="D47">
        <f t="shared" si="20"/>
        <v>27.915631541483496</v>
      </c>
      <c r="E47">
        <f t="shared" si="20"/>
        <v>46.189676697254257</v>
      </c>
      <c r="F47">
        <f t="shared" si="20"/>
        <v>35.282206847837877</v>
      </c>
      <c r="G47">
        <f t="shared" si="20"/>
        <v>71.189800315509842</v>
      </c>
      <c r="H47">
        <f t="shared" si="20"/>
        <v>43.214438572459905</v>
      </c>
      <c r="I47">
        <f t="shared" si="20"/>
        <v>99.123030636115615</v>
      </c>
      <c r="J47">
        <f t="shared" si="20"/>
        <v>63.812285905084543</v>
      </c>
      <c r="K47">
        <f t="shared" si="20"/>
        <v>46.590049170063239</v>
      </c>
      <c r="L47">
        <f t="shared" si="20"/>
        <v>35.094095746707332</v>
      </c>
      <c r="M47">
        <f t="shared" si="20"/>
        <v>62.170963733174219</v>
      </c>
      <c r="N47">
        <f t="shared" si="20"/>
        <v>61.411951764167306</v>
      </c>
      <c r="O47">
        <f t="shared" si="20"/>
        <v>44.762555257787675</v>
      </c>
      <c r="P47">
        <f t="shared" si="20"/>
        <v>56.277814277043831</v>
      </c>
      <c r="Q47">
        <f t="shared" si="20"/>
        <v>41.414066023162562</v>
      </c>
      <c r="R47">
        <f t="shared" si="20"/>
        <v>30.831906105350757</v>
      </c>
      <c r="S47">
        <f t="shared" si="20"/>
        <v>32.463275569750721</v>
      </c>
      <c r="T47">
        <f t="shared" si="20"/>
        <v>31.387957082656488</v>
      </c>
      <c r="U47">
        <f t="shared" si="20"/>
        <v>30.55770749812201</v>
      </c>
    </row>
    <row r="48" spans="1:26" x14ac:dyDescent="0.4">
      <c r="A48" s="2" t="s">
        <v>4</v>
      </c>
      <c r="B48">
        <f t="shared" ref="B48:U48" si="21">SQRT(B41*(1-B27))</f>
        <v>36.966088781798739</v>
      </c>
      <c r="C48">
        <f t="shared" si="21"/>
        <v>13.687962267386604</v>
      </c>
      <c r="D48">
        <f t="shared" si="21"/>
        <v>21.967805957948546</v>
      </c>
      <c r="E48">
        <f t="shared" si="21"/>
        <v>40.607627909255385</v>
      </c>
      <c r="F48">
        <f t="shared" si="21"/>
        <v>20.842550815119214</v>
      </c>
      <c r="G48">
        <f t="shared" si="21"/>
        <v>55.088727475361836</v>
      </c>
      <c r="H48">
        <f t="shared" si="21"/>
        <v>43.581624851512693</v>
      </c>
      <c r="I48">
        <f t="shared" si="21"/>
        <v>80.835300502499464</v>
      </c>
      <c r="J48">
        <f t="shared" si="21"/>
        <v>54.864836559658301</v>
      </c>
      <c r="K48">
        <f t="shared" si="21"/>
        <v>35.860821100251727</v>
      </c>
      <c r="L48">
        <f t="shared" si="21"/>
        <v>31.915929405578851</v>
      </c>
      <c r="M48">
        <f t="shared" si="21"/>
        <v>45.360294026456344</v>
      </c>
      <c r="N48">
        <f t="shared" si="21"/>
        <v>50.437885420457768</v>
      </c>
      <c r="O48">
        <f t="shared" si="21"/>
        <v>36.848123640731643</v>
      </c>
      <c r="P48">
        <f t="shared" si="21"/>
        <v>33.073492030608669</v>
      </c>
      <c r="Q48">
        <f t="shared" si="21"/>
        <v>41.072898801300767</v>
      </c>
      <c r="R48">
        <f t="shared" si="21"/>
        <v>30.929742300634558</v>
      </c>
      <c r="S48">
        <f t="shared" si="21"/>
        <v>25.987341964962901</v>
      </c>
      <c r="T48">
        <f t="shared" si="21"/>
        <v>24.03248835793968</v>
      </c>
      <c r="U48">
        <f t="shared" si="21"/>
        <v>29.511542341382803</v>
      </c>
    </row>
    <row r="49" spans="1:26" x14ac:dyDescent="0.4">
      <c r="A49" s="9"/>
    </row>
    <row r="50" spans="1:26" x14ac:dyDescent="0.4">
      <c r="A50" s="4" t="s">
        <v>40</v>
      </c>
      <c r="B50" s="3" t="s">
        <v>17</v>
      </c>
      <c r="C50" s="3" t="s">
        <v>18</v>
      </c>
      <c r="D50" s="3" t="s">
        <v>19</v>
      </c>
      <c r="E50" s="3" t="s">
        <v>20</v>
      </c>
      <c r="F50" s="3" t="s">
        <v>21</v>
      </c>
      <c r="G50" s="3" t="s">
        <v>22</v>
      </c>
      <c r="H50" s="3" t="s">
        <v>23</v>
      </c>
      <c r="I50" s="3" t="s">
        <v>24</v>
      </c>
      <c r="J50" s="3" t="s">
        <v>25</v>
      </c>
      <c r="K50" s="3" t="s">
        <v>26</v>
      </c>
      <c r="L50" s="3" t="s">
        <v>27</v>
      </c>
      <c r="M50" s="3" t="s">
        <v>28</v>
      </c>
      <c r="N50" s="3" t="s">
        <v>29</v>
      </c>
      <c r="O50" s="3" t="s">
        <v>30</v>
      </c>
      <c r="P50" s="3" t="s">
        <v>31</v>
      </c>
      <c r="Q50" s="3" t="s">
        <v>32</v>
      </c>
      <c r="R50" s="3" t="s">
        <v>33</v>
      </c>
      <c r="S50" s="3" t="s">
        <v>34</v>
      </c>
      <c r="T50" s="3" t="s">
        <v>35</v>
      </c>
      <c r="U50" s="3" t="s">
        <v>36</v>
      </c>
      <c r="V50" s="4" t="s">
        <v>101</v>
      </c>
      <c r="W50" s="8" t="s">
        <v>40</v>
      </c>
      <c r="X50" s="10" t="s">
        <v>46</v>
      </c>
      <c r="Y50" s="10" t="s">
        <v>43</v>
      </c>
      <c r="Z50" s="10" t="s">
        <v>44</v>
      </c>
    </row>
    <row r="51" spans="1:26" x14ac:dyDescent="0.4">
      <c r="A51" s="2" t="s">
        <v>0</v>
      </c>
      <c r="B51">
        <f t="shared" ref="B51:U51" si="22">LN(_xlfn.NORM.DIST(B2,B37,B44*$V$51,FALSE))</f>
        <v>-8.1720676149236251</v>
      </c>
      <c r="C51">
        <f t="shared" si="22"/>
        <v>-7.3330296584997798</v>
      </c>
      <c r="D51">
        <f t="shared" si="22"/>
        <v>-7.6120913235996399</v>
      </c>
      <c r="E51">
        <f t="shared" si="22"/>
        <v>-8.5914685198345975</v>
      </c>
      <c r="F51">
        <f t="shared" si="22"/>
        <v>-7.8421326860199958</v>
      </c>
      <c r="G51">
        <f t="shared" si="22"/>
        <v>-13.974618262628338</v>
      </c>
      <c r="H51">
        <f t="shared" si="22"/>
        <v>-18.596307296296288</v>
      </c>
      <c r="I51">
        <f t="shared" si="22"/>
        <v>-151.27292155277388</v>
      </c>
      <c r="J51">
        <f t="shared" si="22"/>
        <v>-10.41855837934073</v>
      </c>
      <c r="K51">
        <f t="shared" si="22"/>
        <v>-9.3035644437220739</v>
      </c>
      <c r="L51">
        <f t="shared" si="22"/>
        <v>-51.82062428198585</v>
      </c>
      <c r="M51">
        <f t="shared" si="22"/>
        <v>-71.443821698696951</v>
      </c>
      <c r="N51">
        <f t="shared" si="22"/>
        <v>-158.95234685254133</v>
      </c>
      <c r="O51">
        <f t="shared" si="22"/>
        <v>-130.5671711751873</v>
      </c>
      <c r="P51">
        <f t="shared" si="22"/>
        <v>-404.28429209688062</v>
      </c>
      <c r="Q51">
        <f t="shared" si="22"/>
        <v>-27.907093401577619</v>
      </c>
      <c r="R51">
        <f t="shared" si="22"/>
        <v>-21.450314476210309</v>
      </c>
      <c r="S51">
        <f t="shared" si="22"/>
        <v>-39.994414064620273</v>
      </c>
      <c r="T51">
        <f t="shared" si="22"/>
        <v>-24.554896029347727</v>
      </c>
      <c r="U51">
        <f t="shared" si="22"/>
        <v>-286.22153757647089</v>
      </c>
      <c r="V51" s="7">
        <v>10</v>
      </c>
      <c r="W51" s="8">
        <f>SUM(B51:U55)</f>
        <v>-3895.0305696826604</v>
      </c>
      <c r="X51">
        <v>41</v>
      </c>
      <c r="Y51">
        <f>-2*W51+2*X51</f>
        <v>7872.0611393653207</v>
      </c>
      <c r="Z51">
        <f>Y51+2*X51*(X51+1)/(COUNT(B51:U55)-X51-1)</f>
        <v>7931.4404497101486</v>
      </c>
    </row>
    <row r="52" spans="1:26" x14ac:dyDescent="0.4">
      <c r="A52" s="2" t="s">
        <v>1</v>
      </c>
      <c r="B52">
        <f t="shared" ref="B52:U52" si="23">LN(_xlfn.NORM.DIST(B3,B38,B45*$V$51,FALSE))</f>
        <v>-10.985986750497039</v>
      </c>
      <c r="C52">
        <f t="shared" si="23"/>
        <v>-7.7138058891382757</v>
      </c>
      <c r="D52">
        <f t="shared" si="23"/>
        <v>-8.8436251274188731</v>
      </c>
      <c r="E52">
        <f t="shared" si="23"/>
        <v>-18.381206388341326</v>
      </c>
      <c r="F52">
        <f t="shared" si="23"/>
        <v>-8.2853786543675891</v>
      </c>
      <c r="G52">
        <f t="shared" si="23"/>
        <v>-14.059141340358929</v>
      </c>
      <c r="H52">
        <f t="shared" si="23"/>
        <v>-13.977038540196686</v>
      </c>
      <c r="I52">
        <f t="shared" si="23"/>
        <v>-40.216690662691974</v>
      </c>
      <c r="J52">
        <f t="shared" si="23"/>
        <v>-11.946473231611233</v>
      </c>
      <c r="K52">
        <f t="shared" si="23"/>
        <v>-8.1384129819584512</v>
      </c>
      <c r="L52">
        <f t="shared" si="23"/>
        <v>-16.330749870584395</v>
      </c>
      <c r="M52">
        <f t="shared" si="23"/>
        <v>-59.999492427216232</v>
      </c>
      <c r="N52">
        <f t="shared" si="23"/>
        <v>-29.244984412150497</v>
      </c>
      <c r="O52">
        <f t="shared" si="23"/>
        <v>-51.849402290183633</v>
      </c>
      <c r="P52">
        <f t="shared" si="23"/>
        <v>-111.52182674338407</v>
      </c>
      <c r="Q52">
        <f t="shared" si="23"/>
        <v>-11.772358269217392</v>
      </c>
      <c r="R52">
        <f t="shared" si="23"/>
        <v>-26.412788741322739</v>
      </c>
      <c r="S52">
        <f t="shared" si="23"/>
        <v>-26.067872362557534</v>
      </c>
      <c r="T52">
        <f t="shared" si="23"/>
        <v>-46.196964695922027</v>
      </c>
      <c r="U52">
        <f t="shared" si="23"/>
        <v>-190.52645422037622</v>
      </c>
    </row>
    <row r="53" spans="1:26" x14ac:dyDescent="0.4">
      <c r="A53" s="2" t="s">
        <v>2</v>
      </c>
      <c r="B53">
        <f t="shared" ref="B53:U53" si="24">LN(_xlfn.NORM.DIST(B4,B39,B46*$V$51,FALSE))</f>
        <v>-7.6647249267003001</v>
      </c>
      <c r="C53">
        <f t="shared" si="24"/>
        <v>-7.0157322430670028</v>
      </c>
      <c r="D53">
        <f t="shared" si="24"/>
        <v>-7.0069542060971042</v>
      </c>
      <c r="E53">
        <f t="shared" si="24"/>
        <v>-10.477509379821296</v>
      </c>
      <c r="F53">
        <f t="shared" si="24"/>
        <v>-7.2581143267092196</v>
      </c>
      <c r="G53">
        <f t="shared" si="24"/>
        <v>-33.444728758516192</v>
      </c>
      <c r="H53">
        <f t="shared" si="24"/>
        <v>-7.9602013641348828</v>
      </c>
      <c r="I53">
        <f t="shared" si="24"/>
        <v>-18.617162801643715</v>
      </c>
      <c r="J53">
        <f t="shared" si="24"/>
        <v>-9.5901595118853749</v>
      </c>
      <c r="K53">
        <f t="shared" si="24"/>
        <v>-7.4544946916737906</v>
      </c>
      <c r="L53">
        <f t="shared" si="24"/>
        <v>-8.5737403224178248</v>
      </c>
      <c r="M53">
        <f t="shared" si="24"/>
        <v>-41.478154268643749</v>
      </c>
      <c r="N53">
        <f t="shared" si="24"/>
        <v>-44.696709234000096</v>
      </c>
      <c r="O53">
        <f t="shared" si="24"/>
        <v>-63.569839188461685</v>
      </c>
      <c r="P53">
        <f t="shared" si="24"/>
        <v>-113.75254591356007</v>
      </c>
      <c r="Q53">
        <f t="shared" si="24"/>
        <v>-11.888878555819616</v>
      </c>
      <c r="R53">
        <f t="shared" si="24"/>
        <v>-14.29705079828187</v>
      </c>
      <c r="S53">
        <f t="shared" si="24"/>
        <v>-27.98443805914177</v>
      </c>
      <c r="T53">
        <f t="shared" si="24"/>
        <v>-14.521489689488284</v>
      </c>
      <c r="U53">
        <f t="shared" si="24"/>
        <v>-118.78912447534545</v>
      </c>
    </row>
    <row r="54" spans="1:26" x14ac:dyDescent="0.4">
      <c r="A54" s="2" t="s">
        <v>3</v>
      </c>
      <c r="B54">
        <f t="shared" ref="B54:U54" si="25">LN(_xlfn.NORM.DIST(B5,B40,B47*$V$51,FALSE))</f>
        <v>-7.0758501703993044</v>
      </c>
      <c r="C54">
        <f t="shared" si="25"/>
        <v>-6.5246856526657027</v>
      </c>
      <c r="D54">
        <f t="shared" si="25"/>
        <v>-6.5765979770726162</v>
      </c>
      <c r="E54">
        <f t="shared" si="25"/>
        <v>-8.9813695516881857</v>
      </c>
      <c r="F54">
        <f t="shared" si="25"/>
        <v>-6.8995964242612811</v>
      </c>
      <c r="G54">
        <f t="shared" si="25"/>
        <v>-37.383211868492864</v>
      </c>
      <c r="H54">
        <f t="shared" si="25"/>
        <v>-7.5788033006575208</v>
      </c>
      <c r="I54">
        <f t="shared" si="25"/>
        <v>-122.90395761307698</v>
      </c>
      <c r="J54">
        <f t="shared" si="25"/>
        <v>-11.412533872600818</v>
      </c>
      <c r="K54">
        <f t="shared" si="25"/>
        <v>-7.0664242345472283</v>
      </c>
      <c r="L54">
        <f t="shared" si="25"/>
        <v>-9.7616277270530265</v>
      </c>
      <c r="M54">
        <f t="shared" si="25"/>
        <v>-32.053566577669649</v>
      </c>
      <c r="N54">
        <f t="shared" si="25"/>
        <v>-34.560305140249277</v>
      </c>
      <c r="O54">
        <f t="shared" si="25"/>
        <v>-10.934292736091775</v>
      </c>
      <c r="P54">
        <f t="shared" si="25"/>
        <v>-118.81706607092117</v>
      </c>
      <c r="Q54">
        <f t="shared" si="25"/>
        <v>-33.417475146010268</v>
      </c>
      <c r="R54">
        <f t="shared" si="25"/>
        <v>-9.3331540966539066</v>
      </c>
      <c r="S54">
        <f t="shared" si="25"/>
        <v>-10.46720038183796</v>
      </c>
      <c r="T54">
        <f t="shared" si="25"/>
        <v>-8.0772015608099519</v>
      </c>
      <c r="U54">
        <f t="shared" si="25"/>
        <v>-29.190230465217521</v>
      </c>
    </row>
    <row r="55" spans="1:26" x14ac:dyDescent="0.4">
      <c r="A55" s="2" t="s">
        <v>4</v>
      </c>
      <c r="B55">
        <f t="shared" ref="B55:U55" si="26">LN(_xlfn.NORM.DIST(B6,B41,B48*$V$51,FALSE))</f>
        <v>-8.3501857052166955</v>
      </c>
      <c r="C55">
        <f t="shared" si="26"/>
        <v>-5.8919706982569409</v>
      </c>
      <c r="D55">
        <f t="shared" si="26"/>
        <v>-6.4923998438341801</v>
      </c>
      <c r="E55">
        <f t="shared" si="26"/>
        <v>-11.914933767065978</v>
      </c>
      <c r="F55">
        <f t="shared" si="26"/>
        <v>-6.2586147493850683</v>
      </c>
      <c r="G55">
        <f t="shared" si="26"/>
        <v>-18.979601029669006</v>
      </c>
      <c r="H55">
        <f t="shared" si="26"/>
        <v>-12.263252508619916</v>
      </c>
      <c r="I55">
        <f t="shared" si="26"/>
        <v>-287.67196710806724</v>
      </c>
      <c r="J55">
        <f t="shared" si="26"/>
        <v>-13.363256487101538</v>
      </c>
      <c r="K55">
        <f t="shared" si="26"/>
        <v>-7.5171371736315828</v>
      </c>
      <c r="L55">
        <f t="shared" si="26"/>
        <v>-7.3544688574435773</v>
      </c>
      <c r="M55">
        <f t="shared" si="26"/>
        <v>-43.393166424226685</v>
      </c>
      <c r="N55">
        <f t="shared" si="26"/>
        <v>-30.429727503992286</v>
      </c>
      <c r="O55">
        <f t="shared" si="26"/>
        <v>-11.333658127193848</v>
      </c>
      <c r="P55">
        <f t="shared" si="26"/>
        <v>-79.57765037291216</v>
      </c>
      <c r="Q55">
        <f t="shared" si="26"/>
        <v>-17.216386366494223</v>
      </c>
      <c r="R55">
        <f t="shared" si="26"/>
        <v>-8.5249959139786995</v>
      </c>
      <c r="S55">
        <f t="shared" si="26"/>
        <v>-7.1556378292878726</v>
      </c>
      <c r="T55">
        <f t="shared" si="26"/>
        <v>-8.8504436344704409</v>
      </c>
      <c r="U55">
        <f t="shared" si="26"/>
        <v>-34.650287307774413</v>
      </c>
    </row>
  </sheetData>
  <phoneticPr fontId="18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"/>
  <sheetViews>
    <sheetView workbookViewId="0">
      <selection activeCell="C7" sqref="C7"/>
    </sheetView>
  </sheetViews>
  <sheetFormatPr defaultRowHeight="18.75" x14ac:dyDescent="0.4"/>
  <cols>
    <col min="2" max="2" width="13" bestFit="1" customWidth="1"/>
    <col min="3" max="3" width="13.375" bestFit="1" customWidth="1"/>
    <col min="4" max="4" width="13" bestFit="1" customWidth="1"/>
    <col min="5" max="5" width="11" bestFit="1" customWidth="1"/>
    <col min="6" max="6" width="11" customWidth="1"/>
    <col min="7" max="7" width="13.75" bestFit="1" customWidth="1"/>
    <col min="8" max="8" width="17.5" bestFit="1" customWidth="1"/>
    <col min="9" max="10" width="15.375" bestFit="1" customWidth="1"/>
    <col min="11" max="11" width="9.625" customWidth="1"/>
    <col min="12" max="12" width="17.5" bestFit="1" customWidth="1"/>
  </cols>
  <sheetData>
    <row r="1" spans="2:17" x14ac:dyDescent="0.4">
      <c r="B1" s="9"/>
      <c r="C1" s="9"/>
      <c r="D1" s="9"/>
    </row>
    <row r="2" spans="2:17" x14ac:dyDescent="0.4">
      <c r="B2" s="9"/>
      <c r="C2" s="2" t="s">
        <v>11</v>
      </c>
      <c r="D2" s="2" t="s">
        <v>12</v>
      </c>
      <c r="E2" s="2" t="s">
        <v>47</v>
      </c>
      <c r="F2" s="2" t="s">
        <v>76</v>
      </c>
      <c r="G2" s="7" t="s">
        <v>49</v>
      </c>
      <c r="H2" s="7" t="s">
        <v>51</v>
      </c>
      <c r="I2" s="7" t="s">
        <v>53</v>
      </c>
      <c r="J2" s="7" t="s">
        <v>78</v>
      </c>
      <c r="L2" t="s">
        <v>54</v>
      </c>
    </row>
    <row r="3" spans="2:17" ht="19.5" thickBot="1" x14ac:dyDescent="0.45">
      <c r="B3" s="3" t="s">
        <v>17</v>
      </c>
      <c r="C3" s="9">
        <v>2.1270259018903921E-4</v>
      </c>
      <c r="D3" s="9">
        <v>61672.803030861069</v>
      </c>
      <c r="E3">
        <v>7963</v>
      </c>
      <c r="F3">
        <v>19.537500000000001</v>
      </c>
      <c r="G3">
        <f>LN(C3)</f>
        <v>-8.4556156581686697</v>
      </c>
      <c r="H3">
        <f t="shared" ref="H3:J18" si="0">LN(D3)</f>
        <v>11.029598319050256</v>
      </c>
      <c r="I3">
        <f t="shared" si="0"/>
        <v>8.9825610922574448</v>
      </c>
      <c r="J3">
        <f t="shared" si="0"/>
        <v>2.9723356957475953</v>
      </c>
    </row>
    <row r="4" spans="2:17" x14ac:dyDescent="0.4">
      <c r="B4" s="3" t="s">
        <v>18</v>
      </c>
      <c r="C4" s="9">
        <v>3.5179349662533069E-4</v>
      </c>
      <c r="D4" s="9">
        <v>14888.526631561954</v>
      </c>
      <c r="E4">
        <v>3548</v>
      </c>
      <c r="F4">
        <v>19.749500000000001</v>
      </c>
      <c r="G4">
        <f t="shared" ref="G4:J22" si="1">LN(C4)</f>
        <v>-7.9524662118313127</v>
      </c>
      <c r="H4">
        <f t="shared" si="0"/>
        <v>9.608346170584845</v>
      </c>
      <c r="I4">
        <f t="shared" si="0"/>
        <v>8.17413934342947</v>
      </c>
      <c r="J4">
        <f t="shared" si="0"/>
        <v>2.9831281745709677</v>
      </c>
      <c r="K4" s="15"/>
      <c r="L4" s="14" t="s">
        <v>55</v>
      </c>
      <c r="M4" s="14"/>
    </row>
    <row r="5" spans="2:17" x14ac:dyDescent="0.4">
      <c r="B5" s="3" t="s">
        <v>19</v>
      </c>
      <c r="C5" s="9">
        <v>2.3038714841678255E-4</v>
      </c>
      <c r="D5" s="9">
        <v>21178.659223894454</v>
      </c>
      <c r="E5">
        <v>4521</v>
      </c>
      <c r="F5">
        <v>20.053999999999998</v>
      </c>
      <c r="G5">
        <f t="shared" si="1"/>
        <v>-8.3757494101393171</v>
      </c>
      <c r="H5">
        <f t="shared" si="0"/>
        <v>9.9607493132750626</v>
      </c>
      <c r="I5">
        <f t="shared" si="0"/>
        <v>8.4164884872946057</v>
      </c>
      <c r="J5">
        <f t="shared" si="0"/>
        <v>2.9984286351017335</v>
      </c>
      <c r="K5" s="11"/>
      <c r="L5" s="11" t="s">
        <v>56</v>
      </c>
      <c r="M5" s="11">
        <v>0.8647756434038727</v>
      </c>
    </row>
    <row r="6" spans="2:17" x14ac:dyDescent="0.4">
      <c r="B6" s="3" t="s">
        <v>20</v>
      </c>
      <c r="C6" s="9">
        <v>1.7668560527990155E-4</v>
      </c>
      <c r="D6" s="9">
        <v>82048.851771500165</v>
      </c>
      <c r="E6">
        <v>7688</v>
      </c>
      <c r="F6">
        <v>20.138999999999999</v>
      </c>
      <c r="G6">
        <f t="shared" si="1"/>
        <v>-8.641138646134138</v>
      </c>
      <c r="H6">
        <f t="shared" si="0"/>
        <v>11.315070102166814</v>
      </c>
      <c r="I6">
        <f t="shared" si="0"/>
        <v>8.9474159506501287</v>
      </c>
      <c r="J6">
        <f t="shared" si="0"/>
        <v>3.0026582336247243</v>
      </c>
      <c r="K6" s="11"/>
      <c r="L6" s="11" t="s">
        <v>57</v>
      </c>
      <c r="M6" s="11">
        <v>0.74783691342458203</v>
      </c>
    </row>
    <row r="7" spans="2:17" x14ac:dyDescent="0.4">
      <c r="B7" s="3" t="s">
        <v>21</v>
      </c>
      <c r="C7" s="9">
        <v>2.3024592073212383E-4</v>
      </c>
      <c r="D7" s="9">
        <v>35935.909488595338</v>
      </c>
      <c r="E7">
        <v>6191</v>
      </c>
      <c r="F7">
        <v>20.383500000000002</v>
      </c>
      <c r="G7">
        <f t="shared" si="1"/>
        <v>-8.3763625996758169</v>
      </c>
      <c r="H7">
        <f t="shared" si="0"/>
        <v>10.489492338851653</v>
      </c>
      <c r="I7">
        <f t="shared" si="0"/>
        <v>8.7308519035192322</v>
      </c>
      <c r="J7">
        <f t="shared" si="0"/>
        <v>3.0147257500465248</v>
      </c>
      <c r="K7" s="11"/>
      <c r="L7" s="11" t="s">
        <v>58</v>
      </c>
      <c r="M7" s="11">
        <v>0.70055633469169121</v>
      </c>
    </row>
    <row r="8" spans="2:17" x14ac:dyDescent="0.4">
      <c r="B8" s="3" t="s">
        <v>22</v>
      </c>
      <c r="C8" s="9">
        <v>2.0052479125302558E-4</v>
      </c>
      <c r="D8" s="9">
        <v>305401.67076921603</v>
      </c>
      <c r="E8">
        <v>12055</v>
      </c>
      <c r="F8">
        <v>20.210999999999999</v>
      </c>
      <c r="G8">
        <f t="shared" si="1"/>
        <v>-8.5145726717140686</v>
      </c>
      <c r="H8">
        <f t="shared" si="0"/>
        <v>12.629383142508797</v>
      </c>
      <c r="I8">
        <f t="shared" si="0"/>
        <v>9.397234790615272</v>
      </c>
      <c r="J8">
        <f t="shared" si="0"/>
        <v>3.0062270106466324</v>
      </c>
      <c r="K8" s="11"/>
      <c r="L8" s="11" t="s">
        <v>59</v>
      </c>
      <c r="M8" s="11">
        <v>0.26403302457081401</v>
      </c>
    </row>
    <row r="9" spans="2:17" ht="19.5" thickBot="1" x14ac:dyDescent="0.45">
      <c r="B9" s="3" t="s">
        <v>23</v>
      </c>
      <c r="C9" s="9">
        <v>2.4346777909180689E-4</v>
      </c>
      <c r="D9" s="9">
        <v>100855.07026838673</v>
      </c>
      <c r="E9">
        <v>9129</v>
      </c>
      <c r="F9">
        <v>20.185500000000001</v>
      </c>
      <c r="G9">
        <f t="shared" si="1"/>
        <v>-8.3205259482555185</v>
      </c>
      <c r="H9">
        <f t="shared" si="0"/>
        <v>11.521439817462044</v>
      </c>
      <c r="I9">
        <f t="shared" si="0"/>
        <v>9.1192114385650811</v>
      </c>
      <c r="J9">
        <f t="shared" si="0"/>
        <v>3.0049645248675687</v>
      </c>
      <c r="K9" s="11"/>
      <c r="L9" s="12" t="s">
        <v>60</v>
      </c>
      <c r="M9" s="12">
        <v>20</v>
      </c>
    </row>
    <row r="10" spans="2:17" x14ac:dyDescent="0.4">
      <c r="B10" s="3" t="s">
        <v>24</v>
      </c>
      <c r="C10" s="9">
        <v>2.287788509374929E-4</v>
      </c>
      <c r="D10" s="9">
        <v>455302.11248287826</v>
      </c>
      <c r="E10">
        <v>9116</v>
      </c>
      <c r="F10">
        <v>19.637</v>
      </c>
      <c r="G10">
        <f t="shared" si="1"/>
        <v>-8.3827547374447366</v>
      </c>
      <c r="H10">
        <f t="shared" si="0"/>
        <v>13.02871646107244</v>
      </c>
      <c r="I10">
        <f t="shared" si="0"/>
        <v>9.1177863903655751</v>
      </c>
      <c r="J10">
        <f t="shared" si="0"/>
        <v>2.9774155417680932</v>
      </c>
    </row>
    <row r="11" spans="2:17" ht="19.5" thickBot="1" x14ac:dyDescent="0.45">
      <c r="B11" s="3" t="s">
        <v>25</v>
      </c>
      <c r="C11" s="9">
        <v>1.2745713925364424E-4</v>
      </c>
      <c r="D11" s="9">
        <v>96134.516198027006</v>
      </c>
      <c r="E11">
        <v>8974</v>
      </c>
      <c r="F11">
        <v>19.853999999999999</v>
      </c>
      <c r="G11">
        <f t="shared" si="1"/>
        <v>-8.9677304125976605</v>
      </c>
      <c r="H11">
        <f t="shared" si="0"/>
        <v>11.47350370006688</v>
      </c>
      <c r="I11">
        <f t="shared" si="0"/>
        <v>9.1020867865359278</v>
      </c>
      <c r="J11">
        <f t="shared" si="0"/>
        <v>2.9884054981675301</v>
      </c>
      <c r="L11" t="s">
        <v>61</v>
      </c>
    </row>
    <row r="12" spans="2:17" x14ac:dyDescent="0.4">
      <c r="B12" s="3" t="s">
        <v>26</v>
      </c>
      <c r="C12" s="9">
        <v>1.2586509932167571E-4</v>
      </c>
      <c r="D12" s="9">
        <v>39116.578034876162</v>
      </c>
      <c r="E12">
        <v>6185</v>
      </c>
      <c r="F12">
        <v>19.958500000000001</v>
      </c>
      <c r="G12">
        <f t="shared" si="1"/>
        <v>-8.9802998648616974</v>
      </c>
      <c r="H12">
        <f t="shared" si="0"/>
        <v>10.574301646776609</v>
      </c>
      <c r="I12">
        <f t="shared" si="0"/>
        <v>8.7298822848265889</v>
      </c>
      <c r="J12">
        <f t="shared" si="0"/>
        <v>2.9936551177587916</v>
      </c>
      <c r="K12" s="16"/>
      <c r="L12" s="13"/>
      <c r="M12" s="13" t="s">
        <v>45</v>
      </c>
      <c r="N12" s="13" t="s">
        <v>66</v>
      </c>
      <c r="O12" s="13" t="s">
        <v>41</v>
      </c>
      <c r="P12" s="13" t="s">
        <v>67</v>
      </c>
      <c r="Q12" s="13" t="s">
        <v>68</v>
      </c>
    </row>
    <row r="13" spans="2:17" x14ac:dyDescent="0.4">
      <c r="B13" s="3" t="s">
        <v>27</v>
      </c>
      <c r="C13" s="9">
        <v>4.4900150066642285E-4</v>
      </c>
      <c r="D13" s="9">
        <v>43422.524383593722</v>
      </c>
      <c r="E13">
        <v>4841</v>
      </c>
      <c r="F13">
        <v>19.684000000000001</v>
      </c>
      <c r="G13">
        <f t="shared" si="1"/>
        <v>-7.7084843279861284</v>
      </c>
      <c r="H13">
        <f t="shared" si="0"/>
        <v>10.678733580470844</v>
      </c>
      <c r="I13">
        <f t="shared" si="0"/>
        <v>8.4848765899396952</v>
      </c>
      <c r="J13">
        <f t="shared" si="0"/>
        <v>2.979806123003732</v>
      </c>
      <c r="K13" s="11"/>
      <c r="L13" s="11" t="s">
        <v>62</v>
      </c>
      <c r="M13" s="11">
        <v>3</v>
      </c>
      <c r="N13" s="11">
        <v>3.3079723478345993</v>
      </c>
      <c r="O13" s="11">
        <v>1.1026574492781998</v>
      </c>
      <c r="P13" s="11">
        <v>15.816999991676225</v>
      </c>
      <c r="Q13" s="11">
        <v>4.806561383344733E-5</v>
      </c>
    </row>
    <row r="14" spans="2:17" x14ac:dyDescent="0.4">
      <c r="B14" s="3" t="s">
        <v>28</v>
      </c>
      <c r="C14" s="9">
        <v>2.9822878532370092E-4</v>
      </c>
      <c r="D14" s="9">
        <v>143362.42161694032</v>
      </c>
      <c r="E14">
        <v>6491</v>
      </c>
      <c r="F14">
        <v>20.5305</v>
      </c>
      <c r="G14">
        <f t="shared" si="1"/>
        <v>-8.1176496300318153</v>
      </c>
      <c r="H14">
        <f t="shared" si="0"/>
        <v>11.873131119925329</v>
      </c>
      <c r="I14">
        <f t="shared" si="0"/>
        <v>8.7781718810334688</v>
      </c>
      <c r="J14">
        <f t="shared" si="0"/>
        <v>3.0219115853372935</v>
      </c>
      <c r="K14" s="11"/>
      <c r="L14" s="11" t="s">
        <v>63</v>
      </c>
      <c r="M14" s="11">
        <v>16</v>
      </c>
      <c r="N14" s="11">
        <v>1.115415009024193</v>
      </c>
      <c r="O14" s="11">
        <v>6.9713438064012062E-2</v>
      </c>
      <c r="P14" s="11"/>
      <c r="Q14" s="11"/>
    </row>
    <row r="15" spans="2:17" ht="19.5" thickBot="1" x14ac:dyDescent="0.45">
      <c r="B15" s="3" t="s">
        <v>29</v>
      </c>
      <c r="C15" s="9">
        <v>3.2531915555671553E-4</v>
      </c>
      <c r="D15" s="9">
        <v>195972.09426360697</v>
      </c>
      <c r="E15">
        <v>8045</v>
      </c>
      <c r="F15">
        <v>19.953499999999998</v>
      </c>
      <c r="G15">
        <f t="shared" si="1"/>
        <v>-8.0307038404003013</v>
      </c>
      <c r="H15">
        <f t="shared" si="0"/>
        <v>12.185727551870114</v>
      </c>
      <c r="I15">
        <f t="shared" si="0"/>
        <v>8.9928060594264831</v>
      </c>
      <c r="J15">
        <f t="shared" si="0"/>
        <v>2.9934045665448128</v>
      </c>
      <c r="K15" s="11"/>
      <c r="L15" s="12" t="s">
        <v>64</v>
      </c>
      <c r="M15" s="12">
        <v>19</v>
      </c>
      <c r="N15" s="12">
        <v>4.4233873568587923</v>
      </c>
      <c r="O15" s="12"/>
      <c r="P15" s="12"/>
      <c r="Q15" s="12"/>
    </row>
    <row r="16" spans="2:17" ht="19.5" thickBot="1" x14ac:dyDescent="0.45">
      <c r="B16" s="3" t="s">
        <v>30</v>
      </c>
      <c r="C16" s="9">
        <v>4.1850480823409444E-4</v>
      </c>
      <c r="D16" s="9">
        <v>110677.06433216372</v>
      </c>
      <c r="E16">
        <v>5980</v>
      </c>
      <c r="F16">
        <v>19.979500000000002</v>
      </c>
      <c r="G16">
        <f t="shared" si="1"/>
        <v>-7.7788221788914385</v>
      </c>
      <c r="H16">
        <f t="shared" si="0"/>
        <v>11.614371909625747</v>
      </c>
      <c r="I16">
        <f t="shared" si="0"/>
        <v>8.6961758469446782</v>
      </c>
      <c r="J16">
        <f t="shared" si="0"/>
        <v>2.9947067478822516</v>
      </c>
    </row>
    <row r="17" spans="2:20" x14ac:dyDescent="0.4">
      <c r="B17" s="3" t="s">
        <v>31</v>
      </c>
      <c r="C17" s="9">
        <v>4.586507713381417E-4</v>
      </c>
      <c r="D17" s="9">
        <v>193217.88719589091</v>
      </c>
      <c r="E17">
        <v>4934</v>
      </c>
      <c r="F17">
        <v>19.893999999999998</v>
      </c>
      <c r="G17">
        <f t="shared" si="1"/>
        <v>-7.6872214842523832</v>
      </c>
      <c r="H17">
        <f t="shared" si="0"/>
        <v>12.1715737803046</v>
      </c>
      <c r="I17">
        <f t="shared" si="0"/>
        <v>8.5039052970893021</v>
      </c>
      <c r="J17">
        <f t="shared" si="0"/>
        <v>2.9904181787302222</v>
      </c>
      <c r="K17" s="16"/>
      <c r="L17" s="13"/>
      <c r="M17" s="13" t="s">
        <v>69</v>
      </c>
      <c r="N17" s="13" t="s">
        <v>59</v>
      </c>
      <c r="O17" s="13" t="s">
        <v>70</v>
      </c>
      <c r="P17" s="13" t="s">
        <v>71</v>
      </c>
      <c r="Q17" s="13" t="s">
        <v>72</v>
      </c>
      <c r="R17" s="13" t="s">
        <v>73</v>
      </c>
      <c r="S17" s="13" t="s">
        <v>74</v>
      </c>
      <c r="T17" s="13" t="s">
        <v>75</v>
      </c>
    </row>
    <row r="18" spans="2:20" x14ac:dyDescent="0.4">
      <c r="B18" s="3" t="s">
        <v>32</v>
      </c>
      <c r="C18" s="9">
        <v>2.6183086578469508E-4</v>
      </c>
      <c r="D18" s="9">
        <v>53654.842905437246</v>
      </c>
      <c r="E18">
        <v>4234</v>
      </c>
      <c r="F18">
        <v>20.013500000000001</v>
      </c>
      <c r="G18">
        <f t="shared" si="1"/>
        <v>-8.2478118131006752</v>
      </c>
      <c r="H18">
        <f t="shared" si="0"/>
        <v>10.890327012492572</v>
      </c>
      <c r="I18">
        <f t="shared" si="0"/>
        <v>8.3509024516948109</v>
      </c>
      <c r="J18">
        <f t="shared" si="0"/>
        <v>2.9964070458439549</v>
      </c>
      <c r="K18" s="11"/>
      <c r="L18" s="11" t="s">
        <v>65</v>
      </c>
      <c r="M18" s="11">
        <v>3.1745852961804149</v>
      </c>
      <c r="N18" s="11">
        <v>12.386923653813495</v>
      </c>
      <c r="O18" s="11">
        <v>0.25628520728010401</v>
      </c>
      <c r="P18" s="11">
        <v>0.80099666514972578</v>
      </c>
      <c r="Q18" s="11">
        <v>-23.084519798587927</v>
      </c>
      <c r="R18" s="11">
        <v>29.433690390948755</v>
      </c>
      <c r="S18" s="11">
        <v>-23.084519798587927</v>
      </c>
      <c r="T18" s="11">
        <v>29.433690390948755</v>
      </c>
    </row>
    <row r="19" spans="2:20" x14ac:dyDescent="0.4">
      <c r="B19" s="3" t="s">
        <v>33</v>
      </c>
      <c r="C19" s="9">
        <v>3.7738113201579867E-4</v>
      </c>
      <c r="D19" s="9">
        <v>36613.208312560128</v>
      </c>
      <c r="E19">
        <v>3754</v>
      </c>
      <c r="F19">
        <v>20.263500000000001</v>
      </c>
      <c r="G19">
        <f t="shared" si="1"/>
        <v>-7.8822549209383199</v>
      </c>
      <c r="H19">
        <f t="shared" si="1"/>
        <v>10.508164337143736</v>
      </c>
      <c r="I19">
        <f t="shared" si="1"/>
        <v>8.230577217146454</v>
      </c>
      <c r="J19">
        <f t="shared" si="1"/>
        <v>3.0088212380957087</v>
      </c>
      <c r="K19" s="11"/>
      <c r="L19" s="11" t="s">
        <v>50</v>
      </c>
      <c r="M19" s="11">
        <v>0.32648779529728683</v>
      </c>
      <c r="N19" s="11">
        <v>9.3031969203900666E-2</v>
      </c>
      <c r="O19" s="11">
        <v>3.5094150762488403</v>
      </c>
      <c r="P19" s="11">
        <v>2.9051973156354973E-3</v>
      </c>
      <c r="Q19" s="11">
        <v>0.12926883078494922</v>
      </c>
      <c r="R19" s="11">
        <v>0.52370675980962444</v>
      </c>
      <c r="S19" s="11">
        <v>0.12926883078494922</v>
      </c>
      <c r="T19" s="11">
        <v>0.52370675980962444</v>
      </c>
    </row>
    <row r="20" spans="2:20" x14ac:dyDescent="0.4">
      <c r="B20" s="3" t="s">
        <v>34</v>
      </c>
      <c r="C20" s="9">
        <v>4.7705585919688963E-4</v>
      </c>
      <c r="D20" s="9">
        <v>37108.601176312841</v>
      </c>
      <c r="E20">
        <v>3424</v>
      </c>
      <c r="F20">
        <v>19.652999999999999</v>
      </c>
      <c r="G20">
        <f t="shared" si="1"/>
        <v>-7.6478769686976458</v>
      </c>
      <c r="H20">
        <f t="shared" si="1"/>
        <v>10.521604059361799</v>
      </c>
      <c r="I20">
        <f t="shared" si="1"/>
        <v>8.1385647372616319</v>
      </c>
      <c r="J20">
        <f t="shared" si="1"/>
        <v>2.9782299984178491</v>
      </c>
      <c r="K20" s="11"/>
      <c r="L20" s="11" t="s">
        <v>52</v>
      </c>
      <c r="M20" s="11">
        <v>-1.2700979487698398</v>
      </c>
      <c r="N20" s="11">
        <v>0.21567962097839391</v>
      </c>
      <c r="O20" s="11">
        <v>-5.8888176036672197</v>
      </c>
      <c r="P20" s="11">
        <v>2.2872460278885393E-5</v>
      </c>
      <c r="Q20" s="11">
        <v>-1.7273183202159688</v>
      </c>
      <c r="R20" s="11">
        <v>-0.8128775773237108</v>
      </c>
      <c r="S20" s="11">
        <v>-1.7273183202159688</v>
      </c>
      <c r="T20" s="11">
        <v>-0.8128775773237108</v>
      </c>
    </row>
    <row r="21" spans="2:20" ht="19.5" thickBot="1" x14ac:dyDescent="0.45">
      <c r="B21" s="3" t="s">
        <v>35</v>
      </c>
      <c r="C21" s="9">
        <v>5.8495885578036357E-4</v>
      </c>
      <c r="D21" s="9">
        <v>27096.28224758173</v>
      </c>
      <c r="E21">
        <v>2852</v>
      </c>
      <c r="F21">
        <v>19.533000000000001</v>
      </c>
      <c r="G21">
        <f t="shared" si="1"/>
        <v>-7.4439690452052067</v>
      </c>
      <c r="H21">
        <f t="shared" si="1"/>
        <v>10.207151811020774</v>
      </c>
      <c r="I21">
        <f t="shared" si="1"/>
        <v>7.9557757815341867</v>
      </c>
      <c r="J21">
        <f t="shared" si="1"/>
        <v>2.9721053429228346</v>
      </c>
      <c r="L21" s="12" t="s">
        <v>77</v>
      </c>
      <c r="M21" s="12">
        <v>-1.3324196048775376</v>
      </c>
      <c r="N21" s="12">
        <v>4.3212355646826079</v>
      </c>
      <c r="O21" s="12">
        <v>-0.30834227501212447</v>
      </c>
      <c r="P21" s="12">
        <v>0.76180005983886356</v>
      </c>
      <c r="Q21" s="12">
        <v>-10.49302977763155</v>
      </c>
      <c r="R21" s="12">
        <v>7.828190567876474</v>
      </c>
      <c r="S21" s="12">
        <v>-10.49302977763155</v>
      </c>
      <c r="T21" s="12">
        <v>7.828190567876474</v>
      </c>
    </row>
    <row r="22" spans="2:20" x14ac:dyDescent="0.4">
      <c r="B22" s="3" t="s">
        <v>36</v>
      </c>
      <c r="C22" s="9">
        <v>7.7887622187349469E-4</v>
      </c>
      <c r="D22" s="9">
        <v>81309.509977445603</v>
      </c>
      <c r="E22">
        <v>2749</v>
      </c>
      <c r="F22">
        <v>19.271000000000001</v>
      </c>
      <c r="G22">
        <f t="shared" si="1"/>
        <v>-7.1576584183339929</v>
      </c>
      <c r="H22">
        <f t="shared" si="1"/>
        <v>11.30601826258731</v>
      </c>
      <c r="I22">
        <f t="shared" si="1"/>
        <v>7.9189924881652454</v>
      </c>
      <c r="J22">
        <f t="shared" si="1"/>
        <v>2.9586013752157836</v>
      </c>
    </row>
    <row r="23" spans="2:20" x14ac:dyDescent="0.4">
      <c r="C23" s="9"/>
      <c r="D23" s="9"/>
    </row>
  </sheetData>
  <phoneticPr fontId="18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4"/>
  <sheetViews>
    <sheetView topLeftCell="F1" zoomScaleNormal="100" workbookViewId="0">
      <selection activeCell="V14" sqref="V14"/>
    </sheetView>
  </sheetViews>
  <sheetFormatPr defaultColWidth="9" defaultRowHeight="18.75" x14ac:dyDescent="0.4"/>
  <cols>
    <col min="1" max="1" width="9" style="17" customWidth="1"/>
    <col min="2" max="23" width="9" style="17"/>
    <col min="24" max="24" width="15.875" style="17" bestFit="1" customWidth="1"/>
    <col min="25" max="16384" width="9" style="17"/>
  </cols>
  <sheetData>
    <row r="2" spans="2:24" x14ac:dyDescent="0.4">
      <c r="B2" s="20" t="s">
        <v>79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2:24" x14ac:dyDescent="0.4">
      <c r="B3" s="21" t="s">
        <v>80</v>
      </c>
      <c r="C3" s="21">
        <v>1995</v>
      </c>
      <c r="D3" s="21">
        <v>1996</v>
      </c>
      <c r="E3" s="21">
        <v>1997</v>
      </c>
      <c r="F3" s="21">
        <v>1998</v>
      </c>
      <c r="G3" s="21">
        <v>1999</v>
      </c>
      <c r="H3" s="21">
        <v>2000</v>
      </c>
      <c r="I3" s="21">
        <v>2001</v>
      </c>
      <c r="J3" s="21">
        <v>2002</v>
      </c>
      <c r="K3" s="21">
        <v>2003</v>
      </c>
      <c r="L3" s="21">
        <v>2004</v>
      </c>
      <c r="M3" s="21">
        <v>2005</v>
      </c>
      <c r="N3" s="21">
        <v>2006</v>
      </c>
      <c r="O3" s="21">
        <v>2007</v>
      </c>
      <c r="P3" s="21">
        <v>2008</v>
      </c>
      <c r="Q3" s="21">
        <v>2009</v>
      </c>
      <c r="R3" s="21">
        <v>2010</v>
      </c>
      <c r="S3" s="21">
        <v>2011</v>
      </c>
      <c r="T3" s="21">
        <v>2012</v>
      </c>
      <c r="U3" s="21">
        <v>2013</v>
      </c>
      <c r="V3" s="21">
        <v>2014</v>
      </c>
      <c r="X3" s="19" t="s">
        <v>81</v>
      </c>
    </row>
    <row r="4" spans="2:24" x14ac:dyDescent="0.4">
      <c r="B4" s="22">
        <v>0</v>
      </c>
      <c r="C4" s="24">
        <v>54379</v>
      </c>
      <c r="D4" s="24">
        <v>70768</v>
      </c>
      <c r="E4" s="24">
        <v>195949</v>
      </c>
      <c r="F4" s="24">
        <v>56875</v>
      </c>
      <c r="G4" s="24">
        <v>447254</v>
      </c>
      <c r="H4" s="24">
        <v>96074</v>
      </c>
      <c r="I4" s="24">
        <v>232253</v>
      </c>
      <c r="J4" s="24">
        <v>51615</v>
      </c>
      <c r="K4" s="24">
        <v>13300</v>
      </c>
      <c r="L4" s="24">
        <v>25482</v>
      </c>
      <c r="M4" s="24">
        <v>46572</v>
      </c>
      <c r="N4" s="24">
        <v>128588</v>
      </c>
      <c r="O4" s="24">
        <v>81711</v>
      </c>
      <c r="P4" s="24">
        <v>62974</v>
      </c>
      <c r="Q4" s="24">
        <v>29210</v>
      </c>
      <c r="R4" s="24">
        <v>18468</v>
      </c>
      <c r="S4" s="24">
        <v>20470</v>
      </c>
      <c r="T4" s="24">
        <v>21058</v>
      </c>
      <c r="U4" s="24">
        <v>40701</v>
      </c>
      <c r="V4" s="24">
        <v>33075</v>
      </c>
      <c r="X4" s="23">
        <v>0.25</v>
      </c>
    </row>
    <row r="5" spans="2:24" x14ac:dyDescent="0.4">
      <c r="B5" s="22">
        <v>1</v>
      </c>
      <c r="C5" s="24">
        <v>77923</v>
      </c>
      <c r="D5" s="24">
        <v>34539</v>
      </c>
      <c r="E5" s="24">
        <v>37166</v>
      </c>
      <c r="F5" s="24">
        <v>78778</v>
      </c>
      <c r="G5" s="24">
        <v>37325</v>
      </c>
      <c r="H5" s="24">
        <v>382760</v>
      </c>
      <c r="I5" s="24">
        <v>121312</v>
      </c>
      <c r="J5" s="24">
        <v>542510</v>
      </c>
      <c r="K5" s="24">
        <v>133091</v>
      </c>
      <c r="L5" s="24">
        <v>27119</v>
      </c>
      <c r="M5" s="24">
        <v>45425</v>
      </c>
      <c r="N5" s="24">
        <v>130991</v>
      </c>
      <c r="O5" s="24">
        <v>214732</v>
      </c>
      <c r="P5" s="24">
        <v>113049</v>
      </c>
      <c r="Q5" s="24">
        <v>192037</v>
      </c>
      <c r="R5" s="24">
        <v>40929</v>
      </c>
      <c r="S5" s="24">
        <v>32587</v>
      </c>
      <c r="T5" s="24">
        <v>32663</v>
      </c>
      <c r="U5" s="24">
        <v>24439</v>
      </c>
      <c r="V5" s="24">
        <v>79419</v>
      </c>
      <c r="X5" s="17">
        <f>EXP(X4/2)</f>
        <v>1.1331484530668263</v>
      </c>
    </row>
    <row r="6" spans="2:24" x14ac:dyDescent="0.4">
      <c r="B6" s="22">
        <v>2</v>
      </c>
      <c r="C6" s="24">
        <v>13756</v>
      </c>
      <c r="D6" s="24">
        <v>9391</v>
      </c>
      <c r="E6" s="24">
        <v>8985</v>
      </c>
      <c r="F6" s="24">
        <v>7177</v>
      </c>
      <c r="G6" s="24">
        <v>6530</v>
      </c>
      <c r="H6" s="24">
        <v>5939</v>
      </c>
      <c r="I6" s="24">
        <v>36479</v>
      </c>
      <c r="J6" s="24">
        <v>19929</v>
      </c>
      <c r="K6" s="24">
        <v>68993</v>
      </c>
      <c r="L6" s="24">
        <v>23420</v>
      </c>
      <c r="M6" s="24">
        <v>2954</v>
      </c>
      <c r="N6" s="24">
        <v>5212</v>
      </c>
      <c r="O6" s="24">
        <v>16992</v>
      </c>
      <c r="P6" s="24">
        <v>16217</v>
      </c>
      <c r="Q6" s="24">
        <v>20560</v>
      </c>
      <c r="R6" s="24">
        <v>36571</v>
      </c>
      <c r="S6" s="24">
        <v>10993</v>
      </c>
      <c r="T6" s="24">
        <v>9138</v>
      </c>
      <c r="U6" s="24">
        <v>6143</v>
      </c>
      <c r="V6" s="24">
        <v>11003</v>
      </c>
    </row>
    <row r="7" spans="2:24" x14ac:dyDescent="0.4">
      <c r="B7" s="25" t="s">
        <v>82</v>
      </c>
      <c r="C7" s="31">
        <v>4808</v>
      </c>
      <c r="D7" s="31">
        <v>6014</v>
      </c>
      <c r="E7" s="31">
        <v>4651</v>
      </c>
      <c r="F7" s="31">
        <v>3864</v>
      </c>
      <c r="G7" s="31">
        <v>3213</v>
      </c>
      <c r="H7" s="31">
        <v>4349</v>
      </c>
      <c r="I7" s="31">
        <v>2904</v>
      </c>
      <c r="J7" s="31">
        <v>4854</v>
      </c>
      <c r="K7" s="31">
        <v>12989</v>
      </c>
      <c r="L7" s="31">
        <v>31882</v>
      </c>
      <c r="M7" s="31">
        <v>7733</v>
      </c>
      <c r="N7" s="31">
        <v>5339</v>
      </c>
      <c r="O7" s="31">
        <v>5119</v>
      </c>
      <c r="P7" s="31">
        <v>7327</v>
      </c>
      <c r="Q7" s="31">
        <v>6348</v>
      </c>
      <c r="R7" s="31">
        <v>12406</v>
      </c>
      <c r="S7" s="31">
        <v>11738</v>
      </c>
      <c r="T7" s="31">
        <v>8128</v>
      </c>
      <c r="U7" s="31">
        <v>5538</v>
      </c>
      <c r="V7" s="31">
        <v>5765</v>
      </c>
    </row>
    <row r="8" spans="2:24" x14ac:dyDescent="0.4">
      <c r="B8" s="22" t="s">
        <v>83</v>
      </c>
      <c r="C8" s="23">
        <f>SUM(C4:C7)</f>
        <v>150866</v>
      </c>
      <c r="D8" s="23">
        <f t="shared" ref="D8:V8" si="0">SUM(D4:D7)</f>
        <v>120712</v>
      </c>
      <c r="E8" s="23">
        <f t="shared" si="0"/>
        <v>246751</v>
      </c>
      <c r="F8" s="23">
        <f t="shared" si="0"/>
        <v>146694</v>
      </c>
      <c r="G8" s="23">
        <f t="shared" si="0"/>
        <v>494322</v>
      </c>
      <c r="H8" s="23">
        <f t="shared" si="0"/>
        <v>489122</v>
      </c>
      <c r="I8" s="23">
        <f t="shared" si="0"/>
        <v>392948</v>
      </c>
      <c r="J8" s="23">
        <f t="shared" si="0"/>
        <v>618908</v>
      </c>
      <c r="K8" s="23">
        <f t="shared" si="0"/>
        <v>228373</v>
      </c>
      <c r="L8" s="23">
        <f t="shared" si="0"/>
        <v>107903</v>
      </c>
      <c r="M8" s="23">
        <f t="shared" si="0"/>
        <v>102684</v>
      </c>
      <c r="N8" s="23">
        <f t="shared" si="0"/>
        <v>270130</v>
      </c>
      <c r="O8" s="23">
        <f t="shared" si="0"/>
        <v>318554</v>
      </c>
      <c r="P8" s="23">
        <f t="shared" si="0"/>
        <v>199567</v>
      </c>
      <c r="Q8" s="23">
        <f t="shared" si="0"/>
        <v>248155</v>
      </c>
      <c r="R8" s="23">
        <f t="shared" si="0"/>
        <v>108374</v>
      </c>
      <c r="S8" s="23">
        <f t="shared" si="0"/>
        <v>75788</v>
      </c>
      <c r="T8" s="23">
        <f t="shared" si="0"/>
        <v>70987</v>
      </c>
      <c r="U8" s="23">
        <f t="shared" si="0"/>
        <v>76821</v>
      </c>
      <c r="V8" s="23">
        <f t="shared" si="0"/>
        <v>129262</v>
      </c>
    </row>
    <row r="10" spans="2:24" x14ac:dyDescent="0.4">
      <c r="B10" s="17" t="s">
        <v>84</v>
      </c>
    </row>
    <row r="11" spans="2:24" x14ac:dyDescent="0.4">
      <c r="B11" s="21" t="s">
        <v>80</v>
      </c>
      <c r="C11" s="21">
        <v>1995</v>
      </c>
      <c r="D11" s="21">
        <v>1996</v>
      </c>
      <c r="E11" s="21">
        <v>1997</v>
      </c>
      <c r="F11" s="21">
        <v>1998</v>
      </c>
      <c r="G11" s="21">
        <v>1999</v>
      </c>
      <c r="H11" s="21">
        <v>2000</v>
      </c>
      <c r="I11" s="21">
        <v>2001</v>
      </c>
      <c r="J11" s="21">
        <v>2002</v>
      </c>
      <c r="K11" s="21">
        <v>2003</v>
      </c>
      <c r="L11" s="21">
        <v>2004</v>
      </c>
      <c r="M11" s="21">
        <v>2005</v>
      </c>
      <c r="N11" s="21">
        <v>2006</v>
      </c>
      <c r="O11" s="21">
        <v>2007</v>
      </c>
      <c r="P11" s="21">
        <v>2008</v>
      </c>
      <c r="Q11" s="21">
        <v>2009</v>
      </c>
      <c r="R11" s="21">
        <v>2010</v>
      </c>
      <c r="S11" s="21">
        <v>2011</v>
      </c>
      <c r="T11" s="21">
        <v>2012</v>
      </c>
      <c r="U11" s="21">
        <v>2013</v>
      </c>
      <c r="V11" s="21">
        <v>2014</v>
      </c>
    </row>
    <row r="12" spans="2:24" x14ac:dyDescent="0.4">
      <c r="B12" s="22">
        <v>0</v>
      </c>
      <c r="C12" s="23">
        <f t="shared" ref="C12:U12" si="1">-LN(1-C4*$X$5/C20)</f>
        <v>0.58577969373090566</v>
      </c>
      <c r="D12" s="23">
        <f t="shared" si="1"/>
        <v>0.71523987519244292</v>
      </c>
      <c r="E12" s="23">
        <f t="shared" si="1"/>
        <v>0.96250614866063799</v>
      </c>
      <c r="F12" s="23">
        <f t="shared" si="1"/>
        <v>0.64730084472157545</v>
      </c>
      <c r="G12" s="23">
        <f t="shared" si="1"/>
        <v>0.57763018477847428</v>
      </c>
      <c r="H12" s="23">
        <f t="shared" si="1"/>
        <v>0.35373632640188629</v>
      </c>
      <c r="I12" s="23">
        <f t="shared" si="1"/>
        <v>0.23167363312215608</v>
      </c>
      <c r="J12" s="23">
        <f t="shared" si="1"/>
        <v>0.20601243162074379</v>
      </c>
      <c r="K12" s="23">
        <f t="shared" si="1"/>
        <v>0.25327371464757847</v>
      </c>
      <c r="L12" s="23">
        <f t="shared" si="1"/>
        <v>0.28891565638016325</v>
      </c>
      <c r="M12" s="23">
        <f t="shared" si="1"/>
        <v>0.19517911791166273</v>
      </c>
      <c r="N12" s="23">
        <f t="shared" si="1"/>
        <v>0.33752050780812493</v>
      </c>
      <c r="O12" s="23">
        <f t="shared" si="1"/>
        <v>0.32802730985190887</v>
      </c>
      <c r="P12" s="23">
        <f t="shared" si="1"/>
        <v>0.16947904161776117</v>
      </c>
      <c r="Q12" s="23">
        <f t="shared" si="1"/>
        <v>0.29281435768182629</v>
      </c>
      <c r="R12" s="23">
        <f t="shared" si="1"/>
        <v>0.23614904815249058</v>
      </c>
      <c r="S12" s="23">
        <f t="shared" si="1"/>
        <v>0.28441489046696183</v>
      </c>
      <c r="T12" s="23">
        <f t="shared" si="1"/>
        <v>0.30047981412912755</v>
      </c>
      <c r="U12" s="23">
        <f t="shared" si="1"/>
        <v>0.21622180436588143</v>
      </c>
      <c r="V12" s="27">
        <f>AVERAGE(S12:U12)</f>
        <v>0.26703883632065695</v>
      </c>
    </row>
    <row r="13" spans="2:24" x14ac:dyDescent="0.4">
      <c r="B13" s="22">
        <v>1</v>
      </c>
      <c r="C13" s="23">
        <f t="shared" ref="C13:U13" si="2">-LN(1-C5*$X$5/C21)</f>
        <v>1.6041322592798832</v>
      </c>
      <c r="D13" s="23">
        <f t="shared" si="2"/>
        <v>1.0483919768884999</v>
      </c>
      <c r="E13" s="23">
        <f t="shared" si="2"/>
        <v>1.2189963886304542</v>
      </c>
      <c r="F13" s="23">
        <f t="shared" si="2"/>
        <v>1.8040811052121075</v>
      </c>
      <c r="G13" s="23">
        <f t="shared" si="2"/>
        <v>1.4573094802529178</v>
      </c>
      <c r="H13" s="23">
        <f t="shared" si="2"/>
        <v>1.959759803206232</v>
      </c>
      <c r="I13" s="23">
        <f t="shared" si="2"/>
        <v>1.1649427076508905</v>
      </c>
      <c r="J13" s="23">
        <f t="shared" si="2"/>
        <v>1.522995848477779</v>
      </c>
      <c r="K13" s="23">
        <f t="shared" si="2"/>
        <v>1.4164653829817877</v>
      </c>
      <c r="L13" s="23">
        <f t="shared" si="2"/>
        <v>1.4050557184739187</v>
      </c>
      <c r="M13" s="23">
        <f t="shared" si="2"/>
        <v>1.4556369199696986</v>
      </c>
      <c r="N13" s="23">
        <f t="shared" si="2"/>
        <v>1.5068202706355989</v>
      </c>
      <c r="O13" s="23">
        <f t="shared" si="2"/>
        <v>1.9721141409167713</v>
      </c>
      <c r="P13" s="23">
        <f t="shared" si="2"/>
        <v>1.1701399675719109</v>
      </c>
      <c r="Q13" s="23">
        <f t="shared" si="2"/>
        <v>1.2843179714491559</v>
      </c>
      <c r="R13" s="23">
        <f t="shared" si="2"/>
        <v>0.94692570339127791</v>
      </c>
      <c r="S13" s="23">
        <f t="shared" si="2"/>
        <v>0.92506112614432479</v>
      </c>
      <c r="T13" s="23">
        <f t="shared" si="2"/>
        <v>1.120986406666131</v>
      </c>
      <c r="U13" s="23">
        <f t="shared" si="2"/>
        <v>0.73881304317815755</v>
      </c>
      <c r="V13" s="27">
        <f>AVERAGE(S13:U13)</f>
        <v>0.92828685866287108</v>
      </c>
    </row>
    <row r="14" spans="2:24" x14ac:dyDescent="0.4">
      <c r="B14" s="22">
        <v>2</v>
      </c>
      <c r="C14" s="23">
        <f t="shared" ref="C14:U14" si="3">-LN(1-C6*$X$5/C22)</f>
        <v>0.90753100746485738</v>
      </c>
      <c r="D14" s="23">
        <f t="shared" si="3"/>
        <v>0.95422690623045314</v>
      </c>
      <c r="E14" s="23">
        <f t="shared" si="3"/>
        <v>0.96488367429947819</v>
      </c>
      <c r="F14" s="23">
        <f t="shared" si="3"/>
        <v>0.89421070108556655</v>
      </c>
      <c r="G14" s="23">
        <f t="shared" si="3"/>
        <v>0.77672260648624136</v>
      </c>
      <c r="H14" s="23">
        <f t="shared" si="3"/>
        <v>1.1180181309405597</v>
      </c>
      <c r="I14" s="23">
        <f t="shared" si="3"/>
        <v>1.3711766024320653</v>
      </c>
      <c r="J14" s="23">
        <f t="shared" si="3"/>
        <v>0.62600230473699969</v>
      </c>
      <c r="K14" s="23">
        <f t="shared" si="3"/>
        <v>0.88083661261950152</v>
      </c>
      <c r="L14" s="23">
        <f t="shared" si="3"/>
        <v>1.2225891828041002</v>
      </c>
      <c r="M14" s="23">
        <f t="shared" si="3"/>
        <v>0.56245526759801134</v>
      </c>
      <c r="N14" s="23">
        <f t="shared" si="3"/>
        <v>0.66222250039580555</v>
      </c>
      <c r="O14" s="23">
        <f t="shared" si="3"/>
        <v>0.87954104039220526</v>
      </c>
      <c r="P14" s="23">
        <f t="shared" si="3"/>
        <v>0.91593048655612364</v>
      </c>
      <c r="Q14" s="23">
        <f t="shared" si="3"/>
        <v>0.73187162413846729</v>
      </c>
      <c r="R14" s="23">
        <f t="shared" si="3"/>
        <v>1.018191700006051</v>
      </c>
      <c r="S14" s="23">
        <f t="shared" si="3"/>
        <v>0.78554886479582664</v>
      </c>
      <c r="T14" s="23">
        <f t="shared" si="3"/>
        <v>0.7941314029259412</v>
      </c>
      <c r="U14" s="23">
        <f t="shared" si="3"/>
        <v>0.69188961782044656</v>
      </c>
      <c r="V14" s="30">
        <v>1</v>
      </c>
      <c r="X14" s="18" t="s">
        <v>85</v>
      </c>
    </row>
    <row r="15" spans="2:24" x14ac:dyDescent="0.4">
      <c r="B15" s="25" t="s">
        <v>82</v>
      </c>
      <c r="C15" s="26">
        <f t="shared" ref="C15:T15" si="4">C14</f>
        <v>0.90753100746485738</v>
      </c>
      <c r="D15" s="26">
        <f t="shared" si="4"/>
        <v>0.95422690623045314</v>
      </c>
      <c r="E15" s="26">
        <f t="shared" si="4"/>
        <v>0.96488367429947819</v>
      </c>
      <c r="F15" s="26">
        <f t="shared" si="4"/>
        <v>0.89421070108556655</v>
      </c>
      <c r="G15" s="26">
        <f t="shared" si="4"/>
        <v>0.77672260648624136</v>
      </c>
      <c r="H15" s="26">
        <f t="shared" si="4"/>
        <v>1.1180181309405597</v>
      </c>
      <c r="I15" s="26">
        <f t="shared" si="4"/>
        <v>1.3711766024320653</v>
      </c>
      <c r="J15" s="26">
        <f t="shared" si="4"/>
        <v>0.62600230473699969</v>
      </c>
      <c r="K15" s="26">
        <f t="shared" si="4"/>
        <v>0.88083661261950152</v>
      </c>
      <c r="L15" s="26">
        <f t="shared" si="4"/>
        <v>1.2225891828041002</v>
      </c>
      <c r="M15" s="26">
        <f t="shared" si="4"/>
        <v>0.56245526759801134</v>
      </c>
      <c r="N15" s="26">
        <f t="shared" si="4"/>
        <v>0.66222250039580555</v>
      </c>
      <c r="O15" s="26">
        <f t="shared" si="4"/>
        <v>0.87954104039220526</v>
      </c>
      <c r="P15" s="26">
        <f t="shared" si="4"/>
        <v>0.91593048655612364</v>
      </c>
      <c r="Q15" s="26">
        <f t="shared" si="4"/>
        <v>0.73187162413846729</v>
      </c>
      <c r="R15" s="26">
        <f t="shared" si="4"/>
        <v>1.018191700006051</v>
      </c>
      <c r="S15" s="26">
        <f t="shared" si="4"/>
        <v>0.78554886479582664</v>
      </c>
      <c r="T15" s="26">
        <f t="shared" si="4"/>
        <v>0.7941314029259412</v>
      </c>
      <c r="U15" s="26">
        <f>U14</f>
        <v>0.69188961782044656</v>
      </c>
      <c r="V15" s="28">
        <f>AVERAGE(S15:U15)</f>
        <v>0.75718996184740472</v>
      </c>
      <c r="X15" s="18">
        <f>V14/V15</f>
        <v>1.3206725529749275</v>
      </c>
    </row>
    <row r="16" spans="2:24" x14ac:dyDescent="0.4">
      <c r="B16" s="22" t="s">
        <v>86</v>
      </c>
      <c r="C16" s="22">
        <f t="shared" ref="C16:V16" si="5">MAX(C12:C15)</f>
        <v>1.6041322592798832</v>
      </c>
      <c r="D16" s="22">
        <f t="shared" si="5"/>
        <v>1.0483919768884999</v>
      </c>
      <c r="E16" s="22">
        <f t="shared" si="5"/>
        <v>1.2189963886304542</v>
      </c>
      <c r="F16" s="22">
        <f t="shared" si="5"/>
        <v>1.8040811052121075</v>
      </c>
      <c r="G16" s="22">
        <f t="shared" si="5"/>
        <v>1.4573094802529178</v>
      </c>
      <c r="H16" s="22">
        <f t="shared" si="5"/>
        <v>1.959759803206232</v>
      </c>
      <c r="I16" s="22">
        <f t="shared" si="5"/>
        <v>1.3711766024320653</v>
      </c>
      <c r="J16" s="22">
        <f t="shared" si="5"/>
        <v>1.522995848477779</v>
      </c>
      <c r="K16" s="22">
        <f t="shared" si="5"/>
        <v>1.4164653829817877</v>
      </c>
      <c r="L16" s="22">
        <f t="shared" si="5"/>
        <v>1.4050557184739187</v>
      </c>
      <c r="M16" s="22">
        <f t="shared" si="5"/>
        <v>1.4556369199696986</v>
      </c>
      <c r="N16" s="22">
        <f t="shared" si="5"/>
        <v>1.5068202706355989</v>
      </c>
      <c r="O16" s="22">
        <f t="shared" si="5"/>
        <v>1.9721141409167713</v>
      </c>
      <c r="P16" s="22">
        <f t="shared" si="5"/>
        <v>1.1701399675719109</v>
      </c>
      <c r="Q16" s="22">
        <f t="shared" si="5"/>
        <v>1.2843179714491559</v>
      </c>
      <c r="R16" s="22">
        <f t="shared" si="5"/>
        <v>1.018191700006051</v>
      </c>
      <c r="S16" s="22">
        <f t="shared" si="5"/>
        <v>0.92506112614432479</v>
      </c>
      <c r="T16" s="22">
        <f t="shared" si="5"/>
        <v>1.120986406666131</v>
      </c>
      <c r="U16" s="22">
        <f t="shared" si="5"/>
        <v>0.73881304317815755</v>
      </c>
      <c r="V16" s="22">
        <f t="shared" si="5"/>
        <v>1</v>
      </c>
    </row>
    <row r="18" spans="2:22" x14ac:dyDescent="0.4">
      <c r="B18" s="20" t="s">
        <v>87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2:22" x14ac:dyDescent="0.4">
      <c r="B19" s="21" t="s">
        <v>80</v>
      </c>
      <c r="C19" s="21">
        <v>1995</v>
      </c>
      <c r="D19" s="21">
        <v>1996</v>
      </c>
      <c r="E19" s="21">
        <v>1997</v>
      </c>
      <c r="F19" s="21">
        <v>1998</v>
      </c>
      <c r="G19" s="21">
        <v>1999</v>
      </c>
      <c r="H19" s="21">
        <v>2000</v>
      </c>
      <c r="I19" s="21">
        <v>2001</v>
      </c>
      <c r="J19" s="21">
        <v>2002</v>
      </c>
      <c r="K19" s="21">
        <v>2003</v>
      </c>
      <c r="L19" s="21">
        <v>2004</v>
      </c>
      <c r="M19" s="21">
        <v>2005</v>
      </c>
      <c r="N19" s="21">
        <v>2006</v>
      </c>
      <c r="O19" s="21">
        <v>2007</v>
      </c>
      <c r="P19" s="21">
        <v>2008</v>
      </c>
      <c r="Q19" s="21">
        <v>2009</v>
      </c>
      <c r="R19" s="21">
        <v>2010</v>
      </c>
      <c r="S19" s="21">
        <v>2011</v>
      </c>
      <c r="T19" s="21">
        <v>2012</v>
      </c>
      <c r="U19" s="21">
        <v>2013</v>
      </c>
      <c r="V19" s="21">
        <v>2014</v>
      </c>
    </row>
    <row r="20" spans="2:22" x14ac:dyDescent="0.4">
      <c r="B20" s="22">
        <v>0</v>
      </c>
      <c r="C20" s="23">
        <f t="shared" ref="C20:U20" si="6">(D21*$X$5+C4)*$X$5</f>
        <v>138992.87289506756</v>
      </c>
      <c r="D20" s="23">
        <f t="shared" si="6"/>
        <v>156951.83309783528</v>
      </c>
      <c r="E20" s="23">
        <f t="shared" si="6"/>
        <v>359248.82808909757</v>
      </c>
      <c r="F20" s="23">
        <f t="shared" si="6"/>
        <v>135240.23263985975</v>
      </c>
      <c r="G20" s="23">
        <f t="shared" si="6"/>
        <v>1155050.429787769</v>
      </c>
      <c r="H20" s="23">
        <f t="shared" si="6"/>
        <v>365396.1386404268</v>
      </c>
      <c r="I20" s="23">
        <f t="shared" si="6"/>
        <v>1272647.1762336639</v>
      </c>
      <c r="J20" s="23">
        <f t="shared" si="6"/>
        <v>314149.67772903823</v>
      </c>
      <c r="K20" s="23">
        <f t="shared" si="6"/>
        <v>67357.48302819769</v>
      </c>
      <c r="L20" s="23">
        <f t="shared" si="6"/>
        <v>115073.95792811665</v>
      </c>
      <c r="M20" s="23">
        <f t="shared" si="6"/>
        <v>297626.65526076965</v>
      </c>
      <c r="N20" s="23">
        <f t="shared" si="6"/>
        <v>508650.21650798159</v>
      </c>
      <c r="O20" s="23">
        <f t="shared" si="6"/>
        <v>331087.03921113745</v>
      </c>
      <c r="P20" s="23">
        <f t="shared" si="6"/>
        <v>457735.25003692444</v>
      </c>
      <c r="Q20" s="23">
        <f t="shared" si="6"/>
        <v>130394.5424580054</v>
      </c>
      <c r="R20" s="23">
        <f t="shared" si="6"/>
        <v>99492.63507261427</v>
      </c>
      <c r="S20" s="23">
        <f t="shared" si="6"/>
        <v>93702.122968598997</v>
      </c>
      <c r="T20" s="23">
        <f t="shared" si="6"/>
        <v>91939.979332263683</v>
      </c>
      <c r="U20" s="23">
        <f t="shared" si="6"/>
        <v>237191.26816033587</v>
      </c>
      <c r="V20" s="33">
        <f>V4*$X$5/(1-EXP(-V12))</f>
        <v>159922.42108393385</v>
      </c>
    </row>
    <row r="21" spans="2:22" x14ac:dyDescent="0.4">
      <c r="B21" s="22">
        <v>1</v>
      </c>
      <c r="C21" s="23">
        <f t="shared" ref="C21:U21" si="7">(D22*$X$5+C5)*$X$5</f>
        <v>110519.89327043686</v>
      </c>
      <c r="D21" s="23">
        <f t="shared" si="7"/>
        <v>60258.459186375141</v>
      </c>
      <c r="E21" s="23">
        <f t="shared" si="7"/>
        <v>59781.669718979916</v>
      </c>
      <c r="F21" s="23">
        <f t="shared" si="7"/>
        <v>106858.88306872481</v>
      </c>
      <c r="G21" s="23">
        <f t="shared" si="7"/>
        <v>55133.187748182871</v>
      </c>
      <c r="H21" s="23">
        <f t="shared" si="7"/>
        <v>504853.90953710669</v>
      </c>
      <c r="I21" s="23">
        <f t="shared" si="7"/>
        <v>199785.79148551958</v>
      </c>
      <c r="J21" s="23">
        <f t="shared" si="7"/>
        <v>786176.0643084097</v>
      </c>
      <c r="K21" s="23">
        <f t="shared" si="7"/>
        <v>199109.93739010056</v>
      </c>
      <c r="L21" s="23">
        <f t="shared" si="7"/>
        <v>40720.851723704101</v>
      </c>
      <c r="M21" s="23">
        <f t="shared" si="7"/>
        <v>67131.902473882481</v>
      </c>
      <c r="N21" s="23">
        <f t="shared" si="7"/>
        <v>190692.22643284066</v>
      </c>
      <c r="O21" s="23">
        <f t="shared" si="7"/>
        <v>282658.67521630775</v>
      </c>
      <c r="P21" s="23">
        <f t="shared" si="7"/>
        <v>185741.14099533687</v>
      </c>
      <c r="Q21" s="23">
        <f t="shared" si="7"/>
        <v>300910.21122477978</v>
      </c>
      <c r="R21" s="23">
        <f t="shared" si="7"/>
        <v>75773.637250036118</v>
      </c>
      <c r="S21" s="23">
        <f t="shared" si="7"/>
        <v>61186.989307457196</v>
      </c>
      <c r="T21" s="23">
        <f t="shared" si="7"/>
        <v>54910.575147491298</v>
      </c>
      <c r="U21" s="23">
        <f t="shared" si="7"/>
        <v>53019.30812490933</v>
      </c>
      <c r="V21" s="33">
        <f>V5*$X$5/(1-EXP(-V13))</f>
        <v>148806.23894887354</v>
      </c>
    </row>
    <row r="22" spans="2:22" x14ac:dyDescent="0.4">
      <c r="B22" s="22">
        <v>2</v>
      </c>
      <c r="C22" s="23">
        <f t="shared" ref="C22:U22" si="8">(C6/SUM(C6:C7)*D23*$X$5+C6)*$X$5</f>
        <v>26132.596796170179</v>
      </c>
      <c r="D22" s="23">
        <f t="shared" si="8"/>
        <v>17306.173283884887</v>
      </c>
      <c r="E22" s="23">
        <f t="shared" si="8"/>
        <v>16448.774682655912</v>
      </c>
      <c r="F22" s="23">
        <f t="shared" si="8"/>
        <v>13759.131308998578</v>
      </c>
      <c r="G22" s="23">
        <f t="shared" si="8"/>
        <v>13700.440820249301</v>
      </c>
      <c r="H22" s="23">
        <f t="shared" si="8"/>
        <v>9998.5729025375822</v>
      </c>
      <c r="I22" s="23">
        <f t="shared" si="8"/>
        <v>55396.105650879123</v>
      </c>
      <c r="J22" s="23">
        <f t="shared" si="8"/>
        <v>48535.866609120625</v>
      </c>
      <c r="K22" s="23">
        <f t="shared" si="8"/>
        <v>133511.1398942158</v>
      </c>
      <c r="L22" s="23">
        <f t="shared" si="8"/>
        <v>37614.579894822309</v>
      </c>
      <c r="M22" s="23">
        <f t="shared" si="8"/>
        <v>7780.997708563681</v>
      </c>
      <c r="N22" s="23">
        <f t="shared" si="8"/>
        <v>12194.956415827612</v>
      </c>
      <c r="O22" s="23">
        <f t="shared" si="8"/>
        <v>32912.103505067229</v>
      </c>
      <c r="P22" s="23">
        <f t="shared" si="8"/>
        <v>30634.472714591033</v>
      </c>
      <c r="Q22" s="23">
        <f t="shared" si="8"/>
        <v>44889.953715458658</v>
      </c>
      <c r="R22" s="23">
        <f t="shared" si="8"/>
        <v>64877.050454402408</v>
      </c>
      <c r="S22" s="23">
        <f t="shared" si="8"/>
        <v>22892.852300611787</v>
      </c>
      <c r="T22" s="23">
        <f t="shared" si="8"/>
        <v>18894.548621905131</v>
      </c>
      <c r="U22" s="23">
        <f t="shared" si="8"/>
        <v>13939.402594646805</v>
      </c>
      <c r="V22" s="33">
        <f>V6*$X$5/(1-EXP(-V14))</f>
        <v>19724.136883318555</v>
      </c>
    </row>
    <row r="23" spans="2:22" x14ac:dyDescent="0.4">
      <c r="B23" s="25" t="s">
        <v>88</v>
      </c>
      <c r="C23" s="28">
        <f t="shared" ref="C23:U23" si="9">C22*C7/C6</f>
        <v>9133.8707034011495</v>
      </c>
      <c r="D23" s="28">
        <f t="shared" si="9"/>
        <v>11082.880005247973</v>
      </c>
      <c r="E23" s="28">
        <f t="shared" si="9"/>
        <v>8514.5521479168219</v>
      </c>
      <c r="F23" s="28">
        <f t="shared" si="9"/>
        <v>7407.7307200739169</v>
      </c>
      <c r="G23" s="28">
        <f t="shared" si="9"/>
        <v>6741.1204219695264</v>
      </c>
      <c r="H23" s="28">
        <f t="shared" si="9"/>
        <v>7321.7365807603883</v>
      </c>
      <c r="I23" s="28">
        <f t="shared" si="9"/>
        <v>4409.9424548412235</v>
      </c>
      <c r="J23" s="28">
        <f t="shared" si="9"/>
        <v>11821.621582651991</v>
      </c>
      <c r="K23" s="28">
        <f t="shared" si="9"/>
        <v>25135.53833122156</v>
      </c>
      <c r="L23" s="28">
        <f t="shared" si="9"/>
        <v>51205.296165957508</v>
      </c>
      <c r="M23" s="28">
        <f t="shared" si="9"/>
        <v>20369.145321707158</v>
      </c>
      <c r="N23" s="28">
        <f t="shared" si="9"/>
        <v>12492.109037625407</v>
      </c>
      <c r="O23" s="28">
        <f t="shared" si="9"/>
        <v>9915.0810877141685</v>
      </c>
      <c r="P23" s="28">
        <f t="shared" si="9"/>
        <v>13840.95588455377</v>
      </c>
      <c r="Q23" s="28">
        <f t="shared" si="9"/>
        <v>13859.991545998615</v>
      </c>
      <c r="R23" s="28">
        <f t="shared" si="9"/>
        <v>22008.276720278809</v>
      </c>
      <c r="S23" s="28">
        <f t="shared" si="9"/>
        <v>24444.310043171216</v>
      </c>
      <c r="T23" s="28">
        <f t="shared" si="9"/>
        <v>16806.182009065978</v>
      </c>
      <c r="U23" s="28">
        <f t="shared" si="9"/>
        <v>12566.565451595965</v>
      </c>
      <c r="V23" s="28">
        <f>V22*V7/V6</f>
        <v>10334.422351388846</v>
      </c>
    </row>
    <row r="24" spans="2:22" x14ac:dyDescent="0.4">
      <c r="B24" s="22" t="s">
        <v>83</v>
      </c>
      <c r="C24" s="22">
        <f t="shared" ref="C24:U24" si="10">SUM(C20:C23)</f>
        <v>284779.23366507574</v>
      </c>
      <c r="D24" s="22">
        <f t="shared" si="10"/>
        <v>245599.34557334328</v>
      </c>
      <c r="E24" s="22">
        <f t="shared" si="10"/>
        <v>443993.82463865023</v>
      </c>
      <c r="F24" s="22">
        <f t="shared" si="10"/>
        <v>263265.97773765703</v>
      </c>
      <c r="G24" s="22">
        <f t="shared" si="10"/>
        <v>1230625.1787781706</v>
      </c>
      <c r="H24" s="22">
        <f t="shared" si="10"/>
        <v>887570.35766083142</v>
      </c>
      <c r="I24" s="22">
        <f t="shared" si="10"/>
        <v>1532239.015824904</v>
      </c>
      <c r="J24" s="22">
        <f t="shared" si="10"/>
        <v>1160683.2302292204</v>
      </c>
      <c r="K24" s="22">
        <f t="shared" si="10"/>
        <v>425114.09864373558</v>
      </c>
      <c r="L24" s="22">
        <f t="shared" si="10"/>
        <v>244614.68571260059</v>
      </c>
      <c r="M24" s="22">
        <f t="shared" si="10"/>
        <v>392908.70076492301</v>
      </c>
      <c r="N24" s="22">
        <f t="shared" si="10"/>
        <v>724029.50839427521</v>
      </c>
      <c r="O24" s="22">
        <f t="shared" si="10"/>
        <v>656572.89902022656</v>
      </c>
      <c r="P24" s="22">
        <f t="shared" si="10"/>
        <v>687951.81963140611</v>
      </c>
      <c r="Q24" s="22">
        <f t="shared" si="10"/>
        <v>490054.69894424244</v>
      </c>
      <c r="R24" s="22">
        <f t="shared" si="10"/>
        <v>262151.5994973316</v>
      </c>
      <c r="S24" s="22">
        <f t="shared" si="10"/>
        <v>202226.27461983921</v>
      </c>
      <c r="T24" s="22">
        <f t="shared" si="10"/>
        <v>182551.28511072611</v>
      </c>
      <c r="U24" s="22">
        <f t="shared" si="10"/>
        <v>316716.54433148797</v>
      </c>
      <c r="V24" s="22">
        <f>SUM(V20:V23)</f>
        <v>338787.21926751477</v>
      </c>
    </row>
  </sheetData>
  <phoneticPr fontId="18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9"/>
  <sheetViews>
    <sheetView tabSelected="1" workbookViewId="0">
      <selection activeCell="I25" sqref="I25"/>
    </sheetView>
  </sheetViews>
  <sheetFormatPr defaultColWidth="9" defaultRowHeight="18.75" x14ac:dyDescent="0.4"/>
  <cols>
    <col min="1" max="1" width="9" style="17" customWidth="1"/>
    <col min="2" max="2" width="12.375" style="17" bestFit="1" customWidth="1"/>
    <col min="3" max="23" width="9" style="17"/>
    <col min="24" max="24" width="31.75" style="17" bestFit="1" customWidth="1"/>
    <col min="25" max="16384" width="9" style="17"/>
  </cols>
  <sheetData>
    <row r="2" spans="2:24" x14ac:dyDescent="0.4">
      <c r="B2" s="20" t="s">
        <v>79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2:24" x14ac:dyDescent="0.4">
      <c r="B3" s="21" t="s">
        <v>80</v>
      </c>
      <c r="C3" s="21">
        <v>1995</v>
      </c>
      <c r="D3" s="21">
        <v>1996</v>
      </c>
      <c r="E3" s="21">
        <v>1997</v>
      </c>
      <c r="F3" s="21">
        <v>1998</v>
      </c>
      <c r="G3" s="21">
        <v>1999</v>
      </c>
      <c r="H3" s="21">
        <v>2000</v>
      </c>
      <c r="I3" s="21">
        <v>2001</v>
      </c>
      <c r="J3" s="21">
        <v>2002</v>
      </c>
      <c r="K3" s="21">
        <v>2003</v>
      </c>
      <c r="L3" s="21">
        <v>2004</v>
      </c>
      <c r="M3" s="21">
        <v>2005</v>
      </c>
      <c r="N3" s="21">
        <v>2006</v>
      </c>
      <c r="O3" s="21">
        <v>2007</v>
      </c>
      <c r="P3" s="21">
        <v>2008</v>
      </c>
      <c r="Q3" s="21">
        <v>2009</v>
      </c>
      <c r="R3" s="21">
        <v>2010</v>
      </c>
      <c r="S3" s="21">
        <v>2011</v>
      </c>
      <c r="T3" s="21">
        <v>2012</v>
      </c>
      <c r="U3" s="21">
        <v>2013</v>
      </c>
      <c r="V3" s="21">
        <v>2014</v>
      </c>
      <c r="X3" s="17" t="s">
        <v>81</v>
      </c>
    </row>
    <row r="4" spans="2:24" x14ac:dyDescent="0.4">
      <c r="B4" s="22">
        <v>0</v>
      </c>
      <c r="C4" s="24">
        <v>54379</v>
      </c>
      <c r="D4" s="24">
        <v>70768</v>
      </c>
      <c r="E4" s="24">
        <v>195949</v>
      </c>
      <c r="F4" s="24">
        <v>56875</v>
      </c>
      <c r="G4" s="24">
        <v>447254</v>
      </c>
      <c r="H4" s="24">
        <v>96074</v>
      </c>
      <c r="I4" s="24">
        <v>232253</v>
      </c>
      <c r="J4" s="24">
        <v>51615</v>
      </c>
      <c r="K4" s="24">
        <v>13300</v>
      </c>
      <c r="L4" s="24">
        <v>25482</v>
      </c>
      <c r="M4" s="24">
        <v>46572</v>
      </c>
      <c r="N4" s="24">
        <v>128588</v>
      </c>
      <c r="O4" s="24">
        <v>81711</v>
      </c>
      <c r="P4" s="24">
        <v>62974</v>
      </c>
      <c r="Q4" s="24">
        <v>29210</v>
      </c>
      <c r="R4" s="24">
        <v>18468</v>
      </c>
      <c r="S4" s="24">
        <v>20470</v>
      </c>
      <c r="T4" s="24">
        <v>21058</v>
      </c>
      <c r="U4" s="24">
        <v>40701</v>
      </c>
      <c r="V4" s="24">
        <v>33075</v>
      </c>
      <c r="X4" s="23">
        <v>0.25</v>
      </c>
    </row>
    <row r="5" spans="2:24" x14ac:dyDescent="0.4">
      <c r="B5" s="22">
        <v>1</v>
      </c>
      <c r="C5" s="24">
        <v>77923</v>
      </c>
      <c r="D5" s="24">
        <v>34539</v>
      </c>
      <c r="E5" s="24">
        <v>37166</v>
      </c>
      <c r="F5" s="24">
        <v>78778</v>
      </c>
      <c r="G5" s="24">
        <v>37325</v>
      </c>
      <c r="H5" s="24">
        <v>382760</v>
      </c>
      <c r="I5" s="24">
        <v>121312</v>
      </c>
      <c r="J5" s="24">
        <v>542510</v>
      </c>
      <c r="K5" s="24">
        <v>133091</v>
      </c>
      <c r="L5" s="24">
        <v>27119</v>
      </c>
      <c r="M5" s="24">
        <v>45425</v>
      </c>
      <c r="N5" s="24">
        <v>130991</v>
      </c>
      <c r="O5" s="24">
        <v>214732</v>
      </c>
      <c r="P5" s="24">
        <v>113049</v>
      </c>
      <c r="Q5" s="24">
        <v>192037</v>
      </c>
      <c r="R5" s="24">
        <v>40929</v>
      </c>
      <c r="S5" s="24">
        <v>32587</v>
      </c>
      <c r="T5" s="24">
        <v>32663</v>
      </c>
      <c r="U5" s="24">
        <v>24439</v>
      </c>
      <c r="V5" s="24">
        <v>79419</v>
      </c>
      <c r="X5" s="17">
        <f>EXP(X4/2)</f>
        <v>1.1331484530668263</v>
      </c>
    </row>
    <row r="6" spans="2:24" x14ac:dyDescent="0.4">
      <c r="B6" s="22">
        <v>2</v>
      </c>
      <c r="C6" s="24">
        <v>13756</v>
      </c>
      <c r="D6" s="24">
        <v>9391</v>
      </c>
      <c r="E6" s="24">
        <v>8985</v>
      </c>
      <c r="F6" s="24">
        <v>7177</v>
      </c>
      <c r="G6" s="24">
        <v>6530</v>
      </c>
      <c r="H6" s="24">
        <v>5939</v>
      </c>
      <c r="I6" s="24">
        <v>36479</v>
      </c>
      <c r="J6" s="24">
        <v>19929</v>
      </c>
      <c r="K6" s="24">
        <v>68993</v>
      </c>
      <c r="L6" s="24">
        <v>23420</v>
      </c>
      <c r="M6" s="24">
        <v>2954</v>
      </c>
      <c r="N6" s="24">
        <v>5212</v>
      </c>
      <c r="O6" s="24">
        <v>16992</v>
      </c>
      <c r="P6" s="24">
        <v>16217</v>
      </c>
      <c r="Q6" s="24">
        <v>20560</v>
      </c>
      <c r="R6" s="24">
        <v>36571</v>
      </c>
      <c r="S6" s="24">
        <v>10993</v>
      </c>
      <c r="T6" s="24">
        <v>9138</v>
      </c>
      <c r="U6" s="24">
        <v>6143</v>
      </c>
      <c r="V6" s="24">
        <v>11003</v>
      </c>
    </row>
    <row r="7" spans="2:24" x14ac:dyDescent="0.4">
      <c r="B7" s="25" t="s">
        <v>82</v>
      </c>
      <c r="C7" s="31">
        <v>4808</v>
      </c>
      <c r="D7" s="31">
        <v>6014</v>
      </c>
      <c r="E7" s="31">
        <v>4651</v>
      </c>
      <c r="F7" s="31">
        <v>3864</v>
      </c>
      <c r="G7" s="31">
        <v>3213</v>
      </c>
      <c r="H7" s="31">
        <v>4349</v>
      </c>
      <c r="I7" s="31">
        <v>2904</v>
      </c>
      <c r="J7" s="31">
        <v>4854</v>
      </c>
      <c r="K7" s="31">
        <v>12989</v>
      </c>
      <c r="L7" s="31">
        <v>31882</v>
      </c>
      <c r="M7" s="31">
        <v>7733</v>
      </c>
      <c r="N7" s="31">
        <v>5339</v>
      </c>
      <c r="O7" s="31">
        <v>5119</v>
      </c>
      <c r="P7" s="31">
        <v>7327</v>
      </c>
      <c r="Q7" s="31">
        <v>6348</v>
      </c>
      <c r="R7" s="31">
        <v>12406</v>
      </c>
      <c r="S7" s="31">
        <v>11738</v>
      </c>
      <c r="T7" s="31">
        <v>8128</v>
      </c>
      <c r="U7" s="31">
        <v>5538</v>
      </c>
      <c r="V7" s="31">
        <v>5765</v>
      </c>
    </row>
    <row r="8" spans="2:24" x14ac:dyDescent="0.4">
      <c r="B8" s="22" t="s">
        <v>83</v>
      </c>
      <c r="C8" s="23">
        <f>SUM(C4:C7)</f>
        <v>150866</v>
      </c>
      <c r="D8" s="23">
        <f t="shared" ref="D8:V8" si="0">SUM(D4:D7)</f>
        <v>120712</v>
      </c>
      <c r="E8" s="23">
        <f t="shared" si="0"/>
        <v>246751</v>
      </c>
      <c r="F8" s="23">
        <f t="shared" si="0"/>
        <v>146694</v>
      </c>
      <c r="G8" s="23">
        <f t="shared" si="0"/>
        <v>494322</v>
      </c>
      <c r="H8" s="23">
        <f t="shared" si="0"/>
        <v>489122</v>
      </c>
      <c r="I8" s="23">
        <f t="shared" si="0"/>
        <v>392948</v>
      </c>
      <c r="J8" s="23">
        <f t="shared" si="0"/>
        <v>618908</v>
      </c>
      <c r="K8" s="23">
        <f t="shared" si="0"/>
        <v>228373</v>
      </c>
      <c r="L8" s="23">
        <f t="shared" si="0"/>
        <v>107903</v>
      </c>
      <c r="M8" s="23">
        <f t="shared" si="0"/>
        <v>102684</v>
      </c>
      <c r="N8" s="23">
        <f t="shared" si="0"/>
        <v>270130</v>
      </c>
      <c r="O8" s="23">
        <f t="shared" si="0"/>
        <v>318554</v>
      </c>
      <c r="P8" s="23">
        <f t="shared" si="0"/>
        <v>199567</v>
      </c>
      <c r="Q8" s="23">
        <f t="shared" si="0"/>
        <v>248155</v>
      </c>
      <c r="R8" s="23">
        <f t="shared" si="0"/>
        <v>108374</v>
      </c>
      <c r="S8" s="23">
        <f t="shared" si="0"/>
        <v>75788</v>
      </c>
      <c r="T8" s="23">
        <f t="shared" si="0"/>
        <v>70987</v>
      </c>
      <c r="U8" s="23">
        <f t="shared" si="0"/>
        <v>76821</v>
      </c>
      <c r="V8" s="23">
        <f t="shared" si="0"/>
        <v>129262</v>
      </c>
    </row>
    <row r="10" spans="2:24" x14ac:dyDescent="0.4">
      <c r="B10" s="17" t="s">
        <v>84</v>
      </c>
    </row>
    <row r="11" spans="2:24" x14ac:dyDescent="0.4">
      <c r="B11" s="21" t="s">
        <v>80</v>
      </c>
      <c r="C11" s="21">
        <v>1995</v>
      </c>
      <c r="D11" s="21">
        <v>1996</v>
      </c>
      <c r="E11" s="21">
        <v>1997</v>
      </c>
      <c r="F11" s="21">
        <v>1998</v>
      </c>
      <c r="G11" s="21">
        <v>1999</v>
      </c>
      <c r="H11" s="21">
        <v>2000</v>
      </c>
      <c r="I11" s="21">
        <v>2001</v>
      </c>
      <c r="J11" s="21">
        <v>2002</v>
      </c>
      <c r="K11" s="21">
        <v>2003</v>
      </c>
      <c r="L11" s="21">
        <v>2004</v>
      </c>
      <c r="M11" s="21">
        <v>2005</v>
      </c>
      <c r="N11" s="21">
        <v>2006</v>
      </c>
      <c r="O11" s="21">
        <v>2007</v>
      </c>
      <c r="P11" s="21">
        <v>2008</v>
      </c>
      <c r="Q11" s="21">
        <v>2009</v>
      </c>
      <c r="R11" s="21">
        <v>2010</v>
      </c>
      <c r="S11" s="21">
        <v>2011</v>
      </c>
      <c r="T11" s="21">
        <v>2012</v>
      </c>
      <c r="U11" s="21">
        <v>2013</v>
      </c>
      <c r="V11" s="21">
        <v>2014</v>
      </c>
    </row>
    <row r="12" spans="2:24" x14ac:dyDescent="0.4">
      <c r="B12" s="22">
        <v>0</v>
      </c>
      <c r="C12" s="23">
        <f t="shared" ref="C12:U14" si="1">-LN(1-C4*$X$5/C28)</f>
        <v>0.58577954010699951</v>
      </c>
      <c r="D12" s="23">
        <f t="shared" si="1"/>
        <v>0.71523948341302357</v>
      </c>
      <c r="E12" s="23">
        <f t="shared" si="1"/>
        <v>0.96250550305037796</v>
      </c>
      <c r="F12" s="23">
        <f t="shared" si="1"/>
        <v>0.64729931375810423</v>
      </c>
      <c r="G12" s="23">
        <f t="shared" si="1"/>
        <v>0.57762757598701009</v>
      </c>
      <c r="H12" s="23">
        <f t="shared" si="1"/>
        <v>0.35372087421492465</v>
      </c>
      <c r="I12" s="23">
        <f t="shared" si="1"/>
        <v>0.23165961263962526</v>
      </c>
      <c r="J12" s="23">
        <f t="shared" si="1"/>
        <v>0.20597855408917048</v>
      </c>
      <c r="K12" s="23">
        <f t="shared" si="1"/>
        <v>0.25313392089992065</v>
      </c>
      <c r="L12" s="23">
        <f t="shared" si="1"/>
        <v>0.28865418292718958</v>
      </c>
      <c r="M12" s="23">
        <f t="shared" si="1"/>
        <v>0.19483899865098919</v>
      </c>
      <c r="N12" s="23">
        <f t="shared" si="1"/>
        <v>0.33668961706635775</v>
      </c>
      <c r="O12" s="23">
        <f t="shared" si="1"/>
        <v>0.32355793043534564</v>
      </c>
      <c r="P12" s="23">
        <f t="shared" si="1"/>
        <v>0.16492016884394423</v>
      </c>
      <c r="Q12" s="23">
        <f t="shared" si="1"/>
        <v>0.26595436030857217</v>
      </c>
      <c r="R12" s="23">
        <f t="shared" si="1"/>
        <v>0.19158520220549305</v>
      </c>
      <c r="S12" s="23">
        <f t="shared" si="1"/>
        <v>0.20128885054505974</v>
      </c>
      <c r="T12" s="23">
        <f t="shared" si="1"/>
        <v>0.13676137782387068</v>
      </c>
      <c r="U12" s="23">
        <f t="shared" si="1"/>
        <v>7.5636572352831402E-2</v>
      </c>
      <c r="V12" s="35">
        <f>V$15*V20/V22</f>
        <v>6.1401477752669763E-2</v>
      </c>
      <c r="X12" s="17" t="s">
        <v>110</v>
      </c>
    </row>
    <row r="13" spans="2:24" x14ac:dyDescent="0.4">
      <c r="B13" s="22">
        <v>1</v>
      </c>
      <c r="C13" s="23">
        <f t="shared" si="1"/>
        <v>1.6041319550928386</v>
      </c>
      <c r="D13" s="23">
        <f t="shared" si="1"/>
        <v>1.0483913347591316</v>
      </c>
      <c r="E13" s="23">
        <f t="shared" si="1"/>
        <v>1.2189945607331458</v>
      </c>
      <c r="F13" s="23">
        <f t="shared" si="1"/>
        <v>1.8040758046951244</v>
      </c>
      <c r="G13" s="23">
        <f t="shared" si="1"/>
        <v>1.4572988966173799</v>
      </c>
      <c r="H13" s="23">
        <f t="shared" si="1"/>
        <v>1.9597235495903322</v>
      </c>
      <c r="I13" s="23">
        <f t="shared" si="1"/>
        <v>1.1648283178790155</v>
      </c>
      <c r="J13" s="23">
        <f t="shared" si="1"/>
        <v>1.5227527566060122</v>
      </c>
      <c r="K13" s="23">
        <f t="shared" si="1"/>
        <v>1.415897366951596</v>
      </c>
      <c r="L13" s="23">
        <f t="shared" si="1"/>
        <v>1.4031359916428381</v>
      </c>
      <c r="M13" s="23">
        <f t="shared" si="1"/>
        <v>1.4522178123865894</v>
      </c>
      <c r="N13" s="23">
        <f t="shared" si="1"/>
        <v>1.500106633860284</v>
      </c>
      <c r="O13" s="23">
        <f t="shared" si="1"/>
        <v>1.9543383328479482</v>
      </c>
      <c r="P13" s="23">
        <f t="shared" si="1"/>
        <v>1.1353143804045067</v>
      </c>
      <c r="Q13" s="23">
        <f t="shared" si="1"/>
        <v>1.2108675978315444</v>
      </c>
      <c r="R13" s="23">
        <f t="shared" si="1"/>
        <v>0.7944366591357126</v>
      </c>
      <c r="S13" s="23">
        <f t="shared" si="1"/>
        <v>0.6509284392760063</v>
      </c>
      <c r="T13" s="23">
        <f>-LN(1-T5*$X$5/T29)</f>
        <v>0.61037012914413302</v>
      </c>
      <c r="U13" s="23">
        <f>-LN(1-U5*$X$5/U29)</f>
        <v>0.24640350623516286</v>
      </c>
      <c r="V13" s="29">
        <v>0.21922347131579251</v>
      </c>
      <c r="X13" s="19">
        <f>V15*X21</f>
        <v>0.21922347074147591</v>
      </c>
    </row>
    <row r="14" spans="2:24" x14ac:dyDescent="0.4">
      <c r="B14" s="22">
        <v>2</v>
      </c>
      <c r="C14" s="23">
        <f t="shared" si="1"/>
        <v>0.90753078036069723</v>
      </c>
      <c r="D14" s="23">
        <f t="shared" si="1"/>
        <v>0.95422629831724226</v>
      </c>
      <c r="E14" s="23">
        <f t="shared" si="1"/>
        <v>0.9648820682515804</v>
      </c>
      <c r="F14" s="23">
        <f t="shared" si="1"/>
        <v>0.89420695070357759</v>
      </c>
      <c r="G14" s="23">
        <f t="shared" si="1"/>
        <v>0.77671515528791257</v>
      </c>
      <c r="H14" s="23">
        <f t="shared" si="1"/>
        <v>1.1179897279473463</v>
      </c>
      <c r="I14" s="23">
        <f t="shared" si="1"/>
        <v>1.3710525475620625</v>
      </c>
      <c r="J14" s="23">
        <f t="shared" si="1"/>
        <v>0.62585766625750971</v>
      </c>
      <c r="K14" s="23">
        <f t="shared" si="1"/>
        <v>0.88039751167178948</v>
      </c>
      <c r="L14" s="23">
        <f t="shared" si="1"/>
        <v>1.2207945064281778</v>
      </c>
      <c r="M14" s="23">
        <f t="shared" si="1"/>
        <v>0.56053838316634896</v>
      </c>
      <c r="N14" s="23">
        <f t="shared" si="1"/>
        <v>0.6580507139152838</v>
      </c>
      <c r="O14" s="23">
        <f t="shared" si="1"/>
        <v>0.86749504645112296</v>
      </c>
      <c r="P14" s="23">
        <f t="shared" si="1"/>
        <v>0.88570972293795824</v>
      </c>
      <c r="Q14" s="23">
        <f t="shared" si="1"/>
        <v>0.6797106827195285</v>
      </c>
      <c r="R14" s="23">
        <f t="shared" si="1"/>
        <v>0.85849505513029234</v>
      </c>
      <c r="S14" s="23">
        <f t="shared" si="1"/>
        <v>0.54196778670737045</v>
      </c>
      <c r="T14" s="23">
        <f t="shared" si="1"/>
        <v>0.40091718135512183</v>
      </c>
      <c r="U14" s="23">
        <f t="shared" si="1"/>
        <v>0.22705092901469306</v>
      </c>
      <c r="V14" s="35">
        <f>V15</f>
        <v>0.17617600964936797</v>
      </c>
    </row>
    <row r="15" spans="2:24" x14ac:dyDescent="0.4">
      <c r="B15" s="25" t="s">
        <v>82</v>
      </c>
      <c r="C15" s="23">
        <f t="shared" ref="C15:T15" si="2">C14</f>
        <v>0.90753078036069723</v>
      </c>
      <c r="D15" s="23">
        <f t="shared" si="2"/>
        <v>0.95422629831724226</v>
      </c>
      <c r="E15" s="23">
        <f t="shared" si="2"/>
        <v>0.9648820682515804</v>
      </c>
      <c r="F15" s="23">
        <f t="shared" si="2"/>
        <v>0.89420695070357759</v>
      </c>
      <c r="G15" s="23">
        <f t="shared" si="2"/>
        <v>0.77671515528791257</v>
      </c>
      <c r="H15" s="23">
        <f t="shared" si="2"/>
        <v>1.1179897279473463</v>
      </c>
      <c r="I15" s="23">
        <f t="shared" si="2"/>
        <v>1.3710525475620625</v>
      </c>
      <c r="J15" s="23">
        <f t="shared" si="2"/>
        <v>0.62585766625750971</v>
      </c>
      <c r="K15" s="23">
        <f t="shared" si="2"/>
        <v>0.88039751167178948</v>
      </c>
      <c r="L15" s="23">
        <f t="shared" si="2"/>
        <v>1.2207945064281778</v>
      </c>
      <c r="M15" s="23">
        <f t="shared" si="2"/>
        <v>0.56053838316634896</v>
      </c>
      <c r="N15" s="23">
        <f t="shared" si="2"/>
        <v>0.6580507139152838</v>
      </c>
      <c r="O15" s="23">
        <f t="shared" si="2"/>
        <v>0.86749504645112296</v>
      </c>
      <c r="P15" s="23">
        <f t="shared" si="2"/>
        <v>0.88570972293795824</v>
      </c>
      <c r="Q15" s="23">
        <f t="shared" si="2"/>
        <v>0.6797106827195285</v>
      </c>
      <c r="R15" s="23">
        <f t="shared" si="2"/>
        <v>0.85849505513029234</v>
      </c>
      <c r="S15" s="23">
        <f t="shared" si="2"/>
        <v>0.54196778670737045</v>
      </c>
      <c r="T15" s="23">
        <f t="shared" si="2"/>
        <v>0.40091718135512183</v>
      </c>
      <c r="U15" s="23">
        <f>U14</f>
        <v>0.22705092901469306</v>
      </c>
      <c r="V15" s="36">
        <v>0.17617600964936797</v>
      </c>
    </row>
    <row r="16" spans="2:24" x14ac:dyDescent="0.4">
      <c r="B16" s="22" t="s">
        <v>86</v>
      </c>
      <c r="C16" s="22">
        <f t="shared" ref="C16:V16" si="3">MAX(C12:C15)</f>
        <v>1.6041319550928386</v>
      </c>
      <c r="D16" s="22">
        <f t="shared" si="3"/>
        <v>1.0483913347591316</v>
      </c>
      <c r="E16" s="22">
        <f t="shared" si="3"/>
        <v>1.2189945607331458</v>
      </c>
      <c r="F16" s="22">
        <f t="shared" si="3"/>
        <v>1.8040758046951244</v>
      </c>
      <c r="G16" s="22">
        <f t="shared" si="3"/>
        <v>1.4572988966173799</v>
      </c>
      <c r="H16" s="22">
        <f t="shared" si="3"/>
        <v>1.9597235495903322</v>
      </c>
      <c r="I16" s="22">
        <f t="shared" si="3"/>
        <v>1.3710525475620625</v>
      </c>
      <c r="J16" s="22">
        <f t="shared" si="3"/>
        <v>1.5227527566060122</v>
      </c>
      <c r="K16" s="22">
        <f t="shared" si="3"/>
        <v>1.415897366951596</v>
      </c>
      <c r="L16" s="22">
        <f t="shared" si="3"/>
        <v>1.4031359916428381</v>
      </c>
      <c r="M16" s="22">
        <f t="shared" si="3"/>
        <v>1.4522178123865894</v>
      </c>
      <c r="N16" s="22">
        <f t="shared" si="3"/>
        <v>1.500106633860284</v>
      </c>
      <c r="O16" s="22">
        <f t="shared" si="3"/>
        <v>1.9543383328479482</v>
      </c>
      <c r="P16" s="22">
        <f t="shared" si="3"/>
        <v>1.1353143804045067</v>
      </c>
      <c r="Q16" s="22">
        <f t="shared" si="3"/>
        <v>1.2108675978315444</v>
      </c>
      <c r="R16" s="22">
        <f t="shared" si="3"/>
        <v>0.85849505513029234</v>
      </c>
      <c r="S16" s="22">
        <f t="shared" si="3"/>
        <v>0.6509284392760063</v>
      </c>
      <c r="T16" s="22">
        <f>MAX(T12:T15)</f>
        <v>0.61037012914413302</v>
      </c>
      <c r="U16" s="22">
        <f t="shared" si="3"/>
        <v>0.24640350623516286</v>
      </c>
      <c r="V16" s="22">
        <f t="shared" si="3"/>
        <v>0.21922347131579251</v>
      </c>
    </row>
    <row r="18" spans="2:24" x14ac:dyDescent="0.4">
      <c r="B18" s="17" t="s">
        <v>103</v>
      </c>
    </row>
    <row r="19" spans="2:24" x14ac:dyDescent="0.4">
      <c r="B19" s="21" t="s">
        <v>80</v>
      </c>
      <c r="C19" s="21">
        <v>1995</v>
      </c>
      <c r="D19" s="21">
        <v>1996</v>
      </c>
      <c r="E19" s="21">
        <v>1997</v>
      </c>
      <c r="F19" s="21">
        <v>1998</v>
      </c>
      <c r="G19" s="21">
        <v>1999</v>
      </c>
      <c r="H19" s="21">
        <v>2000</v>
      </c>
      <c r="I19" s="21">
        <v>2001</v>
      </c>
      <c r="J19" s="21">
        <v>2002</v>
      </c>
      <c r="K19" s="21">
        <v>2003</v>
      </c>
      <c r="L19" s="21">
        <v>2004</v>
      </c>
      <c r="M19" s="21">
        <v>2005</v>
      </c>
      <c r="N19" s="21">
        <v>2006</v>
      </c>
      <c r="O19" s="21">
        <v>2007</v>
      </c>
      <c r="P19" s="21">
        <v>2008</v>
      </c>
      <c r="Q19" s="21">
        <v>2009</v>
      </c>
      <c r="R19" s="21">
        <v>2010</v>
      </c>
      <c r="S19" s="21">
        <v>2011</v>
      </c>
      <c r="T19" s="21">
        <v>2012</v>
      </c>
      <c r="U19" s="21">
        <v>2013</v>
      </c>
      <c r="V19" s="21">
        <v>2014</v>
      </c>
      <c r="X19" s="17" t="s">
        <v>109</v>
      </c>
    </row>
    <row r="20" spans="2:24" x14ac:dyDescent="0.4">
      <c r="B20" s="22">
        <v>0</v>
      </c>
      <c r="C20" s="23">
        <f>C12/C$16</f>
        <v>0.36516917342569721</v>
      </c>
      <c r="D20" s="23">
        <f t="shared" ref="D20:U23" si="4">D12/D$16</f>
        <v>0.68222567251316535</v>
      </c>
      <c r="E20" s="23">
        <f t="shared" si="4"/>
        <v>0.78958966188618074</v>
      </c>
      <c r="F20" s="23">
        <f t="shared" si="4"/>
        <v>0.35879829000172919</v>
      </c>
      <c r="G20" s="23">
        <f t="shared" si="4"/>
        <v>0.3963686360620835</v>
      </c>
      <c r="H20" s="23">
        <f t="shared" si="4"/>
        <v>0.18049529194506428</v>
      </c>
      <c r="I20" s="23">
        <f t="shared" si="4"/>
        <v>0.16896479500479458</v>
      </c>
      <c r="J20" s="23">
        <f t="shared" si="4"/>
        <v>0.1352672344184527</v>
      </c>
      <c r="K20" s="23">
        <f t="shared" si="4"/>
        <v>0.1787798514273064</v>
      </c>
      <c r="L20" s="23">
        <f t="shared" si="4"/>
        <v>0.20572074599071735</v>
      </c>
      <c r="M20" s="23">
        <f t="shared" si="4"/>
        <v>0.13416651206804081</v>
      </c>
      <c r="N20" s="23">
        <f t="shared" si="4"/>
        <v>0.22444378917246768</v>
      </c>
      <c r="O20" s="23">
        <f t="shared" si="4"/>
        <v>0.1655588108758235</v>
      </c>
      <c r="P20" s="23">
        <f t="shared" si="4"/>
        <v>0.14526387729289927</v>
      </c>
      <c r="Q20" s="23">
        <f t="shared" si="4"/>
        <v>0.2196395054131853</v>
      </c>
      <c r="R20" s="23">
        <f t="shared" si="4"/>
        <v>0.22316401365458824</v>
      </c>
      <c r="S20" s="23">
        <f t="shared" si="4"/>
        <v>0.30923345547621611</v>
      </c>
      <c r="T20" s="23">
        <f t="shared" si="4"/>
        <v>0.22406302552131577</v>
      </c>
      <c r="U20" s="23">
        <f t="shared" si="4"/>
        <v>0.30696224054801108</v>
      </c>
      <c r="V20" s="35">
        <f t="shared" ref="V20:V21" si="5">AVERAGE(S20:U20)</f>
        <v>0.280086240515181</v>
      </c>
      <c r="X20" s="17">
        <f t="shared" ref="X20:X22" si="6">V20/V$23</f>
        <v>0.3485234900874033</v>
      </c>
    </row>
    <row r="21" spans="2:24" x14ac:dyDescent="0.4">
      <c r="B21" s="22">
        <v>1</v>
      </c>
      <c r="C21" s="23">
        <f t="shared" ref="C21:R23" si="7">C13/C$16</f>
        <v>1</v>
      </c>
      <c r="D21" s="23">
        <f t="shared" si="7"/>
        <v>1</v>
      </c>
      <c r="E21" s="23">
        <f t="shared" si="7"/>
        <v>1</v>
      </c>
      <c r="F21" s="23">
        <f t="shared" si="7"/>
        <v>1</v>
      </c>
      <c r="G21" s="23">
        <f t="shared" si="7"/>
        <v>1</v>
      </c>
      <c r="H21" s="23">
        <f t="shared" si="7"/>
        <v>1</v>
      </c>
      <c r="I21" s="23">
        <f t="shared" si="7"/>
        <v>0.84958692498712418</v>
      </c>
      <c r="J21" s="23">
        <f t="shared" si="7"/>
        <v>1</v>
      </c>
      <c r="K21" s="23">
        <f t="shared" si="7"/>
        <v>1</v>
      </c>
      <c r="L21" s="23">
        <f t="shared" si="7"/>
        <v>1</v>
      </c>
      <c r="M21" s="23">
        <f t="shared" si="7"/>
        <v>1</v>
      </c>
      <c r="N21" s="23">
        <f t="shared" si="7"/>
        <v>1</v>
      </c>
      <c r="O21" s="23">
        <f t="shared" si="7"/>
        <v>1</v>
      </c>
      <c r="P21" s="23">
        <f t="shared" si="7"/>
        <v>1</v>
      </c>
      <c r="Q21" s="23">
        <f t="shared" si="7"/>
        <v>1</v>
      </c>
      <c r="R21" s="23">
        <f t="shared" si="7"/>
        <v>0.92538291791924454</v>
      </c>
      <c r="S21" s="23">
        <f t="shared" si="4"/>
        <v>1</v>
      </c>
      <c r="T21" s="23">
        <f t="shared" si="4"/>
        <v>1</v>
      </c>
      <c r="U21" s="23">
        <f t="shared" si="4"/>
        <v>1</v>
      </c>
      <c r="V21" s="35">
        <v>1</v>
      </c>
      <c r="X21" s="17">
        <f t="shared" si="6"/>
        <v>1.2443434902276569</v>
      </c>
    </row>
    <row r="22" spans="2:24" x14ac:dyDescent="0.4">
      <c r="B22" s="22">
        <v>2</v>
      </c>
      <c r="C22" s="23">
        <f t="shared" si="7"/>
        <v>0.56574571529445916</v>
      </c>
      <c r="D22" s="23">
        <f t="shared" si="4"/>
        <v>0.91018140524451796</v>
      </c>
      <c r="E22" s="23">
        <f t="shared" si="4"/>
        <v>0.79153927288343817</v>
      </c>
      <c r="F22" s="23">
        <f t="shared" si="4"/>
        <v>0.49565930011166687</v>
      </c>
      <c r="G22" s="23">
        <f t="shared" si="4"/>
        <v>0.53298273750895631</v>
      </c>
      <c r="H22" s="23">
        <f t="shared" si="4"/>
        <v>0.57048338689457245</v>
      </c>
      <c r="I22" s="23">
        <f t="shared" si="4"/>
        <v>1</v>
      </c>
      <c r="J22" s="23">
        <f t="shared" si="4"/>
        <v>0.41100412627224708</v>
      </c>
      <c r="K22" s="23">
        <f t="shared" si="4"/>
        <v>0.62179472341789221</v>
      </c>
      <c r="L22" s="23">
        <f t="shared" si="4"/>
        <v>0.87004717554057687</v>
      </c>
      <c r="M22" s="23">
        <f t="shared" si="4"/>
        <v>0.38598781696882956</v>
      </c>
      <c r="N22" s="23">
        <f t="shared" si="4"/>
        <v>0.43866929127691129</v>
      </c>
      <c r="O22" s="23">
        <f t="shared" si="4"/>
        <v>0.44388171273648963</v>
      </c>
      <c r="P22" s="23">
        <f t="shared" si="4"/>
        <v>0.78014489926779962</v>
      </c>
      <c r="Q22" s="23">
        <f t="shared" si="4"/>
        <v>0.56134187085092824</v>
      </c>
      <c r="R22" s="23">
        <f t="shared" si="4"/>
        <v>1</v>
      </c>
      <c r="S22" s="23">
        <f t="shared" si="4"/>
        <v>0.83260732517720826</v>
      </c>
      <c r="T22" s="23">
        <f t="shared" si="4"/>
        <v>0.65684272904588537</v>
      </c>
      <c r="U22" s="23">
        <f t="shared" si="4"/>
        <v>0.9214598139606015</v>
      </c>
      <c r="V22" s="35">
        <f>AVERAGE(S22:U22)</f>
        <v>0.80363662272789849</v>
      </c>
      <c r="X22" s="17">
        <f t="shared" si="6"/>
        <v>1</v>
      </c>
    </row>
    <row r="23" spans="2:24" x14ac:dyDescent="0.4">
      <c r="B23" s="25" t="s">
        <v>82</v>
      </c>
      <c r="C23" s="23">
        <f t="shared" si="7"/>
        <v>0.56574571529445916</v>
      </c>
      <c r="D23" s="23">
        <f t="shared" si="4"/>
        <v>0.91018140524451796</v>
      </c>
      <c r="E23" s="23">
        <f t="shared" si="4"/>
        <v>0.79153927288343817</v>
      </c>
      <c r="F23" s="23">
        <f t="shared" si="4"/>
        <v>0.49565930011166687</v>
      </c>
      <c r="G23" s="23">
        <f t="shared" si="4"/>
        <v>0.53298273750895631</v>
      </c>
      <c r="H23" s="23">
        <f t="shared" si="4"/>
        <v>0.57048338689457245</v>
      </c>
      <c r="I23" s="23">
        <f t="shared" si="4"/>
        <v>1</v>
      </c>
      <c r="J23" s="23">
        <f t="shared" si="4"/>
        <v>0.41100412627224708</v>
      </c>
      <c r="K23" s="23">
        <f t="shared" si="4"/>
        <v>0.62179472341789221</v>
      </c>
      <c r="L23" s="23">
        <f t="shared" si="4"/>
        <v>0.87004717554057687</v>
      </c>
      <c r="M23" s="23">
        <f t="shared" si="4"/>
        <v>0.38598781696882956</v>
      </c>
      <c r="N23" s="23">
        <f t="shared" si="4"/>
        <v>0.43866929127691129</v>
      </c>
      <c r="O23" s="23">
        <f t="shared" si="4"/>
        <v>0.44388171273648963</v>
      </c>
      <c r="P23" s="23">
        <f t="shared" si="4"/>
        <v>0.78014489926779962</v>
      </c>
      <c r="Q23" s="23">
        <f t="shared" si="4"/>
        <v>0.56134187085092824</v>
      </c>
      <c r="R23" s="23">
        <f t="shared" si="4"/>
        <v>1</v>
      </c>
      <c r="S23" s="23">
        <f t="shared" si="4"/>
        <v>0.83260732517720826</v>
      </c>
      <c r="T23" s="23">
        <f t="shared" si="4"/>
        <v>0.65684272904588537</v>
      </c>
      <c r="U23" s="23">
        <f t="shared" si="4"/>
        <v>0.9214598139606015</v>
      </c>
      <c r="V23" s="35">
        <f>AVERAGE(S23:U23)</f>
        <v>0.80363662272789849</v>
      </c>
      <c r="X23" s="17">
        <f>V23/V$23</f>
        <v>1</v>
      </c>
    </row>
    <row r="26" spans="2:24" x14ac:dyDescent="0.4">
      <c r="B26" s="20" t="s">
        <v>87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2:24" x14ac:dyDescent="0.4">
      <c r="B27" s="21" t="s">
        <v>80</v>
      </c>
      <c r="C27" s="21">
        <v>1995</v>
      </c>
      <c r="D27" s="21">
        <v>1996</v>
      </c>
      <c r="E27" s="21">
        <v>1997</v>
      </c>
      <c r="F27" s="21">
        <v>1998</v>
      </c>
      <c r="G27" s="21">
        <v>1999</v>
      </c>
      <c r="H27" s="21">
        <v>2000</v>
      </c>
      <c r="I27" s="21">
        <v>2001</v>
      </c>
      <c r="J27" s="21">
        <v>2002</v>
      </c>
      <c r="K27" s="21">
        <v>2003</v>
      </c>
      <c r="L27" s="21">
        <v>2004</v>
      </c>
      <c r="M27" s="21">
        <v>2005</v>
      </c>
      <c r="N27" s="21">
        <v>2006</v>
      </c>
      <c r="O27" s="21">
        <v>2007</v>
      </c>
      <c r="P27" s="21">
        <v>2008</v>
      </c>
      <c r="Q27" s="21">
        <v>2009</v>
      </c>
      <c r="R27" s="21">
        <v>2010</v>
      </c>
      <c r="S27" s="21">
        <v>2011</v>
      </c>
      <c r="T27" s="21">
        <v>2012</v>
      </c>
      <c r="U27" s="21">
        <v>2013</v>
      </c>
      <c r="V27" s="21">
        <v>2014</v>
      </c>
    </row>
    <row r="28" spans="2:24" x14ac:dyDescent="0.4">
      <c r="B28" s="22">
        <v>0</v>
      </c>
      <c r="C28" s="23">
        <f t="shared" ref="C28:U29" si="8">(D29*$X$5+C4)*$X$5</f>
        <v>138992.89970681185</v>
      </c>
      <c r="D28" s="23">
        <f t="shared" si="8"/>
        <v>156951.89195863897</v>
      </c>
      <c r="E28" s="23">
        <f t="shared" si="8"/>
        <v>359248.97141361434</v>
      </c>
      <c r="F28" s="23">
        <f t="shared" si="8"/>
        <v>135240.46007119695</v>
      </c>
      <c r="G28" s="23">
        <f t="shared" si="8"/>
        <v>1155054.2840443905</v>
      </c>
      <c r="H28" s="23">
        <f t="shared" si="8"/>
        <v>365409.44375481928</v>
      </c>
      <c r="I28" s="23">
        <f t="shared" si="8"/>
        <v>1272715.6213829219</v>
      </c>
      <c r="J28" s="23">
        <f t="shared" si="8"/>
        <v>314196.2067449225</v>
      </c>
      <c r="K28" s="23">
        <f t="shared" si="8"/>
        <v>67390.16939684494</v>
      </c>
      <c r="L28" s="23">
        <f t="shared" si="8"/>
        <v>115163.86272384795</v>
      </c>
      <c r="M28" s="23">
        <f t="shared" si="8"/>
        <v>298097.1533066397</v>
      </c>
      <c r="N28" s="23">
        <f t="shared" si="8"/>
        <v>509705.55654342996</v>
      </c>
      <c r="O28" s="23">
        <f t="shared" si="8"/>
        <v>334951.72969715926</v>
      </c>
      <c r="P28" s="23">
        <f t="shared" si="8"/>
        <v>469347.18153869431</v>
      </c>
      <c r="Q28" s="23">
        <f t="shared" si="8"/>
        <v>141737.03001171787</v>
      </c>
      <c r="R28" s="23">
        <f t="shared" si="8"/>
        <v>120028.09639981827</v>
      </c>
      <c r="S28" s="23">
        <f t="shared" si="8"/>
        <v>127221.73551510372</v>
      </c>
      <c r="T28" s="23">
        <f t="shared" si="8"/>
        <v>186680.69901175957</v>
      </c>
      <c r="U28" s="23">
        <f t="shared" si="8"/>
        <v>633112.37924542639</v>
      </c>
      <c r="V28" s="33">
        <f t="shared" ref="V28:V29" si="9">V4*$X$5/(1-EXP(-V12))</f>
        <v>629321.80596088583</v>
      </c>
    </row>
    <row r="29" spans="2:24" x14ac:dyDescent="0.4">
      <c r="B29" s="22">
        <v>1</v>
      </c>
      <c r="C29" s="23">
        <f t="shared" si="8"/>
        <v>110519.90173108169</v>
      </c>
      <c r="D29" s="23">
        <f t="shared" si="8"/>
        <v>60258.480067382581</v>
      </c>
      <c r="E29" s="23">
        <f t="shared" si="8"/>
        <v>59781.71555981991</v>
      </c>
      <c r="F29" s="23">
        <f t="shared" si="8"/>
        <v>106858.99468997076</v>
      </c>
      <c r="G29" s="23">
        <f t="shared" si="8"/>
        <v>55133.364871886399</v>
      </c>
      <c r="H29" s="23">
        <f t="shared" si="8"/>
        <v>504856.9112351815</v>
      </c>
      <c r="I29" s="23">
        <f t="shared" si="8"/>
        <v>199796.15351902728</v>
      </c>
      <c r="J29" s="23">
        <f t="shared" si="8"/>
        <v>786229.3694442492</v>
      </c>
      <c r="K29" s="23">
        <f t="shared" si="8"/>
        <v>199146.17422410677</v>
      </c>
      <c r="L29" s="23">
        <f t="shared" si="8"/>
        <v>40746.307893202342</v>
      </c>
      <c r="M29" s="23">
        <f t="shared" si="8"/>
        <v>67201.920399199895</v>
      </c>
      <c r="N29" s="23">
        <f t="shared" si="8"/>
        <v>191058.65067939783</v>
      </c>
      <c r="O29" s="23">
        <f t="shared" si="8"/>
        <v>283480.57486232155</v>
      </c>
      <c r="P29" s="23">
        <f t="shared" si="8"/>
        <v>188750.96497217924</v>
      </c>
      <c r="Q29" s="23">
        <f t="shared" si="8"/>
        <v>309953.59257132962</v>
      </c>
      <c r="R29" s="23">
        <f t="shared" si="8"/>
        <v>84607.175438845064</v>
      </c>
      <c r="S29" s="23">
        <f t="shared" si="8"/>
        <v>77180.02266981623</v>
      </c>
      <c r="T29" s="23">
        <f t="shared" si="8"/>
        <v>81015.675646959266</v>
      </c>
      <c r="U29" s="23">
        <f t="shared" si="8"/>
        <v>126803.45480004918</v>
      </c>
      <c r="V29" s="33">
        <f t="shared" si="9"/>
        <v>457149.91029644274</v>
      </c>
    </row>
    <row r="30" spans="2:24" x14ac:dyDescent="0.4">
      <c r="B30" s="22">
        <v>2</v>
      </c>
      <c r="C30" s="23">
        <f t="shared" ref="C30:U30" si="10">(C6/SUM(C6:C7)*D31*$X$5+C6)*$X$5</f>
        <v>26132.600811078708</v>
      </c>
      <c r="D30" s="23">
        <f t="shared" si="10"/>
        <v>17306.17987304171</v>
      </c>
      <c r="E30" s="23">
        <f t="shared" si="10"/>
        <v>16448.790944800854</v>
      </c>
      <c r="F30" s="23">
        <f t="shared" si="10"/>
        <v>13759.167009880661</v>
      </c>
      <c r="G30" s="23">
        <f t="shared" si="10"/>
        <v>13700.527750963065</v>
      </c>
      <c r="H30" s="23">
        <f t="shared" si="10"/>
        <v>9998.7108466165864</v>
      </c>
      <c r="I30" s="23">
        <f t="shared" si="10"/>
        <v>55398.443375690353</v>
      </c>
      <c r="J30" s="23">
        <f t="shared" si="10"/>
        <v>48543.936568930629</v>
      </c>
      <c r="K30" s="23">
        <f t="shared" si="10"/>
        <v>133552.65397574936</v>
      </c>
      <c r="L30" s="23">
        <f t="shared" si="10"/>
        <v>37642.801169522405</v>
      </c>
      <c r="M30" s="23">
        <f t="shared" si="10"/>
        <v>7800.8229933029097</v>
      </c>
      <c r="N30" s="23">
        <f t="shared" si="10"/>
        <v>12249.486430893843</v>
      </c>
      <c r="O30" s="23">
        <f t="shared" si="10"/>
        <v>33197.474995222299</v>
      </c>
      <c r="P30" s="23">
        <f t="shared" si="10"/>
        <v>31274.568802512695</v>
      </c>
      <c r="Q30" s="23">
        <f t="shared" si="10"/>
        <v>47234.006985530556</v>
      </c>
      <c r="R30" s="23">
        <f t="shared" si="10"/>
        <v>71920.042928708746</v>
      </c>
      <c r="S30" s="23">
        <f t="shared" si="10"/>
        <v>29772.418759347362</v>
      </c>
      <c r="T30" s="23">
        <f t="shared" si="10"/>
        <v>31349.935528197449</v>
      </c>
      <c r="U30" s="23">
        <f t="shared" si="10"/>
        <v>34270.075305790175</v>
      </c>
      <c r="V30" s="33">
        <f>V6*$X$5/(1-EXP(-V14))</f>
        <v>77187.288092172865</v>
      </c>
    </row>
    <row r="31" spans="2:24" x14ac:dyDescent="0.4">
      <c r="B31" s="25" t="s">
        <v>82</v>
      </c>
      <c r="C31" s="28">
        <f t="shared" ref="C31:V31" si="11">C30*C7/C6</f>
        <v>9133.8721066928192</v>
      </c>
      <c r="D31" s="28">
        <f t="shared" si="11"/>
        <v>11082.884224946527</v>
      </c>
      <c r="E31" s="28">
        <f t="shared" si="11"/>
        <v>8514.5605658618551</v>
      </c>
      <c r="F31" s="28">
        <f t="shared" si="11"/>
        <v>7407.7499409473139</v>
      </c>
      <c r="G31" s="28">
        <f t="shared" si="11"/>
        <v>6741.163195075701</v>
      </c>
      <c r="H31" s="28">
        <f t="shared" si="11"/>
        <v>7321.8375941969243</v>
      </c>
      <c r="I31" s="28">
        <f t="shared" si="11"/>
        <v>4410.1285551414458</v>
      </c>
      <c r="J31" s="28">
        <f t="shared" si="11"/>
        <v>11823.587139625133</v>
      </c>
      <c r="K31" s="28">
        <f t="shared" si="11"/>
        <v>25143.353999550804</v>
      </c>
      <c r="L31" s="28">
        <f t="shared" si="11"/>
        <v>51243.714213779385</v>
      </c>
      <c r="M31" s="28">
        <f t="shared" si="11"/>
        <v>20421.044078270614</v>
      </c>
      <c r="N31" s="28">
        <f t="shared" si="11"/>
        <v>12547.96777715699</v>
      </c>
      <c r="O31" s="28">
        <f t="shared" si="11"/>
        <v>10001.051936237225</v>
      </c>
      <c r="P31" s="28">
        <f t="shared" si="11"/>
        <v>14130.157588703862</v>
      </c>
      <c r="Q31" s="28">
        <f t="shared" si="11"/>
        <v>14583.729394170621</v>
      </c>
      <c r="R31" s="28">
        <f t="shared" si="11"/>
        <v>24397.474845466648</v>
      </c>
      <c r="S31" s="28">
        <f t="shared" si="11"/>
        <v>31790.10746813603</v>
      </c>
      <c r="T31" s="28">
        <f t="shared" si="11"/>
        <v>27884.906541167529</v>
      </c>
      <c r="U31" s="28">
        <f t="shared" si="11"/>
        <v>30894.949868706823</v>
      </c>
      <c r="V31" s="33">
        <f>V7*$X$5/(1-EXP(-V15))</f>
        <v>40442.126315675414</v>
      </c>
    </row>
    <row r="32" spans="2:24" x14ac:dyDescent="0.4">
      <c r="B32" s="22" t="s">
        <v>83</v>
      </c>
      <c r="C32" s="22">
        <f t="shared" ref="C32:V32" si="12">SUM(C28:C31)</f>
        <v>284779.27435566502</v>
      </c>
      <c r="D32" s="22">
        <f t="shared" si="12"/>
        <v>245599.43612400978</v>
      </c>
      <c r="E32" s="22">
        <f t="shared" si="12"/>
        <v>443994.03848409693</v>
      </c>
      <c r="F32" s="22">
        <f t="shared" si="12"/>
        <v>263266.37171199569</v>
      </c>
      <c r="G32" s="22">
        <f t="shared" si="12"/>
        <v>1230629.3398623157</v>
      </c>
      <c r="H32" s="22">
        <f t="shared" si="12"/>
        <v>887586.90343081427</v>
      </c>
      <c r="I32" s="22">
        <f t="shared" si="12"/>
        <v>1532320.3468327811</v>
      </c>
      <c r="J32" s="22">
        <f t="shared" si="12"/>
        <v>1160793.0998977274</v>
      </c>
      <c r="K32" s="22">
        <f t="shared" si="12"/>
        <v>425232.35159625183</v>
      </c>
      <c r="L32" s="22">
        <f t="shared" si="12"/>
        <v>244796.68600035209</v>
      </c>
      <c r="M32" s="22">
        <f t="shared" si="12"/>
        <v>393520.94077741308</v>
      </c>
      <c r="N32" s="22">
        <f t="shared" si="12"/>
        <v>725561.66143087868</v>
      </c>
      <c r="O32" s="22">
        <f t="shared" si="12"/>
        <v>661630.83149094041</v>
      </c>
      <c r="P32" s="22">
        <f t="shared" si="12"/>
        <v>703502.8729020902</v>
      </c>
      <c r="Q32" s="22">
        <f t="shared" si="12"/>
        <v>513508.35896274867</v>
      </c>
      <c r="R32" s="22">
        <f t="shared" si="12"/>
        <v>300952.78961283877</v>
      </c>
      <c r="S32" s="22">
        <f t="shared" si="12"/>
        <v>265964.2844124033</v>
      </c>
      <c r="T32" s="22">
        <f t="shared" si="12"/>
        <v>326931.21672808379</v>
      </c>
      <c r="U32" s="22">
        <f t="shared" si="12"/>
        <v>825080.85921997263</v>
      </c>
      <c r="V32" s="22">
        <f t="shared" si="12"/>
        <v>1204101.130665177</v>
      </c>
    </row>
    <row r="34" spans="2:24" x14ac:dyDescent="0.4">
      <c r="B34" s="17" t="s">
        <v>93</v>
      </c>
      <c r="C34" s="21">
        <v>1995</v>
      </c>
      <c r="D34" s="21">
        <v>1996</v>
      </c>
      <c r="E34" s="21">
        <v>1997</v>
      </c>
      <c r="F34" s="21">
        <v>1998</v>
      </c>
      <c r="G34" s="21">
        <v>1999</v>
      </c>
      <c r="H34" s="21">
        <v>2000</v>
      </c>
      <c r="I34" s="21">
        <v>2001</v>
      </c>
      <c r="J34" s="21">
        <v>2002</v>
      </c>
      <c r="K34" s="21">
        <v>2003</v>
      </c>
      <c r="L34" s="21">
        <v>2004</v>
      </c>
      <c r="M34" s="21">
        <v>2005</v>
      </c>
      <c r="N34" s="21">
        <v>2006</v>
      </c>
      <c r="O34" s="21">
        <v>2007</v>
      </c>
      <c r="P34" s="21">
        <v>2008</v>
      </c>
      <c r="Q34" s="21">
        <v>2009</v>
      </c>
      <c r="R34" s="21">
        <v>2010</v>
      </c>
      <c r="S34" s="21">
        <v>2011</v>
      </c>
      <c r="T34" s="21">
        <v>2012</v>
      </c>
      <c r="U34" s="21">
        <v>2013</v>
      </c>
      <c r="V34" s="21">
        <v>2014</v>
      </c>
    </row>
    <row r="35" spans="2:24" x14ac:dyDescent="0.4">
      <c r="B35" s="22" t="s">
        <v>7</v>
      </c>
      <c r="C35" s="34">
        <f>第1モデル!B23</f>
        <v>6.3546402109757629</v>
      </c>
      <c r="D35" s="34">
        <f>第1モデル!C23</f>
        <v>3.1096392333709133</v>
      </c>
      <c r="E35" s="34">
        <f>第1モデル!D23</f>
        <v>3.0982083609820834</v>
      </c>
      <c r="F35" s="34">
        <f>第1モデル!E23</f>
        <v>7.9629292403746099</v>
      </c>
      <c r="G35" s="34">
        <f>第1モデル!F23</f>
        <v>4.464545307704733</v>
      </c>
      <c r="H35" s="34">
        <f>第1モデル!G23</f>
        <v>23.083533803401078</v>
      </c>
      <c r="I35" s="34">
        <f>第1モデル!H23</f>
        <v>9.8713988388651543</v>
      </c>
      <c r="J35" s="34">
        <f>第1モデル!I23</f>
        <v>43.638328214129004</v>
      </c>
      <c r="K35" s="34">
        <f>第1モデル!J23</f>
        <v>7.3143525741029638</v>
      </c>
      <c r="L35" s="34">
        <f>第1モデル!K23</f>
        <v>3.4919967663702507</v>
      </c>
      <c r="M35" s="34">
        <f>第1モデル!L23</f>
        <v>8.0002065688907251</v>
      </c>
      <c r="N35" s="34">
        <f>第1モデル!M23</f>
        <v>18.937914034817439</v>
      </c>
      <c r="O35" s="34">
        <f>第1モデル!N23</f>
        <v>22.600994406463641</v>
      </c>
      <c r="P35" s="34">
        <f>第1モデル!O23</f>
        <v>17.023411371237458</v>
      </c>
      <c r="Q35" s="34">
        <f>第1モデル!P23</f>
        <v>35.104783137413861</v>
      </c>
      <c r="R35" s="34">
        <f>第1モデル!Q23</f>
        <v>8.4964572508266407</v>
      </c>
      <c r="S35" s="34">
        <f>第1モデル!R23</f>
        <v>7.4829515183803945</v>
      </c>
      <c r="T35" s="34">
        <f>第1モデル!S23</f>
        <v>8.8107476635514015</v>
      </c>
      <c r="U35" s="34">
        <f>第1モデル!T23</f>
        <v>7.7983870967741939</v>
      </c>
      <c r="V35" s="34">
        <f>第1モデル!U23</f>
        <v>26.197162604583486</v>
      </c>
      <c r="X35" s="17" t="s">
        <v>96</v>
      </c>
    </row>
    <row r="36" spans="2:24" x14ac:dyDescent="0.4">
      <c r="B36" s="22" t="s">
        <v>98</v>
      </c>
      <c r="C36" s="17">
        <f>LN(C35/C29)</f>
        <v>-9.7637656019577204</v>
      </c>
      <c r="D36" s="17">
        <f t="shared" ref="D36:V36" si="13">LN(D35/D29)</f>
        <v>-9.871891872124344</v>
      </c>
      <c r="E36" s="17">
        <f t="shared" si="13"/>
        <v>-9.8676311369709691</v>
      </c>
      <c r="F36" s="17">
        <f t="shared" si="13"/>
        <v>-9.5044685105528295</v>
      </c>
      <c r="G36" s="17">
        <f t="shared" si="13"/>
        <v>-9.4213429705825504</v>
      </c>
      <c r="H36" s="17">
        <f t="shared" si="13"/>
        <v>-9.9929107830337269</v>
      </c>
      <c r="I36" s="17">
        <f t="shared" si="13"/>
        <v>-9.9154113236228021</v>
      </c>
      <c r="J36" s="17">
        <f t="shared" si="13"/>
        <v>-9.7990679958080129</v>
      </c>
      <c r="K36" s="17">
        <f t="shared" si="13"/>
        <v>-10.211955853962062</v>
      </c>
      <c r="L36" s="17">
        <f t="shared" si="13"/>
        <v>-9.3646467987503197</v>
      </c>
      <c r="M36" s="17">
        <f t="shared" si="13"/>
        <v>-9.035989741014145</v>
      </c>
      <c r="N36" s="17">
        <f t="shared" si="13"/>
        <v>-9.2191697852565362</v>
      </c>
      <c r="O36" s="17">
        <f t="shared" si="13"/>
        <v>-9.4369049752019958</v>
      </c>
      <c r="P36" s="17">
        <f t="shared" si="13"/>
        <v>-9.3135942433797076</v>
      </c>
      <c r="Q36" s="17">
        <f t="shared" si="13"/>
        <v>-9.0858404709632854</v>
      </c>
      <c r="R36" s="17">
        <f t="shared" si="13"/>
        <v>-9.2061250754665291</v>
      </c>
      <c r="S36" s="17">
        <f t="shared" si="13"/>
        <v>-9.2412686266423556</v>
      </c>
      <c r="T36" s="17">
        <f t="shared" si="13"/>
        <v>-9.1264256397598462</v>
      </c>
      <c r="U36" s="17">
        <f t="shared" si="13"/>
        <v>-9.6964766368230091</v>
      </c>
      <c r="V36" s="17">
        <f t="shared" si="13"/>
        <v>-9.767115540001619</v>
      </c>
      <c r="X36" s="17">
        <f>EXP(AVERAGE(C36:V36))</f>
        <v>7.1765967890117014E-5</v>
      </c>
    </row>
    <row r="38" spans="2:24" x14ac:dyDescent="0.4">
      <c r="B38" s="17" t="s">
        <v>15</v>
      </c>
      <c r="C38" s="17">
        <f>LN(C35)-LN($X$36*C29)</f>
        <v>-0.22166542286400071</v>
      </c>
      <c r="D38" s="17">
        <f t="shared" ref="D38:V38" si="14">LN(D35)-LN($X$36*D29)</f>
        <v>-0.32979169303062505</v>
      </c>
      <c r="E38" s="17">
        <f t="shared" si="14"/>
        <v>-0.32553095787725095</v>
      </c>
      <c r="F38" s="17">
        <f t="shared" si="14"/>
        <v>3.7631668540889063E-2</v>
      </c>
      <c r="G38" s="17">
        <f t="shared" si="14"/>
        <v>0.12075720851116811</v>
      </c>
      <c r="H38" s="17">
        <f t="shared" si="14"/>
        <v>-0.45081060394000749</v>
      </c>
      <c r="I38" s="17">
        <f t="shared" si="14"/>
        <v>-0.37331114452908309</v>
      </c>
      <c r="J38" s="17">
        <f t="shared" si="14"/>
        <v>-0.25696781671429481</v>
      </c>
      <c r="K38" s="17">
        <f t="shared" si="14"/>
        <v>-0.66985567486834308</v>
      </c>
      <c r="L38" s="17">
        <f t="shared" si="14"/>
        <v>0.17745338034339886</v>
      </c>
      <c r="M38" s="17">
        <f t="shared" si="14"/>
        <v>0.50611043807957445</v>
      </c>
      <c r="N38" s="17">
        <f t="shared" si="14"/>
        <v>0.32293039383718281</v>
      </c>
      <c r="O38" s="17">
        <f t="shared" si="14"/>
        <v>0.1051952038917241</v>
      </c>
      <c r="P38" s="17">
        <f t="shared" si="14"/>
        <v>0.22850593571401134</v>
      </c>
      <c r="Q38" s="17">
        <f t="shared" si="14"/>
        <v>0.45625970813043359</v>
      </c>
      <c r="R38" s="17">
        <f t="shared" si="14"/>
        <v>0.3359751036271903</v>
      </c>
      <c r="S38" s="17">
        <f t="shared" si="14"/>
        <v>0.30083155245136406</v>
      </c>
      <c r="T38" s="17">
        <f t="shared" si="14"/>
        <v>0.41567453933387211</v>
      </c>
      <c r="U38" s="17">
        <f t="shared" si="14"/>
        <v>-0.15437645772928921</v>
      </c>
      <c r="V38" s="17">
        <f t="shared" si="14"/>
        <v>-0.22501536090790042</v>
      </c>
      <c r="X38" s="32" t="s">
        <v>14</v>
      </c>
    </row>
    <row r="39" spans="2:24" x14ac:dyDescent="0.4">
      <c r="B39" s="17" t="s">
        <v>97</v>
      </c>
      <c r="C39" s="17">
        <f>POWER(C38,2)</f>
        <v>4.9135559693476244E-2</v>
      </c>
      <c r="D39" s="17">
        <f t="shared" ref="D39:V39" si="15">POWER(D38,2)</f>
        <v>0.10876256079200602</v>
      </c>
      <c r="E39" s="17">
        <f t="shared" si="15"/>
        <v>0.10597040453648053</v>
      </c>
      <c r="F39" s="17">
        <f t="shared" si="15"/>
        <v>1.4161424771713396E-3</v>
      </c>
      <c r="G39" s="17">
        <f t="shared" si="15"/>
        <v>1.4582303407409732E-2</v>
      </c>
      <c r="H39" s="17">
        <f t="shared" si="15"/>
        <v>0.2032302006247543</v>
      </c>
      <c r="I39" s="17">
        <f t="shared" si="15"/>
        <v>0.13936121062961396</v>
      </c>
      <c r="J39" s="17">
        <f t="shared" si="15"/>
        <v>6.6032458826911403E-2</v>
      </c>
      <c r="K39" s="17">
        <f t="shared" si="15"/>
        <v>0.44870662515332332</v>
      </c>
      <c r="L39" s="17">
        <f t="shared" si="15"/>
        <v>3.148970219529898E-2</v>
      </c>
      <c r="M39" s="17">
        <f t="shared" si="15"/>
        <v>0.25614777553309875</v>
      </c>
      <c r="N39" s="17">
        <f t="shared" si="15"/>
        <v>0.10428403926383799</v>
      </c>
      <c r="O39" s="17">
        <f t="shared" si="15"/>
        <v>1.1066030921821405E-2</v>
      </c>
      <c r="P39" s="17">
        <f t="shared" si="15"/>
        <v>5.2214962656535885E-2</v>
      </c>
      <c r="Q39" s="17">
        <f t="shared" si="15"/>
        <v>0.20817292126326845</v>
      </c>
      <c r="R39" s="17">
        <f t="shared" si="15"/>
        <v>0.11287927025730125</v>
      </c>
      <c r="S39" s="17">
        <f t="shared" si="15"/>
        <v>9.0499622950297801E-2</v>
      </c>
      <c r="T39" s="17">
        <f t="shared" si="15"/>
        <v>0.17278532265042679</v>
      </c>
      <c r="U39" s="17">
        <f t="shared" si="15"/>
        <v>2.3832090701043019E-2</v>
      </c>
      <c r="V39" s="17">
        <f t="shared" si="15"/>
        <v>5.063191264451268E-2</v>
      </c>
      <c r="X39" s="32">
        <f>SUM(C39:V39)</f>
        <v>2.2512011171785895</v>
      </c>
    </row>
  </sheetData>
  <phoneticPr fontId="18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9"/>
  <sheetViews>
    <sheetView topLeftCell="L9" zoomScale="115" zoomScaleNormal="115" workbookViewId="0">
      <selection activeCell="S21" sqref="A1:XFD1048576"/>
    </sheetView>
  </sheetViews>
  <sheetFormatPr defaultColWidth="9" defaultRowHeight="18.75" x14ac:dyDescent="0.4"/>
  <cols>
    <col min="1" max="1" width="9" style="17" customWidth="1"/>
    <col min="2" max="2" width="12.375" style="17" bestFit="1" customWidth="1"/>
    <col min="3" max="23" width="9" style="17"/>
    <col min="24" max="24" width="31.75" style="17" bestFit="1" customWidth="1"/>
    <col min="25" max="16384" width="9" style="17"/>
  </cols>
  <sheetData>
    <row r="2" spans="2:24" x14ac:dyDescent="0.4">
      <c r="B2" s="20" t="s">
        <v>79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2:24" x14ac:dyDescent="0.4">
      <c r="B3" s="21" t="s">
        <v>80</v>
      </c>
      <c r="C3" s="21">
        <v>1995</v>
      </c>
      <c r="D3" s="21">
        <v>1996</v>
      </c>
      <c r="E3" s="21">
        <v>1997</v>
      </c>
      <c r="F3" s="21">
        <v>1998</v>
      </c>
      <c r="G3" s="21">
        <v>1999</v>
      </c>
      <c r="H3" s="21">
        <v>2000</v>
      </c>
      <c r="I3" s="21">
        <v>2001</v>
      </c>
      <c r="J3" s="21">
        <v>2002</v>
      </c>
      <c r="K3" s="21">
        <v>2003</v>
      </c>
      <c r="L3" s="21">
        <v>2004</v>
      </c>
      <c r="M3" s="21">
        <v>2005</v>
      </c>
      <c r="N3" s="21">
        <v>2006</v>
      </c>
      <c r="O3" s="21">
        <v>2007</v>
      </c>
      <c r="P3" s="21">
        <v>2008</v>
      </c>
      <c r="Q3" s="21">
        <v>2009</v>
      </c>
      <c r="R3" s="21">
        <v>2010</v>
      </c>
      <c r="S3" s="21">
        <v>2011</v>
      </c>
      <c r="T3" s="21">
        <v>2012</v>
      </c>
      <c r="U3" s="21">
        <v>2013</v>
      </c>
      <c r="V3" s="21">
        <v>2014</v>
      </c>
      <c r="X3" s="17" t="s">
        <v>81</v>
      </c>
    </row>
    <row r="4" spans="2:24" x14ac:dyDescent="0.4">
      <c r="B4" s="22">
        <v>0</v>
      </c>
      <c r="C4" s="24">
        <v>54379</v>
      </c>
      <c r="D4" s="24">
        <v>70768</v>
      </c>
      <c r="E4" s="24">
        <v>195949</v>
      </c>
      <c r="F4" s="24">
        <v>56875</v>
      </c>
      <c r="G4" s="24">
        <v>447254</v>
      </c>
      <c r="H4" s="24">
        <v>96074</v>
      </c>
      <c r="I4" s="24">
        <v>232253</v>
      </c>
      <c r="J4" s="24">
        <v>51615</v>
      </c>
      <c r="K4" s="24">
        <v>13300</v>
      </c>
      <c r="L4" s="24">
        <v>25482</v>
      </c>
      <c r="M4" s="24">
        <v>46572</v>
      </c>
      <c r="N4" s="24">
        <v>128588</v>
      </c>
      <c r="O4" s="24">
        <v>81711</v>
      </c>
      <c r="P4" s="24">
        <v>62974</v>
      </c>
      <c r="Q4" s="24">
        <v>29210</v>
      </c>
      <c r="R4" s="24">
        <v>18468</v>
      </c>
      <c r="S4" s="24">
        <v>20470</v>
      </c>
      <c r="T4" s="24">
        <v>21058</v>
      </c>
      <c r="U4" s="24">
        <v>40701</v>
      </c>
      <c r="V4" s="24">
        <v>33075</v>
      </c>
      <c r="X4" s="23">
        <v>0.25</v>
      </c>
    </row>
    <row r="5" spans="2:24" x14ac:dyDescent="0.4">
      <c r="B5" s="22">
        <v>1</v>
      </c>
      <c r="C5" s="24">
        <v>77923</v>
      </c>
      <c r="D5" s="24">
        <v>34539</v>
      </c>
      <c r="E5" s="24">
        <v>37166</v>
      </c>
      <c r="F5" s="24">
        <v>78778</v>
      </c>
      <c r="G5" s="24">
        <v>37325</v>
      </c>
      <c r="H5" s="24">
        <v>382760</v>
      </c>
      <c r="I5" s="24">
        <v>121312</v>
      </c>
      <c r="J5" s="24">
        <v>542510</v>
      </c>
      <c r="K5" s="24">
        <v>133091</v>
      </c>
      <c r="L5" s="24">
        <v>27119</v>
      </c>
      <c r="M5" s="24">
        <v>45425</v>
      </c>
      <c r="N5" s="24">
        <v>130991</v>
      </c>
      <c r="O5" s="24">
        <v>214732</v>
      </c>
      <c r="P5" s="24">
        <v>113049</v>
      </c>
      <c r="Q5" s="24">
        <v>192037</v>
      </c>
      <c r="R5" s="24">
        <v>40929</v>
      </c>
      <c r="S5" s="24">
        <v>32587</v>
      </c>
      <c r="T5" s="24">
        <v>32663</v>
      </c>
      <c r="U5" s="24">
        <v>24439</v>
      </c>
      <c r="V5" s="24">
        <v>79419</v>
      </c>
      <c r="X5" s="17">
        <f>EXP(X4/2)</f>
        <v>1.1331484530668263</v>
      </c>
    </row>
    <row r="6" spans="2:24" x14ac:dyDescent="0.4">
      <c r="B6" s="22">
        <v>2</v>
      </c>
      <c r="C6" s="24">
        <v>13756</v>
      </c>
      <c r="D6" s="24">
        <v>9391</v>
      </c>
      <c r="E6" s="24">
        <v>8985</v>
      </c>
      <c r="F6" s="24">
        <v>7177</v>
      </c>
      <c r="G6" s="24">
        <v>6530</v>
      </c>
      <c r="H6" s="24">
        <v>5939</v>
      </c>
      <c r="I6" s="24">
        <v>36479</v>
      </c>
      <c r="J6" s="24">
        <v>19929</v>
      </c>
      <c r="K6" s="24">
        <v>68993</v>
      </c>
      <c r="L6" s="24">
        <v>23420</v>
      </c>
      <c r="M6" s="24">
        <v>2954</v>
      </c>
      <c r="N6" s="24">
        <v>5212</v>
      </c>
      <c r="O6" s="24">
        <v>16992</v>
      </c>
      <c r="P6" s="24">
        <v>16217</v>
      </c>
      <c r="Q6" s="24">
        <v>20560</v>
      </c>
      <c r="R6" s="24">
        <v>36571</v>
      </c>
      <c r="S6" s="24">
        <v>10993</v>
      </c>
      <c r="T6" s="24">
        <v>9138</v>
      </c>
      <c r="U6" s="24">
        <v>6143</v>
      </c>
      <c r="V6" s="24">
        <v>11003</v>
      </c>
    </row>
    <row r="7" spans="2:24" x14ac:dyDescent="0.4">
      <c r="B7" s="25" t="s">
        <v>89</v>
      </c>
      <c r="C7" s="31">
        <v>4808</v>
      </c>
      <c r="D7" s="31">
        <v>6014</v>
      </c>
      <c r="E7" s="31">
        <v>4651</v>
      </c>
      <c r="F7" s="31">
        <v>3864</v>
      </c>
      <c r="G7" s="31">
        <v>3213</v>
      </c>
      <c r="H7" s="31">
        <v>4349</v>
      </c>
      <c r="I7" s="31">
        <v>2904</v>
      </c>
      <c r="J7" s="31">
        <v>4854</v>
      </c>
      <c r="K7" s="31">
        <v>12989</v>
      </c>
      <c r="L7" s="31">
        <v>31882</v>
      </c>
      <c r="M7" s="31">
        <v>7733</v>
      </c>
      <c r="N7" s="31">
        <v>5339</v>
      </c>
      <c r="O7" s="31">
        <v>5119</v>
      </c>
      <c r="P7" s="31">
        <v>7327</v>
      </c>
      <c r="Q7" s="31">
        <v>6348</v>
      </c>
      <c r="R7" s="31">
        <v>12406</v>
      </c>
      <c r="S7" s="31">
        <v>11738</v>
      </c>
      <c r="T7" s="31">
        <v>8128</v>
      </c>
      <c r="U7" s="31">
        <v>5538</v>
      </c>
      <c r="V7" s="31">
        <v>5765</v>
      </c>
    </row>
    <row r="8" spans="2:24" x14ac:dyDescent="0.4">
      <c r="B8" s="22" t="s">
        <v>83</v>
      </c>
      <c r="C8" s="23">
        <f>SUM(C4:C7)</f>
        <v>150866</v>
      </c>
      <c r="D8" s="23">
        <f t="shared" ref="D8:V8" si="0">SUM(D4:D7)</f>
        <v>120712</v>
      </c>
      <c r="E8" s="23">
        <f t="shared" si="0"/>
        <v>246751</v>
      </c>
      <c r="F8" s="23">
        <f t="shared" si="0"/>
        <v>146694</v>
      </c>
      <c r="G8" s="23">
        <f t="shared" si="0"/>
        <v>494322</v>
      </c>
      <c r="H8" s="23">
        <f t="shared" si="0"/>
        <v>489122</v>
      </c>
      <c r="I8" s="23">
        <f t="shared" si="0"/>
        <v>392948</v>
      </c>
      <c r="J8" s="23">
        <f t="shared" si="0"/>
        <v>618908</v>
      </c>
      <c r="K8" s="23">
        <f t="shared" si="0"/>
        <v>228373</v>
      </c>
      <c r="L8" s="23">
        <f t="shared" si="0"/>
        <v>107903</v>
      </c>
      <c r="M8" s="23">
        <f t="shared" si="0"/>
        <v>102684</v>
      </c>
      <c r="N8" s="23">
        <f t="shared" si="0"/>
        <v>270130</v>
      </c>
      <c r="O8" s="23">
        <f t="shared" si="0"/>
        <v>318554</v>
      </c>
      <c r="P8" s="23">
        <f t="shared" si="0"/>
        <v>199567</v>
      </c>
      <c r="Q8" s="23">
        <f t="shared" si="0"/>
        <v>248155</v>
      </c>
      <c r="R8" s="23">
        <f t="shared" si="0"/>
        <v>108374</v>
      </c>
      <c r="S8" s="23">
        <f t="shared" si="0"/>
        <v>75788</v>
      </c>
      <c r="T8" s="23">
        <f t="shared" si="0"/>
        <v>70987</v>
      </c>
      <c r="U8" s="23">
        <f t="shared" si="0"/>
        <v>76821</v>
      </c>
      <c r="V8" s="23">
        <f t="shared" si="0"/>
        <v>129262</v>
      </c>
    </row>
    <row r="10" spans="2:24" x14ac:dyDescent="0.4">
      <c r="B10" s="17" t="s">
        <v>90</v>
      </c>
    </row>
    <row r="11" spans="2:24" x14ac:dyDescent="0.4">
      <c r="B11" s="21" t="s">
        <v>80</v>
      </c>
      <c r="C11" s="21">
        <v>1995</v>
      </c>
      <c r="D11" s="21">
        <v>1996</v>
      </c>
      <c r="E11" s="21">
        <v>1997</v>
      </c>
      <c r="F11" s="21">
        <v>1998</v>
      </c>
      <c r="G11" s="21">
        <v>1999</v>
      </c>
      <c r="H11" s="21">
        <v>2000</v>
      </c>
      <c r="I11" s="21">
        <v>2001</v>
      </c>
      <c r="J11" s="21">
        <v>2002</v>
      </c>
      <c r="K11" s="21">
        <v>2003</v>
      </c>
      <c r="L11" s="21">
        <v>2004</v>
      </c>
      <c r="M11" s="21">
        <v>2005</v>
      </c>
      <c r="N11" s="21">
        <v>2006</v>
      </c>
      <c r="O11" s="21">
        <v>2007</v>
      </c>
      <c r="P11" s="21">
        <v>2008</v>
      </c>
      <c r="Q11" s="21">
        <v>2009</v>
      </c>
      <c r="R11" s="21">
        <v>2010</v>
      </c>
      <c r="S11" s="21">
        <v>2011</v>
      </c>
      <c r="T11" s="21">
        <v>2012</v>
      </c>
      <c r="U11" s="21">
        <v>2013</v>
      </c>
      <c r="V11" s="21">
        <v>2014</v>
      </c>
    </row>
    <row r="12" spans="2:24" x14ac:dyDescent="0.4">
      <c r="B12" s="22">
        <v>0</v>
      </c>
      <c r="C12" s="23">
        <f t="shared" ref="C12:U12" si="1">-LN(1-C4*$X$5/C28)</f>
        <v>0.58577968441813588</v>
      </c>
      <c r="D12" s="23">
        <f t="shared" si="1"/>
        <v>0.71523985144254187</v>
      </c>
      <c r="E12" s="23">
        <f t="shared" si="1"/>
        <v>0.96250610952335502</v>
      </c>
      <c r="F12" s="23">
        <f t="shared" si="1"/>
        <v>0.64730075191349712</v>
      </c>
      <c r="G12" s="23">
        <f t="shared" si="1"/>
        <v>0.57763002663138119</v>
      </c>
      <c r="H12" s="23">
        <f t="shared" si="1"/>
        <v>0.35373538964279616</v>
      </c>
      <c r="I12" s="23">
        <f t="shared" si="1"/>
        <v>0.23167278314409515</v>
      </c>
      <c r="J12" s="23">
        <f t="shared" si="1"/>
        <v>0.20601037762734348</v>
      </c>
      <c r="K12" s="23">
        <f t="shared" si="1"/>
        <v>0.25326523585248117</v>
      </c>
      <c r="L12" s="23">
        <f t="shared" si="1"/>
        <v>0.2888997921319672</v>
      </c>
      <c r="M12" s="23">
        <f t="shared" si="1"/>
        <v>0.19515846577724982</v>
      </c>
      <c r="N12" s="23">
        <f t="shared" si="1"/>
        <v>0.33747002088958616</v>
      </c>
      <c r="O12" s="23">
        <f t="shared" si="1"/>
        <v>0.32775282947985901</v>
      </c>
      <c r="P12" s="23">
        <f t="shared" si="1"/>
        <v>0.16919549878558507</v>
      </c>
      <c r="Q12" s="23">
        <f t="shared" si="1"/>
        <v>0.29103146919469641</v>
      </c>
      <c r="R12" s="23">
        <f t="shared" si="1"/>
        <v>0.23286285254783187</v>
      </c>
      <c r="S12" s="23">
        <f t="shared" si="1"/>
        <v>0.27745639372598674</v>
      </c>
      <c r="T12" s="23">
        <f t="shared" si="1"/>
        <v>0.28008142086090348</v>
      </c>
      <c r="U12" s="23">
        <f t="shared" si="1"/>
        <v>0.21645785386530184</v>
      </c>
      <c r="V12" s="35">
        <f>V$15*V20/V22</f>
        <v>0.27910124591441393</v>
      </c>
      <c r="X12" s="17" t="s">
        <v>110</v>
      </c>
    </row>
    <row r="13" spans="2:24" x14ac:dyDescent="0.4">
      <c r="B13" s="22">
        <v>1</v>
      </c>
      <c r="C13" s="23">
        <f t="shared" ref="C13:U13" si="2">-LN(1-C5*$X$5/C29)</f>
        <v>1.6041322408398901</v>
      </c>
      <c r="D13" s="23">
        <f t="shared" si="2"/>
        <v>1.0483919379622322</v>
      </c>
      <c r="E13" s="23">
        <f t="shared" si="2"/>
        <v>1.2189962778221179</v>
      </c>
      <c r="F13" s="23">
        <f t="shared" si="2"/>
        <v>1.8040807838906765</v>
      </c>
      <c r="G13" s="23">
        <f t="shared" si="2"/>
        <v>1.4573088386618622</v>
      </c>
      <c r="H13" s="23">
        <f t="shared" si="2"/>
        <v>1.9597576054419807</v>
      </c>
      <c r="I13" s="23">
        <f t="shared" si="2"/>
        <v>1.1649357725682352</v>
      </c>
      <c r="J13" s="23">
        <f t="shared" si="2"/>
        <v>1.5229811094906249</v>
      </c>
      <c r="K13" s="23">
        <f t="shared" si="2"/>
        <v>1.4164309344548014</v>
      </c>
      <c r="L13" s="23">
        <f t="shared" si="2"/>
        <v>1.4049391701685823</v>
      </c>
      <c r="M13" s="23">
        <f t="shared" si="2"/>
        <v>1.4554291151920216</v>
      </c>
      <c r="N13" s="23">
        <f t="shared" si="2"/>
        <v>1.5064112636057219</v>
      </c>
      <c r="O13" s="23">
        <f t="shared" si="2"/>
        <v>1.9710245516668434</v>
      </c>
      <c r="P13" s="23">
        <f t="shared" si="2"/>
        <v>1.1679613343399879</v>
      </c>
      <c r="Q13" s="23">
        <f t="shared" si="2"/>
        <v>1.279578816840635</v>
      </c>
      <c r="R13" s="23">
        <f t="shared" si="2"/>
        <v>0.93591463811568754</v>
      </c>
      <c r="S13" s="23">
        <f t="shared" si="2"/>
        <v>0.90159829190575602</v>
      </c>
      <c r="T13" s="23">
        <f>-LN(1-T5*$X$5/T29)</f>
        <v>1.0646758143441042</v>
      </c>
      <c r="U13" s="23">
        <f>-LN(1-U5*$X$5/U29)</f>
        <v>0.65716914042675523</v>
      </c>
      <c r="V13" s="29">
        <v>0.93014639566666435</v>
      </c>
      <c r="X13" s="19">
        <f>V15*X21</f>
        <v>0.93014637733452221</v>
      </c>
    </row>
    <row r="14" spans="2:24" x14ac:dyDescent="0.4">
      <c r="B14" s="22">
        <v>2</v>
      </c>
      <c r="C14" s="23">
        <f t="shared" ref="C14:U14" si="3">-LN(1-C6*$X$5/C30)</f>
        <v>0.90753099369767198</v>
      </c>
      <c r="D14" s="23">
        <f t="shared" si="3"/>
        <v>0.95422686937838919</v>
      </c>
      <c r="E14" s="23">
        <f t="shared" si="3"/>
        <v>0.96488357693978832</v>
      </c>
      <c r="F14" s="23">
        <f t="shared" si="3"/>
        <v>0.89421047373434981</v>
      </c>
      <c r="G14" s="23">
        <f t="shared" si="3"/>
        <v>0.77672215478614148</v>
      </c>
      <c r="H14" s="23">
        <f t="shared" si="3"/>
        <v>1.1180164090898761</v>
      </c>
      <c r="I14" s="23">
        <f t="shared" si="3"/>
        <v>1.3711690814198481</v>
      </c>
      <c r="J14" s="23">
        <f t="shared" si="3"/>
        <v>0.62599353470592101</v>
      </c>
      <c r="K14" s="23">
        <f t="shared" si="3"/>
        <v>0.88080998080652584</v>
      </c>
      <c r="L14" s="23">
        <f t="shared" si="3"/>
        <v>1.222480220024581</v>
      </c>
      <c r="M14" s="23">
        <f t="shared" si="3"/>
        <v>0.56233868198961878</v>
      </c>
      <c r="N14" s="23">
        <f t="shared" si="3"/>
        <v>0.66196804427593647</v>
      </c>
      <c r="O14" s="23">
        <f t="shared" si="3"/>
        <v>0.87880068303606684</v>
      </c>
      <c r="P14" s="23">
        <f t="shared" si="3"/>
        <v>0.9140358584962619</v>
      </c>
      <c r="Q14" s="23">
        <f t="shared" si="3"/>
        <v>0.72847274279541674</v>
      </c>
      <c r="R14" s="23">
        <f t="shared" si="3"/>
        <v>1.0066978183193109</v>
      </c>
      <c r="S14" s="23">
        <f t="shared" si="3"/>
        <v>0.76441850512204357</v>
      </c>
      <c r="T14" s="23">
        <f t="shared" si="3"/>
        <v>0.74859218942919026</v>
      </c>
      <c r="U14" s="23">
        <f t="shared" si="3"/>
        <v>0.61397635211184154</v>
      </c>
      <c r="V14" s="35">
        <f>V15</f>
        <v>0.7705457178644699</v>
      </c>
    </row>
    <row r="15" spans="2:24" x14ac:dyDescent="0.4">
      <c r="B15" s="25" t="s">
        <v>91</v>
      </c>
      <c r="C15" s="23">
        <f t="shared" ref="C15:T15" si="4">C14</f>
        <v>0.90753099369767198</v>
      </c>
      <c r="D15" s="23">
        <f t="shared" si="4"/>
        <v>0.95422686937838919</v>
      </c>
      <c r="E15" s="23">
        <f t="shared" si="4"/>
        <v>0.96488357693978832</v>
      </c>
      <c r="F15" s="23">
        <f t="shared" si="4"/>
        <v>0.89421047373434981</v>
      </c>
      <c r="G15" s="23">
        <f t="shared" si="4"/>
        <v>0.77672215478614148</v>
      </c>
      <c r="H15" s="23">
        <f t="shared" si="4"/>
        <v>1.1180164090898761</v>
      </c>
      <c r="I15" s="23">
        <f t="shared" si="4"/>
        <v>1.3711690814198481</v>
      </c>
      <c r="J15" s="23">
        <f t="shared" si="4"/>
        <v>0.62599353470592101</v>
      </c>
      <c r="K15" s="23">
        <f t="shared" si="4"/>
        <v>0.88080998080652584</v>
      </c>
      <c r="L15" s="23">
        <f t="shared" si="4"/>
        <v>1.222480220024581</v>
      </c>
      <c r="M15" s="23">
        <f t="shared" si="4"/>
        <v>0.56233868198961878</v>
      </c>
      <c r="N15" s="23">
        <f t="shared" si="4"/>
        <v>0.66196804427593647</v>
      </c>
      <c r="O15" s="23">
        <f t="shared" si="4"/>
        <v>0.87880068303606684</v>
      </c>
      <c r="P15" s="23">
        <f t="shared" si="4"/>
        <v>0.9140358584962619</v>
      </c>
      <c r="Q15" s="23">
        <f t="shared" si="4"/>
        <v>0.72847274279541674</v>
      </c>
      <c r="R15" s="23">
        <f t="shared" si="4"/>
        <v>1.0066978183193109</v>
      </c>
      <c r="S15" s="23">
        <f t="shared" si="4"/>
        <v>0.76441850512204357</v>
      </c>
      <c r="T15" s="23">
        <f t="shared" si="4"/>
        <v>0.74859218942919026</v>
      </c>
      <c r="U15" s="23">
        <f>U14</f>
        <v>0.61397635211184154</v>
      </c>
      <c r="V15" s="36">
        <v>0.7705457178644699</v>
      </c>
    </row>
    <row r="16" spans="2:24" x14ac:dyDescent="0.4">
      <c r="B16" s="22" t="s">
        <v>86</v>
      </c>
      <c r="C16" s="22">
        <f t="shared" ref="C16:V16" si="5">MAX(C12:C15)</f>
        <v>1.6041322408398901</v>
      </c>
      <c r="D16" s="22">
        <f t="shared" si="5"/>
        <v>1.0483919379622322</v>
      </c>
      <c r="E16" s="22">
        <f t="shared" si="5"/>
        <v>1.2189962778221179</v>
      </c>
      <c r="F16" s="22">
        <f t="shared" si="5"/>
        <v>1.8040807838906765</v>
      </c>
      <c r="G16" s="22">
        <f t="shared" si="5"/>
        <v>1.4573088386618622</v>
      </c>
      <c r="H16" s="22">
        <f t="shared" si="5"/>
        <v>1.9597576054419807</v>
      </c>
      <c r="I16" s="22">
        <f t="shared" si="5"/>
        <v>1.3711690814198481</v>
      </c>
      <c r="J16" s="22">
        <f t="shared" si="5"/>
        <v>1.5229811094906249</v>
      </c>
      <c r="K16" s="22">
        <f t="shared" si="5"/>
        <v>1.4164309344548014</v>
      </c>
      <c r="L16" s="22">
        <f t="shared" si="5"/>
        <v>1.4049391701685823</v>
      </c>
      <c r="M16" s="22">
        <f t="shared" si="5"/>
        <v>1.4554291151920216</v>
      </c>
      <c r="N16" s="22">
        <f t="shared" si="5"/>
        <v>1.5064112636057219</v>
      </c>
      <c r="O16" s="22">
        <f t="shared" si="5"/>
        <v>1.9710245516668434</v>
      </c>
      <c r="P16" s="22">
        <f t="shared" si="5"/>
        <v>1.1679613343399879</v>
      </c>
      <c r="Q16" s="22">
        <f t="shared" si="5"/>
        <v>1.279578816840635</v>
      </c>
      <c r="R16" s="22">
        <f t="shared" si="5"/>
        <v>1.0066978183193109</v>
      </c>
      <c r="S16" s="22">
        <f t="shared" si="5"/>
        <v>0.90159829190575602</v>
      </c>
      <c r="T16" s="22">
        <f>MAX(T12:T15)</f>
        <v>1.0646758143441042</v>
      </c>
      <c r="U16" s="22">
        <f t="shared" si="5"/>
        <v>0.65716914042675523</v>
      </c>
      <c r="V16" s="22">
        <f t="shared" si="5"/>
        <v>0.93014639566666435</v>
      </c>
    </row>
    <row r="18" spans="2:24" x14ac:dyDescent="0.4">
      <c r="B18" s="17" t="s">
        <v>103</v>
      </c>
    </row>
    <row r="19" spans="2:24" x14ac:dyDescent="0.4">
      <c r="B19" s="21" t="s">
        <v>80</v>
      </c>
      <c r="C19" s="21">
        <v>1995</v>
      </c>
      <c r="D19" s="21">
        <v>1996</v>
      </c>
      <c r="E19" s="21">
        <v>1997</v>
      </c>
      <c r="F19" s="21">
        <v>1998</v>
      </c>
      <c r="G19" s="21">
        <v>1999</v>
      </c>
      <c r="H19" s="21">
        <v>2000</v>
      </c>
      <c r="I19" s="21">
        <v>2001</v>
      </c>
      <c r="J19" s="21">
        <v>2002</v>
      </c>
      <c r="K19" s="21">
        <v>2003</v>
      </c>
      <c r="L19" s="21">
        <v>2004</v>
      </c>
      <c r="M19" s="21">
        <v>2005</v>
      </c>
      <c r="N19" s="21">
        <v>2006</v>
      </c>
      <c r="O19" s="21">
        <v>2007</v>
      </c>
      <c r="P19" s="21">
        <v>2008</v>
      </c>
      <c r="Q19" s="21">
        <v>2009</v>
      </c>
      <c r="R19" s="21">
        <v>2010</v>
      </c>
      <c r="S19" s="21">
        <v>2011</v>
      </c>
      <c r="T19" s="21">
        <v>2012</v>
      </c>
      <c r="U19" s="21">
        <v>2013</v>
      </c>
      <c r="V19" s="21">
        <v>2014</v>
      </c>
      <c r="X19" s="17" t="s">
        <v>109</v>
      </c>
    </row>
    <row r="20" spans="2:24" x14ac:dyDescent="0.4">
      <c r="B20" s="22">
        <v>0</v>
      </c>
      <c r="C20" s="23">
        <f>C12/C$16</f>
        <v>0.36516919833955452</v>
      </c>
      <c r="D20" s="23">
        <f t="shared" ref="D20:U23" si="6">D12/D$16</f>
        <v>0.68222563102951683</v>
      </c>
      <c r="E20" s="23">
        <f t="shared" si="6"/>
        <v>0.78958904718149492</v>
      </c>
      <c r="F20" s="23">
        <f t="shared" si="6"/>
        <v>0.35879809689981279</v>
      </c>
      <c r="G20" s="23">
        <f t="shared" si="6"/>
        <v>0.3963676135813296</v>
      </c>
      <c r="H20" s="23">
        <f t="shared" si="6"/>
        <v>0.18049956211958101</v>
      </c>
      <c r="I20" s="23">
        <f t="shared" si="6"/>
        <v>0.16896004021925404</v>
      </c>
      <c r="J20" s="23">
        <f t="shared" si="6"/>
        <v>0.13526784826388658</v>
      </c>
      <c r="K20" s="23">
        <f t="shared" si="6"/>
        <v>0.17880521364775581</v>
      </c>
      <c r="L20" s="23">
        <f t="shared" si="6"/>
        <v>0.20563153072122076</v>
      </c>
      <c r="M20" s="23">
        <f t="shared" si="6"/>
        <v>0.13408998331842609</v>
      </c>
      <c r="N20" s="23">
        <f t="shared" si="6"/>
        <v>0.22402250238213389</v>
      </c>
      <c r="O20" s="23">
        <f t="shared" si="6"/>
        <v>0.16628551339083378</v>
      </c>
      <c r="P20" s="23">
        <f t="shared" si="6"/>
        <v>0.14486395551886744</v>
      </c>
      <c r="Q20" s="23">
        <f t="shared" si="6"/>
        <v>0.22744317533582842</v>
      </c>
      <c r="R20" s="23">
        <f t="shared" si="6"/>
        <v>0.23131355637245549</v>
      </c>
      <c r="S20" s="23">
        <f t="shared" si="6"/>
        <v>0.30773837552366307</v>
      </c>
      <c r="T20" s="23">
        <f t="shared" si="6"/>
        <v>0.26306732724406656</v>
      </c>
      <c r="U20" s="23">
        <f t="shared" si="6"/>
        <v>0.32937921236645035</v>
      </c>
      <c r="V20" s="35">
        <f t="shared" ref="V20:V21" si="7">AVERAGE(S20:U20)</f>
        <v>0.30006163837805994</v>
      </c>
      <c r="X20" s="17">
        <f t="shared" ref="X20:X22" si="8">V20/V$23</f>
        <v>0.36221244170680678</v>
      </c>
    </row>
    <row r="21" spans="2:24" x14ac:dyDescent="0.4">
      <c r="B21" s="22">
        <v>1</v>
      </c>
      <c r="C21" s="23">
        <f t="shared" ref="C21:R23" si="9">C13/C$16</f>
        <v>1</v>
      </c>
      <c r="D21" s="23">
        <f t="shared" si="9"/>
        <v>1</v>
      </c>
      <c r="E21" s="23">
        <f t="shared" si="9"/>
        <v>1</v>
      </c>
      <c r="F21" s="23">
        <f t="shared" si="9"/>
        <v>1</v>
      </c>
      <c r="G21" s="23">
        <f t="shared" si="9"/>
        <v>1</v>
      </c>
      <c r="H21" s="23">
        <f t="shared" si="9"/>
        <v>1</v>
      </c>
      <c r="I21" s="23">
        <f t="shared" si="9"/>
        <v>0.84959308691670765</v>
      </c>
      <c r="J21" s="23">
        <f t="shared" si="9"/>
        <v>1</v>
      </c>
      <c r="K21" s="23">
        <f t="shared" si="9"/>
        <v>1</v>
      </c>
      <c r="L21" s="23">
        <f t="shared" si="9"/>
        <v>1</v>
      </c>
      <c r="M21" s="23">
        <f t="shared" si="9"/>
        <v>1</v>
      </c>
      <c r="N21" s="23">
        <f t="shared" si="9"/>
        <v>1</v>
      </c>
      <c r="O21" s="23">
        <f t="shared" si="9"/>
        <v>1</v>
      </c>
      <c r="P21" s="23">
        <f t="shared" si="9"/>
        <v>1</v>
      </c>
      <c r="Q21" s="23">
        <f t="shared" si="9"/>
        <v>1</v>
      </c>
      <c r="R21" s="23">
        <f t="shared" si="9"/>
        <v>0.92968775841612883</v>
      </c>
      <c r="S21" s="23">
        <f t="shared" si="6"/>
        <v>1</v>
      </c>
      <c r="T21" s="23">
        <f t="shared" si="6"/>
        <v>1</v>
      </c>
      <c r="U21" s="23">
        <f t="shared" si="6"/>
        <v>1</v>
      </c>
      <c r="V21" s="35">
        <v>1</v>
      </c>
      <c r="X21" s="17">
        <f t="shared" si="8"/>
        <v>1.2071267878982934</v>
      </c>
    </row>
    <row r="22" spans="2:24" x14ac:dyDescent="0.4">
      <c r="B22" s="22">
        <v>2</v>
      </c>
      <c r="C22" s="23">
        <f t="shared" si="9"/>
        <v>0.56574574750926254</v>
      </c>
      <c r="D22" s="23">
        <f t="shared" si="6"/>
        <v>0.91018142626423437</v>
      </c>
      <c r="E22" s="23">
        <f t="shared" si="6"/>
        <v>0.79153939556211583</v>
      </c>
      <c r="F22" s="23">
        <f t="shared" si="6"/>
        <v>0.49565988492261281</v>
      </c>
      <c r="G22" s="23">
        <f t="shared" si="6"/>
        <v>0.5329839044271133</v>
      </c>
      <c r="H22" s="23">
        <f t="shared" si="6"/>
        <v>0.57048708778335466</v>
      </c>
      <c r="I22" s="23">
        <f t="shared" si="6"/>
        <v>1</v>
      </c>
      <c r="J22" s="23">
        <f t="shared" si="6"/>
        <v>0.4110317132661549</v>
      </c>
      <c r="K22" s="23">
        <f t="shared" si="6"/>
        <v>0.62185169737595325</v>
      </c>
      <c r="L22" s="23">
        <f t="shared" si="6"/>
        <v>0.8701303558060044</v>
      </c>
      <c r="M22" s="23">
        <f t="shared" si="6"/>
        <v>0.38637311574973326</v>
      </c>
      <c r="N22" s="23">
        <f t="shared" si="6"/>
        <v>0.43943381217919225</v>
      </c>
      <c r="O22" s="23">
        <f t="shared" si="6"/>
        <v>0.44585983583658984</v>
      </c>
      <c r="P22" s="23">
        <f t="shared" si="6"/>
        <v>0.7825908543563056</v>
      </c>
      <c r="Q22" s="23">
        <f t="shared" si="6"/>
        <v>0.56930666029159838</v>
      </c>
      <c r="R22" s="23">
        <f t="shared" si="6"/>
        <v>1</v>
      </c>
      <c r="S22" s="23">
        <f t="shared" si="6"/>
        <v>0.84784821797549292</v>
      </c>
      <c r="T22" s="23">
        <f t="shared" si="6"/>
        <v>0.70311749299044801</v>
      </c>
      <c r="U22" s="23">
        <f t="shared" si="6"/>
        <v>0.93427447264662344</v>
      </c>
      <c r="V22" s="35">
        <f>AVERAGE(S22:U22)</f>
        <v>0.8284133945375215</v>
      </c>
      <c r="X22" s="17">
        <f t="shared" si="8"/>
        <v>1</v>
      </c>
    </row>
    <row r="23" spans="2:24" x14ac:dyDescent="0.4">
      <c r="B23" s="25" t="s">
        <v>89</v>
      </c>
      <c r="C23" s="23">
        <f t="shared" si="9"/>
        <v>0.56574574750926254</v>
      </c>
      <c r="D23" s="23">
        <f t="shared" si="6"/>
        <v>0.91018142626423437</v>
      </c>
      <c r="E23" s="23">
        <f t="shared" si="6"/>
        <v>0.79153939556211583</v>
      </c>
      <c r="F23" s="23">
        <f t="shared" si="6"/>
        <v>0.49565988492261281</v>
      </c>
      <c r="G23" s="23">
        <f t="shared" si="6"/>
        <v>0.5329839044271133</v>
      </c>
      <c r="H23" s="23">
        <f t="shared" si="6"/>
        <v>0.57048708778335466</v>
      </c>
      <c r="I23" s="23">
        <f t="shared" si="6"/>
        <v>1</v>
      </c>
      <c r="J23" s="23">
        <f t="shared" si="6"/>
        <v>0.4110317132661549</v>
      </c>
      <c r="K23" s="23">
        <f t="shared" si="6"/>
        <v>0.62185169737595325</v>
      </c>
      <c r="L23" s="23">
        <f t="shared" si="6"/>
        <v>0.8701303558060044</v>
      </c>
      <c r="M23" s="23">
        <f t="shared" si="6"/>
        <v>0.38637311574973326</v>
      </c>
      <c r="N23" s="23">
        <f t="shared" si="6"/>
        <v>0.43943381217919225</v>
      </c>
      <c r="O23" s="23">
        <f t="shared" si="6"/>
        <v>0.44585983583658984</v>
      </c>
      <c r="P23" s="23">
        <f t="shared" si="6"/>
        <v>0.7825908543563056</v>
      </c>
      <c r="Q23" s="23">
        <f t="shared" si="6"/>
        <v>0.56930666029159838</v>
      </c>
      <c r="R23" s="23">
        <f t="shared" si="6"/>
        <v>1</v>
      </c>
      <c r="S23" s="23">
        <f t="shared" si="6"/>
        <v>0.84784821797549292</v>
      </c>
      <c r="T23" s="23">
        <f t="shared" si="6"/>
        <v>0.70311749299044801</v>
      </c>
      <c r="U23" s="23">
        <f t="shared" si="6"/>
        <v>0.93427447264662344</v>
      </c>
      <c r="V23" s="35">
        <f>AVERAGE(S23:U23)</f>
        <v>0.8284133945375215</v>
      </c>
      <c r="X23" s="17">
        <f>V23/V$23</f>
        <v>1</v>
      </c>
    </row>
    <row r="26" spans="2:24" x14ac:dyDescent="0.4">
      <c r="B26" s="20" t="s">
        <v>87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2:24" x14ac:dyDescent="0.4">
      <c r="B27" s="21" t="s">
        <v>80</v>
      </c>
      <c r="C27" s="21">
        <v>1995</v>
      </c>
      <c r="D27" s="21">
        <v>1996</v>
      </c>
      <c r="E27" s="21">
        <v>1997</v>
      </c>
      <c r="F27" s="21">
        <v>1998</v>
      </c>
      <c r="G27" s="21">
        <v>1999</v>
      </c>
      <c r="H27" s="21">
        <v>2000</v>
      </c>
      <c r="I27" s="21">
        <v>2001</v>
      </c>
      <c r="J27" s="21">
        <v>2002</v>
      </c>
      <c r="K27" s="21">
        <v>2003</v>
      </c>
      <c r="L27" s="21">
        <v>2004</v>
      </c>
      <c r="M27" s="21">
        <v>2005</v>
      </c>
      <c r="N27" s="21">
        <v>2006</v>
      </c>
      <c r="O27" s="21">
        <v>2007</v>
      </c>
      <c r="P27" s="21">
        <v>2008</v>
      </c>
      <c r="Q27" s="21">
        <v>2009</v>
      </c>
      <c r="R27" s="21">
        <v>2010</v>
      </c>
      <c r="S27" s="21">
        <v>2011</v>
      </c>
      <c r="T27" s="21">
        <v>2012</v>
      </c>
      <c r="U27" s="21">
        <v>2013</v>
      </c>
      <c r="V27" s="21">
        <v>2014</v>
      </c>
    </row>
    <row r="28" spans="2:24" x14ac:dyDescent="0.4">
      <c r="B28" s="22">
        <v>0</v>
      </c>
      <c r="C28" s="23">
        <f t="shared" ref="C28:U28" si="10">(D29*$X$5+C4)*$X$5</f>
        <v>138992.87452041055</v>
      </c>
      <c r="D28" s="23">
        <f t="shared" si="10"/>
        <v>156951.83666601026</v>
      </c>
      <c r="E28" s="23">
        <f t="shared" si="10"/>
        <v>359248.83677751024</v>
      </c>
      <c r="F28" s="23">
        <f t="shared" si="10"/>
        <v>135240.24642687512</v>
      </c>
      <c r="G28" s="23">
        <f t="shared" si="10"/>
        <v>1155050.6634349697</v>
      </c>
      <c r="H28" s="23">
        <f t="shared" si="10"/>
        <v>365396.94520393258</v>
      </c>
      <c r="I28" s="23">
        <f t="shared" si="10"/>
        <v>1272651.3254170467</v>
      </c>
      <c r="J28" s="23">
        <f t="shared" si="10"/>
        <v>314152.49834410904</v>
      </c>
      <c r="K28" s="23">
        <f t="shared" si="10"/>
        <v>67359.464494219777</v>
      </c>
      <c r="L28" s="23">
        <f t="shared" si="10"/>
        <v>115079.408007319</v>
      </c>
      <c r="M28" s="23">
        <f t="shared" si="10"/>
        <v>297655.17711651366</v>
      </c>
      <c r="N28" s="23">
        <f t="shared" si="10"/>
        <v>508714.19181354588</v>
      </c>
      <c r="O28" s="23">
        <f t="shared" si="10"/>
        <v>331321.31891857763</v>
      </c>
      <c r="P28" s="23">
        <f t="shared" si="10"/>
        <v>458439.17184512381</v>
      </c>
      <c r="Q28" s="23">
        <f t="shared" si="10"/>
        <v>131082.13042276996</v>
      </c>
      <c r="R28" s="23">
        <f t="shared" si="10"/>
        <v>100737.5062697488</v>
      </c>
      <c r="S28" s="23">
        <f t="shared" si="10"/>
        <v>95734.100703765609</v>
      </c>
      <c r="T28" s="23">
        <f t="shared" si="10"/>
        <v>97683.214959922247</v>
      </c>
      <c r="U28" s="23">
        <f t="shared" si="10"/>
        <v>236959.56660729015</v>
      </c>
      <c r="V28" s="33">
        <f t="shared" ref="V28:V29" si="11">V4*$X$5/(1-EXP(-V12))</f>
        <v>153894.20446228713</v>
      </c>
    </row>
    <row r="29" spans="2:24" x14ac:dyDescent="0.4">
      <c r="B29" s="22">
        <v>1</v>
      </c>
      <c r="C29" s="23">
        <f t="shared" ref="C29:U29" si="12">(D30*$X$5+C5)*$X$5</f>
        <v>110519.8937833259</v>
      </c>
      <c r="D29" s="23">
        <f t="shared" si="12"/>
        <v>60258.460452193547</v>
      </c>
      <c r="E29" s="23">
        <f t="shared" si="12"/>
        <v>59781.672497877378</v>
      </c>
      <c r="F29" s="23">
        <f t="shared" si="12"/>
        <v>106858.88983526742</v>
      </c>
      <c r="G29" s="23">
        <f t="shared" si="12"/>
        <v>55133.19848552125</v>
      </c>
      <c r="H29" s="23">
        <f t="shared" si="12"/>
        <v>504854.09150172956</v>
      </c>
      <c r="I29" s="23">
        <f t="shared" si="12"/>
        <v>199786.41963780951</v>
      </c>
      <c r="J29" s="23">
        <f t="shared" si="12"/>
        <v>786179.29569567728</v>
      </c>
      <c r="K29" s="23">
        <f t="shared" si="12"/>
        <v>199112.13408732641</v>
      </c>
      <c r="L29" s="23">
        <f t="shared" si="12"/>
        <v>40722.394890993739</v>
      </c>
      <c r="M29" s="23">
        <f t="shared" si="12"/>
        <v>67136.146999833072</v>
      </c>
      <c r="N29" s="23">
        <f t="shared" si="12"/>
        <v>190714.43927642878</v>
      </c>
      <c r="O29" s="23">
        <f t="shared" si="12"/>
        <v>282708.49923437845</v>
      </c>
      <c r="P29" s="23">
        <f t="shared" si="12"/>
        <v>185923.5982149491</v>
      </c>
      <c r="Q29" s="23">
        <f t="shared" si="12"/>
        <v>301458.42608022649</v>
      </c>
      <c r="R29" s="23">
        <f t="shared" si="12"/>
        <v>76309.131295425221</v>
      </c>
      <c r="S29" s="23">
        <f t="shared" si="12"/>
        <v>62156.495970608616</v>
      </c>
      <c r="T29" s="23">
        <f t="shared" si="12"/>
        <v>56493.080998822719</v>
      </c>
      <c r="U29" s="23">
        <f t="shared" si="12"/>
        <v>57492.144529093406</v>
      </c>
      <c r="V29" s="33">
        <f t="shared" si="11"/>
        <v>148625.78959792267</v>
      </c>
    </row>
    <row r="30" spans="2:24" x14ac:dyDescent="0.4">
      <c r="B30" s="22">
        <v>2</v>
      </c>
      <c r="C30" s="23">
        <f t="shared" ref="C30:U30" si="13">(C6/SUM(C6:C7)*D31*$X$5+C6)*$X$5</f>
        <v>26132.597039556189</v>
      </c>
      <c r="D30" s="23">
        <f t="shared" si="13"/>
        <v>17306.173683323275</v>
      </c>
      <c r="E30" s="23">
        <f t="shared" si="13"/>
        <v>16448.775668476275</v>
      </c>
      <c r="F30" s="23">
        <f t="shared" si="13"/>
        <v>13759.133473206097</v>
      </c>
      <c r="G30" s="23">
        <f t="shared" si="13"/>
        <v>13700.446090037985</v>
      </c>
      <c r="H30" s="23">
        <f t="shared" si="13"/>
        <v>9998.5812647851144</v>
      </c>
      <c r="I30" s="23">
        <f t="shared" si="13"/>
        <v>55396.247365069903</v>
      </c>
      <c r="J30" s="23">
        <f t="shared" si="13"/>
        <v>48536.355814615912</v>
      </c>
      <c r="K30" s="23">
        <f t="shared" si="13"/>
        <v>133513.65650115017</v>
      </c>
      <c r="L30" s="23">
        <f t="shared" si="13"/>
        <v>37616.290684341999</v>
      </c>
      <c r="M30" s="23">
        <f t="shared" si="13"/>
        <v>7782.1995284572595</v>
      </c>
      <c r="N30" s="23">
        <f t="shared" si="13"/>
        <v>12198.262055961701</v>
      </c>
      <c r="O30" s="23">
        <f t="shared" si="13"/>
        <v>32929.402885047894</v>
      </c>
      <c r="P30" s="23">
        <f t="shared" si="13"/>
        <v>30673.275698880294</v>
      </c>
      <c r="Q30" s="23">
        <f t="shared" si="13"/>
        <v>45032.051540969689</v>
      </c>
      <c r="R30" s="23">
        <f t="shared" si="13"/>
        <v>65304.000613115648</v>
      </c>
      <c r="S30" s="23">
        <f t="shared" si="13"/>
        <v>23309.895482490905</v>
      </c>
      <c r="T30" s="23">
        <f t="shared" si="13"/>
        <v>19649.601170360402</v>
      </c>
      <c r="U30" s="23">
        <f t="shared" si="13"/>
        <v>15171.859390878793</v>
      </c>
      <c r="V30" s="33">
        <f>V6*$X$5/(1-EXP(-V14))</f>
        <v>23207.585377447405</v>
      </c>
    </row>
    <row r="31" spans="2:24" x14ac:dyDescent="0.4">
      <c r="B31" s="25" t="s">
        <v>92</v>
      </c>
      <c r="C31" s="28">
        <f t="shared" ref="C31:V31" si="14">C30*C7/C6</f>
        <v>9133.8707884694795</v>
      </c>
      <c r="D31" s="28">
        <f t="shared" si="14"/>
        <v>11082.880261048469</v>
      </c>
      <c r="E31" s="28">
        <f t="shared" si="14"/>
        <v>8514.5526582173788</v>
      </c>
      <c r="F31" s="28">
        <f t="shared" si="14"/>
        <v>7407.7318852540557</v>
      </c>
      <c r="G31" s="28">
        <f t="shared" si="14"/>
        <v>6741.1230148992418</v>
      </c>
      <c r="H31" s="28">
        <f t="shared" si="14"/>
        <v>7321.7427042516356</v>
      </c>
      <c r="I31" s="28">
        <f t="shared" si="14"/>
        <v>4409.9537363459249</v>
      </c>
      <c r="J31" s="28">
        <f t="shared" si="14"/>
        <v>11821.74073581944</v>
      </c>
      <c r="K31" s="28">
        <f t="shared" si="14"/>
        <v>25136.012121424486</v>
      </c>
      <c r="L31" s="28">
        <f t="shared" si="14"/>
        <v>51207.625089589732</v>
      </c>
      <c r="M31" s="28">
        <f t="shared" si="14"/>
        <v>20372.291453473252</v>
      </c>
      <c r="N31" s="28">
        <f t="shared" si="14"/>
        <v>12495.495225782717</v>
      </c>
      <c r="O31" s="28">
        <f t="shared" si="14"/>
        <v>9920.2926888276925</v>
      </c>
      <c r="P31" s="28">
        <f t="shared" si="14"/>
        <v>13858.487454257625</v>
      </c>
      <c r="Q31" s="28">
        <f t="shared" si="14"/>
        <v>13903.864940762431</v>
      </c>
      <c r="R31" s="28">
        <f t="shared" si="14"/>
        <v>22153.1112522576</v>
      </c>
      <c r="S31" s="28">
        <f t="shared" si="14"/>
        <v>24889.616408030404</v>
      </c>
      <c r="T31" s="28">
        <f t="shared" si="14"/>
        <v>17477.780511347049</v>
      </c>
      <c r="U31" s="28">
        <f t="shared" si="14"/>
        <v>13677.642407079074</v>
      </c>
      <c r="V31" s="33">
        <f>V7*$X$5/(1-EXP(-V15))</f>
        <v>12159.568272378832</v>
      </c>
    </row>
    <row r="32" spans="2:24" x14ac:dyDescent="0.4">
      <c r="B32" s="22" t="s">
        <v>83</v>
      </c>
      <c r="C32" s="22">
        <f t="shared" ref="C32:V32" si="15">SUM(C28:C31)</f>
        <v>284779.23613176215</v>
      </c>
      <c r="D32" s="22">
        <f t="shared" si="15"/>
        <v>245599.35106257556</v>
      </c>
      <c r="E32" s="22">
        <f t="shared" si="15"/>
        <v>443993.8376020813</v>
      </c>
      <c r="F32" s="22">
        <f t="shared" si="15"/>
        <v>263266.00162060268</v>
      </c>
      <c r="G32" s="22">
        <f t="shared" si="15"/>
        <v>1230625.431025428</v>
      </c>
      <c r="H32" s="22">
        <f t="shared" si="15"/>
        <v>887571.36067469895</v>
      </c>
      <c r="I32" s="22">
        <f t="shared" si="15"/>
        <v>1532243.946156272</v>
      </c>
      <c r="J32" s="22">
        <f t="shared" si="15"/>
        <v>1160689.8905902216</v>
      </c>
      <c r="K32" s="22">
        <f t="shared" si="15"/>
        <v>425121.26720412087</v>
      </c>
      <c r="L32" s="22">
        <f t="shared" si="15"/>
        <v>244625.71867224449</v>
      </c>
      <c r="M32" s="22">
        <f t="shared" si="15"/>
        <v>392945.81509827723</v>
      </c>
      <c r="N32" s="22">
        <f t="shared" si="15"/>
        <v>724122.38837171905</v>
      </c>
      <c r="O32" s="22">
        <f t="shared" si="15"/>
        <v>656879.51372683165</v>
      </c>
      <c r="P32" s="22">
        <f t="shared" si="15"/>
        <v>688894.53321321087</v>
      </c>
      <c r="Q32" s="22">
        <f t="shared" si="15"/>
        <v>491476.47298472858</v>
      </c>
      <c r="R32" s="22">
        <f t="shared" si="15"/>
        <v>264503.74943054724</v>
      </c>
      <c r="S32" s="22">
        <f t="shared" si="15"/>
        <v>206090.10856489555</v>
      </c>
      <c r="T32" s="22">
        <f t="shared" si="15"/>
        <v>191303.67764045243</v>
      </c>
      <c r="U32" s="22">
        <f t="shared" si="15"/>
        <v>323301.21293434146</v>
      </c>
      <c r="V32" s="22">
        <f t="shared" si="15"/>
        <v>337887.14771003608</v>
      </c>
    </row>
    <row r="34" spans="2:24" x14ac:dyDescent="0.4">
      <c r="B34" s="17" t="s">
        <v>93</v>
      </c>
      <c r="C34" s="21">
        <v>1995</v>
      </c>
      <c r="D34" s="21">
        <v>1996</v>
      </c>
      <c r="E34" s="21">
        <v>1997</v>
      </c>
      <c r="F34" s="21">
        <v>1998</v>
      </c>
      <c r="G34" s="21">
        <v>1999</v>
      </c>
      <c r="H34" s="21">
        <v>2000</v>
      </c>
      <c r="I34" s="21">
        <v>2001</v>
      </c>
      <c r="J34" s="21">
        <v>2002</v>
      </c>
      <c r="K34" s="21">
        <v>2003</v>
      </c>
      <c r="L34" s="21">
        <v>2004</v>
      </c>
      <c r="M34" s="21">
        <v>2005</v>
      </c>
      <c r="N34" s="21">
        <v>2006</v>
      </c>
      <c r="O34" s="21">
        <v>2007</v>
      </c>
      <c r="P34" s="21">
        <v>2008</v>
      </c>
      <c r="Q34" s="21">
        <v>2009</v>
      </c>
      <c r="R34" s="21">
        <v>2010</v>
      </c>
      <c r="S34" s="21">
        <v>2011</v>
      </c>
      <c r="T34" s="21">
        <v>2012</v>
      </c>
      <c r="U34" s="21">
        <v>2013</v>
      </c>
      <c r="V34" s="21">
        <v>2014</v>
      </c>
    </row>
    <row r="35" spans="2:24" x14ac:dyDescent="0.4">
      <c r="B35" s="22" t="s">
        <v>94</v>
      </c>
      <c r="C35" s="34">
        <f>正規近似による過分散二項分布!B20</f>
        <v>60602</v>
      </c>
      <c r="D35" s="34">
        <f>正規近似による過分散二項分布!C20</f>
        <v>21033</v>
      </c>
      <c r="E35" s="34">
        <f>正規近似による過分散二項分布!D20</f>
        <v>24007</v>
      </c>
      <c r="F35" s="34">
        <f>正規近似による過分散二項分布!E20</f>
        <v>71219</v>
      </c>
      <c r="G35" s="34">
        <f>正規近似による過分散二項分布!F20</f>
        <v>37640</v>
      </c>
      <c r="H35" s="34">
        <f>正規近似による過分散二項分布!G20</f>
        <v>288272</v>
      </c>
      <c r="I35" s="34">
        <f>正規近似による過分散二項分布!H20</f>
        <v>100116</v>
      </c>
      <c r="J35" s="34">
        <f>正規近似による過分散二項分布!I20</f>
        <v>407807</v>
      </c>
      <c r="K35" s="34">
        <f>正規近似による過分散二項分布!J20</f>
        <v>75639</v>
      </c>
      <c r="L35" s="34">
        <f>正規近似による過分散二項分布!K20</f>
        <v>31598</v>
      </c>
      <c r="M35" s="34">
        <f>正規近似による過分散二項分布!L20</f>
        <v>48729</v>
      </c>
      <c r="N35" s="34">
        <f>正規近似による過分散二項分布!M20</f>
        <v>132926</v>
      </c>
      <c r="O35" s="34">
        <f>正規近似による過分散二項分布!N20</f>
        <v>191825</v>
      </c>
      <c r="P35" s="34">
        <f>正規近似による過分散二項分布!O20</f>
        <v>111800</v>
      </c>
      <c r="Q35" s="34">
        <f>正規近似による過分散二項分布!P20</f>
        <v>183207</v>
      </c>
      <c r="R35" s="34">
        <f>正規近似による過分散二項分布!Q20</f>
        <v>45974</v>
      </c>
      <c r="S35" s="34">
        <f>正規近似による過分散二項分布!R20</f>
        <v>38091</v>
      </c>
      <c r="T35" s="34">
        <f>正規近似による過分散二項分布!S20</f>
        <v>40168</v>
      </c>
      <c r="U35" s="34">
        <f>正規近似による過分散二項分布!T20</f>
        <v>32241</v>
      </c>
      <c r="V35" s="34">
        <f>正規近似による過分散二項分布!U20</f>
        <v>82016</v>
      </c>
      <c r="X35" s="17" t="s">
        <v>96</v>
      </c>
    </row>
    <row r="36" spans="2:24" x14ac:dyDescent="0.4">
      <c r="B36" s="22" t="s">
        <v>95</v>
      </c>
      <c r="C36" s="17">
        <f>LN(C35/C29)</f>
        <v>-0.60086764316083052</v>
      </c>
      <c r="D36" s="17">
        <f t="shared" ref="D36:V36" si="16">LN(D35/D29)</f>
        <v>-1.0525503520625621</v>
      </c>
      <c r="E36" s="17">
        <f t="shared" si="16"/>
        <v>-0.91235367952523772</v>
      </c>
      <c r="F36" s="17">
        <f t="shared" si="16"/>
        <v>-0.40574954075995284</v>
      </c>
      <c r="G36" s="17">
        <f t="shared" si="16"/>
        <v>-0.38168473335224079</v>
      </c>
      <c r="H36" s="17">
        <f t="shared" si="16"/>
        <v>-0.56036498093501297</v>
      </c>
      <c r="I36" s="17">
        <f t="shared" si="16"/>
        <v>-0.69091938041573187</v>
      </c>
      <c r="J36" s="17">
        <f t="shared" si="16"/>
        <v>-0.65639085471769654</v>
      </c>
      <c r="K36" s="17">
        <f t="shared" si="16"/>
        <v>-0.96789613071620473</v>
      </c>
      <c r="L36" s="17">
        <f t="shared" si="16"/>
        <v>-0.25368435669166867</v>
      </c>
      <c r="M36" s="17">
        <f t="shared" si="16"/>
        <v>-0.32044826694889927</v>
      </c>
      <c r="N36" s="17">
        <f t="shared" si="16"/>
        <v>-0.36098464457205798</v>
      </c>
      <c r="O36" s="17">
        <f t="shared" si="16"/>
        <v>-0.38783283068469576</v>
      </c>
      <c r="P36" s="17">
        <f t="shared" si="16"/>
        <v>-0.50862426632104596</v>
      </c>
      <c r="Q36" s="17">
        <f t="shared" si="16"/>
        <v>-0.49801545526128038</v>
      </c>
      <c r="R36" s="17">
        <f t="shared" si="16"/>
        <v>-0.50671658804545161</v>
      </c>
      <c r="S36" s="17">
        <f t="shared" si="16"/>
        <v>-0.48967729958551109</v>
      </c>
      <c r="T36" s="17">
        <f t="shared" si="16"/>
        <v>-0.34104751172330072</v>
      </c>
      <c r="U36" s="17">
        <f t="shared" si="16"/>
        <v>-0.57840938705791001</v>
      </c>
      <c r="V36" s="17">
        <f t="shared" si="16"/>
        <v>-0.59451731750094372</v>
      </c>
      <c r="X36" s="17">
        <f>EXP(AVERAGE(C36:V36))</f>
        <v>0.5749703751433376</v>
      </c>
    </row>
    <row r="38" spans="2:24" x14ac:dyDescent="0.4">
      <c r="B38" s="17" t="s">
        <v>15</v>
      </c>
      <c r="C38" s="17">
        <f>LN(C35)-LN($X$36*C29)</f>
        <v>-4.7430882158918664E-2</v>
      </c>
      <c r="D38" s="17">
        <f t="shared" ref="D38:V38" si="17">LN(D35)-LN($X$36*D29)</f>
        <v>-0.49911359106064879</v>
      </c>
      <c r="E38" s="17">
        <f t="shared" si="17"/>
        <v>-0.35891691852332563</v>
      </c>
      <c r="F38" s="17">
        <f t="shared" si="17"/>
        <v>0.14768722024195924</v>
      </c>
      <c r="G38" s="17">
        <f t="shared" si="17"/>
        <v>0.17175202764967068</v>
      </c>
      <c r="H38" s="17">
        <f t="shared" si="17"/>
        <v>-6.9282199331013317E-3</v>
      </c>
      <c r="I38" s="17">
        <f t="shared" si="17"/>
        <v>-0.13748261941382012</v>
      </c>
      <c r="J38" s="17">
        <f t="shared" si="17"/>
        <v>-0.10295409371578579</v>
      </c>
      <c r="K38" s="17">
        <f t="shared" si="17"/>
        <v>-0.41445936971429376</v>
      </c>
      <c r="L38" s="17">
        <f t="shared" si="17"/>
        <v>0.29975240431024375</v>
      </c>
      <c r="M38" s="17">
        <f t="shared" si="17"/>
        <v>0.23298849405301247</v>
      </c>
      <c r="N38" s="17">
        <f t="shared" si="17"/>
        <v>0.1924521164298536</v>
      </c>
      <c r="O38" s="17">
        <f t="shared" si="17"/>
        <v>0.1656039303172161</v>
      </c>
      <c r="P38" s="17">
        <f t="shared" si="17"/>
        <v>4.4812494680865456E-2</v>
      </c>
      <c r="Q38" s="17">
        <f t="shared" si="17"/>
        <v>5.5421305740631865E-2</v>
      </c>
      <c r="R38" s="17">
        <f t="shared" si="17"/>
        <v>4.672017295646036E-2</v>
      </c>
      <c r="S38" s="17">
        <f t="shared" si="17"/>
        <v>6.3759461416399432E-2</v>
      </c>
      <c r="T38" s="17">
        <f t="shared" si="17"/>
        <v>0.21238924927861014</v>
      </c>
      <c r="U38" s="17">
        <f t="shared" si="17"/>
        <v>-2.4972626055998148E-2</v>
      </c>
      <c r="V38" s="17">
        <f t="shared" si="17"/>
        <v>-4.1080556499032639E-2</v>
      </c>
      <c r="X38" s="32" t="s">
        <v>14</v>
      </c>
    </row>
    <row r="39" spans="2:24" x14ac:dyDescent="0.4">
      <c r="B39" s="17" t="s">
        <v>97</v>
      </c>
      <c r="C39" s="17">
        <f>POWER(C38,2)</f>
        <v>2.2496885823732288E-3</v>
      </c>
      <c r="D39" s="17">
        <f t="shared" ref="D39:V39" si="18">POWER(D38,2)</f>
        <v>0.24911437678145654</v>
      </c>
      <c r="E39" s="17">
        <f t="shared" si="18"/>
        <v>0.12882135440227957</v>
      </c>
      <c r="F39" s="17">
        <f t="shared" si="18"/>
        <v>2.1811515022796976E-2</v>
      </c>
      <c r="G39" s="17">
        <f t="shared" si="18"/>
        <v>2.9498759001773241E-2</v>
      </c>
      <c r="H39" s="17">
        <f t="shared" si="18"/>
        <v>4.8000231441422621E-5</v>
      </c>
      <c r="I39" s="17">
        <f t="shared" si="18"/>
        <v>1.8901470640885307E-2</v>
      </c>
      <c r="J39" s="17">
        <f t="shared" si="18"/>
        <v>1.0599545412838803E-2</v>
      </c>
      <c r="K39" s="17">
        <f t="shared" si="18"/>
        <v>0.17177656914396963</v>
      </c>
      <c r="L39" s="17">
        <f t="shared" si="18"/>
        <v>8.9851503889771839E-2</v>
      </c>
      <c r="M39" s="17">
        <f t="shared" si="18"/>
        <v>5.4283638361090632E-2</v>
      </c>
      <c r="N39" s="17">
        <f t="shared" si="18"/>
        <v>3.703781711832993E-2</v>
      </c>
      <c r="O39" s="17">
        <f t="shared" si="18"/>
        <v>2.7424661736509363E-2</v>
      </c>
      <c r="P39" s="17">
        <f t="shared" si="18"/>
        <v>2.0081596795225947E-3</v>
      </c>
      <c r="Q39" s="17">
        <f t="shared" si="18"/>
        <v>3.0715211299965945E-3</v>
      </c>
      <c r="R39" s="17">
        <f t="shared" si="18"/>
        <v>2.1827745610815698E-3</v>
      </c>
      <c r="S39" s="17">
        <f t="shared" si="18"/>
        <v>4.0652689201093276E-3</v>
      </c>
      <c r="T39" s="17">
        <f t="shared" si="18"/>
        <v>4.51091932091316E-2</v>
      </c>
      <c r="U39" s="17">
        <f t="shared" si="18"/>
        <v>6.2363205213271768E-4</v>
      </c>
      <c r="V39" s="17">
        <f t="shared" si="18"/>
        <v>1.6876121222702128E-3</v>
      </c>
      <c r="X39" s="32">
        <f>SUM(C39:V39)</f>
        <v>0.90016706199976115</v>
      </c>
    </row>
  </sheetData>
  <phoneticPr fontId="18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第1モデル</vt:lpstr>
      <vt:lpstr>第2モデル</vt:lpstr>
      <vt:lpstr>中間期モデル</vt:lpstr>
      <vt:lpstr>正規近似による過分散二項分布</vt:lpstr>
      <vt:lpstr>漁具能率変動要因分析</vt:lpstr>
      <vt:lpstr>VPA</vt:lpstr>
      <vt:lpstr>Tuned VPA (CPUE)</vt:lpstr>
      <vt:lpstr>Tuned VPA(Delury)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西嶋　翔太</dc:creator>
  <cp:lastModifiedBy>Shota Nishijima</cp:lastModifiedBy>
  <dcterms:created xsi:type="dcterms:W3CDTF">2017-06-05T01:06:11Z</dcterms:created>
  <dcterms:modified xsi:type="dcterms:W3CDTF">2017-06-06T08:12:01Z</dcterms:modified>
</cp:coreProperties>
</file>